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otont\Dropbox\GitHub\HeroForge-Anew\data\"/>
    </mc:Choice>
  </mc:AlternateContent>
  <bookViews>
    <workbookView xWindow="0" yWindow="0" windowWidth="20490" windowHeight="7155"/>
  </bookViews>
  <sheets>
    <sheet name="Class Info" sheetId="1" r:id="rId1"/>
  </sheets>
  <externalReferences>
    <externalReference r:id="rId2"/>
    <externalReference r:id="rId3"/>
    <externalReference r:id="rId4"/>
    <externalReference r:id="rId5"/>
  </externalReferences>
  <definedNames>
    <definedName name="_xlnm._FilterDatabase" localSheetId="0" hidden="1">'Class Info'!$AN$1:$AN$799</definedName>
    <definedName name="AberrantSelected">[1]Feats!$AM$6</definedName>
    <definedName name="AbilityAcronym">'[1]Stats &amp; Character Details'!$CE$3:$CE$8</definedName>
    <definedName name="AbilityEssentia">'[1]Incarnum Abilities'!$W$1</definedName>
    <definedName name="AbilityInitialScore">'[1]Stats &amp; Character Details'!$CG$3:$CG$8</definedName>
    <definedName name="AbilitySkillBonus">[1]Enhancements!$A$27:$C$32</definedName>
    <definedName name="AbilityTxt">'[1]Stats &amp; Character Details'!$CQ$3:$CQ$8</definedName>
    <definedName name="AbJLvl">'Class Info'!$E$249</definedName>
    <definedName name="AbleLearnerLevel">[1]ExportSheet!$BT$13</definedName>
    <definedName name="AblLvl">'Class Info'!$E$681</definedName>
    <definedName name="AC">'[1]CS Calc.'!$A$41</definedName>
    <definedName name="ACArmor">'[1]CS Calc.'!$A$43</definedName>
    <definedName name="ACDeflect">'[1]CS Calc.'!$F$43</definedName>
    <definedName name="ACDex">'[1]CS Calc.'!$C$43</definedName>
    <definedName name="AChLvl">'Class Info'!$E$613</definedName>
    <definedName name="ACMisc">'[1]CS Calc.'!$G$43</definedName>
    <definedName name="ACP">[1]Armor!$N$81</definedName>
    <definedName name="AcrLvl">'Class Info'!$E$235</definedName>
    <definedName name="ACShield">'[1]CS Calc.'!$B$43</definedName>
    <definedName name="ACSize">'[1]CS Calc.'!$D$43</definedName>
    <definedName name="AcSLvl">'Class Info'!$E$600</definedName>
    <definedName name="ActionPointBonus">[1]Enhancements!$C$24</definedName>
    <definedName name="ActualArmorName">[1]Armor!$H$1</definedName>
    <definedName name="ActualArmorType">[1]Armor!$K$1</definedName>
    <definedName name="AddShifts">'[1]Racial Abilities'!$N$681</definedName>
    <definedName name="AdPaulDR">[1]SoulmeldAbilities!$G$10</definedName>
    <definedName name="AdpLvl">'Class Info'!$E$99</definedName>
    <definedName name="AdtLvl">'Class Info'!$E$422</definedName>
    <definedName name="AereniFocusSkill">[1]Feats!$AP$2653</definedName>
    <definedName name="AfcLvl">'Class Info'!$E$87</definedName>
    <definedName name="Aid">[1]Buffs!$B$17</definedName>
    <definedName name="AidHP">[1]Buffs!$E$17</definedName>
    <definedName name="AidToHit">[1]Buffs!$G$17</definedName>
    <definedName name="Alignment">'[1]Stats &amp; Character Details'!$CM$37</definedName>
    <definedName name="AlignmentBase">'[1]Stats &amp; Character Details'!$CK$39</definedName>
    <definedName name="AlignmentCell">[1]ExportSheet!$E$10</definedName>
    <definedName name="AlignmentChaotic">'[1]Stats &amp; Character Details'!$CP$39</definedName>
    <definedName name="AlignmentComponents">'[1]Stats &amp; Character Details'!$CM$35:$CM$36</definedName>
    <definedName name="AlignmentDeity">'[1]Stats &amp; Character Details'!$CM$41</definedName>
    <definedName name="AlignmentEvil">'[1]Stats &amp; Character Details'!$CP$36</definedName>
    <definedName name="AlignmentGood">'[1]Stats &amp; Character Details'!$CP$37</definedName>
    <definedName name="AlignmentLawful">'[1]Stats &amp; Character Details'!$CP$38</definedName>
    <definedName name="AlignmentList">'[1]Stats &amp; Character Details'!$CI$35:$CI$43</definedName>
    <definedName name="AlignmentNeutral">'[1]Stats &amp; Character Details'!$CP$35</definedName>
    <definedName name="AlignmentNonChaotic">'[1]Stats &amp; Character Details'!$CP$43</definedName>
    <definedName name="AlignmentNonEvil">'[1]Stats &amp; Character Details'!$CP$40</definedName>
    <definedName name="AlignmentNonGood">'[1]Stats &amp; Character Details'!$CP$41</definedName>
    <definedName name="AlignmentNonLawful">'[1]Stats &amp; Character Details'!$CP$42</definedName>
    <definedName name="AlignmentSeq">'[1]Stats &amp; Character Details'!$CH$35:$CH$43</definedName>
    <definedName name="AlignmentTrueNeutral">'[1]Stats &amp; Character Details'!$CM$42</definedName>
    <definedName name="AlignmentTxt">'[1]Stats &amp; Character Details'!$CM$38</definedName>
    <definedName name="AliLvl">'Class Info'!$E$187</definedName>
    <definedName name="AlpLvl">'Class Info'!$E$767</definedName>
    <definedName name="AlSLvl">'Class Info'!$E$570</definedName>
    <definedName name="AmbientSecret1">[1]ExportSheet!$AI$57</definedName>
    <definedName name="AmbientSecret2">[1]ExportSheet!$AI$58</definedName>
    <definedName name="AmbientSecret3">[1]ExportSheet!$AI$59</definedName>
    <definedName name="AmbientSecrets">[1]ExportSheet!$AI$57:$AI$59</definedName>
    <definedName name="AmTLvl">'Class Info'!$E$595</definedName>
    <definedName name="AnimalCompanion">[1]ExportSheet!$T$20</definedName>
    <definedName name="AnimalCompanionList">'[1]Creature Info'!$CB$6:INDEX('[1]Creature Info'!$CB$6:$CB$225,CompanionListRowsCnt+1)</definedName>
    <definedName name="AnimalisticPower">[1]Buffs!$B$18</definedName>
    <definedName name="AnimalisticPowerMod">[1]Buffs!$G$18</definedName>
    <definedName name="AniMLvl">'Class Info'!$E$382</definedName>
    <definedName name="AnInLvl">'Class Info'!$E$734</definedName>
    <definedName name="AnkBreAC">[1]SoulmeldAbilities!$G$14</definedName>
    <definedName name="AnKLvl">'Class Info'!$E$706</definedName>
    <definedName name="AnmLvl">'Class Info'!$E$768</definedName>
    <definedName name="Anoint1">[1]ExportSheet!$AI$10</definedName>
    <definedName name="Anoint2">[1]ExportSheet!$AI$11</definedName>
    <definedName name="Anoint3">[1]ExportSheet!$AI$12</definedName>
    <definedName name="Anoint4">[1]ExportSheet!$AI$13</definedName>
    <definedName name="AnointSelf">[1]Tables!$N$121:$N$128</definedName>
    <definedName name="AnointSelfStatBump">[1]ExportSheet!$AK$10</definedName>
    <definedName name="AnointW1">[1]ExportSheet!$AI$14</definedName>
    <definedName name="AnointW2">[1]ExportSheet!$AI$15</definedName>
    <definedName name="AnointW3">[1]ExportSheet!$AI$16</definedName>
    <definedName name="AnointWeapon">[1]Tables!$N$136:$N$141</definedName>
    <definedName name="ANRLvl">'Class Info'!$E$494</definedName>
    <definedName name="AnWrLvl">'Class Info'!$E$735</definedName>
    <definedName name="AoPLvl">'Class Info'!$E$707</definedName>
    <definedName name="AoSLvl">'Class Info'!$E$186</definedName>
    <definedName name="ApeLvl">'Class Info'!$E$206</definedName>
    <definedName name="Aquan">[1]Languages!$H$7</definedName>
    <definedName name="AquaticSubtype">'[1]Race Info'!$B$80</definedName>
    <definedName name="AraLvl">'Class Info'!$E$455</definedName>
    <definedName name="ArcaneBacklashMod">'[1]Class Abilities'!$D$3308</definedName>
    <definedName name="ArcaneSpellFailure">[1]Armor!$P$81</definedName>
    <definedName name="ArcaneThesis">[1]ExportSheet!$AI$61:$AI$64</definedName>
    <definedName name="ArcaneThesis1">[1]ExportSheet!$AI$61</definedName>
    <definedName name="ArcaneThesis2">[1]ExportSheet!$AI$62</definedName>
    <definedName name="ArcaneThesis3">[1]ExportSheet!$AI$63</definedName>
    <definedName name="ArcaneThesis4">[1]ExportSheet!$AI$64</definedName>
    <definedName name="ArcLvl">'Class Info'!$E$106</definedName>
    <definedName name="ArdentMantle1">[1]ExportSheet!$W$43</definedName>
    <definedName name="ArdentMantle2">[1]ExportSheet!$W$44</definedName>
    <definedName name="ArdentMantle3">[1]ExportSheet!$W$45</definedName>
    <definedName name="ArdentMantle4">[1]ExportSheet!$W$46</definedName>
    <definedName name="ArdentMantle5">[1]ExportSheet!$W$47</definedName>
    <definedName name="ArdentMantle6">[1]ExportSheet!$W$48</definedName>
    <definedName name="ArdtLvl">'Class Info'!$E$38</definedName>
    <definedName name="ArdtLvlAbilities">'[1]Psionic Info'!$Q$66:$S$86</definedName>
    <definedName name="ArHLvl">'Class Info'!$E$311</definedName>
    <definedName name="AriLvl">'Class Info'!$E$100</definedName>
    <definedName name="ArItLvl">'Class Info'!$E$240</definedName>
    <definedName name="Armament1">[1]ExportSheet!$AG$16</definedName>
    <definedName name="Armament2">[1]ExportSheet!$AG$17</definedName>
    <definedName name="Armament3">[1]ExportSheet!$AG$18</definedName>
    <definedName name="ArmLvl">'Class Info'!$E$108</definedName>
    <definedName name="ArmorACP">[1]Armor!$O$1</definedName>
    <definedName name="ArmorBondBonus">'[1]Incarnum Abilities'!$Z$36</definedName>
    <definedName name="ArmorBonus">[1]Armor!$M$1</definedName>
    <definedName name="ArmorCell">[1]ExportSheet!$F$43</definedName>
    <definedName name="ArmorMasteryHeavy">'[1]Class Abilities'!$D$2817</definedName>
    <definedName name="ArmorMasteryMedium">'[1]Class Abilities'!$D$2813</definedName>
    <definedName name="ArmorMat">[1]ExportSheet!$F$45</definedName>
    <definedName name="ArmorMaterial">[1]Armor!$J$1</definedName>
    <definedName name="ArmorMaterialName">[1]Armor!$K$90</definedName>
    <definedName name="ArmorMaterialsList">[1]Armor!$H$106:$H$122</definedName>
    <definedName name="ArmorMaxDex">[1]Armor!$N$1</definedName>
    <definedName name="ArmorName">[1]Armor!$K$88</definedName>
    <definedName name="ArmorProf">'[1]Class Weapons &amp; Armor'!$A$11</definedName>
    <definedName name="ArmorProficient">[1]Armor!$L$1</definedName>
    <definedName name="ArmorProps">[1]Armor!$A$7</definedName>
    <definedName name="ArmorQual">[1]ExportSheet!$F$44</definedName>
    <definedName name="ArmorSel">[1]Armor!$I$88</definedName>
    <definedName name="ArmorSkinFeat">[1]Feats!$AQ$406</definedName>
    <definedName name="ArmorSpecial1">[1]Feats!$AO$178</definedName>
    <definedName name="ArmorSpecial2">[1]Feats!$AO$179</definedName>
    <definedName name="ArmorSpecial3">[1]Feats!$AO$180</definedName>
    <definedName name="ArmorSpeed">[1]Armor!$R$1</definedName>
    <definedName name="ArmorSpellFail">[1]Armor!$P$1</definedName>
    <definedName name="ArmorSummary">[1]Armor!$AA$11</definedName>
    <definedName name="ArmorType">[1]Armor!$J$88</definedName>
    <definedName name="ArmorWgt">[1]Armor!$Q$1</definedName>
    <definedName name="ArmSlot">'[1]Magic Equipment'!$J$17</definedName>
    <definedName name="ArmSlotACMod">'[1]Magic Equipment'!$BA$24</definedName>
    <definedName name="ArmSlotValue">'[1]Magic Equipment'!$BB$51</definedName>
    <definedName name="ArmSlotWeight">'[1]Magic Equipment'!$AZ$51</definedName>
    <definedName name="ArSLvl">'Class Info'!$E$188</definedName>
    <definedName name="Art">'[1]Stats &amp; Character Details'!$B$29</definedName>
    <definedName name="ArtistCraftSkill">[1]Feats!$AQ$2103</definedName>
    <definedName name="ArTLvl">'Class Info'!$E$107</definedName>
    <definedName name="ArvLvl">'Class Info'!$E$42</definedName>
    <definedName name="ArvSkill1">[1]ExportSheet!$T$54</definedName>
    <definedName name="ArvSkill2">[1]ExportSheet!$T$55</definedName>
    <definedName name="ArvSkill3">[1]ExportSheet!$T$56</definedName>
    <definedName name="ArvSkill4">[1]ExportSheet!$T$57</definedName>
    <definedName name="ArvSkills">[1]ExportSheet!$T$54:$T$57</definedName>
    <definedName name="AsDLvl">'Class Info'!$E$425</definedName>
    <definedName name="AsnLvl">'Class Info'!$E$109</definedName>
    <definedName name="AstVamDR">[1]SoulmeldAbilities!$G$23</definedName>
    <definedName name="AtavistPersonality">[1]ExportSheet!$AE$51</definedName>
    <definedName name="AtavistSociableBonus">'[1]Class Abilities'!$D$2838</definedName>
    <definedName name="Attack1Bonus">[1]Attacks!$B$36</definedName>
    <definedName name="Attack1Critical">[1]Attacks!$B$38</definedName>
    <definedName name="Attack1Damage">[1]Attacks!$B$37</definedName>
    <definedName name="Attack1Name">[1]Attacks!$B$35</definedName>
    <definedName name="Attack1Props">[1]Attacks!$B$43</definedName>
    <definedName name="Attack1Range">[1]Attacks!$B$39</definedName>
    <definedName name="Attack1Size">[1]Attacks!$B$42</definedName>
    <definedName name="Attack1Txt">[1]Attacks!$D$35</definedName>
    <definedName name="Attack1Type">[1]Attacks!$B$41</definedName>
    <definedName name="Attack1UsageIndex">[1]Attacks!$C$17</definedName>
    <definedName name="Attack1Wgt">[1]Attacks!$B$40</definedName>
    <definedName name="Attack2Bonus">[1]Attacks!$Q$36</definedName>
    <definedName name="Attack2Critical">[1]Attacks!$Q$38</definedName>
    <definedName name="Attack2Damage">[1]Attacks!$Q$37</definedName>
    <definedName name="Attack2Name">[1]Attacks!$Q$35</definedName>
    <definedName name="Attack2Props">[1]Attacks!$Q$43</definedName>
    <definedName name="Attack2Range">[1]Attacks!$Q$39</definedName>
    <definedName name="Attack2Size">[1]Attacks!$Q$42</definedName>
    <definedName name="Attack2Txt">[1]Attacks!$S$35</definedName>
    <definedName name="Attack2Type">[1]Attacks!$Q$41</definedName>
    <definedName name="Attack2Wgt">[1]Attacks!$Q$40</definedName>
    <definedName name="Attack3Bonus">[1]Attacks!$AF$36</definedName>
    <definedName name="Attack3Critical">[1]Attacks!$AF$38</definedName>
    <definedName name="Attack3Damage">[1]Attacks!$AF$37</definedName>
    <definedName name="Attack3Name">[1]Attacks!$AF$35</definedName>
    <definedName name="Attack3Props">[1]Attacks!$AF$43</definedName>
    <definedName name="Attack3Range">[1]Attacks!$AF$39</definedName>
    <definedName name="Attack3Size">[1]Attacks!$AF$42</definedName>
    <definedName name="Attack3Txt">[1]Attacks!$AH$35</definedName>
    <definedName name="Attack3Type">[1]Attacks!$AF$41</definedName>
    <definedName name="Attack3Wgt">[1]Attacks!$AF$40</definedName>
    <definedName name="Attack4Bonus">[1]Attacks!$AU$36</definedName>
    <definedName name="Attack4Critical">[1]Attacks!$AU$38</definedName>
    <definedName name="Attack4Damage">[1]Attacks!$AU$37</definedName>
    <definedName name="Attack4Name">[1]Attacks!$AU$35</definedName>
    <definedName name="Attack4Props">[1]Attacks!$AU$43</definedName>
    <definedName name="Attack4Range">[1]Attacks!$AU$39</definedName>
    <definedName name="Attack4Size">[1]Attacks!$AU$42</definedName>
    <definedName name="Attack4Txt">[1]Attacks!$AW$35</definedName>
    <definedName name="Attack4Type">[1]Attacks!$AU$41</definedName>
    <definedName name="Attack4Wgt">[1]Attacks!$AU$40</definedName>
    <definedName name="Attack5Bonus">[1]Attacks!$BJ$36</definedName>
    <definedName name="Attack5Critical">[1]Attacks!$BJ$38</definedName>
    <definedName name="Attack5Damage">[1]Attacks!$BJ$37</definedName>
    <definedName name="Attack5Name">[1]Attacks!$BJ$35</definedName>
    <definedName name="Attack5Props">[1]Attacks!$BJ$43</definedName>
    <definedName name="Attack5Range">[1]Attacks!$BJ$39</definedName>
    <definedName name="Attack5Size">[1]Attacks!$BJ$42</definedName>
    <definedName name="Attack5Txt">[1]Attacks!$BL$35</definedName>
    <definedName name="Attack5Type">[1]Attacks!$BJ$41</definedName>
    <definedName name="Attack5Wgt">[1]Attacks!$BJ$40</definedName>
    <definedName name="Attack6Bonus">[1]Attacks!$BY$36</definedName>
    <definedName name="Attack6Critical">[1]Attacks!$BY$38</definedName>
    <definedName name="Attack6Damage">[1]Attacks!$BY$37</definedName>
    <definedName name="Attack6Name">[1]Attacks!$BY$35</definedName>
    <definedName name="Attack6Props">[1]Attacks!$BY$43</definedName>
    <definedName name="Attack6Range">[1]Attacks!$BY$39</definedName>
    <definedName name="Attack6Size">[1]Attacks!$BY$42</definedName>
    <definedName name="Attack6Txt">[1]Attacks!$CA$35</definedName>
    <definedName name="Attack6Type">[1]Attacks!$BY$41</definedName>
    <definedName name="Attack6Wgt">[1]Attacks!$BY$40</definedName>
    <definedName name="AttackAmmo1">[1]ExportSheet!$E$28</definedName>
    <definedName name="AttackAmmo2">[1]ExportSheet!$G$28</definedName>
    <definedName name="AttackAmmo3">[1]ExportSheet!$I$28</definedName>
    <definedName name="AttackAmmo4">[1]ExportSheet!$K$28</definedName>
    <definedName name="AttackAmmo5">[1]ExportSheet!$M$28</definedName>
    <definedName name="AttackAmmo6">[1]ExportSheet!$O$28</definedName>
    <definedName name="AttackEnh1">[1]ExportSheet!$E$27</definedName>
    <definedName name="AttackEnh2">[1]ExportSheet!$G$27</definedName>
    <definedName name="AttackEnh3">[1]ExportSheet!$I$27</definedName>
    <definedName name="AttackEnh4">[1]ExportSheet!$K$27</definedName>
    <definedName name="AttackEnh5">[1]ExportSheet!$M$27</definedName>
    <definedName name="AttackEnh6">[1]ExportSheet!$O$27</definedName>
    <definedName name="AttackFt1">[1]ExportSheet!$E$30</definedName>
    <definedName name="AttackFt2">[1]ExportSheet!$G$30</definedName>
    <definedName name="AttackFt3">[1]ExportSheet!$I$30</definedName>
    <definedName name="AttackFt4">[1]ExportSheet!$K$30</definedName>
    <definedName name="AttackFt5">[1]ExportSheet!$M$30</definedName>
    <definedName name="AttackFt6">[1]ExportSheet!$O$30</definedName>
    <definedName name="AttackMat1">[1]ExportSheet!$E$29</definedName>
    <definedName name="AttackMat2">[1]ExportSheet!$G$29</definedName>
    <definedName name="AttackMat3">[1]ExportSheet!$I$29</definedName>
    <definedName name="AttackMat4">[1]ExportSheet!$K$29</definedName>
    <definedName name="AttackMat5">[1]ExportSheet!$M$29</definedName>
    <definedName name="AttackMat6">[1]ExportSheet!$O$29</definedName>
    <definedName name="AttackMgty1">[1]ExportSheet!$E$31</definedName>
    <definedName name="AttackMgty2">[1]ExportSheet!$G$31</definedName>
    <definedName name="AttackMgty3">[1]ExportSheet!$I$31</definedName>
    <definedName name="AttackMgty4">[1]ExportSheet!$K$31</definedName>
    <definedName name="AttackMgty5">[1]ExportSheet!$M$31</definedName>
    <definedName name="AttackMgty6">[1]ExportSheet!$O$31</definedName>
    <definedName name="AttackName1">[1]Attacks!$B$7</definedName>
    <definedName name="AttackName2">[1]Attacks!$Q$7</definedName>
    <definedName name="AttackName3">[1]Attacks!$AF$7</definedName>
    <definedName name="AttackName4">[1]Attacks!$AU$7</definedName>
    <definedName name="AttackName5">[1]Attacks!$BJ$7</definedName>
    <definedName name="AttackName6">[1]Attacks!$BY$7</definedName>
    <definedName name="AttackNames">[1]Attacks!$B$7,[1]Attacks!$Q$7,[1]Attacks!$AF$7,[1]Attacks!$AU$7,[1]Attacks!$BJ$7,[1]Attacks!$BY$7</definedName>
    <definedName name="AttackSize1">[1]ExportSheet!$D$27</definedName>
    <definedName name="AttackSize2">[1]ExportSheet!$F$27</definedName>
    <definedName name="AttackSize3">[1]ExportSheet!$H$27</definedName>
    <definedName name="AttackSize4">[1]ExportSheet!$J$27</definedName>
    <definedName name="AttackSize5">[1]ExportSheet!$L$27</definedName>
    <definedName name="AttackSize6">[1]ExportSheet!$N$27</definedName>
    <definedName name="AttackTxt">[1]Attacks!$D$37</definedName>
    <definedName name="AttackUsage1">[1]ExportSheet!$E$26</definedName>
    <definedName name="AttackUsage2">[1]ExportSheet!$G$26</definedName>
    <definedName name="AttackUsage3">[1]ExportSheet!$I$26</definedName>
    <definedName name="AttackUsage4">[1]ExportSheet!$K$26</definedName>
    <definedName name="AttackUsage5">[1]ExportSheet!$M$26</definedName>
    <definedName name="AttackUsage6">[1]ExportSheet!$O$26</definedName>
    <definedName name="AttackWpn1">[1]ExportSheet!$E$25</definedName>
    <definedName name="AttackWpn2">[1]ExportSheet!$G$25</definedName>
    <definedName name="AttackWpn3">[1]ExportSheet!$I$25</definedName>
    <definedName name="AttackWpn4">[1]ExportSheet!$K$25</definedName>
    <definedName name="AttackWpn5">[1]ExportSheet!$M$25</definedName>
    <definedName name="AttackWpn6">[1]ExportSheet!$O$25</definedName>
    <definedName name="AtvLvl">'Class Info'!$E$546</definedName>
    <definedName name="AugmentedBiofeedback">[1]Buffs!$P$58</definedName>
    <definedName name="AugmentedDefensivePrecognition">[1]Buffs!$P$64</definedName>
    <definedName name="AugmentedForceShield">[1]Buffs!$P$62</definedName>
    <definedName name="AugmentedInertialArmor">[1]Buffs!$P$60</definedName>
    <definedName name="AugmentedMentalBarrier">[1]Buffs!$P$63</definedName>
    <definedName name="AugmentedOffensivePrecognition">[1]Buffs!$P$65</definedName>
    <definedName name="AugmentedOffensivePrescience">[1]Buffs!$P$66</definedName>
    <definedName name="AugmentedPsionicVigor">[1]Buffs!$P$68</definedName>
    <definedName name="AugmentedThickenSkin">[1]Buffs!$P$67</definedName>
    <definedName name="AuraGood">[1]Deities!$L$3</definedName>
    <definedName name="AuraGoodStr">'[1]Class Abilities'!$F$24</definedName>
    <definedName name="AuraLaw">[1]Deities!$K$3</definedName>
    <definedName name="AuraLawStr">'[1]Class Abilities'!$F$23</definedName>
    <definedName name="Auran">[1]Languages!$H$8</definedName>
    <definedName name="AuraOfCourageAbility">'[1]Class Abilities'!$B$106</definedName>
    <definedName name="AuraOfWardingMod">'[1]Class Abilities'!$D$608</definedName>
    <definedName name="AusLvl">'Class Info'!$E$456</definedName>
    <definedName name="AvELvl">'Class Info'!$E$261</definedName>
    <definedName name="AvnLvl">'Class Info'!$E$769</definedName>
    <definedName name="AwDLvl">'Class Info'!$E$337</definedName>
    <definedName name="AzureTalentBonus">'[1]Incarnum Abilities'!$Z$5</definedName>
    <definedName name="AzureTouchBonus">'[1]Incarnum Abilities'!$Z$6</definedName>
    <definedName name="AzureToughnessBonus">'[1]Incarnum Abilities'!$Z$7</definedName>
    <definedName name="BAB">[1]Classes!$BI$2</definedName>
    <definedName name="BaDLvl">'Class Info'!$E$615</definedName>
    <definedName name="Bane">[1]Buffs!$W$2</definedName>
    <definedName name="BaneToHit">[1]Buffs!$Y$2</definedName>
    <definedName name="BardicKnowledge">'[1]Class Abilities'!$E$12</definedName>
    <definedName name="BardicMusic">'[1]Class Abilities'!$E$13</definedName>
    <definedName name="BardicMusicAmount">'[1]Class Abilities'!$F$13</definedName>
    <definedName name="Barkskin">[1]Buffs!$B$19</definedName>
    <definedName name="BarkskinMod">[1]Buffs!$G$19</definedName>
    <definedName name="baseAge">'[1]Stats &amp; Character Details'!$CH$19</definedName>
    <definedName name="BaseArcaneCasterLevel">'[1]Spell Info'!$D$80</definedName>
    <definedName name="BaseAtk">[1]Classes!$BI$3</definedName>
    <definedName name="BaseAtkMod">'[1]CS Calc.'!$I$13</definedName>
    <definedName name="baseEvasion">'[1]Class Abilities'!$AM$8</definedName>
    <definedName name="BaseFort">[1]Classes!$BO$37</definedName>
    <definedName name="BaseRef">[1]Classes!$BO$38</definedName>
    <definedName name="BaseSpeed">[1]Interfaces!$B$8</definedName>
    <definedName name="BaseWill">[1]Classes!$BO$39</definedName>
    <definedName name="BattleFortitude">'[1]Class Abilities'!$D$850</definedName>
    <definedName name="BBCLvl">'Class Info'!$E$507</definedName>
    <definedName name="BBHLvl">'Class Info'!$E$429</definedName>
    <definedName name="BbnLvl">'Class Info'!$E$5</definedName>
    <definedName name="BBoLvl">'Class Info'!$E$288</definedName>
    <definedName name="BcMLvl">'Class Info'!$E$373</definedName>
    <definedName name="BDfLvl">'Class Info'!$E$738</definedName>
    <definedName name="BdsLvl">'Class Info'!$E$124</definedName>
    <definedName name="BearsEndurance">[1]Buffs!$B$23</definedName>
    <definedName name="BearsEnduranceMod">[1]Buffs!$G$23</definedName>
    <definedName name="BegLvl">'Class Info'!$E$17</definedName>
    <definedName name="Benediction">[1]Buffs!$B$20</definedName>
    <definedName name="BenedictionMod">[1]Buffs!$G$20</definedName>
    <definedName name="BerLvl">'Class Info'!$E$207</definedName>
    <definedName name="BerserkerStrengthBonus">'[1]Class Abilities'!$K$1</definedName>
    <definedName name="BFZLvl">'Class Info'!$E$160</definedName>
    <definedName name="BHALvl">'Class Info'!$E$364</definedName>
    <definedName name="BhrLvl">'Class Info'!$E$761</definedName>
    <definedName name="BindArms">[1]ExportSheet!$BE$53</definedName>
    <definedName name="BindBrow">[1]ExportSheet!$BD$61</definedName>
    <definedName name="BindCrown">[1]ExportSheet!$BF$57</definedName>
    <definedName name="BindDouble1">[1]ExportSheet!$BD$65</definedName>
    <definedName name="BindDouble2">[1]ExportSheet!$BE$65</definedName>
    <definedName name="BindDouble3">[1]ExportSheet!$BF$65</definedName>
    <definedName name="BinderDC">'[1]Class Abilities'!$E$4543</definedName>
    <definedName name="BindFeet">[1]ExportSheet!$BE$57</definedName>
    <definedName name="BindHands">[1]ExportSheet!$BF$53</definedName>
    <definedName name="BindHeart">[1]ExportSheet!$BF$61</definedName>
    <definedName name="BindShoulders">[1]ExportSheet!$BD$53</definedName>
    <definedName name="BindSoul">[1]ExportSheet!$BD$57</definedName>
    <definedName name="BindThroat">[1]ExportSheet!$BE$61</definedName>
    <definedName name="BindTotem">[1]ExportSheet!$BG$57</definedName>
    <definedName name="BindTotem2">[1]ExportSheet!$BG$61</definedName>
    <definedName name="BindWaist">[1]ExportSheet!$BG$53</definedName>
    <definedName name="BinLvl">'Class Info'!$E$51</definedName>
    <definedName name="Biofeedback">[1]Buffs!$M$58</definedName>
    <definedName name="BiofeedbackDR">[1]Buffs!$Q$58</definedName>
    <definedName name="BirLvl">'Class Info'!$E$208</definedName>
    <definedName name="BKtLvl">'Class Info'!$E$543</definedName>
    <definedName name="BlackMagicElixir1">[1]ExportSheet!$AJ$14</definedName>
    <definedName name="BlackMagicElixir2">[1]ExportSheet!$AJ$15</definedName>
    <definedName name="BlackMagicElixir3">[1]ExportSheet!$AJ$16</definedName>
    <definedName name="BlackMagicElixirs">[1]Tables!$N$168:$N$173</definedName>
    <definedName name="BlackMagicElixirStatBump">[1]ExportSheet!$AK$12</definedName>
    <definedName name="BlackMagicOil1">[1]ExportSheet!$AJ$10</definedName>
    <definedName name="BlackMagicOil2">[1]ExportSheet!$AJ$11</definedName>
    <definedName name="BlackMagicOil3">[1]ExportSheet!$AJ$12</definedName>
    <definedName name="BlackMagicOil4">[1]ExportSheet!$AJ$13</definedName>
    <definedName name="BlackMagicOils">[1]Tables!$N$153:$N$160</definedName>
    <definedName name="BlackMagicOilStatBump">[1]ExportSheet!$AK$11</definedName>
    <definedName name="BladeMeditationCell">[1]Feats!$AP$1525</definedName>
    <definedName name="BlDaLvl">'Class Info'!$E$616</definedName>
    <definedName name="BlDaSpdBonus">'[1]Class Abilities'!$D$5102</definedName>
    <definedName name="BldLvl">'Class Info'!$E$215</definedName>
    <definedName name="Bless">[1]Buffs!$B$5</definedName>
    <definedName name="Blessing1">[1]ExportSheet!$AK$27</definedName>
    <definedName name="Blessing2">[1]ExportSheet!$AK$28</definedName>
    <definedName name="Blessing3">[1]ExportSheet!$AK$29</definedName>
    <definedName name="Blessing4">[1]ExportSheet!$AK$30</definedName>
    <definedName name="Blessing5">[1]ExportSheet!$AK$31</definedName>
    <definedName name="BlessToHit">[1]Buffs!$G$5</definedName>
    <definedName name="BliLvl">'Class Info'!$E$161</definedName>
    <definedName name="Blinded">[1]Buffs!$W$3</definedName>
    <definedName name="BlindedACMod">[1]Buffs!$Y$3</definedName>
    <definedName name="BlkLvl">'Class Info'!$E$110</definedName>
    <definedName name="BloLvl">'Class Info'!$E$189</definedName>
    <definedName name="BloodtalonsSkBonus">[1]SoulmeldAbilities!$G$38</definedName>
    <definedName name="BlueBraceInitBonus">[1]SoulmeldAbilities!$G$44</definedName>
    <definedName name="BMaLvl">'Class Info'!$E$614</definedName>
    <definedName name="BndLvl">'Class Info'!$E$400</definedName>
    <definedName name="BodySlot">'[1]Magic Equipment'!$R$2</definedName>
    <definedName name="BodySlotValue">'[1]Magic Equipment'!$BG$24</definedName>
    <definedName name="BodySlotWeight">'[1]Magic Equipment'!$BE$24</definedName>
    <definedName name="BondedSummonerElementCell">[1]ExportSheet!$AH$18</definedName>
    <definedName name="BondRace">'[1]Class Abilities'!$D$1132</definedName>
    <definedName name="BondRaceCell">[1]ExportSheet!$AD$10</definedName>
    <definedName name="BonusCasterLevel">[1]Enhancements!$C$18</definedName>
    <definedName name="BonusCasterLevels">'[1]Spell Info'!$L$90</definedName>
    <definedName name="BonusDamage1">[1]ExportSheet!$AG$34</definedName>
    <definedName name="BonusDamage2">[1]ExportSheet!$AG$35</definedName>
    <definedName name="BonusDamage3">[1]ExportSheet!$AG$36</definedName>
    <definedName name="BonusDamage4">[1]ExportSheet!$AG$37</definedName>
    <definedName name="BonusDomains">[1]Feats!$AQ$498</definedName>
    <definedName name="BonusEssentia">[1]Soulmelds!$S$7</definedName>
    <definedName name="BonusFeatCell">[1]Feats!$L$4</definedName>
    <definedName name="BonusFeatClass">[1]Feats!$L$3</definedName>
    <definedName name="BonusFeatsAvailable">[1]Feats!$BL$9:$BL$107</definedName>
    <definedName name="BonusFeatsSelection">[1]Feats!$L$5</definedName>
    <definedName name="BonusManifester">'Class Info'!$EJ$6</definedName>
    <definedName name="BonusManifesterLevel">[1]Enhancements!$C$19</definedName>
    <definedName name="BonusManifesterLevels">'[1]Psionic Info'!$K$17</definedName>
    <definedName name="BonusMeldshaper">'Class Info'!$EJ$7</definedName>
    <definedName name="BonusSpellcaster">'Class Info'!$EJ$4</definedName>
    <definedName name="BonusSpellCaster2">'Class Info'!$EJ$5</definedName>
    <definedName name="BoVLvl">'Class Info'!$E$708</definedName>
    <definedName name="BPALvl">'Class Info'!$E$736</definedName>
    <definedName name="BPlLvl">'Class Info'!$E$737</definedName>
    <definedName name="BrainmateKnSk1">[1]ExportSheet!$AB$92</definedName>
    <definedName name="BrainmateKnSk2">[1]ExportSheet!$AB$93</definedName>
    <definedName name="Brandof9HellsSelected">[1]Feats!$AP$3145</definedName>
    <definedName name="BrassManeSkBonus">[1]SoulmeldAbilities!$G$46</definedName>
    <definedName name="BrdLvl">'Class Info'!$E$6</definedName>
    <definedName name="BrGLvl">'Class Info'!$E$486</definedName>
    <definedName name="BringerOfVengenceMod">'[1]Class Abilities'!$D$3306</definedName>
    <definedName name="BrZLvl">'Class Info'!$E$596</definedName>
    <definedName name="BsBLvl">'Class Info'!$E$374</definedName>
    <definedName name="BsFLvl">'Class Info'!$E$646</definedName>
    <definedName name="BsmLvl">'Class Info'!$E$214</definedName>
    <definedName name="BTCSkBonus">[1]SoulmeldAbilities!$G$29</definedName>
    <definedName name="BtrLvl">'Class Info'!$E$485</definedName>
    <definedName name="BtsLvl">'Class Info'!$E$287</definedName>
    <definedName name="BtTLvl">'Class Info'!$E$262</definedName>
    <definedName name="BuffsAbilitiesAdj">[1]Enhancements!$R$17:$W$17</definedName>
    <definedName name="BuffsACBonus">[1]Enhancements!$N$17</definedName>
    <definedName name="BuffsDamageBonus">[1]Enhancements!$K$17</definedName>
    <definedName name="BuffsDamageMeleeBonus">[1]Enhancements!$L$17</definedName>
    <definedName name="BuffsDamageRangedBonus">[1]Enhancements!$M$17</definedName>
    <definedName name="BuffsDexMod">[1]Enhancements!$S$17</definedName>
    <definedName name="BuffsStrMod">[1]Enhancements!$R$17</definedName>
    <definedName name="BuffsTempHP">[1]Enhancements!$H$19</definedName>
    <definedName name="BuffsToHitBonus">[1]Enhancements!$H$17</definedName>
    <definedName name="BuffsToHitMeleeBonus">[1]Enhancements!$I$17</definedName>
    <definedName name="BuffsToHitRangedBonus">[1]Enhancements!$J$17</definedName>
    <definedName name="BulletsBase">'[1]Option Info'!$H$46</definedName>
    <definedName name="BulletsList">INDEX(TblBullets,2,5):INDEX(TblBullets,BulletsRowsCnt,5)</definedName>
    <definedName name="BulletsName">INDEX(TblBullets,2,2):INDEX(TblBullets,BulletsRowsCnt,2)</definedName>
    <definedName name="BulletsRowsCnt">'[1]Option Info'!$H$47</definedName>
    <definedName name="BulletsSeq">INDEX(TblBullets,2,3):INDEX(TblBullets,BulletsRowsCnt,3)</definedName>
    <definedName name="BulletsSymbol">INDEX(TblBullets,2,1):INDEX(TblBullets,BulletsRowsCnt,1)</definedName>
    <definedName name="BulletSubLevel">[1]ExportSheet!$BU$28</definedName>
    <definedName name="BulletSubLevelTxt">'[1]Option Info'!$H$49</definedName>
    <definedName name="BulletTopLevel">[1]ExportSheet!$BU$27</definedName>
    <definedName name="BulletTopLevelTxt">'[1]Option Info'!$H$48</definedName>
    <definedName name="BullsStrength">[1]Buffs!$B$21</definedName>
    <definedName name="BullsStrengthMod">[1]Buffs!$G$21</definedName>
    <definedName name="BWaLvl">'Class Info'!$E$123</definedName>
    <definedName name="CadLvl">'Class Info'!$E$423</definedName>
    <definedName name="Camouflage">[1]Buffs!$B$6</definedName>
    <definedName name="CamouflageMod">[1]Buffs!$G$6</definedName>
    <definedName name="CampaignCell">[1]ExportSheet!$A$26</definedName>
    <definedName name="CampaignName">'[1]Stats &amp; Character Details'!$B$34</definedName>
    <definedName name="CarryCapMult">[1]Tables!$F$67</definedName>
    <definedName name="CasterCell">[1]ExportSheet!$AC$13</definedName>
    <definedName name="CasterIndex">'[1]Spell Info'!$L$98</definedName>
    <definedName name="CasterLvlReal">'[1]Spell Info'!$L$97</definedName>
    <definedName name="CatLvl">'Class Info'!$E$209</definedName>
    <definedName name="CatMLvl">'Class Info'!$E$559</definedName>
    <definedName name="CatsGrace">[1]Buffs!$B$22</definedName>
    <definedName name="CatsGraceMod">[1]Buffs!$G$22</definedName>
    <definedName name="CavLvl">'Class Info'!$E$125</definedName>
    <definedName name="CbTLvl">'Class Info'!$E$547</definedName>
    <definedName name="CCBbnSpiritualTotem">[1]ExportSheet!$E$82</definedName>
    <definedName name="CCBbnTotemManifestation">[1]ExportSheet!$E$83</definedName>
    <definedName name="CCBbnViewTheSpiritWorld">[1]ExportSheet!$E$84</definedName>
    <definedName name="CCBrdHealingHymn">[1]ExportSheet!$F$82</definedName>
    <definedName name="CCBrdHymnOfFortification">[1]ExportSheet!$F$83</definedName>
    <definedName name="CCClrPoolOfHealing">[1]ExportSheet!$G$82</definedName>
    <definedName name="CCFtrAlignedStrike">[1]ExportSheet!$J$82</definedName>
    <definedName name="CCFtrArmorOfGod">[1]ExportSheet!$J$83</definedName>
    <definedName name="CCFtrResolute">[1]ExportSheet!$J$84</definedName>
    <definedName name="CClLvl">'Class Info'!$E$83</definedName>
    <definedName name="CcMLvl">'Class Info'!$E$688</definedName>
    <definedName name="CCMnkHolyStrike">[1]ExportSheet!$M$82</definedName>
    <definedName name="CCMnkPrayerfulMeditation">[1]ExportSheet!$M$83</definedName>
    <definedName name="CCPalHolyWarrior">[1]ExportSheet!$N$82</definedName>
    <definedName name="CCPalUnderdarkKnight">[1]ExportSheet!$N$83</definedName>
    <definedName name="CCRgrChampionOfTheWild">[1]ExportSheet!$O$82</definedName>
    <definedName name="CCRgrSpiritualConnection">[1]ExportSheet!$O$83</definedName>
    <definedName name="CCRgrSpiritualGuide">[1]ExportSheet!$O$84</definedName>
    <definedName name="CCRogAntiquarian">[1]ExportSheet!$P$82</definedName>
    <definedName name="CCRogDeathsRuin">[1]ExportSheet!$P$83</definedName>
    <definedName name="CCRogFriendsEvasion">[1]ExportSheet!$P$84</definedName>
    <definedName name="CCRogHolyStalker">[1]ExportSheet!$P$85</definedName>
    <definedName name="CCSorDivineCompanion">[1]ExportSheet!$R$82</definedName>
    <definedName name="CCSorDomainAccess">[1]ExportSheet!$R$83</definedName>
    <definedName name="CCSpiritualTotem">[1]ExportSheet!$E$70</definedName>
    <definedName name="CCWizDomainGrantedPower">[1]ExportSheet!$V$82</definedName>
    <definedName name="CCWizSpontaneousDivination">[1]ExportSheet!$V$83</definedName>
    <definedName name="CebLvl">'Class Info'!$E$408</definedName>
    <definedName name="CelestialCompanionCell">[1]ExportSheet!$AH$21</definedName>
    <definedName name="CelestialSorcererHeratigeFeats">[1]Feats!$AQ$276</definedName>
    <definedName name="CeruleanFortitudeBonus">'[1]Incarnum Abilities'!$Z$10</definedName>
    <definedName name="CeruleanReflexesBonus">'[1]Incarnum Abilities'!$Z$11</definedName>
    <definedName name="CeruleanWillBonus">'[1]Incarnum Abilities'!$Z$12</definedName>
    <definedName name="CeruSandSpd">[1]SoulmeldAbilities!$G$49</definedName>
    <definedName name="CGP">[1]Grafts!$G$1</definedName>
    <definedName name="Cha">'[1]Stats &amp; Character Details'!$BN$8</definedName>
    <definedName name="ChaMagicMod">'[1]Stats &amp; Character Details'!$BM$8</definedName>
    <definedName name="Chameleon">[1]Buffs!$M$59</definedName>
    <definedName name="ChameleonSelected">'[1]Race &amp; Templates'!$AG$41</definedName>
    <definedName name="ChaMod">'[1]Stats &amp; Character Details'!$BO$8</definedName>
    <definedName name="CharacterAge">'[1]Stats &amp; Character Details'!$B$19</definedName>
    <definedName name="CharacterEyes">'[1]Stats &amp; Character Details'!$B$23</definedName>
    <definedName name="CharacterHair">'[1]Stats &amp; Character Details'!$B$22</definedName>
    <definedName name="CharacterHeight">'[1]Stats &amp; Character Details'!$B$20</definedName>
    <definedName name="CharacterName">'[1]Stats &amp; Character Details'!$B$18</definedName>
    <definedName name="CharacterWeight">'[1]Stats &amp; Character Details'!$B$21</definedName>
    <definedName name="CharLvl">'Class Info'!$EF$9</definedName>
    <definedName name="CharSheetIV">[1]ExportSheet!$B$21</definedName>
    <definedName name="CharSheetLvl">'Class Info'!$EF$12</definedName>
    <definedName name="CharSheetV">[1]ExportSheet!$B$22</definedName>
    <definedName name="ChasingPerfection">[1]Buffs!$B$66</definedName>
    <definedName name="ChasingPerfectionMod">[1]Buffs!$G$66</definedName>
    <definedName name="ChaTempMod">'[1]CS Calc.'!$G$7</definedName>
    <definedName name="ChChLvl">'Class Info'!$E$597</definedName>
    <definedName name="ChCLvl">'Class Info'!$E$312</definedName>
    <definedName name="ChILvl">'Class Info'!$E$162</definedName>
    <definedName name="ChitinPlateBonus">[1]Grafts!$E$67</definedName>
    <definedName name="ChlLvl">'Class Info'!$E$747</definedName>
    <definedName name="ChmLvl">'Class Info'!$E$431</definedName>
    <definedName name="ChtLvl">'Class Info'!$E$424</definedName>
    <definedName name="CitySlickerLevel">[1]ExportSheet!$BT$12</definedName>
    <definedName name="ClALvl">'Class Info'!$E$326</definedName>
    <definedName name="Class">'Class Info'!$EF$10</definedName>
    <definedName name="Class1">[1]Classes!$BN$21</definedName>
    <definedName name="ClassAbbr">'Class Info'!$EF$13</definedName>
    <definedName name="ClassAbilities">'[1]Class Abilities'!$D$1</definedName>
    <definedName name="ClassAbilitiesAdj">'Class Info'!$EO$140:$EO$145</definedName>
    <definedName name="ClassAbilitiesAdjRowsCnt">'Class Info'!$EF$140</definedName>
    <definedName name="ClassAbilitiesList">'[1]Class Abilities'!$D$2</definedName>
    <definedName name="ClassALMod">'Class Info'!$EG$297:$EH$298</definedName>
    <definedName name="ClassALModRowsCnt">'Class Info'!$EF$295</definedName>
    <definedName name="ClassAttacks">[1]Tables!$U$19</definedName>
    <definedName name="ClassChkSum">[1]Classes!$BN$16</definedName>
    <definedName name="ClassChkSumOld">[1]Classes!$BN$17</definedName>
    <definedName name="ClassDR">'Class Info'!$EF$363</definedName>
    <definedName name="ClassDRRowsCnt">'Class Info'!$EF$361</definedName>
    <definedName name="ClassFlySpeed">[1]Armor!$V$3</definedName>
    <definedName name="ClassGLvlMax">[1]Classes!$BP$15</definedName>
    <definedName name="ClassInfoClassNameColumn">'Class Info'!$B$1</definedName>
    <definedName name="ClassInfoClassPrereqColumn">'Class Info'!$EA$1</definedName>
    <definedName name="ClassInfofBABColumn">'Class Info'!$V$1</definedName>
    <definedName name="ClassInfofFortColumn">'Class Info'!$W$1</definedName>
    <definedName name="ClassInfofRefColumn">'Class Info'!$X$1</definedName>
    <definedName name="ClassInfofWillColumn">'Class Info'!$Y$1</definedName>
    <definedName name="ClassInfoHDColumn">'Class Info'!$L$1</definedName>
    <definedName name="ClassInfoLevelColumn">'Class Info'!$E$1</definedName>
    <definedName name="ClassInfoTLAColumn">'Class Info'!$D$1</definedName>
    <definedName name="ClassIntAdj">'Class Info'!$EO$143</definedName>
    <definedName name="ClassLen">'Class Info'!$EG$10</definedName>
    <definedName name="ClassLvl">'Class Info'!$EF$7</definedName>
    <definedName name="ClassLvl1">[1]Classes!$C$2</definedName>
    <definedName name="ClassLvlMax">[1]Classes!$BO$15</definedName>
    <definedName name="ClassManeuverability">[1]Armor!$W$3</definedName>
    <definedName name="ClassMeleeModifier">[1]Classes!$BN$48</definedName>
    <definedName name="ClassRangedModifier">[1]Classes!$BN$49</definedName>
    <definedName name="ClassSubtype">'Class Info'!$EF$261</definedName>
    <definedName name="ClassSubtypeModRowsCnt">'Class Info'!$EF$259</definedName>
    <definedName name="ClassTypeModRowsCnt">'Class Info'!$EF$221</definedName>
    <definedName name="ClassTypeName">'Class Info'!$EF$224</definedName>
    <definedName name="ClassTypeValue">'Class Info'!$EF$223</definedName>
    <definedName name="ClassVirtualLvls">'Class Info'!$EF$279</definedName>
    <definedName name="ClassVirtualRowsCnt">'Class Info'!$EF$277</definedName>
    <definedName name="ClassWeaponProfs">'Class Info'!$EJ$18</definedName>
    <definedName name="ClawofWyrmClimbSpeed">[1]SoulmeldAbilities!$G$272</definedName>
    <definedName name="ClDLvl">'Class Info'!$E$263</definedName>
    <definedName name="ClMLvl">'Class Info'!$E$709</definedName>
    <definedName name="CloakOfChaos">[1]Buffs!$B$75</definedName>
    <definedName name="CloakOfChaosMod">[1]Buffs!$G$75</definedName>
    <definedName name="ClrDomain1">[1]Deities!$A$536</definedName>
    <definedName name="ClrDomain2">[1]Deities!$A$537</definedName>
    <definedName name="ClrDomain3">[1]Deities!$A$538</definedName>
    <definedName name="ClrDomain4">[1]Deities!$A$539</definedName>
    <definedName name="ClrDomain5">[1]Deities!$A$540</definedName>
    <definedName name="ClrDomain6">[1]Deities!$A$541</definedName>
    <definedName name="ClrLvl">'Class Info'!$E$7</definedName>
    <definedName name="ClrNeutTurn">[1]ExportSheet!$U$17</definedName>
    <definedName name="CMBbnSpellSense">[1]ExportSheet!$E$73</definedName>
    <definedName name="CMBrdSpellBreakerSong">[1]ExportSheet!$F$73</definedName>
    <definedName name="CMClrDivCounterSpell">[1]ExportSheet!$G$73</definedName>
    <definedName name="CMClrDivMagician">[1]ExportSheet!$G$74</definedName>
    <definedName name="CMdLvl">'Class Info'!$E$352</definedName>
    <definedName name="CMDrdElementalComp">[1]ExportSheet!$H$73</definedName>
    <definedName name="CMFtrArmoredMage">[1]ExportSheet!$J$73</definedName>
    <definedName name="CmLLvl">'Class Info'!$E$303</definedName>
    <definedName name="CMMnkSoulwarpStrike">[1]ExportSheet!$M$74</definedName>
    <definedName name="CMMnkSpellReflection">[1]ExportSheet!$M$73</definedName>
    <definedName name="CMPalCurseBreaker">[1]ExportSheet!$N$73</definedName>
    <definedName name="CMPalDivCounterSpell">[1]ExportSheet!$N$74</definedName>
    <definedName name="CMRgrArcaneHunter">[1]ExportSheet!$O$73</definedName>
    <definedName name="CMRgrSpellReflection">[1]ExportSheet!$O$74</definedName>
    <definedName name="CMRogSpellReflection">[1]ExportSheet!$P$73</definedName>
    <definedName name="CMRogSpellSense">[1]ExportSheet!$P$74</definedName>
    <definedName name="CMSctSpellReflection">[1]ExportSheet!$Q$73</definedName>
    <definedName name="CMSorStalwartSorcerer">[1]ExportSheet!$R$73</definedName>
    <definedName name="CMSwsArcaneStunt">[1]ExportSheet!$S$73</definedName>
    <definedName name="CMWizFocusedSpecialist">[1]ExportSheet!$V$73</definedName>
    <definedName name="CMyLvl">'Class Info'!$E$601</definedName>
    <definedName name="CoALvl">'Class Info'!$E$357</definedName>
    <definedName name="CobaltExpertiseBonus">'[1]Incarnum Abilities'!$Z$15</definedName>
    <definedName name="CobaltPowerBonus">'[1]Incarnum Abilities'!$Z$16</definedName>
    <definedName name="CobaltRageBonus">'[1]Incarnum Abilities'!$Z$18</definedName>
    <definedName name="CoGLvl">'Class Info'!$E$710</definedName>
    <definedName name="CoHLvl">'Class Info'!$E$163</definedName>
    <definedName name="CombatExpertiseAmount">[1]Buffs!$M$49</definedName>
    <definedName name="CombatFormFeats">[1]Feats!$AQ$258</definedName>
    <definedName name="ComLvl">'Class Info'!$E$101</definedName>
    <definedName name="CommonerProf">[1]ExportSheet!$T$19</definedName>
    <definedName name="CompanionAbilities">'[1]Creature Info'!$CN$94</definedName>
    <definedName name="CompanionAlignment">'[1]Creature Info'!$BB$3</definedName>
    <definedName name="CompanionAttack">'[1]Creature Info'!$N$3</definedName>
    <definedName name="CompanionBAB">'[1]Creature Info'!$CN$89</definedName>
    <definedName name="CompanionCha">'[1]Creature Info'!$AF$3</definedName>
    <definedName name="CompanionChoiceLevel">'[1]Creature Info'!$CN$86</definedName>
    <definedName name="CompanionCon">'[1]Creature Info'!$AC$3</definedName>
    <definedName name="CompanionDex">'[1]Creature Info'!$AB$3</definedName>
    <definedName name="CompanionDR">'[1]Creature Info'!$Y$3</definedName>
    <definedName name="CompanionFeats">'[1]Creature Info'!$AX$3</definedName>
    <definedName name="CompanionFort">'[1]Creature Info'!$CN$90</definedName>
    <definedName name="CompanionHD">'[1]Creature Info'!$F$3</definedName>
    <definedName name="CompanionHDType">'[1]Creature Info'!$CN$95</definedName>
    <definedName name="CompanionHP">'[1]Animal Companion'!$DB$3</definedName>
    <definedName name="CompanionIDx">'[1]Creature Info'!$CN$87</definedName>
    <definedName name="CompanionInt">'[1]Creature Info'!$AD$3</definedName>
    <definedName name="CompanionLevel">'[1]Creature Info'!$BG$3</definedName>
    <definedName name="CompanionListRowsCnt">'[1]Creature Info'!$CN$10</definedName>
    <definedName name="CompanionNA">'[1]Creature Info'!$M$3</definedName>
    <definedName name="CompanionRace">'[1]Creature Info'!$CN$85</definedName>
    <definedName name="CompanionRef">'[1]Creature Info'!$CN$91</definedName>
    <definedName name="CompanionSA">'[1]Creature Info'!$BD$3</definedName>
    <definedName name="CompanionSize">'[1]Creature Info'!$C$3</definedName>
    <definedName name="CompanionSpeed">'[1]Creature Info'!$CN$88</definedName>
    <definedName name="CompanionSR">'[1]Creature Info'!$X$3</definedName>
    <definedName name="CompanionStr">'[1]Creature Info'!$AA$3</definedName>
    <definedName name="CompanionWill">'[1]Creature Info'!$CN$92</definedName>
    <definedName name="CompanionWis">'[1]Creature Info'!$AE$3</definedName>
    <definedName name="CompetitionDomainBonus">[1]Deities!$H$561</definedName>
    <definedName name="Con">'[1]Stats &amp; Character Details'!$BN$5</definedName>
    <definedName name="ConditionalBuffsCSDisplay">[1]Buffs!$P$46</definedName>
    <definedName name="ConditionalStats">'[1]CS Calc.'!$A$93</definedName>
    <definedName name="ConLvl">'Class Info'!$E$164</definedName>
    <definedName name="ConMagicMod">'[1]Stats &amp; Character Details'!$BM$5</definedName>
    <definedName name="ConMod">'[1]Stats &amp; Character Details'!$BO$5</definedName>
    <definedName name="ConqueredVice1">[1]ExportSheet!$W$62</definedName>
    <definedName name="ConqueredVice2">[1]ExportSheet!$W$63</definedName>
    <definedName name="ConstellationPower1">[1]ExportSheet!$AG$47</definedName>
    <definedName name="ConstellationPower2">[1]ExportSheet!$AG$48</definedName>
    <definedName name="ConstellationPower3">[1]ExportSheet!$AG$49</definedName>
    <definedName name="ConstellationPower4">[1]ExportSheet!$AG$50</definedName>
    <definedName name="ConstellationPower5">[1]ExportSheet!$AG$51</definedName>
    <definedName name="ConstellationPowers">[1]ExportSheet!$AG$47:$AG$51</definedName>
    <definedName name="ConTempMod">'[1]CS Calc.'!$G$4</definedName>
    <definedName name="Conviction">[1]Buffs!$B$7</definedName>
    <definedName name="ConvictionMod">[1]Buffs!$G$7</definedName>
    <definedName name="CorporealSubtype">'[1]Race Info'!$B$82</definedName>
    <definedName name="Corr">[1]Enhancements!$C$20</definedName>
    <definedName name="CounterStrikeMod">'[1]Class Abilities'!$D$3307</definedName>
    <definedName name="CP">'[1]Stats &amp; Character Details'!$B$28</definedName>
    <definedName name="CrALvl">'Class Info'!$E$289</definedName>
    <definedName name="CraneArtistCraftSkill">[1]Feats!$AQ$2843</definedName>
    <definedName name="CreatureConCol">'[1]Creature Info'!$AC$4</definedName>
    <definedName name="CreatureDexCol">'[1]Creature Info'!$AB$4</definedName>
    <definedName name="CreatureEnergyCol">'[1]Creature Info'!$W$4</definedName>
    <definedName name="CreatureInfoRowsCnt">'[1]Creature Info'!$CN$7</definedName>
    <definedName name="CreatureName">'[1]Creature Info'!$A$6:INDEX(TblCreatureInfo,CreatureInfoRowsCnt,1)</definedName>
    <definedName name="CreatureSpecialCol">'[1]Creature Info'!$BJ$4</definedName>
    <definedName name="CreatureStrCol">'[1]Creature Info'!$AA$4</definedName>
    <definedName name="CrkLvl">'Class Info'!$E$327</definedName>
    <definedName name="CrossbowType1">[1]Feats!$AO$92</definedName>
    <definedName name="CrossbowType2">[1]Feats!$AO$93</definedName>
    <definedName name="CrossbowType3">[1]Feats!$AO$94</definedName>
    <definedName name="CROverride">'[1]Stats &amp; Character Details'!$BS$25</definedName>
    <definedName name="CrownOfClarity">[1]Buffs!$B$32</definedName>
    <definedName name="CrownOfClarityMod">[1]Buffs!$G$32</definedName>
    <definedName name="CrownOfMight">[1]Buffs!$B$33</definedName>
    <definedName name="CrownOfMightMod">[1]Buffs!$G$33</definedName>
    <definedName name="CrownOfProtection">[1]Buffs!$B$34</definedName>
    <definedName name="CrownOfProtectionMod">[1]Buffs!$G$34</definedName>
    <definedName name="CrownOfVeils">[1]Buffs!$B$35</definedName>
    <definedName name="CrownOfVeilsMod">[1]Buffs!$G$35</definedName>
    <definedName name="CrSLvl">'Class Info'!$E$369</definedName>
    <definedName name="CrSWeaponProf">[1]ExportSheet!$AB$44</definedName>
    <definedName name="CruILLvl">'[1]Maneuvers &amp; Stances'!$BJ$7</definedName>
    <definedName name="CruLvl">'Class Info'!$E$47</definedName>
    <definedName name="CruManKnow">'[1]Maneuvers &amp; Stances'!$BJ$13</definedName>
    <definedName name="CruManKnowList">'[1]Maneuvers &amp; Stances'!$AP$6</definedName>
    <definedName name="CruManReady">'[1]Maneuvers &amp; Stances'!$BJ$19</definedName>
    <definedName name="CrushingDespair">[1]Buffs!$W$4</definedName>
    <definedName name="CrushingDespairMod">[1]Buffs!$Y$4</definedName>
    <definedName name="CruStanKnow">'[1]Maneuvers &amp; Stances'!$BJ$25</definedName>
    <definedName name="CruStanKnowList">'[1]Maneuvers &amp; Stances'!$AX$6</definedName>
    <definedName name="CryHelmAC">[1]SoulmeldAbilities!$G$53</definedName>
    <definedName name="CryLvl">'Class Info'!$E$770</definedName>
    <definedName name="CSAbilities1">'[1]CS Calc.'!$S$3:$S$3</definedName>
    <definedName name="CSAbilities2">'[1]CS Calc.'!$S$4:$S$4</definedName>
    <definedName name="CSACP">'[1]CS Calc.'!$D$13</definedName>
    <definedName name="CSActionPoints">'[1]CS Calc.'!$I$9</definedName>
    <definedName name="CSAge">'[1]CS Calc.'!$B$11</definedName>
    <definedName name="CSArcaneSpellFailure">'[1]CS Calc.'!$D$14</definedName>
    <definedName name="CSArmorACP">'[1]CS Calc.'!$B$59</definedName>
    <definedName name="CSArmorBonus">'[1]CS Calc.'!$B$57</definedName>
    <definedName name="CSArmorMaxDex">'[1]CS Calc.'!$B$58</definedName>
    <definedName name="CSArmorName">'[1]CS Calc.'!$B$55</definedName>
    <definedName name="CSArmorProps">'[1]CS Calc.'!$B$63</definedName>
    <definedName name="CSArmorSpeed">'[1]CS Calc.'!$B$61</definedName>
    <definedName name="CSArmorSpellFail">'[1]CS Calc.'!$B$60</definedName>
    <definedName name="CSArmorType">'[1]CS Calc.'!$B$56</definedName>
    <definedName name="CSArmorWgt">'[1]CS Calc.'!$B$62</definedName>
    <definedName name="CSArmSlot">'[1]CS Calc.'!$D$79</definedName>
    <definedName name="CSArmSlotWeight">'[1]CS Calc.'!$E$79</definedName>
    <definedName name="CSArt">'[1]CS Calc.'!$H$80</definedName>
    <definedName name="CSBAB">'[1]CS Calc.'!$H$13</definedName>
    <definedName name="CSBaseAtkMod">'[1]Character Sheet I'!$BA$35</definedName>
    <definedName name="CSBodySlot">'[1]CS Calc.'!$D$84</definedName>
    <definedName name="CSBodySlotWeight">'[1]CS Calc.'!$E$84</definedName>
    <definedName name="CSCampaign">'[1]CS Calc.'!$H$55</definedName>
    <definedName name="CSCha">'[1]CS Calc.'!$D$7</definedName>
    <definedName name="CSChaMod">'[1]CS Calc.'!$E$7</definedName>
    <definedName name="CSCharacterName">'[1]CS Calc.'!$B$1</definedName>
    <definedName name="CSCharSheetLvl">'[1]CS Calc.'!$B$3</definedName>
    <definedName name="CSChaTemp">'[1]Character Sheet I'!$T$35</definedName>
    <definedName name="CSClass">'[1]CS Calc.'!$B$2</definedName>
    <definedName name="CSCon">'[1]CS Calc.'!$D$4</definedName>
    <definedName name="CSConMod">'[1]CS Calc.'!$E$4</definedName>
    <definedName name="CSConTemp">'[1]Character Sheet I'!$T$23</definedName>
    <definedName name="CSCP">'[1]CS Calc.'!$H$79</definedName>
    <definedName name="CSDeity">'[1]CS Calc.'!$B$8</definedName>
    <definedName name="CSDex">'[1]CS Calc.'!$D$3</definedName>
    <definedName name="CSDexMod">'[1]CS Calc.'!$E$3</definedName>
    <definedName name="CSDexTemp">'[1]Character Sheet I'!$T$19</definedName>
    <definedName name="CSDR">'[1]CS Calc.'!$D$11</definedName>
    <definedName name="CSEyes">'[1]CS Calc.'!$B$14</definedName>
    <definedName name="CSFaceSlot">'[1]CS Calc.'!$D$81</definedName>
    <definedName name="CSFaceSlotWeight">'[1]CS Calc.'!$E$81</definedName>
    <definedName name="CSFeetSlot">'[1]CS Calc.'!$D$87</definedName>
    <definedName name="CSFeetSlotWeight">'[1]CS Calc.'!$E$87</definedName>
    <definedName name="CSFortSave">'[1]CS Calc.'!$B$20</definedName>
    <definedName name="CSFortTempMod">'[1]Character Sheet I'!$AI$41</definedName>
    <definedName name="CSGems">'[1]CS Calc.'!$H$81</definedName>
    <definedName name="CSGender">'[1]CS Calc.'!$B$10</definedName>
    <definedName name="CSGP">'[1]CS Calc.'!$H$77</definedName>
    <definedName name="CSGrappleBaseAtk">'[1]CS Calc.'!$H$20</definedName>
    <definedName name="CSGrappleMisc">'[1]CS Calc.'!$H$24</definedName>
    <definedName name="CSGrappleSize">'[1]CS Calc.'!$H$22</definedName>
    <definedName name="CSHair">'[1]CS Calc.'!$B$15</definedName>
    <definedName name="CSHandSlot">'[1]CS Calc.'!$D$78</definedName>
    <definedName name="CSHandSlotWeight">'[1]CS Calc.'!$E$78</definedName>
    <definedName name="CSHDAffected">'[1]CS Calc.'!$H$66</definedName>
    <definedName name="CSHDAffected1">'[1]CS Calc.'!$H$67</definedName>
    <definedName name="CSHDAffected2">'[1]CS Calc.'!$H$68</definedName>
    <definedName name="CSHDAffected3">'[1]CS Calc.'!$H$69</definedName>
    <definedName name="CSHDAffected4">'[1]CS Calc.'!$H$70</definedName>
    <definedName name="CSHDAffected5">'[1]CS Calc.'!$H$71</definedName>
    <definedName name="CSHDAffected6">'[1]CS Calc.'!$H$72</definedName>
    <definedName name="CSHDAffected7">'[1]CS Calc.'!$H$73</definedName>
    <definedName name="CSHDAffected8">'[1]CS Calc.'!$H$74</definedName>
    <definedName name="CSHDTurned">'[1]CS Calc.'!$H$62</definedName>
    <definedName name="CSHeadSlot">'[1]CS Calc.'!$D$80</definedName>
    <definedName name="CSHeadSlotWeight">'[1]CS Calc.'!$E$80</definedName>
    <definedName name="CSHeavyLoad">'[1]CS Calc.'!$B$78</definedName>
    <definedName name="CSHeight">'[1]CS Calc.'!$B$12</definedName>
    <definedName name="CShLvl">'Class Info'!$E$430</definedName>
    <definedName name="CSHP">'[1]CS Calc.'!$D$9</definedName>
    <definedName name="CSInitAbilityMod">'[1]CS Calc.'!$F$23</definedName>
    <definedName name="CSInt">'[1]CS Calc.'!$D$5</definedName>
    <definedName name="CSIntMod">'[1]CS Calc.'!$E$5</definedName>
    <definedName name="CSIntTemp">'[1]Character Sheet I'!$T$27</definedName>
    <definedName name="CSLanguage1">'[1]CS Calc.'!$F$55</definedName>
    <definedName name="CSLanguage10">'[1]CS Calc.'!$F$64</definedName>
    <definedName name="CSLanguage11">'[1]CS Calc.'!$F$65</definedName>
    <definedName name="CSLanguage12">'[1]CS Calc.'!$F$66</definedName>
    <definedName name="CSLanguage13">'[1]CS Calc.'!$F$67</definedName>
    <definedName name="CSLanguage14">'[1]CS Calc.'!$F$68</definedName>
    <definedName name="CSLanguage15">'[1]CS Calc.'!$F$69</definedName>
    <definedName name="CSLanguage16">'[1]CS Calc.'!$F$70</definedName>
    <definedName name="CSLanguage17">'[1]CS Calc.'!$F$71</definedName>
    <definedName name="CSLanguage18">'[1]CS Calc.'!$F$72</definedName>
    <definedName name="CSLanguage19">'[1]CS Calc.'!$F$73</definedName>
    <definedName name="CSLanguage2">'[1]CS Calc.'!$F$56</definedName>
    <definedName name="CSLanguage20">'[1]CS Calc.'!$F$74</definedName>
    <definedName name="CSLanguage3">'[1]CS Calc.'!$F$57</definedName>
    <definedName name="CSLanguage4">'[1]CS Calc.'!$F$58</definedName>
    <definedName name="CSLanguage5">'[1]CS Calc.'!$F$59</definedName>
    <definedName name="CSLanguage6">'[1]CS Calc.'!$F$60</definedName>
    <definedName name="CSlanguage7">'[1]CS Calc.'!$F$61</definedName>
    <definedName name="CSLanguage8">'[1]CS Calc.'!$F$62</definedName>
    <definedName name="CSLanguage9">'[1]CS Calc.'!$F$63</definedName>
    <definedName name="CSLiftOffGround">'[1]CS Calc.'!$B$80</definedName>
    <definedName name="CSLiftOverHead">'[1]CS Calc.'!$B$79</definedName>
    <definedName name="CSLightLoad">'[1]CS Calc.'!$B$76</definedName>
    <definedName name="CSMediumLoad">'[1]CS Calc.'!$B$77</definedName>
    <definedName name="CSMeleeAbilityMod">'[1]CS Calc.'!$I$21</definedName>
    <definedName name="CSMeleeBaseAtk">'[1]CS Calc.'!$I$20</definedName>
    <definedName name="CSMeleeBonus">'[1]CS Calc.'!$I$19</definedName>
    <definedName name="CSMeleeMisc">'[1]CS Calc.'!$I$24</definedName>
    <definedName name="CSMeleeTempMod">'[1]Character Sheet I'!$BA$66</definedName>
    <definedName name="CSNeckSlot">'[1]CS Calc.'!$D$83</definedName>
    <definedName name="CSNeckSlotWeight">'[1]CS Calc.'!$E$83</definedName>
    <definedName name="CSOtherGP">'[1]CS Calc.'!$H$82</definedName>
    <definedName name="CSPP">'[1]CS Calc.'!$H$76</definedName>
    <definedName name="CSPushDrag">'[1]CS Calc.'!$B$81</definedName>
    <definedName name="CSRace">'[1]CS Calc.'!$B$4</definedName>
    <definedName name="CSRangedAbilityMod">'[1]CS Calc.'!$J$21</definedName>
    <definedName name="CSRangedBaseAtk">'[1]CS Calc.'!$J$20</definedName>
    <definedName name="CSRangedBonus">'[1]CS Calc.'!$J$19</definedName>
    <definedName name="CSRangedMisc">'[1]CS Calc.'!$J$24</definedName>
    <definedName name="CSRangedTempMod">'[1]Character Sheet I'!$BA$70</definedName>
    <definedName name="CSRefSave">'[1]CS Calc.'!$C$20</definedName>
    <definedName name="CSRefTempMod">'[1]Character Sheet I'!$AI$45</definedName>
    <definedName name="CSRegion">'[1]CS Calc.'!$B$9</definedName>
    <definedName name="CSRingSlotLH">'[1]CS Calc.'!$D$77</definedName>
    <definedName name="CSRingSlotRH">'[1]CS Calc.'!$D$76</definedName>
    <definedName name="CSShieldBonus">'[1]CS Calc.'!$B$67</definedName>
    <definedName name="CSShieldCP">'[1]CS Calc.'!$B$69</definedName>
    <definedName name="CSShieldProps">'[1]CS Calc.'!$B$71</definedName>
    <definedName name="CSSHieldSpellFail">'[1]CS Calc.'!$B$70</definedName>
    <definedName name="CSShieldWgt">'[1]CS Calc.'!$B$68</definedName>
    <definedName name="CSShoulderSlot">'[1]CS Calc.'!$D$82</definedName>
    <definedName name="CSShoulderSlotWeight">'[1]CS Calc.'!$E$82</definedName>
    <definedName name="CSSize">'[1]CS Calc.'!$B$6</definedName>
    <definedName name="CSSizeMod">'[1]CS Calc.'!$I$22</definedName>
    <definedName name="CSSkills">'[1]CS Calc.'!$L$5:$R$64</definedName>
    <definedName name="CSSP">'[1]CS Calc.'!$H$78</definedName>
    <definedName name="CSSpeed">'[1]CS Calc.'!$D$10</definedName>
    <definedName name="CSStr">'[1]CS Calc.'!$D$2</definedName>
    <definedName name="CSStrMod">'[1]CS Calc.'!$E$2</definedName>
    <definedName name="CSStrTemp">'[1]Character Sheet I'!$T$15</definedName>
    <definedName name="CSTimesDay">'[1]CS Calc.'!$H$60</definedName>
    <definedName name="CstLvl">'Class Info'!$E$794</definedName>
    <definedName name="CSTorsoSlot">'[1]CS Calc.'!$D$85</definedName>
    <definedName name="CSTorsoSlotWeight">'[1]CS Calc.'!$E$85</definedName>
    <definedName name="CSTurnCheckMod">'[1]CS Calc.'!$H$61</definedName>
    <definedName name="CSType">'[1]CS Calc.'!$B$5</definedName>
    <definedName name="CSWaistSlot">'[1]CS Calc.'!$D$86</definedName>
    <definedName name="CSWaistSlotWeight">'[1]CS Calc.'!$E$86</definedName>
    <definedName name="CSWeight">'[1]CS Calc.'!$B$13</definedName>
    <definedName name="CSWillSave">'[1]CS Calc.'!$D$20</definedName>
    <definedName name="CSWillTempMod">'[1]Character Sheet I'!$AI$49</definedName>
    <definedName name="CSWis">'[1]CS Calc.'!$D$6</definedName>
    <definedName name="CSWisMod">'[1]CS Calc.'!$E$6</definedName>
    <definedName name="CSWisTemp">'[1]Character Sheet I'!$T$31</definedName>
    <definedName name="CtELvl">'Class Info'!$E$556</definedName>
    <definedName name="CTrLvl">'Class Info'!$E$264</definedName>
    <definedName name="CureInflict">[1]Classes!$BI$19</definedName>
    <definedName name="CustomTemplate">'[1]Custom Template'!$D$3:$D$46</definedName>
    <definedName name="CvLLvl">'Class Info'!$E$495</definedName>
    <definedName name="CWALvl">'Class Info'!$E$555</definedName>
    <definedName name="CWPalWoSpell">[1]ExportSheet!$N$72</definedName>
    <definedName name="CWRgrWoSpell">[1]ExportSheet!$O$72</definedName>
    <definedName name="CyaLvl">'Class Info'!$E$542</definedName>
    <definedName name="DaelkyrSymbiont">'[1]Race &amp; Templates'!$P$3</definedName>
    <definedName name="DaelkyrSymbiontList">'[1]Race &amp; Templates'!$BB$3:INDEX('[1]Race &amp; Templates'!$BB$3:$BB$10,DaelkyrSymbiontListRowsCnt)</definedName>
    <definedName name="DaelkyrSymbiontListRowsCnt">'[1]Race &amp; Templates'!$AG$10</definedName>
    <definedName name="DamageReductionAmount">'[1]Class Abilities'!$E$7</definedName>
    <definedName name="DaMLvl">'Class Info'!$E$216</definedName>
    <definedName name="Darkvision">'[1]Racial Abilities'!$F$3</definedName>
    <definedName name="DarkvisionAmount">'[1]Racial Abilities'!$F$7</definedName>
    <definedName name="DAshLvl">'Class Info'!$E$647</definedName>
    <definedName name="DaSLvl">'Class Info'!$E$217</definedName>
    <definedName name="DaSWildAmount">'[1]Class Abilities'!$D$961</definedName>
    <definedName name="Dazzled">[1]Buffs!$W$5</definedName>
    <definedName name="DazzledMod">[1]Buffs!$Y$5</definedName>
    <definedName name="DBgLvl">'Class Info'!$E$617</definedName>
    <definedName name="DChLvl">'Class Info'!$E$668</definedName>
    <definedName name="DCmLvl">'Class Info'!$E$353</definedName>
    <definedName name="DcxLvl">'Class Info'!$E$321</definedName>
    <definedName name="DcxWordBurn">[1]ExportSheet!$Z$40</definedName>
    <definedName name="DcxWordFlee">[1]ExportSheet!$Z$35</definedName>
    <definedName name="DcxWordInvigorate">[1]ExportSheet!$Z$38</definedName>
    <definedName name="DcxWordLearn">[1]ExportSheet!$Z$33</definedName>
    <definedName name="DcxWordProlong">[1]ExportSheet!$Z$36</definedName>
    <definedName name="DcxWordReplenish">[1]ExportSheet!$Z$37</definedName>
    <definedName name="DcxWordRest">[1]ExportSheet!$Z$32</definedName>
    <definedName name="DcxWordSee">[1]ExportSheet!$Z$34</definedName>
    <definedName name="DcxWordSpeak">[1]ExportSheet!$Z$31</definedName>
    <definedName name="DcxWordTravel">[1]ExportSheet!$Z$39</definedName>
    <definedName name="DdMLvl">'Class Info'!$E$458</definedName>
    <definedName name="DDRLvl">'Class Info'!$E$496</definedName>
    <definedName name="DDvLvl">'Class Info'!$E$322</definedName>
    <definedName name="Deafened">[1]Buffs!$W$6</definedName>
    <definedName name="DeafenedMod">[1]Buffs!$Y$6</definedName>
    <definedName name="DeathDragon">[1]Buffs!$B$73</definedName>
    <definedName name="DeathDragonMod">[1]Buffs!$G$73</definedName>
    <definedName name="DeathKnightSelected">'[1]Race &amp; Templates'!$AG$30</definedName>
    <definedName name="DeDLvl">'Class Info'!$E$358</definedName>
    <definedName name="DefaultConMod">'[1]Stats &amp; Character Details'!$CT$3</definedName>
    <definedName name="DefensiveInsightBonus">'[1]Incarnum Abilities'!$Z$53</definedName>
    <definedName name="DefensivePrecognition">[1]Buffs!$M$64</definedName>
    <definedName name="DefensivePrecognitionMod">[1]Buffs!$Q$64</definedName>
    <definedName name="DefensiveStance">[1]Buffs!$M$35</definedName>
    <definedName name="DefensiveStanceACMod">[1]Buffs!$T$35</definedName>
    <definedName name="DefensiveStanceConMod">[1]Buffs!$R$35</definedName>
    <definedName name="DefensiveStanceSaveMod">[1]Buffs!$S$35</definedName>
    <definedName name="DefensiveStanceStrMod">[1]Buffs!$Q$35</definedName>
    <definedName name="DeflectionBonus">[1]Enhancements!$C$6</definedName>
    <definedName name="DefLvl">'Class Info'!$E$418</definedName>
    <definedName name="DeformityCell">[1]ExportSheet!$AK$21</definedName>
    <definedName name="DeformitySkinNatArmor">[1]Feats!$AQ$1494</definedName>
    <definedName name="Deity">[1]Deities!$A$1</definedName>
    <definedName name="DeityAlignment">[1]Deities!$B$3</definedName>
    <definedName name="DeityCell">[1]ExportSheet!$E$11</definedName>
    <definedName name="DeityOverride">'[1]Stats &amp; Character Details'!$H$15</definedName>
    <definedName name="DemandFortMod">[1]Buffs!$M$17</definedName>
    <definedName name="DemLvl">'Class Info'!$E$689</definedName>
    <definedName name="Dep">[1]Enhancements!$C$21</definedName>
    <definedName name="DesertWindManeuvers">'[1]Maneuvers &amp; Stances'!$X$7</definedName>
    <definedName name="DesertWindStrikes">'[1]Maneuvers &amp; Stances'!$AE$33</definedName>
    <definedName name="DestroyedCommanded">[1]Classes!$BI$18</definedName>
    <definedName name="Devil">'[1]Race Info'!$B$16</definedName>
    <definedName name="DevilTouchedSelected">[1]Feats!$AI$6</definedName>
    <definedName name="DevLvl">'Class Info'!$E$428</definedName>
    <definedName name="DevotedSpiritManeuvers">'[1]Maneuvers &amp; Stances'!$X$36</definedName>
    <definedName name="DevotedSpiritStances">'[1]Maneuvers &amp; Stances'!$AE$36</definedName>
    <definedName name="Dex">'[1]Stats &amp; Character Details'!$BN$4</definedName>
    <definedName name="DexMagicMod">'[1]Stats &amp; Character Details'!$BM$4</definedName>
    <definedName name="DexMod">'[1]Stats &amp; Character Details'!$BO$4</definedName>
    <definedName name="DexTempMod">'[1]CS Calc.'!$G$3</definedName>
    <definedName name="DfABreathEffect1">[1]ExportSheet!$U$44</definedName>
    <definedName name="DfABreathEffect2">[1]ExportSheet!$U$45</definedName>
    <definedName name="DfABreathEffect3">[1]ExportSheet!$U$46</definedName>
    <definedName name="DfABreathEffect4">[1]ExportSheet!$U$47</definedName>
    <definedName name="DfABreathEffect5">[1]ExportSheet!$U$48</definedName>
    <definedName name="DfABreathEffect6">[1]ExportSheet!$U$49</definedName>
    <definedName name="DfALvl">'Class Info'!$E$85</definedName>
    <definedName name="DfANaturalArmor">'[1]CS Calc.'!$E$44</definedName>
    <definedName name="DgDLvl">'Class Info'!$E$111</definedName>
    <definedName name="DgLLvl">'Class Info'!$E$367</definedName>
    <definedName name="DgmLvl">'Class Info'!$E$571</definedName>
    <definedName name="DgRLvl">'Class Info'!$E$638</definedName>
    <definedName name="DgSLvl">'Class Info'!$E$639</definedName>
    <definedName name="DhMLvl">'Class Info'!$E$323</definedName>
    <definedName name="DhrLvl">'Class Info'!$E$762</definedName>
    <definedName name="DiaLvl">'Class Info'!$E$690</definedName>
    <definedName name="DiamondMindManeuvers">'[1]Maneuvers &amp; Stances'!$X$64</definedName>
    <definedName name="DiamondMindStrikes">'[1]Maneuvers &amp; Stances'!$AE$64</definedName>
    <definedName name="DiDrAug1">[1]ExportSheet!$AB$45</definedName>
    <definedName name="DiDrAug10">[1]ExportSheet!$AB$47</definedName>
    <definedName name="DiDrAug5">[1]ExportSheet!$AB$46</definedName>
    <definedName name="DiDrLvl">'Class Info'!$E$655</definedName>
    <definedName name="DiOLvl">'Class Info'!$E$166</definedName>
    <definedName name="DireWereboarSelected">'[1]Race &amp; Templates'!$AG$28</definedName>
    <definedName name="DirLvl">'Class Info'!$E$771</definedName>
    <definedName name="DisciplineFocusCell">[1]ExportSheet!$W$65</definedName>
    <definedName name="DisciplineFocusCell2">[1]ExportSheet!$W$66</definedName>
    <definedName name="DisciplineFocusCell3">[1]ExportSheet!$W$67</definedName>
    <definedName name="DisciplineFocusCell4">[1]ExportSheet!$W$68</definedName>
    <definedName name="DisciplineFocusCell5">[1]ExportSheet!$W$69</definedName>
    <definedName name="Dishonorable">[1]ExportSheet!$AB$19</definedName>
    <definedName name="DisLvl">'Class Info'!$E$432</definedName>
    <definedName name="DispMantSkBonus">[1]SoulmeldAbilities!$G$60</definedName>
    <definedName name="DivineAgility">[1]Buffs!$B$52</definedName>
    <definedName name="DivineAgilityMod">[1]Buffs!$G$52</definedName>
    <definedName name="DivineFavor">[1]Buffs!$B$8</definedName>
    <definedName name="DivineFavorMod">[1]Buffs!$G$8</definedName>
    <definedName name="DivineFeatsSelected">[1]Feats!$AK$6</definedName>
    <definedName name="DivineGrace">'[1]Class Abilities'!$D$63</definedName>
    <definedName name="DivineMindMantle1">[1]ExportSheet!$W$49</definedName>
    <definedName name="DivineMindMantle2">[1]ExportSheet!$W$50</definedName>
    <definedName name="DivineMindMantle3">[1]ExportSheet!$W$51</definedName>
    <definedName name="DivinePower">[1]Buffs!$B$46</definedName>
    <definedName name="DivinePowerHP">[1]Buffs!$E$46</definedName>
    <definedName name="DivinePowerStrMod">[1]Buffs!$G$46</definedName>
    <definedName name="DivineProtection">[1]Buffs!$B$30</definedName>
    <definedName name="DivineProtectionMod">[1]Buffs!$G$30</definedName>
    <definedName name="DkhLvl">'Class Info'!#REF!</definedName>
    <definedName name="DkRLvl">'Class Info'!$E$682</definedName>
    <definedName name="DkSLvl">'Class Info'!$E$127</definedName>
    <definedName name="DLdLvl">'Class Info'!$E$419</definedName>
    <definedName name="DLtLvl">'Class Info'!$E$541</definedName>
    <definedName name="DMaLvl">'Class Info'!$E$694</definedName>
    <definedName name="DMBbnUncannyBravery">[1]ExportSheet!$E$88</definedName>
    <definedName name="DmCLvl">'Class Info'!$E$748</definedName>
    <definedName name="DMeLvl">'Class Info'!$E$695</definedName>
    <definedName name="DMGFeatsHideCheck">[1]ExportSheet!$BX$2</definedName>
    <definedName name="DmGLvl">'Class Info'!$E$457</definedName>
    <definedName name="DmHLvl">'Class Info'!$E$531</definedName>
    <definedName name="DMRogUncannyBravery">[1]ExportSheet!$P$88</definedName>
    <definedName name="DnCLvl">'Class Info'!$E$290</definedName>
    <definedName name="DoALvl">'Class Info'!$E$691</definedName>
    <definedName name="DoBLvl">'Class Info'!$E$692</definedName>
    <definedName name="DoBumpsIntAdj">'[1]Stats &amp; Character Details'!$CE$27</definedName>
    <definedName name="DoClassAbilityAdj">'Class Info'!$EF$141</definedName>
    <definedName name="DoClassALMod">'Class Info'!$EF$296</definedName>
    <definedName name="DoClassDR">'Class Info'!$EF$362</definedName>
    <definedName name="DoClassIntAdj">'Class Info'!$EF$142</definedName>
    <definedName name="DoClassSubtypeMod">'Class Info'!$EF$260</definedName>
    <definedName name="DoClassTypeMod">'Class Info'!$EF$222</definedName>
    <definedName name="DoDLvl">'Class Info'!$E$693</definedName>
    <definedName name="DoDrSh">'[1]Class Abilities'!$E$2766</definedName>
    <definedName name="DoELvl">'Class Info'!$E$320</definedName>
    <definedName name="DoFeatAbilityAdj">'Class Info'!$EF$181</definedName>
    <definedName name="DoFeatIntAdj">'Class Info'!$EF$182</definedName>
    <definedName name="DoInherentIntAdj">'[1]Stats &amp; Character Details'!$CE$28</definedName>
    <definedName name="DoLycanthrope">'[1]Creature Info'!$CN$60</definedName>
    <definedName name="Domain1">[1]ExportSheet!$V$9</definedName>
    <definedName name="Domain2">[1]ExportSheet!$V$10</definedName>
    <definedName name="Domain3">[1]ExportSheet!$V$11</definedName>
    <definedName name="Domain4">[1]ExportSheet!$V$12</definedName>
    <definedName name="Domain5">[1]ExportSheet!$V$13</definedName>
    <definedName name="Domain6">[1]ExportSheet!$V$14</definedName>
    <definedName name="DomainAbil">[1]Deities!$B$536:$B$541</definedName>
    <definedName name="DomainAbilities">[1]Deities!$N$536</definedName>
    <definedName name="DomainCount">[1]Deities!$A$534</definedName>
    <definedName name="Domains">[1]Deities!$A$536:$A$541</definedName>
    <definedName name="DoomlordStat1">[1]ExportSheet!$AB$34</definedName>
    <definedName name="DoomlordStat2">[1]ExportSheet!$AB$35</definedName>
    <definedName name="DoSLvl">'Class Info'!$E$711</definedName>
    <definedName name="DoTemplateAcquiredIntAdj">'[1]Template Info'!$BI$17</definedName>
    <definedName name="DoTLvl">'Class Info'!$E$328</definedName>
    <definedName name="DoubleChakra1Choice">[1]Feats!$AP$1662</definedName>
    <definedName name="DoubleChakra2Choice">[1]Feats!$AP$1663</definedName>
    <definedName name="DoubleChakra3Choice">[1]Feats!$AP$1664</definedName>
    <definedName name="DPWLvl">'Class Info'!$E$648</definedName>
    <definedName name="DR">'[1]Character Sheet I'!$CJ$19</definedName>
    <definedName name="Draconic">[1]Languages!$H$10</definedName>
    <definedName name="DraconicAuraSelected1">[1]Feats!$AP$2960</definedName>
    <definedName name="DraconicAuraSelected2">[1]Feats!$AP$2961</definedName>
    <definedName name="DraconicAuraSelected3">[1]Feats!$AP$2962</definedName>
    <definedName name="DraconicFistEnergyType">[1]ExportSheet!$B$178</definedName>
    <definedName name="DraconicHeritageCell">[1]Feats!$AP$2988</definedName>
    <definedName name="DraconicHeritageSkill">[1]Tables!$I$274</definedName>
    <definedName name="DraconicMight">[1]Buffs!$B$53</definedName>
    <definedName name="DraconicMightMod">[1]Buffs!$G$53</definedName>
    <definedName name="DraconicSelected">[1]Feats!$AJ$6</definedName>
    <definedName name="DragonbornAspect">'[1]Race &amp; Templates'!$P$4</definedName>
    <definedName name="DragonbornFormerRaceTxt">'[1]Race &amp; Templates'!$P$5</definedName>
    <definedName name="DragonBreathCol">'[1]Creature Info'!$BD$4</definedName>
    <definedName name="DragonCell">[1]ExportSheet!$AA$10</definedName>
    <definedName name="DragonfireMaskSkBonus">[1]SoulmeldAbilities!$G$281</definedName>
    <definedName name="DragonkithCell">[1]ExportSheet!$AE$9</definedName>
    <definedName name="DragonkithCompanion">'[1]Class Abilities'!$E$2529</definedName>
    <definedName name="DragonkithIdx">'[1]Class Abilities'!$E$2528</definedName>
    <definedName name="DragonkithSpell">'[1]Prestige Classes II'!$F$38</definedName>
    <definedName name="DragonList">'[1]Creature Info'!$CJ$7:INDEX('[1]Creature Info'!$CJ$7:$CJ$225,DragonListRowsCnt)</definedName>
    <definedName name="DragonListRowsCnt">'[1]Creature Info'!$CN$12</definedName>
    <definedName name="DragonLordAuraBonus">'[1]Class Abilities'!$D$4368</definedName>
    <definedName name="DragonMantleDR">[1]SoulmeldAbilities!$G$275</definedName>
    <definedName name="DragonMantleFortBonus">[1]SoulmeldAbilities!$G$273</definedName>
    <definedName name="Dragonmark">'[1]Race &amp; Templates'!$AG$9</definedName>
    <definedName name="DragonmarkedHouse">'[1]Race &amp; Templates'!$AG$7</definedName>
    <definedName name="DragonMMList">[1]Classes!$BR$3:$BR$12</definedName>
    <definedName name="DragonName">'[1]Creature Info'!$A$55:$A$101</definedName>
    <definedName name="DragonOverlordList">'[1]Race &amp; Templates'!$AX$24:$AX$29</definedName>
    <definedName name="DragonSamuraiCell">[1]ExportSheet!$AH$19</definedName>
    <definedName name="DragonShamanColor">[1]ExportSheet!$T$58</definedName>
    <definedName name="Dragonskin">[1]Buffs!$B$36</definedName>
    <definedName name="DragonskinMod">[1]Buffs!$G$36</definedName>
    <definedName name="DragonspawnCreator">'[1]Race &amp; Templates'!$X$4</definedName>
    <definedName name="DragonspawnSelected">'[1]Race &amp; Templates'!$AC$4</definedName>
    <definedName name="DragonTailSkBonus">[1]SoulmeldAbilities!$G$278</definedName>
    <definedName name="DragonVassalOverlord">'[1]Race &amp; Templates'!$X$3</definedName>
    <definedName name="DragonwroughtCell">[1]Feats!$AP$1323</definedName>
    <definedName name="DragShamanAura1">[1]ExportSheet!$T$59</definedName>
    <definedName name="DragShamanAura2">[1]ExportSheet!$T$60</definedName>
    <definedName name="DragShamanAura3">[1]ExportSheet!$T$61</definedName>
    <definedName name="DragShamanAura4">[1]ExportSheet!$T$62</definedName>
    <definedName name="DragShamanAura5">[1]ExportSheet!$T$63</definedName>
    <definedName name="DragShamanAura6">[1]ExportSheet!$T$64</definedName>
    <definedName name="DragShamanAura7">[1]ExportSheet!$T$65</definedName>
    <definedName name="DragShamanAuraBonus">'[1]Class Abilities'!$E$2770</definedName>
    <definedName name="DragShamanColor">'[1]Class Abilities'!$E$2767</definedName>
    <definedName name="DragShamanSkFocus1">[1]ExportSheet!$T$66</definedName>
    <definedName name="DragShamanSkFocus2">[1]ExportSheet!$T$67</definedName>
    <definedName name="DragShamanSkFocus3">[1]ExportSheet!$T$68</definedName>
    <definedName name="DragShamanSkillFocusList">[1]Classes!$BU$16:$BU$18</definedName>
    <definedName name="DragShamPresenceAura">[1]ExportSheet!$U$59</definedName>
    <definedName name="DRBase">'[1]CS Calc.'!$M$96</definedName>
    <definedName name="DrcLvl">'Class Info'!$E$636</definedName>
    <definedName name="DrdLvl">'Class Info'!$E$8</definedName>
    <definedName name="Dreamtouched">[1]Buffs!$M$53</definedName>
    <definedName name="DrgALvl">'Class Info'!$E$649</definedName>
    <definedName name="DrgDLvl">'Class Info'!$E$656</definedName>
    <definedName name="DrgLAura1">[1]ExportSheet!$AA$48</definedName>
    <definedName name="DrgLAura10">[1]ExportSheet!$AA$51</definedName>
    <definedName name="DrgLAura4">[1]ExportSheet!$AA$49</definedName>
    <definedName name="DrgLAura7">[1]ExportSheet!$AA$50</definedName>
    <definedName name="DrgLAuraEnergy1">[1]ExportSheet!$AB$48</definedName>
    <definedName name="DrgLAuraEnergy10">[1]ExportSheet!$AB$51</definedName>
    <definedName name="DrgLAuraEnergy4">[1]ExportSheet!$AB$49</definedName>
    <definedName name="DrgLAuraEnergy7">[1]ExportSheet!$AB$50</definedName>
    <definedName name="DrgLAuras">[1]ExportSheet!$AA$48:$AB$51</definedName>
    <definedName name="DrgLLvl">'Class Info'!$E$657</definedName>
    <definedName name="DrHLvl">'Class Info'!$E$126</definedName>
    <definedName name="Drift10Cell">[1]ExportSheet!$AA$33</definedName>
    <definedName name="Drift1Cell">[1]ExportSheet!$AA$24</definedName>
    <definedName name="Drift2Cell">[1]ExportSheet!$AA$25</definedName>
    <definedName name="Drift3Cell">[1]ExportSheet!$AA$26</definedName>
    <definedName name="Drift4Cell">[1]ExportSheet!$AA$27</definedName>
    <definedName name="Drift5Cell">[1]ExportSheet!$AA$28</definedName>
    <definedName name="Drift6Cell">[1]ExportSheet!$AA$29</definedName>
    <definedName name="Drift7Cell">[1]ExportSheet!$AA$30</definedName>
    <definedName name="Drift8Cell">[1]ExportSheet!$AA$31</definedName>
    <definedName name="Drift9Cell">[1]ExportSheet!$AA$32</definedName>
    <definedName name="DriftAttacks">[1]Tables!$U$3</definedName>
    <definedName name="DrKLvl">'Class Info'!$E$637</definedName>
    <definedName name="DRList">'[1]CS Calc.'!$A$98:$A$112</definedName>
    <definedName name="DRMaxRacial">'[1]CS Calc.'!$B$117</definedName>
    <definedName name="DrMDrdAspectOfTheDragon">[1]ExportSheet!$H$88</definedName>
    <definedName name="DrMLvl">'Class Info'!$E$129</definedName>
    <definedName name="DrMMnkDraconicFist">[1]ExportSheet!$M$88</definedName>
    <definedName name="DrNLvl">'Class Info'!$E$43</definedName>
    <definedName name="DrNMartialWeapon">[1]Classes!$O$58</definedName>
    <definedName name="DrNMartialWeaponCell">[1]ExportSheet!$U$22</definedName>
    <definedName name="DROverride">[1]Enhancements!$C$22</definedName>
    <definedName name="DrPgLvl">'Class Info'!$E$71</definedName>
    <definedName name="DrPLvl">'Class Info'!$E$572</definedName>
    <definedName name="DrRiLvl">'Class Info'!$E$590</definedName>
    <definedName name="DrShCreatureIdx">'[1]Class Abilities'!$E$2768</definedName>
    <definedName name="DrShDragonList">[1]Classes!$BU$3:INDEX([1]Classes!$BU$3:$BU$12,DrShDragonListRowsCnt)</definedName>
    <definedName name="DrShDragonListRowsCnt">[1]Classes!$BN$6</definedName>
    <definedName name="DrShLvl">'Class Info'!$E$18</definedName>
    <definedName name="DrShSkFocusList">[1]Classes!$BT$15:$BT$18</definedName>
    <definedName name="DrsLvl">'Class Info'!$E$669</definedName>
    <definedName name="DruidWildshapeLevel">'[1]Class Abilities'!$E$33</definedName>
    <definedName name="DSBbnTrapKiller">[1]ExportSheet!$E$86</definedName>
    <definedName name="DSBrdLoreSong">[1]ExportSheet!$F$86</definedName>
    <definedName name="DSBrdMimickingSong">[1]ExportSheet!$F$87</definedName>
    <definedName name="DSClrDivineRestoration">[1]ExportSheet!$G$86</definedName>
    <definedName name="DsDivineRestorationDomain">[1]Variants!$H$33</definedName>
    <definedName name="DSDrdRootWalker">[1]ExportSheet!$H$86</definedName>
    <definedName name="DSFtrDungeonCrasher">[1]ExportSheet!$J$86</definedName>
    <definedName name="DSLLvl">'Class Info'!$E$640</definedName>
    <definedName name="DsmDragon">'[1]Class Abilities'!$F$1584</definedName>
    <definedName name="DSmLvl">'Class Info'!$E$401</definedName>
    <definedName name="DSMnkStandingJump">[1]ExportSheet!$M$86</definedName>
    <definedName name="DSMnkWallWalker">[1]ExportSheet!$M$87</definedName>
    <definedName name="DSPalDivineSpirit">[1]ExportSheet!$N$86</definedName>
    <definedName name="DSRgrTrapExpert">[1]ExportSheet!$O$86</definedName>
    <definedName name="DSRogPenetratingStrike">[1]ExportSheet!$P$87</definedName>
    <definedName name="DSRogQuickFingers">[1]ExportSheet!$P$86</definedName>
    <definedName name="DsSLvl">'Class Info'!$E$375</definedName>
    <definedName name="DSSorSpellShield">[1]ExportSheet!$R$86</definedName>
    <definedName name="DStLvl">'Class Info'!$E$641</definedName>
    <definedName name="DSWizOfSunAndMoon">[1]ExportSheet!$V$86</definedName>
    <definedName name="DttLvl">'Class Info'!$E$740</definedName>
    <definedName name="DtvLvl">'Class Info'!$E$739</definedName>
    <definedName name="DuBLvl">'Class Info'!$E$19</definedName>
    <definedName name="DueLvl">'Class Info'!$E$112</definedName>
    <definedName name="DunLvl">'Class Info'!$E$219</definedName>
    <definedName name="DusklingSpeedBonus">'[1]Incarnum Abilities'!$Z$3</definedName>
    <definedName name="DvALvl">'Class Info'!$E$729</definedName>
    <definedName name="DvCLvl">'Class Info'!$E$165</definedName>
    <definedName name="DvDLvl">'Class Info'!$E$791</definedName>
    <definedName name="DvMdLvl">'Class Info'!$E$39</definedName>
    <definedName name="DvMdLvlAbilities">'[1]Psionic Info'!$U$84:$W$104</definedName>
    <definedName name="DvPLvl">'Class Info'!$E$292</definedName>
    <definedName name="DvsLvl">'Class Info'!$E$128</definedName>
    <definedName name="DwChLvl">'Class Info'!$E$787</definedName>
    <definedName name="DwDLvl">'Class Info'!$E$113</definedName>
    <definedName name="DweLvl">'Class Info'!$E$167</definedName>
    <definedName name="DWhLvl">'Class Info'!$E$359</definedName>
    <definedName name="DWJLvl">'Class Info'!$E$497</definedName>
    <definedName name="DwnLvl">'Class Info'!$E$291</definedName>
    <definedName name="DwPgLvl">'Class Info'!$E$72</definedName>
    <definedName name="EaglesSplendor">[1]Buffs!$B$26</definedName>
    <definedName name="EaglesSplendorMod">[1]Buffs!$G$26</definedName>
    <definedName name="EBCSHouse">'[1]Race &amp; Templates'!$P$6</definedName>
    <definedName name="EBHouseList">'[1]Race &amp; Templates'!$AV$16:INDEX('[1]Race &amp; Templates'!$AV$16:$AV$28,EBHouseListRowsCnt)</definedName>
    <definedName name="EBHouseListRowsCnt">'[1]Race &amp; Templates'!$AG$6</definedName>
    <definedName name="EbInLvl">'Class Info'!$E$370</definedName>
    <definedName name="EbStLvl">'Class Info'!$E$241</definedName>
    <definedName name="EcAdLvl">'Class Info'!$E$242</definedName>
    <definedName name="EcclesiarchLevel">[1]ExportSheet!$BT$8</definedName>
    <definedName name="ECL">'Class Info'!$EF$9</definedName>
    <definedName name="EexLvl">'Class Info'!$E$676</definedName>
    <definedName name="effBinLvl">'[1]Class Abilities'!$E$4538</definedName>
    <definedName name="EffectiveSfALvl">'[1]Spell Info'!$F$61</definedName>
    <definedName name="EffectiveWrlLvl">'[1]Spell Info'!$F$70</definedName>
    <definedName name="EfMLvl">'Class Info'!$E$190</definedName>
    <definedName name="EHMLvl">'Class Info'!$E$487</definedName>
    <definedName name="EHRLvl">'Class Info'!$E$435</definedName>
    <definedName name="ElAElement">'[1]Class Abilities'!$E$2201</definedName>
    <definedName name="ElALvl">'Class Info'!$E$459</definedName>
    <definedName name="EldeenRangerSectCell">[1]ExportSheet!$AE$47</definedName>
    <definedName name="ElderSpiritSkBonus">[1]SoulmeldAbilities!$G$285</definedName>
    <definedName name="ElDLvl">'Class Info'!$E$250</definedName>
    <definedName name="EldritchBlastAmount">'[1]Class Abilities'!$G$661</definedName>
    <definedName name="Element4List">'[1]Class Abilities'!$D$725:$D$728</definedName>
    <definedName name="ElementalArchonCell">[1]ExportSheet!$AI$25</definedName>
    <definedName name="ElementalAssociatedEnergyCol">'[1]Creature Info'!$BJ$4</definedName>
    <definedName name="ElementalCell">[1]ExportSheet!$AA$11</definedName>
    <definedName name="ElementalCompanionChoiceLevel">'[1]Creature Info'!$CN$98</definedName>
    <definedName name="ElementalFleshType">[1]ExportSheet!$AH$77</definedName>
    <definedName name="ElementalLanguageCol">'[1]Creature Info'!$AY$4</definedName>
    <definedName name="ElementalName">'[1]Creature Info'!$E$107:$E$126</definedName>
    <definedName name="ElementalRebuke">[1]ExportSheet!$AF$64</definedName>
    <definedName name="ElementalScionGraft">[1]ExportSheet!$AG$52</definedName>
    <definedName name="ElementalScionGraftElement">'[1]Class Abilities'!$E$4067</definedName>
    <definedName name="ElementalShapeAmount">'[1]Class Abilities'!$E$37</definedName>
    <definedName name="ElementalShapeMaxSize">'[1]Class Abilities'!$G$39</definedName>
    <definedName name="ElementalShapeMinSize">'[1]Class Abilities'!$G$38</definedName>
    <definedName name="ElementalWarriorElementCell">[1]ExportSheet!$AB$36</definedName>
    <definedName name="ElKLvl">'Class Info'!$E$114</definedName>
    <definedName name="ElMLvl">'Class Info'!$E$650</definedName>
    <definedName name="EloLvl">'Class Info'!$E$409</definedName>
    <definedName name="ElRLvl">'Class Info'!$E$532</definedName>
    <definedName name="ElSElementList">'[1]Class Abilities'!$G$725:INDEX('[1]Class Abilities'!$G$725:$G$728,ElSElementListRowsCnt)</definedName>
    <definedName name="ElSElementListRowsCnt">'[1]Class Abilities'!$E$718</definedName>
    <definedName name="ElSLvl">'Class Info'!$E$191</definedName>
    <definedName name="ElTLvl">'Class Info'!$E$251</definedName>
    <definedName name="ElWLvl">'Class Info'!$E$426</definedName>
    <definedName name="Energy4List">'[1]Class Abilities'!$D$1849:$D$1852</definedName>
    <definedName name="EnergyAuraEnergyType">[1]ExportSheet!$X$31</definedName>
    <definedName name="EnergyCell1">[1]ExportSheet!$AI$17</definedName>
    <definedName name="EnergyCell2">[1]ExportSheet!$AI$18</definedName>
    <definedName name="EnergyCell3">[1]ExportSheet!$AI$19</definedName>
    <definedName name="EnergyCell4">[1]ExportSheet!$AI$20</definedName>
    <definedName name="EnergySubstitutionSelection1">[1]Feats!$AP$590</definedName>
    <definedName name="EnergySubstitutionSelection2">[1]Feats!$AP$591</definedName>
    <definedName name="EnergySubstitutionSelection3">[1]Feats!$AP$592</definedName>
    <definedName name="EnFLvl">'Class Info'!$E$192</definedName>
    <definedName name="EnhTurnAttempts">[1]Enhancements!$C$14</definedName>
    <definedName name="EnhTurnCheck">[1]Enhancements!$C$13</definedName>
    <definedName name="EnigmaHelmWillBonus">[1]SoulmeldAbilities!$G$70</definedName>
    <definedName name="EnlargeDexMod">[1]Buffs!$H$9</definedName>
    <definedName name="EnlargePerson">[1]Buffs!$B$9</definedName>
    <definedName name="EnlargeStrMod">[1]Buffs!$G$9</definedName>
    <definedName name="EnlightenedSpiritElement1">'[1]Prestige Classes II'!$M$6</definedName>
    <definedName name="EnlightenedSpiritElement2">'[1]Prestige Classes II'!$M$7</definedName>
    <definedName name="EnlightenedSpiritEnergyResist1">[1]ExportSheet!$AG$32</definedName>
    <definedName name="EnlightenedSpiritEnergyResist2">[1]ExportSheet!$AG$33</definedName>
    <definedName name="EnSLvl">'Class Info'!$E$252</definedName>
    <definedName name="Entangled">[1]Buffs!$W$7</definedName>
    <definedName name="EntangledDexMod">[1]Buffs!$Z$7</definedName>
    <definedName name="EntangledToHit">[1]Buffs!$Y$7</definedName>
    <definedName name="EntLvl">'Class Info'!$E$168</definedName>
    <definedName name="EoBLvl">'Class Info'!$E$712</definedName>
    <definedName name="EPgLvl">'Class Info'!$E$73</definedName>
    <definedName name="EPgWeaponFocusCell">[1]ExportSheet!$W$71</definedName>
    <definedName name="EpicBAB">[1]Classes!$BN$35</definedName>
    <definedName name="EpicExpandedKnowledgeLevel1">[1]ExportSheet!$BX$18</definedName>
    <definedName name="EpicExpandedKnowledgeLevel2">[1]ExportSheet!$BX$19</definedName>
    <definedName name="EpicExpandedKnowledgeLevel3">[1]ExportSheet!$BX$20</definedName>
    <definedName name="EpicFeatsHideCheck">[1]ExportSheet!$BW$2</definedName>
    <definedName name="EpicFort">[1]Feats!$AQ$3291</definedName>
    <definedName name="EpicProwess">[1]Feats!$AQ$415</definedName>
    <definedName name="EpicReflexes">[1]Feats!$AQ$3293</definedName>
    <definedName name="EpicSave">[1]Classes!$BN$36</definedName>
    <definedName name="EpicToughness">[1]Feats!$AQ$418</definedName>
    <definedName name="EpicWeaponFocusList">[1]Feats!$AQ$423</definedName>
    <definedName name="EpicWill">[1]Feats!$AQ$3300</definedName>
    <definedName name="EquLvl">'Class Info'!$E$210</definedName>
    <definedName name="ErDLvl">'Class Info'!$E$293</definedName>
    <definedName name="ESFLvl">'Class Info'!$E$533</definedName>
    <definedName name="Essentia">[1]Soulmelds!$AL$29</definedName>
    <definedName name="EssentiaArms">[1]Soulmelds!$C$10</definedName>
    <definedName name="EssentiaBrow">[1]Soulmelds!$O$10</definedName>
    <definedName name="EssentiaCap">[1]Soulmelds!$AL$27</definedName>
    <definedName name="EssentiaCrown">[1]Soulmelds!$O$5</definedName>
    <definedName name="EssentiaDouble1">[1]Soulmelds!$C$32</definedName>
    <definedName name="EssentiaDouble2">[1]Soulmelds!$I$32</definedName>
    <definedName name="EssentiaDouble3">[1]Soulmelds!$O$32</definedName>
    <definedName name="EssentiaFeet">[1]Soulmelds!$C$25</definedName>
    <definedName name="EssentiaHands">[1]Soulmelds!$C$15</definedName>
    <definedName name="EssentiaHeart">[1]Soulmelds!$O$20</definedName>
    <definedName name="EssentiaShoulders">[1]Soulmelds!$C$5</definedName>
    <definedName name="EssentiaSoul">[1]Soulmelds!$C$20</definedName>
    <definedName name="EssentiaThroat">[1]Soulmelds!$O$15</definedName>
    <definedName name="EssentiaWaist">[1]Soulmelds!$O$25</definedName>
    <definedName name="ESZLvl">'Class Info'!$E$573</definedName>
    <definedName name="EtBLvl">'Class Info'!$E$376</definedName>
    <definedName name="EternalKnowledge1">[1]ExportSheet!$Z$45</definedName>
    <definedName name="EternalKnowledge2">[1]ExportSheet!$Z$46</definedName>
    <definedName name="EternalKnowledge3">[1]ExportSheet!$Z$47</definedName>
    <definedName name="EternalKnowledge4">[1]ExportSheet!$Z$48</definedName>
    <definedName name="EternalKnowledge5">[1]ExportSheet!$Z$49</definedName>
    <definedName name="EternalKnowledgeMod">'[1]Class Abilities'!$D$4304</definedName>
    <definedName name="ETGLvl">'Class Info'!$E$434</definedName>
    <definedName name="EthnicityList">'[1]Race Info'!$I$129:INDEX('[1]Race Info'!$I$129:$I$169,EthnicityListRowsCnt)</definedName>
    <definedName name="EthnicityListRowsCnt">'[1]Race Info'!$G$125</definedName>
    <definedName name="EthnicityOverride">'[1]Race &amp; Templates'!$P$16</definedName>
    <definedName name="EuWLvl">'Class Info'!$E$618</definedName>
    <definedName name="EvaLvl">'Class Info'!$E$169</definedName>
    <definedName name="EvolvedCnt">'[1]Template Info'!$BI$28</definedName>
    <definedName name="EvolvedSp">'[1]Race &amp; Templates'!$X$5:$X$8</definedName>
    <definedName name="EvolvedSpList">'[1]Race &amp; Templates'!$AP$19:INDEX('[1]Race &amp; Templates'!$AP$19:$AP$30,EvolvedSpListRowsCnt)</definedName>
    <definedName name="EvolvedSpListRowsCnt">'[1]Race &amp; Templates'!$AJ$4</definedName>
    <definedName name="EWMLvl">'Class Info'!$E$130</definedName>
    <definedName name="ExaltedFeats">[1]Feats!$AQ$2045</definedName>
    <definedName name="ExALvl">'Class Info'!$E$713</definedName>
    <definedName name="ExELvl">'Class Info'!$E$534</definedName>
    <definedName name="Exhausted">[1]Buffs!$W$8</definedName>
    <definedName name="ExhaustedMod">[1]Buffs!$Y$8</definedName>
    <definedName name="ExlLvl">'Class Info'!$E$94</definedName>
    <definedName name="ExoticWeapon1">[1]Feats!$AO$38</definedName>
    <definedName name="ExoticWeapon2">[1]Feats!$AO$39</definedName>
    <definedName name="ExoticWeapon3">[1]Feats!$AO$40</definedName>
    <definedName name="ExoticWeaponList">[1]Feats!$AQ$38</definedName>
    <definedName name="ExoticWeaponTricks">[1]Tables!$N$199:$N$211</definedName>
    <definedName name="ExpandedKnowledge1Cell">[1]ExportSheet!$BW$15</definedName>
    <definedName name="ExpandedKnowledge1Class">[1]ExportSheet!$BV$15</definedName>
    <definedName name="ExpandedKnowledge2Cell">[1]ExportSheet!$BW$16</definedName>
    <definedName name="ExpandedKnowledge2Class">[1]ExportSheet!$BV$16</definedName>
    <definedName name="ExpandedKnowledge3Cell">[1]ExportSheet!$BW$17</definedName>
    <definedName name="ExpandedKnowledge3Class">[1]ExportSheet!$BV$17</definedName>
    <definedName name="ExpandedKnowledgeLevel1">[1]ExportSheet!$BX$15</definedName>
    <definedName name="ExpandedKnowledgeLevel2">[1]ExportSheet!$BX$16</definedName>
    <definedName name="ExpandedKnowledgeLevel3">[1]ExportSheet!$BX$17</definedName>
    <definedName name="ExpansionDexMod">[1]Buffs!$R$57</definedName>
    <definedName name="ExpansionStrMod">[1]Buffs!$Q$57</definedName>
    <definedName name="ExperiencePoints">'[1]Stats &amp; Character Details'!$BS$28</definedName>
    <definedName name="Expert1">[1]ExportSheet!$T$9</definedName>
    <definedName name="Expert10">[1]ExportSheet!$T$18</definedName>
    <definedName name="Expert2">[1]ExportSheet!$T$10</definedName>
    <definedName name="Expert3">[1]ExportSheet!$T$11</definedName>
    <definedName name="Expert4">[1]ExportSheet!$T$12</definedName>
    <definedName name="Expert5">[1]ExportSheet!$T$13</definedName>
    <definedName name="Expert6">[1]ExportSheet!$T$14</definedName>
    <definedName name="Expert7">[1]ExportSheet!$T$15</definedName>
    <definedName name="Expert8">[1]ExportSheet!$T$16</definedName>
    <definedName name="Expert9">[1]ExportSheet!$T$17</definedName>
    <definedName name="ExpertPackerBonus">'[1]Class Abilities'!$D$3286</definedName>
    <definedName name="ExpLvl">'Class Info'!$E$102</definedName>
    <definedName name="ExpSoulmeldCap1">[1]ExportSheet!$BD$68</definedName>
    <definedName name="ExpSoulmeldCap2">[1]ExportSheet!$BE$68</definedName>
    <definedName name="ExpSoulmeldCap3">[1]ExportSheet!$BF$68</definedName>
    <definedName name="ExrLvl">'Class Info'!$E$220</definedName>
    <definedName name="ExtraSkPts">[1]Classes!$BN$45</definedName>
    <definedName name="ExtraSlot1Cell">[1]ExportSheet!$BW$3</definedName>
    <definedName name="ExtraSlot1Class">[1]ExportSheet!$BV$3</definedName>
    <definedName name="ExtraSlot2Cell">[1]ExportSheet!$BW$4</definedName>
    <definedName name="ExtraSlot2Class">[1]ExportSheet!$BV$4</definedName>
    <definedName name="ExtraSlot3Cell">[1]ExportSheet!$BW$5</definedName>
    <definedName name="ExtraSlot3Class">[1]ExportSheet!$BV$5</definedName>
    <definedName name="ExtraSlotLevel1">[1]ExportSheet!$BX$3</definedName>
    <definedName name="ExtraSlotLevel2">[1]ExportSheet!$BX$4</definedName>
    <definedName name="ExtraSlotLevel3">[1]ExportSheet!$BX$5</definedName>
    <definedName name="ExtraSmites">[1]Feats!$AQ$318</definedName>
    <definedName name="ExtraSpell1Cell">[1]ExportSheet!$BW$7</definedName>
    <definedName name="ExtraSpell1Class">[1]ExportSheet!$BV$7</definedName>
    <definedName name="ExtraSpell2Cell">[1]ExportSheet!$BW$8</definedName>
    <definedName name="ExtraSpell2Class">[1]ExportSheet!$BV$8</definedName>
    <definedName name="ExtraSpell3Cell">[1]ExportSheet!$BW$9</definedName>
    <definedName name="ExtraSpell3Class">[1]ExportSheet!$BV$9</definedName>
    <definedName name="ExtraSpellLevel1">[1]ExportSheet!$BX$7</definedName>
    <definedName name="ExtraSpellLevel2">[1]ExportSheet!$BX$8</definedName>
    <definedName name="ExtraSpellLevel3">[1]ExportSheet!$BX$9</definedName>
    <definedName name="EyeLvl">'Class Info'!$E$131</definedName>
    <definedName name="EyeStalkAbilities">[1]Tables!$J$352:$J$362</definedName>
    <definedName name="FaceReach">'[1]Race Info'!$B$34</definedName>
    <definedName name="FaceSlot">'[1]Magic Equipment'!$P$7</definedName>
    <definedName name="FaceSlotValue">'[1]Magic Equipment'!$AM$81</definedName>
    <definedName name="FaceSlotWeight">'[1]Magic Equipment'!$AK$81</definedName>
    <definedName name="FaerzressInfusedInheritance">'[1]Race &amp; Templates'!$X$9</definedName>
    <definedName name="FalseLife">[1]Buffs!$B$27</definedName>
    <definedName name="FalseLifeHP">[1]Buffs!$G$27</definedName>
    <definedName name="FamAbilityLookup">[1]Familiar!$CZ$3:$DA$8</definedName>
    <definedName name="FamiliarAbilities">'[1]Creature Info'!$CN$74</definedName>
    <definedName name="FamiliarAlignment">'[1]Creature Info'!$BB$1</definedName>
    <definedName name="FamiliarAttack">'[1]Creature Info'!$N$1</definedName>
    <definedName name="FamiliarBAB">'[1]Creature Info'!$CN$79</definedName>
    <definedName name="FamiliarCell">[1]ExportSheet!$T$22</definedName>
    <definedName name="FamiliarCHA">'[1]Creature Info'!$AF$1</definedName>
    <definedName name="FamiliarChoiceLevel">'[1]Creature Info'!$CN$54</definedName>
    <definedName name="FamiliarChoiceType">'[1]Creature Info'!$CN$55</definedName>
    <definedName name="FamiliarCON">'[1]Creature Info'!$AC$1</definedName>
    <definedName name="FamiliarDamage">'[1]Creature Info'!$O$1</definedName>
    <definedName name="FamiliarDEX">'[1]Creature Info'!$AB$1</definedName>
    <definedName name="FamiliarDR">'[1]Creature Info'!$Y$1</definedName>
    <definedName name="FamiliarEquivType">'[1]Creature Info'!$CN$75</definedName>
    <definedName name="FamiliarFeats">'[1]Creature Info'!$AX$1</definedName>
    <definedName name="FamiliarFort">'[1]Creature Info'!$CN$80</definedName>
    <definedName name="FamiliarHD">'[1]Creature Info'!$F$1</definedName>
    <definedName name="FamiliarIdx">'[1]Creature Info'!$CN$72</definedName>
    <definedName name="FamiliarINT">'[1]Creature Info'!$AD$1</definedName>
    <definedName name="FamiliarList">'[1]Creature Info'!$BX$6:INDEX('[1]Creature Info'!$BX$6:$BX$225,FamiliarListRowsCnt+1)</definedName>
    <definedName name="FamiliarListRowsCnt">'[1]Creature Info'!$CN$9</definedName>
    <definedName name="FamiliarNA">'[1]Creature Info'!$M$1</definedName>
    <definedName name="FamiliarRef">'[1]Creature Info'!$CN$81</definedName>
    <definedName name="FamiliarRestricted">'[1]Creature Info'!$CN$52</definedName>
    <definedName name="FamiliarRestrictedList">'[1]Creature Info'!$CN$53</definedName>
    <definedName name="FamiliarSA">'[1]Creature Info'!$BD$1</definedName>
    <definedName name="FamiliarSize">'[1]Creature Info'!$C$1</definedName>
    <definedName name="FamiliarSpeak">'[1]Creature Info'!$CN$77</definedName>
    <definedName name="FamiliarSpeed">'[1]Creature Info'!$CN$78</definedName>
    <definedName name="FamiliarSR">'[1]Creature Info'!$X$1</definedName>
    <definedName name="FamiliarSTR">'[1]Creature Info'!$AA$1</definedName>
    <definedName name="FamiliarType">'[1]Creature Info'!$CN$76</definedName>
    <definedName name="FamiliarTypes">'[1]Custom Familiar'!$P$3:$P$203</definedName>
    <definedName name="FamiliarWill">'[1]Creature Info'!$CN$82</definedName>
    <definedName name="FamiliarWIS">'[1]Creature Info'!$AE$1</definedName>
    <definedName name="FamSkillsLookup">[1]Familiar!$CZ$10:$DC$25</definedName>
    <definedName name="FarLvl">'Class Info'!$E$95</definedName>
    <definedName name="Fatigued">[1]Buffs!$W$9</definedName>
    <definedName name="FatiguedMod">[1]Buffs!$Y$9</definedName>
    <definedName name="FavEnemy1">[1]Tables!$R$378</definedName>
    <definedName name="FavEnemy10">[1]Tables!$R$387</definedName>
    <definedName name="FavEnemy10Check">[1]Classes!$M$40</definedName>
    <definedName name="FavEnemy11">[1]Tables!$R$388</definedName>
    <definedName name="FavEnemy11Check">[1]Classes!$M$41</definedName>
    <definedName name="FavEnemy12">[1]Tables!$R$389</definedName>
    <definedName name="FavEnemy12Check">[1]Classes!$M$42</definedName>
    <definedName name="FavEnemy13">[1]Tables!$R$390</definedName>
    <definedName name="FavEnemy13Check">[1]Classes!$M$43</definedName>
    <definedName name="FavEnemy1Check">[1]Classes!$M$31</definedName>
    <definedName name="FavEnemy2">[1]Tables!$R$379</definedName>
    <definedName name="FavEnemy2Check">[1]Classes!$M$32</definedName>
    <definedName name="FavEnemy3">[1]Tables!$R$380</definedName>
    <definedName name="FavEnemy3Check">[1]Classes!$M$33</definedName>
    <definedName name="FavEnemy4">[1]Tables!$R$381</definedName>
    <definedName name="FavEnemy4Check">[1]Classes!$M$34</definedName>
    <definedName name="FavEnemy5">[1]Tables!$R$382</definedName>
    <definedName name="FavEnemy5Check">[1]Classes!$M$35</definedName>
    <definedName name="FavEnemy6">[1]Tables!$R$383</definedName>
    <definedName name="FavEnemy6Check">[1]Classes!$M$36</definedName>
    <definedName name="FavEnemy7">[1]Tables!$R$384</definedName>
    <definedName name="FavEnemy7Check">[1]Classes!$M$37</definedName>
    <definedName name="FavEnemy8">[1]Tables!$R$385</definedName>
    <definedName name="FavEnemy8Check">[1]Classes!$M$38</definedName>
    <definedName name="FavEnemy9">[1]Tables!$R$386</definedName>
    <definedName name="FavEnemy9Check">[1]Classes!$M$39</definedName>
    <definedName name="FavEnemyBonus1">[1]Classes!$BI$22</definedName>
    <definedName name="FavEnemyBonus10">[1]Classes!$BI$31</definedName>
    <definedName name="FavEnemyBonus11">[1]Classes!$BI$32</definedName>
    <definedName name="FavEnemyBonus12">[1]Classes!$BI$33</definedName>
    <definedName name="FavEnemyBonus13">[1]Classes!$BI$34</definedName>
    <definedName name="FavEnemyBonus2">[1]Classes!$BI$23</definedName>
    <definedName name="FavEnemyBonus3">[1]Classes!$BI$24</definedName>
    <definedName name="FavEnemyBonus4">[1]Classes!$BI$25</definedName>
    <definedName name="FavEnemyBonus5">[1]Classes!$BI$26</definedName>
    <definedName name="FavEnemyBonus6">[1]Classes!$BI$27</definedName>
    <definedName name="FavEnemyBonus7">[1]Classes!$BI$28</definedName>
    <definedName name="FavEnemyBonus8">[1]Classes!$BI$29</definedName>
    <definedName name="FavEnemyBonus9">[1]Classes!$BI$30</definedName>
    <definedName name="FavEnemyBonusE">[1]Classes!$BI$36</definedName>
    <definedName name="FavEnemyBonusHPa1">[1]Classes!$BI$37</definedName>
    <definedName name="FavEnemyBonusHPa2">[1]Classes!$BI$38</definedName>
    <definedName name="FavEnemyBonusS">[1]Classes!$BI$35</definedName>
    <definedName name="FavEnemyBonusSSc">[1]Classes!$BI$39</definedName>
    <definedName name="FavEnemyE">[1]Tables!$R$392</definedName>
    <definedName name="FavEnemyECheck">'[1]Prestige Classes III'!$E$5</definedName>
    <definedName name="FavEnemyHPa1">[1]Tables!$R$393</definedName>
    <definedName name="FavEnemyHPa1Check">'[1]Prestige Classes III'!$B$12</definedName>
    <definedName name="FavEnemyHPa2">[1]Tables!$R$394</definedName>
    <definedName name="FavEnemyHPa2Check">'[1]Prestige Classes III'!$B$13</definedName>
    <definedName name="FavEnemyRows">[1]Tables!$V$246</definedName>
    <definedName name="FavEnemyS">[1]Tables!$R$391</definedName>
    <definedName name="FavEnemySCheck">'[1]Prestige Classes II'!$C$43</definedName>
    <definedName name="FavEnemySSc">[1]Tables!$R$395</definedName>
    <definedName name="FavEnemySScCheck">'[1]Prestige Classes III'!$H$16</definedName>
    <definedName name="Favored1">[1]ExportSheet!$T$26</definedName>
    <definedName name="Favored10">[1]ExportSheet!$T$35</definedName>
    <definedName name="Favored10_1">[1]ExportSheet!$U$35</definedName>
    <definedName name="Favored11">[1]ExportSheet!$T$36</definedName>
    <definedName name="Favored11_1">[1]ExportSheet!$U$36</definedName>
    <definedName name="Favored12">[1]ExportSheet!$T$37</definedName>
    <definedName name="Favored12_1">[1]ExportSheet!$U$37</definedName>
    <definedName name="Favored13">[1]ExportSheet!$T$38</definedName>
    <definedName name="Favored13_1">[1]ExportSheet!$U$38</definedName>
    <definedName name="Favored2">[1]ExportSheet!$T$27</definedName>
    <definedName name="Favored2_1">[1]ExportSheet!$U$27</definedName>
    <definedName name="Favored3">[1]ExportSheet!$T$28</definedName>
    <definedName name="Favored3_1">[1]ExportSheet!$U$28</definedName>
    <definedName name="Favored4">[1]ExportSheet!$T$29</definedName>
    <definedName name="Favored4_1">[1]ExportSheet!$U$29</definedName>
    <definedName name="Favored5">[1]ExportSheet!$T$30</definedName>
    <definedName name="Favored5_1">[1]ExportSheet!$U$30</definedName>
    <definedName name="Favored6">[1]ExportSheet!$T$31</definedName>
    <definedName name="Favored6_1">[1]ExportSheet!$U$31</definedName>
    <definedName name="Favored7">[1]ExportSheet!$T$32</definedName>
    <definedName name="Favored7_1">[1]ExportSheet!$U$32</definedName>
    <definedName name="Favored8">[1]ExportSheet!$T$33</definedName>
    <definedName name="Favored8_1">[1]ExportSheet!$U$33</definedName>
    <definedName name="Favored9">[1]ExportSheet!$T$34</definedName>
    <definedName name="Favored9_1">[1]ExportSheet!$U$34</definedName>
    <definedName name="FavoredClass">[1]Interfaces!$B$52</definedName>
    <definedName name="FavoredDR">'[1]Class Abilities'!$D$505</definedName>
    <definedName name="FavoredDRCell">[1]ExportSheet!$U$39</definedName>
    <definedName name="FavoredE">[1]ExportSheet!$AE$48</definedName>
    <definedName name="FavoredE_1">[1]ExportSheet!$AF$48</definedName>
    <definedName name="FavoredEnemies">[1]ExportSheet!$T$26:$T$34</definedName>
    <definedName name="FavoredEnergy1">[1]ExportSheet!$U$40</definedName>
    <definedName name="FavoredEnergy2">[1]ExportSheet!$U$41</definedName>
    <definedName name="FavoredEnergy3">[1]ExportSheet!$U$42</definedName>
    <definedName name="FavoredHPa1">[1]ExportSheet!$AI$35</definedName>
    <definedName name="FavoredHPa1_1">[1]ExportSheet!$AJ$35</definedName>
    <definedName name="FavoredHPa2">[1]ExportSheet!$AI$36</definedName>
    <definedName name="FavoredHPa2_1">[1]ExportSheet!$AJ$36</definedName>
    <definedName name="FavoredS">[1]ExportSheet!$AI$21</definedName>
    <definedName name="FavoredS_1">[1]ExportSheet!$AJ$21</definedName>
    <definedName name="FavoredSoulFavoredWeaponSelected">[1]Feats!$AO$124</definedName>
    <definedName name="FavoredSSc">[1]ExportSheet!$AH$50</definedName>
    <definedName name="FavoredVestiges">[1]Feats!$AO$1591:$AO$1594</definedName>
    <definedName name="FavoredWeapon">[1]Deities!$J$3</definedName>
    <definedName name="FavoredWeaponEquiv">[1]Deities!$J$1</definedName>
    <definedName name="FavoredWeaponOverride">'[1]Stats &amp; Character Details'!$H$16</definedName>
    <definedName name="FavVestigeListRowCnt">'[1]Binder Vestiges'!$AN$1</definedName>
    <definedName name="fBAB">[1]Classes!$BN$31</definedName>
    <definedName name="FBdLvl">'Class Info'!$E$360</definedName>
    <definedName name="FBkLvl">'Class Info'!$E$132</definedName>
    <definedName name="FBlLvl">'Class Info'!$E$778</definedName>
    <definedName name="FCoLvl">'Class Info'!$E$779</definedName>
    <definedName name="FctLvl">'Class Info'!$E$45</definedName>
    <definedName name="FDQLvl">'Class Info'!$E$579</definedName>
    <definedName name="FearMaskSkBonus">[1]SoulmeldAbilities!$G$72</definedName>
    <definedName name="FeatAbilitiesAdj">'Class Info'!$EO$180:$EO$185</definedName>
    <definedName name="FeatAbilitiesAdjRowsCnt">'Class Info'!$EF$180</definedName>
    <definedName name="FeatAttacks">[1]Tables!$U$13</definedName>
    <definedName name="FeatIntAdj">'Class Info'!$EO$183</definedName>
    <definedName name="FeatList">[1]Feats!$AU$10</definedName>
    <definedName name="Feats">[1]Feats!$AV$10</definedName>
    <definedName name="FeatsHideAoM">[1]Feats!$AA$2793:$AA$2815</definedName>
    <definedName name="FeatsHideBE">[1]Feats!$AA$2038:$AA$2097</definedName>
    <definedName name="FeatsHideBV">[1]Feats!$AA$1995:$AA$2036</definedName>
    <definedName name="FeatsHideCAD">[1]Feats!$AA$641:$AA$720</definedName>
    <definedName name="FeatsHideCAr">[1]Feats!$AA$514:$AA$639</definedName>
    <definedName name="FeatsHideCC">[1]Feats!$AA$1038:$AA$1137</definedName>
    <definedName name="FeatsHideCD">[1]Feats!$AA$430:$AA$512</definedName>
    <definedName name="FeatsHideCheck">[1]ExportSheet!$BV$2</definedName>
    <definedName name="FeatsHideChR">[1]Feats!$AA$2340:$AA$2395</definedName>
    <definedName name="FeatsHideChV">[1]Feats!$AA$2397:$AA$2431</definedName>
    <definedName name="FeatsHideCi">[1]Feats!$AA$1738:$AA$1762</definedName>
    <definedName name="FeatsHideCM">[1]Feats!$AA$886:$AA$965</definedName>
    <definedName name="FeatsHideCoD">[1]Feats!$AA$3531:$AA$3568</definedName>
    <definedName name="FeatsHideCoS">[1]Feats!$AA$2433:$AA$2441</definedName>
    <definedName name="FeatsHideCPs">[1]Feats!$AA$722:$AA$884</definedName>
    <definedName name="FeatsHideCS">[1]Feats!$AA$967:$AA$1036</definedName>
    <definedName name="FeatsHideCW">[1]Feats!$AA$302:$AA$428</definedName>
    <definedName name="FeatsHideDLCS">[1]Feats!$AA$2778:$AA$2791</definedName>
    <definedName name="FeatsHideDMag">[1]Feats!$AA$1933:$AA$1993</definedName>
    <definedName name="FeatsHideDMG">[1]Feats!$AA$3465:$AA$3492</definedName>
    <definedName name="FeatsHideDr">[1]Feats!$AA$2893:$AA$2955</definedName>
    <definedName name="FeatsHideDrM">[1]Feats!$AA$2957:$AA$3005</definedName>
    <definedName name="FeatsHideDs">[1]Feats!$AA$1725:$AA$1736</definedName>
    <definedName name="FeatsHideECS">[1]Feats!$AA$2443:$AA$2532</definedName>
    <definedName name="FeatsHideELH">[1]Feats!$AA$3257:$AA$3463</definedName>
    <definedName name="FeatsHideFB">[1]Feats!$AA$1363:$AA$1401</definedName>
    <definedName name="FeatsHideFCII">[1]Feats!$AA$3143:$AA$3179</definedName>
    <definedName name="FeatsHideHB">[1]Feats!$AA$1462:$AA$1482</definedName>
    <definedName name="FeatsHideHH">[1]Feats!$AA$1484:$AA$1519</definedName>
    <definedName name="FeatsHideHoL">[1]Feats!$AA$3509:$AA$3529</definedName>
    <definedName name="FeatsHideLM">[1]Feats!$AA$3007:$AA$3074</definedName>
    <definedName name="FeatsHideLoM">[1]Feats!$AA$3076:$AA$3108</definedName>
    <definedName name="FeatsHideMF">[1]Feats!$AA$2211:$AA$2215</definedName>
    <definedName name="FeatsHideMH">[1]Feats!$AA$1764:$AA$1796</definedName>
    <definedName name="FeatsHideMM">[1]Feats!$AA$3110:$AA$3133</definedName>
    <definedName name="FeatsHideMM4">[1]Feats!$AA$3135:$AA$3141</definedName>
    <definedName name="FeatsHideMoE">[1]Feats!$AA$2703:$AA$2740</definedName>
    <definedName name="FeatsHideMoI">[1]Feats!$AA$1659:$AA$1723</definedName>
    <definedName name="FeatsHideOA">[1]Feats!$AA$2817:$AA$2891</definedName>
    <definedName name="FeatsHidePC">[1]Feats!$AA$3602:$AA$3625</definedName>
    <definedName name="FeatsHidePF">[1]Feats!$AA$2099:$AA$2209</definedName>
    <definedName name="FeatsHidePGE">[1]Feats!$AA$2645:$AA$2701</definedName>
    <definedName name="FeatsHidePH2">[1]Feats!$AA$167:$AA$300</definedName>
    <definedName name="FeatsHidePlH">[1]Feats!$AA$1899:$AA$1931</definedName>
    <definedName name="FeatsHideRD">[1]Feats!$AA$1234:$AA$1275</definedName>
    <definedName name="FeatsHideRDr">[1]Feats!$AA$1312:$AA$1361</definedName>
    <definedName name="FeatsHideRE">[1]Feats!$AA$2534:$AA$2606</definedName>
    <definedName name="FeatsHideRF">[1]Feats!$AA$2217:$AA$2301</definedName>
    <definedName name="FeatsHideRS">[1]Feats!$AA$1139:$AA$1232</definedName>
    <definedName name="FeatsHideRVL">[1]Feats!$AA$3494:$AA$3507</definedName>
    <definedName name="FeatsHideRW">[1]Feats!$AA$1277:$AA$1310</definedName>
    <definedName name="FeatsHideSN">[1]Feats!$AA$2608:$AA$2615</definedName>
    <definedName name="FeatsHideSoS">[1]Feats!$AA$2742:$AA$2776</definedName>
    <definedName name="FeatsHideSS">[1]Feats!$AA$1403:$AA$1432</definedName>
    <definedName name="FeatsHideSV">[1]Feats!$AA$3181:$AA$3255</definedName>
    <definedName name="FeatsHideSW">[1]Feats!$AA$1434:$AA$1460</definedName>
    <definedName name="FeatsHideSX">[1]Feats!$AA$2617:$AA$2643</definedName>
    <definedName name="FeatsHideToB">[1]Feats!$AA$1521:$AA$1573</definedName>
    <definedName name="FeatsHideToM">[1]Feats!$AA$1575:$AA$1657</definedName>
    <definedName name="FeatsHideUD">[1]Feats!$AA$2303:$AA$2338</definedName>
    <definedName name="FeatsHideVRA1">[1]Feats!$AA$3570:$AA$3600</definedName>
    <definedName name="FeatsHideXPH">[1]Feats!$AA$1798:$AA$1897</definedName>
    <definedName name="FeatSourceCell">[1]Feats!$F$1</definedName>
    <definedName name="FeetSlot">'[1]Magic Equipment'!$R$17</definedName>
    <definedName name="FeetSlotValue">'[1]Magic Equipment'!$BV$53</definedName>
    <definedName name="FeetSlotWeight">'[1]Magic Equipment'!$BT$53</definedName>
    <definedName name="FeyFeats">[1]Feats!$AQ$919</definedName>
    <definedName name="FeyriAbilities">'[1]Race &amp; Templates'!$P$10:$P$13</definedName>
    <definedName name="FeyriAbilitiesList">'[1]Race &amp; Templates'!$BB$12:INDEX('[1]Race &amp; Templates'!$BB$12:$BB$22,FeyriAbilitiesListRowsCnt)</definedName>
    <definedName name="FeyriAbilitiesListRowsCnt">'[1]Race &amp; Templates'!$AG$13</definedName>
    <definedName name="FeyriCharm">'[1]Race &amp; Templates'!$AZ$14</definedName>
    <definedName name="FeyriClairaudience">'[1]Race &amp; Templates'!$AZ$15</definedName>
    <definedName name="FeyriDarkness">'[1]Race &amp; Templates'!$AZ$16</definedName>
    <definedName name="FeyriDDoor">'[1]Race &amp; Templates'!$AZ$18</definedName>
    <definedName name="FeyriDetectThoughts">'[1]Race &amp; Templates'!$AZ$17</definedName>
    <definedName name="FeyriDR">'[1]Race &amp; Templates'!$AZ$19</definedName>
    <definedName name="FeyriElectricity">'[1]Race &amp; Templates'!$AZ$12</definedName>
    <definedName name="FeyriEnervation">'[1]Race &amp; Templates'!$AZ$20</definedName>
    <definedName name="FeyriFireRes">'[1]Race &amp; Templates'!$AZ$21</definedName>
    <definedName name="FeyriHasSpecialAbility">'[1]Race &amp; Templates'!$AG$12</definedName>
    <definedName name="FeyriPoison">'[1]Race &amp; Templates'!$AZ$13</definedName>
    <definedName name="FeyriSuggestion">'[1]Race &amp; Templates'!$AZ$22</definedName>
    <definedName name="fFort">[1]Classes!$BN$32</definedName>
    <definedName name="FFrLvl">'Class Info'!$E$265</definedName>
    <definedName name="FieldOfResistance">[1]Buffs!$B$54</definedName>
    <definedName name="FiendishCell">[1]ExportSheet!$AA$9</definedName>
    <definedName name="FiendishServant">'[1]Creature Info'!$CQ$55</definedName>
    <definedName name="FightDefensive">[1]Buffs!$M$46</definedName>
    <definedName name="FightDefensiveACMod">[1]Buffs!$Q$46</definedName>
    <definedName name="FightDefensiveACModCalc">'[1]CS Calc.'!$C$90</definedName>
    <definedName name="FightDefensiveAtkMod">[1]Buffs!$R$46</definedName>
    <definedName name="FightDefensiveAtkModCalc">'[1]CS Calc.'!$C$91</definedName>
    <definedName name="FirstPrestigeClass">'Class Info'!$A$105</definedName>
    <definedName name="FlatFootedAC">'[1]CS Calc.'!$D$41</definedName>
    <definedName name="Flaws">[1]Flaws!$K$4</definedName>
    <definedName name="FlawsList">[1]Flaws!$L$4</definedName>
    <definedName name="FlawsSelected">[1]Flaws!$E$3</definedName>
    <definedName name="FleshwarperFamiliarTaint">[1]ExportSheet!$AB$37:$AB$40</definedName>
    <definedName name="FleshwarperFamiliarTaint1">[1]ExportSheet!$AB$37</definedName>
    <definedName name="FleshwarperFamiliarTaint2">[1]ExportSheet!$AB$38</definedName>
    <definedName name="FleshwarperFamiliarTaint3">[1]ExportSheet!$AB$39</definedName>
    <definedName name="FleshwarperFamiliarTaint4">[1]ExportSheet!$AB$40</definedName>
    <definedName name="FleshwarperSecret">[1]ExportSheet!$AB$41:$AB$43</definedName>
    <definedName name="FleshwarperSecret1">[1]ExportSheet!$AB$41</definedName>
    <definedName name="FleshwarperSecret2">[1]ExportSheet!$AB$42</definedName>
    <definedName name="FleshwarperSecret3">[1]ExportSheet!$AB$43</definedName>
    <definedName name="FlFeeble">[1]Flaws!$F$5</definedName>
    <definedName name="FlFrail">[1]Flaws!$F$6</definedName>
    <definedName name="FlInattentive">[1]Flaws!$F$7</definedName>
    <definedName name="FlMeagerFortitude">[1]Flaws!$F$8</definedName>
    <definedName name="FlNoncombatant">[1]Flaws!$F$10</definedName>
    <definedName name="FlPoorReflexes">[1]Flaws!$F$12</definedName>
    <definedName name="FlShaky">[1]Flaws!$F$13</definedName>
    <definedName name="FlUnreactive">[1]Flaws!$F$15</definedName>
    <definedName name="FlVulnerable">[1]Flaws!$F$16</definedName>
    <definedName name="FlWeakWill">[1]Flaws!$F$17</definedName>
    <definedName name="FlwLvl">'Class Info'!$E$683</definedName>
    <definedName name="FlySpeed">[1]Armor!$V$4</definedName>
    <definedName name="FMkLvl">'Class Info'!$E$420</definedName>
    <definedName name="FoeHunterFoe">[1]Tables!$D$222</definedName>
    <definedName name="FoFLvl">'Class Info'!$E$275</definedName>
    <definedName name="FoLLvl">'Class Info'!$E$221</definedName>
    <definedName name="ForbiddenSchool3">'[1]Class Abilities'!$K$111</definedName>
    <definedName name="ForbiddenSchool4">'[1]Class Abilities'!$M$111</definedName>
    <definedName name="ForbiddenSpells">[1]Deities!$G$554</definedName>
    <definedName name="ForceOfWillMod">[1]Buffs!$M$18</definedName>
    <definedName name="ForceScreen">[1]Buffs!$M$62</definedName>
    <definedName name="ForceScreenMod">[1]Buffs!$Q$62</definedName>
    <definedName name="FoRLvl">'Class Info'!$E$276</definedName>
    <definedName name="FortAbilityMod">'[1]CS Calc.'!$B$21</definedName>
    <definedName name="FortSave">[1]Classes!$BN$37</definedName>
    <definedName name="FortTotal">'[1]CS Calc.'!$B$19</definedName>
    <definedName name="FoxsCunning">[1]Buffs!$B$24</definedName>
    <definedName name="FoxsCunningMod">[1]Buffs!$G$24</definedName>
    <definedName name="FoZLvl">'Class Info'!$E$410</definedName>
    <definedName name="FoZLvlAbilities">'[1]Psionic Info'!$U$42:$W$52</definedName>
    <definedName name="FPoLvl">'Class Info'!$E$780</definedName>
    <definedName name="FRaceCurrent">'[1]Race Info'!$B$14</definedName>
    <definedName name="FRaLvl">'Class Info'!$E$714</definedName>
    <definedName name="FreeAlertness">[1]Feats!$J$13</definedName>
    <definedName name="FreeAugmentSummoning">[1]Feats!$J$19</definedName>
    <definedName name="FreeBlindFight">[1]Feats!$J$20</definedName>
    <definedName name="FreeCombatCasting">[1]Feats!$J$21</definedName>
    <definedName name="FreeCombatExpertise">[1]Feats!$J$22</definedName>
    <definedName name="FreeEschewMaterials">[1]Feats!$J$36</definedName>
    <definedName name="FreeExtraTurning">[1]Feats!$J$41:$J$43</definedName>
    <definedName name="FreeGreaterTwoWeaponFighting">[1]Feats!$J$127</definedName>
    <definedName name="FreeGreaterWeaponFocus">[1]Feats!$J$137</definedName>
    <definedName name="FreeGreatFortitude">[1]Feats!$J$45</definedName>
    <definedName name="FreeImprovedGrapple">[1]Feats!$J$55</definedName>
    <definedName name="FreeImprovedTwoWeaponFighting">[1]Feats!$J$126</definedName>
    <definedName name="FreeImprovedUnarmedStrike">[1]Feats!$J$54</definedName>
    <definedName name="FreeIronWill">[1]Feats!$J$60</definedName>
    <definedName name="FreeLightningReflexes">[1]Feats!$J$62</definedName>
    <definedName name="FreePointBlankShot">[1]Feats!$J$77</definedName>
    <definedName name="FreeQuickDraw">[1]Feats!$J$90</definedName>
    <definedName name="FreeRapidShot">[1]Feats!$J$81</definedName>
    <definedName name="FreeScribeScroll">[1]Feats!$J$154</definedName>
    <definedName name="FreeStunningFist">[1]Feats!$J$58</definedName>
    <definedName name="FreeTrack">[1]Feats!$J$123</definedName>
    <definedName name="FreeTwoWeaponFighting">[1]Feats!$J$124</definedName>
    <definedName name="FreeWeaponFinesse">[1]Feats!$J$128</definedName>
    <definedName name="FreeWeaponFocus">[1]Feats!$J$129</definedName>
    <definedName name="fRef">[1]Classes!$BN$33</definedName>
    <definedName name="Frenzy">[1]Buffs!$M$37</definedName>
    <definedName name="FrenzyACMod">[1]Buffs!$R$37</definedName>
    <definedName name="FrenzyStrMod">[1]Buffs!$Q$37</definedName>
    <definedName name="Frightened">[1]Buffs!$W$10</definedName>
    <definedName name="FrightenedMod">[1]Buffs!$Y$10</definedName>
    <definedName name="FrMgLvl">'Class Info'!$E$329</definedName>
    <definedName name="FrMLvl">'Class Info'!$E$460</definedName>
    <definedName name="FrRLvl">'Class Info'!$E$330</definedName>
    <definedName name="FsPsLvl">'Class Info'!$E$243</definedName>
    <definedName name="FtAberrantDragonmark">[1]Feats!$AR$2445</definedName>
    <definedName name="FtAberrationBanemagic">[1]Feats!$AR$3077</definedName>
    <definedName name="FtAberrationBlood">[1]Feats!$AR$3091</definedName>
    <definedName name="FtAberrationBlood1">[1]Feats!$AR$3092</definedName>
    <definedName name="FtAberrationBlood2">[1]Feats!$AR$3093</definedName>
    <definedName name="FtAberrationBlood3">[1]Feats!$AR$3094</definedName>
    <definedName name="FtAberrationWildShape">[1]Feats!$AR$3095</definedName>
    <definedName name="FtAbilityFocus">[1]Feats!$AR$3110</definedName>
    <definedName name="FtAbleLearner">[1]Feats!$AR$1243</definedName>
    <definedName name="FtAccelerateMetamagic1">[1]Feats!$AR$1314</definedName>
    <definedName name="FtAccelerateMetamagic2">[1]Feats!$AR$1315</definedName>
    <definedName name="FtAccelerateMetamagic3">[1]Feats!$AR$1316</definedName>
    <definedName name="FtAcrobatic">[1]Feats!$AR$11</definedName>
    <definedName name="FtActionBoost">[1]Feats!$AR$2446</definedName>
    <definedName name="FtActiveShieldDefense">[1]Feats!$AR$234</definedName>
    <definedName name="FtAdamantineBody">[1]Feats!$AR$2596</definedName>
    <definedName name="FtAdaptiveStyle">[1]Feats!$AR$1522</definedName>
    <definedName name="FtAdditionalMagicItemSpace1">[1]Feats!$AR$3259</definedName>
    <definedName name="FtAdditionalMagicItemSpace2">[1]Feats!$AR$3260</definedName>
    <definedName name="FtAdditionalMagicItemSpace3">[1]Feats!$AR$3261</definedName>
    <definedName name="FtAerenalBeastmaster">[1]Feats!$AR$2535</definedName>
    <definedName name="FtAereniFocus">[1]Feats!$AR$2652</definedName>
    <definedName name="FtAgile">[1]Feats!$AR$12</definedName>
    <definedName name="FtAgileAthlete">[1]Feats!$AR$1281</definedName>
    <definedName name="FtAgileShieldFighter">[1]Feats!$AR$235</definedName>
    <definedName name="FtAirDevotion1">[1]Feats!$AR$1048</definedName>
    <definedName name="FtAirDevotion2">[1]Feats!$AR$1049</definedName>
    <definedName name="FtAirHeritage">[1]Feats!$AR$1920</definedName>
    <definedName name="FtAlchemicalHomunculus">[1]Feats!$AR$3583</definedName>
    <definedName name="FtAlertness">[1]Feats!$AR$13</definedName>
    <definedName name="FtAlignedAttack">[1]Feats!$AR$1820</definedName>
    <definedName name="FtAltitudeAdaptation">[1]Feats!$AR$1364</definedName>
    <definedName name="FtAnarchicHeritage">[1]Feats!$AR$1921</definedName>
    <definedName name="FtAncestralKnowledge">[1]Feats!$AR$1174</definedName>
    <definedName name="FtAncestralRelic">[1]Feats!$AR$2039</definedName>
    <definedName name="FtAncestralSpirit">[1]Feats!$AR$2219</definedName>
    <definedName name="FtAnimalAffinity">[1]Feats!$AR$14</definedName>
    <definedName name="FtAnimalDevotion1">[1]Feats!$AR$1051</definedName>
    <definedName name="FtAnimalDevotion2">[1]Feats!$AR$1052</definedName>
    <definedName name="FtAnimalFriend">[1]Feats!$AR$2046</definedName>
    <definedName name="FtArachnidRider">[1]Feats!$AR$2220</definedName>
    <definedName name="FtArcaneDefense1">[1]Feats!$AR$516</definedName>
    <definedName name="FtArcaneDefense2">[1]Feats!$AR$517</definedName>
    <definedName name="FtArcaneDefense3">[1]Feats!$AR$518</definedName>
    <definedName name="FtArcaneDisciple1">[1]Feats!$AR$432</definedName>
    <definedName name="FtArcaneDisciple2">[1]Feats!$AR$433</definedName>
    <definedName name="FtArcaneDisciple3">[1]Feats!$AR$434</definedName>
    <definedName name="FtArcaneFlourish">[1]Feats!$AR$169</definedName>
    <definedName name="FtArcaneInsight">[1]Feats!$AR$1264</definedName>
    <definedName name="FtArcaneSchooling">[1]Feats!$AR$2101</definedName>
    <definedName name="FtArcaneThesis1">[1]Feats!$AR$172</definedName>
    <definedName name="FtArcaneThesis2">[1]Feats!$AR$173</definedName>
    <definedName name="FtArcaneThesis3">[1]Feats!$AR$174</definedName>
    <definedName name="FtArcaneToughness">[1]Feats!$AR$175</definedName>
    <definedName name="FtArmorHeavy">[1]Feats!$AR$17</definedName>
    <definedName name="FtArmorLight">[1]Feats!$AR$15</definedName>
    <definedName name="FtArmorMedium">[1]Feats!$AR$16</definedName>
    <definedName name="FtArmorSpecialization1">[1]Feats!$AR$178</definedName>
    <definedName name="FtArmorSpecialization2">[1]Feats!$AR$179</definedName>
    <definedName name="FtArmorSpecialization3">[1]Feats!$AR$180</definedName>
    <definedName name="FtArtist">[1]Feats!$AR$2103</definedName>
    <definedName name="FtAsceticHunter">[1]Feats!$AR$643</definedName>
    <definedName name="FtAsceticKnight">[1]Feats!$AR$644</definedName>
    <definedName name="FtAsceticMage">[1]Feats!$AR$645</definedName>
    <definedName name="FtAsceticRogue">[1]Feats!$AR$646</definedName>
    <definedName name="FtAsceticStalker">[1]Feats!$AR$968</definedName>
    <definedName name="FtAssumeSupernaturalAbility">[1]Feats!$AR$3183</definedName>
    <definedName name="FtAthletic">[1]Feats!$AR$18</definedName>
    <definedName name="FtAttentionToDetail">[1]Feats!$AR$2844</definedName>
    <definedName name="FtAugmentSummoning">[1]Feats!$AR$19</definedName>
    <definedName name="FtAuspiciousMarking">[1]Feats!$AR$1175</definedName>
    <definedName name="FtAutomaticQuickenPower1">[1]Feats!$AR$878</definedName>
    <definedName name="FtAutomaticQuickenPower2">[1]Feats!$AR$879</definedName>
    <definedName name="FtAutonomous">[1]Feats!$AR$1800</definedName>
    <definedName name="FtAxiomaticHeritage">[1]Feats!$AR$1922</definedName>
    <definedName name="FtAzureEnmity">[1]Feats!$AR$1694</definedName>
    <definedName name="FtAzureTalent">[1]Feats!$AR$1695</definedName>
    <definedName name="FtAzureTouch">[1]Feats!$AR$1696</definedName>
    <definedName name="FtAzureToughness">[1]Feats!$AR$1697</definedName>
    <definedName name="FtAzureTurning">[1]Feats!$AR$1698</definedName>
    <definedName name="FtAzureWildShape">[1]Feats!$AR$1699</definedName>
    <definedName name="FtBackToTheWall">[1]Feats!$AR$3495</definedName>
    <definedName name="FtBadgeOfBondage">[1]Feats!$AR$1935</definedName>
    <definedName name="FtBaneMagic1">[1]Feats!$AR$1487</definedName>
    <definedName name="FtBaneMagic2">[1]Feats!$AR$1488</definedName>
    <definedName name="FtBaneMagic3">[1]Feats!$AR$1489</definedName>
    <definedName name="FtBaneOfEnemies">[1]Feats!$AR$3262</definedName>
    <definedName name="FtBatrider">[1]Feats!$AR$2223</definedName>
    <definedName name="FtBattleCaster">[1]Feats!$AR$521</definedName>
    <definedName name="FtBattlefieldInspiration1">[1]Feats!$AR$1765</definedName>
    <definedName name="FtBattlefieldInspiration2">[1]Feats!$AR$1766</definedName>
    <definedName name="FtBattleHardened">[1]Feats!$AR$1181</definedName>
    <definedName name="FtBattleshifterTraining">[1]Feats!$AR$2588</definedName>
    <definedName name="FtBeasthideElite">[1]Feats!$AR$2511</definedName>
    <definedName name="FtBeastTotem">[1]Feats!$AR$2450</definedName>
    <definedName name="FtBestialHide">[1]Feats!$AR$3096</definedName>
    <definedName name="FtBindElemental">[1]Feats!$AR$2503</definedName>
    <definedName name="FtBindVestige">[1]Feats!$AR$1576</definedName>
    <definedName name="FtBlackmoorianRhymes">[1]Feats!$AR$1937</definedName>
    <definedName name="FtBladebearerOfTheValenar">[1]Feats!$AR$2537</definedName>
    <definedName name="FtBladeMeditation">[1]Feats!$AR$1524</definedName>
    <definedName name="FtBlessed">[1]Feats!$AR$3511</definedName>
    <definedName name="FtBlindFight">[1]Feats!$AR$20</definedName>
    <definedName name="FtBlindingSpeed1">[1]Feats!$AR$3264</definedName>
    <definedName name="FtBlindingSpeed2">[1]Feats!$AR$3265</definedName>
    <definedName name="FtBloodCallsToBlood">[1]Feats!$AR$1490</definedName>
    <definedName name="FtBlooded">[1]Feats!$AR$2105</definedName>
    <definedName name="FtBloodedDM">[1]Feats!$AR$1939</definedName>
    <definedName name="FtBloodOfTheWarlord">[1]Feats!$AR$2247</definedName>
    <definedName name="FtBloodSpikedCharger">[1]Feats!$AR$295</definedName>
    <definedName name="FtBonusEssentia">[1]Feats!$AR$1660</definedName>
    <definedName name="FtBoostSpellLike">[1]Feats!$AR$1996</definedName>
    <definedName name="FtBoostSpellLike2">[1]Feats!$AR$1997</definedName>
    <definedName name="FtBorderWatch">[1]Feats!$AR$1940</definedName>
    <definedName name="FtBornDuelist">[1]Feats!$AR$2846</definedName>
    <definedName name="FtBoundingAssault">[1]Feats!$Y$184</definedName>
    <definedName name="FtBrandof9Hells">[1]Feats!$AR$3144</definedName>
    <definedName name="FtBreathingLink1">[1]Feats!$AR$1437</definedName>
    <definedName name="FtBreathingLink2">[1]Feats!$AR$1438</definedName>
    <definedName name="FtBrewPotion">[1]Feats!$AR$147</definedName>
    <definedName name="FtBrutalThrow">[1]Feats!$AR$648</definedName>
    <definedName name="FtBullheaded">[1]Feats!$AR$2107</definedName>
    <definedName name="FtCaramendineMonk">[1]Feats!$AR$2399</definedName>
    <definedName name="FtCaravanner">[1]Feats!$AR$2224</definedName>
    <definedName name="FtCelestialBloodline">[1]Feats!$AR$2250</definedName>
    <definedName name="FtCelestialFamiliar">[1]Feats!$AR$2047</definedName>
    <definedName name="FtCelestialHeritage">[1]Feats!$AR$1923</definedName>
    <definedName name="FtCelestialScion">[1]Feats!$AR$1942</definedName>
    <definedName name="FtCelestialSorcererHeritage">[1]Feats!$AR$277</definedName>
    <definedName name="FtCeruleanFortitude">[1]Feats!$AR$1700</definedName>
    <definedName name="FtCeruleanReflexes">[1]Feats!$AR$1701</definedName>
    <definedName name="FtCeruleanWill">[1]Feats!$AR$1702</definedName>
    <definedName name="FtChaosDevotion1">[1]Feats!$AR$1054</definedName>
    <definedName name="FtChaosDevotion2">[1]Feats!$AR$1055</definedName>
    <definedName name="FtCharming">[1]Feats!$AR$2794</definedName>
    <definedName name="FtChildOfWinter">[1]Feats!$AR$2453</definedName>
    <definedName name="FtChosenofIborighu">[1]Feats!$AR$1367</definedName>
    <definedName name="FtCitySlicker">[1]Feats!$AR$1235</definedName>
    <definedName name="FtCleave">[1]Feats!$AR$85</definedName>
    <definedName name="FtCleverWrestling">[1]Feats!$AR$1440</definedName>
    <definedName name="FtCliffwalkElite">[1]Feats!$AR$2570</definedName>
    <definedName name="FtClimbLikeAnApe">[1]Feats!$AR$699</definedName>
    <definedName name="FtClingingBreath">[1]Feats!$AR$3140</definedName>
    <definedName name="FtCloseQuartersFighting">[1]Feats!$AR$307</definedName>
    <definedName name="FtCobaltCharge">[1]Feats!$AR$1703</definedName>
    <definedName name="FtCobaltCritical">[1]Feats!$AR$1704</definedName>
    <definedName name="FtCobaltExpertise">[1]Feats!$AR$1705</definedName>
    <definedName name="FtCobaltPower">[1]Feats!$AR$1706</definedName>
    <definedName name="FtCobaltPrecision">[1]Feats!$AR$1707</definedName>
    <definedName name="FtCobaltRage">[1]Feats!$AR$1708</definedName>
    <definedName name="FtColdEndurance">[1]Feats!$AR$1368</definedName>
    <definedName name="FtColdFocus">[1]Feats!$AR$1372</definedName>
    <definedName name="FtCombatCasting">[1]Feats!$AR$21</definedName>
    <definedName name="FtCombatCloakExpert">[1]Feats!$AR$296</definedName>
    <definedName name="FtCombatExpertise">[1]Feats!$AR$22</definedName>
    <definedName name="FtCombatFamiliar">[1]Feats!$AR$187</definedName>
    <definedName name="FtCombatFocus">[1]Feats!$AR$259</definedName>
    <definedName name="FtCombatManifestation">[1]Feats!$AR$1823</definedName>
    <definedName name="FtCombatReflexes">[1]Feats!$AR$27</definedName>
    <definedName name="FtCompanionGuardStyle">[1]Feats!$AR$1943</definedName>
    <definedName name="FtComplementaryInsight">[1]Feats!$AR$1246</definedName>
    <definedName name="FtConfoundTheBigFolk">[1]Feats!$AR$1307</definedName>
    <definedName name="FtConsecrateSpell">[1]Feats!$AR$475</definedName>
    <definedName name="FtCoolHead">[1]Feats!$AR$969</definedName>
    <definedName name="FtCooperativeSpell">[1]Feats!$AR$587</definedName>
    <definedName name="FtCorporealPurgative">[1]Feats!$AR$3578</definedName>
    <definedName name="FtCorporealPurifier">[1]Feats!$AR$3580</definedName>
    <definedName name="FtCorpsecrafter">[1]Feats!$AR$3008</definedName>
    <definedName name="FtCorruptSpell">[1]Feats!$AR$476</definedName>
    <definedName name="FtCorruptSpellFocus">[1]Feats!$AR$1492</definedName>
    <definedName name="FtCosmopolitan">[1]Feats!$AR$2108</definedName>
    <definedName name="FtCougarsVision">[1]Feats!$AR$700</definedName>
    <definedName name="FtCourage">[1]Feats!$AR$3497</definedName>
    <definedName name="FtCrabLuckOfHeroes">[1]Feats!$AR$2862</definedName>
    <definedName name="FtCrabSeaLegs">[1]Feats!$AR$2876</definedName>
    <definedName name="FtCraftConstruct">[1]Feats!$AR$3114</definedName>
    <definedName name="FtCraftDorje">[1]Feats!$AR$1891</definedName>
    <definedName name="FtCraftMagicArmsAndArmor">[1]Feats!$AR$148</definedName>
    <definedName name="FtCraftPsionicArmsAndArmor">[1]Feats!$AR$1893</definedName>
    <definedName name="FtCraftRod">[1]Feats!$AR$149</definedName>
    <definedName name="FtCraftStaff">[1]Feats!$AR$150</definedName>
    <definedName name="FtCraftUniversalItem">[1]Feats!$AR$1895</definedName>
    <definedName name="FtCraftWand">[1]Feats!$AR$151</definedName>
    <definedName name="FtCraftWonderousItem">[1]Feats!$AR$152</definedName>
    <definedName name="FtCraneArtist">[1]Feats!$AR$2843</definedName>
    <definedName name="FtCraneSmoothTalk">[1]Feats!$AR$2878</definedName>
    <definedName name="FtCrossbowSniper">[1]Feats!$AR$192</definedName>
    <definedName name="FtDallahThaunsLuck">[1]Feats!$AR$1287</definedName>
    <definedName name="FtDarguunMauler">[1]Feats!$AR$2541</definedName>
    <definedName name="FtDaringOutlaw">[1]Feats!$AR$971</definedName>
    <definedName name="FtDaringWarrior">[1]Feats!$AR$972</definedName>
    <definedName name="FtDarkBlood">[1]Feats!$AR$2629</definedName>
    <definedName name="FtDash">[1]Feats!$AR$308</definedName>
    <definedName name="FtDauntingPresence">[1]Feats!$AR$3014</definedName>
    <definedName name="FtDauntless">[1]Feats!$AR$2109</definedName>
    <definedName name="FtDeadlyDefense">[1]Feats!$AR$973</definedName>
    <definedName name="FtDeadManWalking">[1]Feats!$AR$3498</definedName>
    <definedName name="FtDeafeningSong">[1]Feats!$AR$3269</definedName>
    <definedName name="FtDeathDevotion1">[1]Feats!$AR$1057</definedName>
    <definedName name="FtDeathDevotion2">[1]Feats!$AR$1058</definedName>
    <definedName name="FtDeathlessFleshgrafter">[1]Feats!$AR$2730</definedName>
    <definedName name="FtDeathMaster">[1]Feats!$AR$3058</definedName>
    <definedName name="FtDeceitful">[1]Feats!$AR$28</definedName>
    <definedName name="FtDeepspawn">[1]Feats!$AR$3097</definedName>
    <definedName name="FtDefensiveStrike">[1]Feats!$AR$309</definedName>
    <definedName name="FtDeflectArrows">[1]Feats!$AR$56</definedName>
    <definedName name="FtDeformityEyes">[1]Feats!$AR$2033</definedName>
    <definedName name="FtDeformityFace">[1]Feats!$AR$2034</definedName>
    <definedName name="FtDeformityGaunt">[1]Feats!$AR$2035</definedName>
    <definedName name="FtDeformityObese">[1]Feats!$AR$2036</definedName>
    <definedName name="FtDeftHands">[1]Feats!$AR$29</definedName>
    <definedName name="FtDesertWindDodge">[1]Feats!$AR$1527</definedName>
    <definedName name="FtDestructionDevotion1">[1]Feats!$AR$1060</definedName>
    <definedName name="FtDestructionDevotion2">[1]Feats!$AR$1061</definedName>
    <definedName name="FtDestructiveRage">[1]Feats!$AR$311</definedName>
    <definedName name="FtDevastatingCritical1">[1]Feats!$AR$3272</definedName>
    <definedName name="FtDevastatingCritical2">[1]Feats!$AR$3273</definedName>
    <definedName name="FtDevastatingCritical3">[1]Feats!$AR$3274</definedName>
    <definedName name="FtDevilsFavor">[1]Feats!$AR$3164</definedName>
    <definedName name="FtDevilsFlesh">[1]Feats!$AR$3166</definedName>
    <definedName name="FtDevilsFleshBonus">[1]Feats!$AO$3166</definedName>
    <definedName name="FtDevilsSight">[1]Feats!$AR$3167</definedName>
    <definedName name="FtDevilsStamina">[1]Feats!$AR$3168</definedName>
    <definedName name="FtDevotedBulwark">[1]Feats!$AR$1528</definedName>
    <definedName name="FtDevotedPerformer">[1]Feats!$AR$656</definedName>
    <definedName name="FtDevotedTracker">[1]Feats!$AR$657</definedName>
    <definedName name="FtDiehard">[1]Feats!$AR$35</definedName>
    <definedName name="FtDiligent">[1]Feats!$AR$30</definedName>
    <definedName name="FtDiminutiveWildShape">[1]Feats!$AR$3456</definedName>
    <definedName name="FtDiscipleOfDarkness">[1]Feats!$AR$2019</definedName>
    <definedName name="FtDiscipline">[1]Feats!$AR$2111</definedName>
    <definedName name="FtDisentangler">[1]Feats!$AR$2225</definedName>
    <definedName name="FtDisturbingVisage">[1]Feats!$AR$2591</definedName>
    <definedName name="FtDivineCleansing">[1]Feats!$AR$376</definedName>
    <definedName name="FtDivineMetamagic1">[1]Feats!$AR$450</definedName>
    <definedName name="FtDivineMetamagic2">[1]Feats!$AR$451</definedName>
    <definedName name="FtDivineMetamagic3">[1]Feats!$AR$452</definedName>
    <definedName name="FtDLDiscipline">[1]Feats!$AR$2795</definedName>
    <definedName name="FtDLEducation">[1]Feats!$AR$2796</definedName>
    <definedName name="FtDLStreetSmart">[1]Feats!$AR$2808</definedName>
    <definedName name="FtDodge">[1]Feats!$AR$31</definedName>
    <definedName name="FtDodgeEquiv">[1]Feats!$T$4</definedName>
    <definedName name="FtDomainFocus1">[1]Feats!$AR$437</definedName>
    <definedName name="FtDomainFocus2">[1]Feats!$AR$438</definedName>
    <definedName name="FtDomainFocus3">[1]Feats!$AR$439</definedName>
    <definedName name="FtDomainSpontaneity1">[1]Feats!$AR$456</definedName>
    <definedName name="FtDomainSpontaneity2">[1]Feats!$AR$457</definedName>
    <definedName name="FtDomainSpontaneity3">[1]Feats!$AR$458</definedName>
    <definedName name="FtDonMantle1">[1]Feats!$AR$770</definedName>
    <definedName name="FtDonMantle2">[1]Feats!$AR$771</definedName>
    <definedName name="FtDonMantle3">[1]Feats!$AR$772</definedName>
    <definedName name="FtDoubleChakra1">[1]Feats!$AR$1662</definedName>
    <definedName name="FtDoubleChakra2">[1]Feats!$AR$1663</definedName>
    <definedName name="FtDoubleChakra3">[1]Feats!$AR$1664</definedName>
    <definedName name="FtDoubleSteelStrike">[1]Feats!$AR$2456</definedName>
    <definedName name="FtDraconianBreathWeapon">[1]Feats!$AR$2780</definedName>
    <definedName name="FtDraconicAura1">[1]Feats!$AR$2960</definedName>
    <definedName name="FtDraconicAura2">[1]Feats!$AR$2961</definedName>
    <definedName name="FtDraconicClaw">[1]Feats!$AR$1349</definedName>
    <definedName name="FtDraconicHeritage">[1]Feats!$AR$2987</definedName>
    <definedName name="FtDraconicKnowledge">[1]Feats!$AR$2995</definedName>
    <definedName name="FtDraconicPower">[1]Feats!$AR$1353</definedName>
    <definedName name="FtDraconicSenses">[1]Feats!$AR$3002</definedName>
    <definedName name="FtDraconicSkin">[1]Feats!$AR$1356</definedName>
    <definedName name="FtDraconicToughness">[1]Feats!$AR$1357</definedName>
    <definedName name="FtDragonbane">[1]Feats!$AR$2906</definedName>
    <definedName name="FtDragonFamiliar">[1]Feats!$AR$2898</definedName>
    <definedName name="FtDragonfoe">[1]Feats!$AR$2905</definedName>
    <definedName name="FtDragonfriend">[1]Feats!$AR$2908</definedName>
    <definedName name="FtDragonHunter">[1]Feats!$AR$2899</definedName>
    <definedName name="FtDragonProphesier">[1]Feats!$AR$2706</definedName>
    <definedName name="FtDragonsong">[1]Feats!$AR$2909</definedName>
    <definedName name="FtDragonTail">[1]Feats!$AR$1318</definedName>
    <definedName name="FtDragonthrall">[1]Feats!$AR$2910</definedName>
    <definedName name="FtDragonTotem">[1]Feats!$AR$2458</definedName>
    <definedName name="FtDragontouched">[1]Feats!$AR$2963</definedName>
    <definedName name="FtDragonWildShape">[1]Feats!$AR$2903</definedName>
    <definedName name="FtDragonWings">[1]Feats!$AR$1320</definedName>
    <definedName name="FtDragonwrought">[1]Feats!$AR$1323</definedName>
    <definedName name="FtDragShamanSkFocus1">[1]Classes!$BU$16</definedName>
    <definedName name="FtDragShamanSkFocus2">[1]Classes!$BU$17</definedName>
    <definedName name="FtDragShamanSkFocus3">[1]Classes!$BU$18</definedName>
    <definedName name="FtDreadTyranny">[1]Feats!$AR$1265</definedName>
    <definedName name="FtDreamofInstinct">[1]Feats!$AR$2760</definedName>
    <definedName name="FtDreamofStrength">[1]Feats!$AR$2762</definedName>
    <definedName name="FtDreamoftheMoment">[1]Feats!$AR$2763</definedName>
    <definedName name="FtDreamScion">[1]Feats!$AR$2757</definedName>
    <definedName name="FtDreamtelling">[1]Feats!$AR$1502</definedName>
    <definedName name="FtDreamtouched">[1]Feats!$AR$2758:$AR$2763</definedName>
    <definedName name="FtDromiteRay1">[1]Feats!$AR$782</definedName>
    <definedName name="FtDromiteRay2">[1]Feats!$AR$783</definedName>
    <definedName name="FtDrowEyes">[1]Feats!$AR$2226</definedName>
    <definedName name="FtDrowSkirmisher">[1]Feats!$AR$2619</definedName>
    <definedName name="FtDruuthSlayer">[1]Feats!$AR$2401</definedName>
    <definedName name="FtDuergarInvisibility1">[1]Feats!$AR$789</definedName>
    <definedName name="FtDuergarInvisibility2">[1]Feats!$AR$790</definedName>
    <definedName name="FtDungeoneersIntuition">[1]Feats!$AR$2434</definedName>
    <definedName name="FtDurableForm">[1]Feats!$AR$3098</definedName>
    <definedName name="FtDwarflore">[1]Feats!$AR$1948</definedName>
    <definedName name="FtDwarvenArmorProficiency">[1]Feats!$AR$1184</definedName>
    <definedName name="FtEaglesFury">[1]Feats!$AR$1407</definedName>
    <definedName name="FtEarthAdept">[1]Feats!$AR$1141</definedName>
    <definedName name="FtEarthDevotion1">[1]Feats!$AR$1063</definedName>
    <definedName name="FtEarthDevotion2">[1]Feats!$AR$1064</definedName>
    <definedName name="FtEarthHeritage">[1]Feats!$AR$1924</definedName>
    <definedName name="FtEarthSense">[1]Feats!$AR$1140</definedName>
    <definedName name="FtEarthsWarding">[1]Feats!$AR$1207</definedName>
    <definedName name="FtEbQuickChange">[1]Feats!$AR$2552</definedName>
    <definedName name="FtEcclesiarch">[1]Feats!$AR$2460</definedName>
    <definedName name="FtEctopicForm1">[1]Feats!$AR$727</definedName>
    <definedName name="FtEctopicForm2">[1]Feats!$AR$728</definedName>
    <definedName name="FtEctopicForm3">[1]Feats!$AR$729</definedName>
    <definedName name="FtEdgewalkerSentinel">[1]Feats!$AR$2747</definedName>
    <definedName name="FtEducation">[1]Feats!$AR$2461</definedName>
    <definedName name="FtEfficientItemCreation1">[1]Feats!$AR$3280</definedName>
    <definedName name="FtEfficientItemCreation2">[1]Feats!$AR$3281</definedName>
    <definedName name="FtEfficientItemCreation3">[1]Feats!$AR$3282</definedName>
    <definedName name="FtEinhander">[1]Feats!$AR$298</definedName>
    <definedName name="FtEldeenPlantGrafter">[1]Feats!$AR$2732</definedName>
    <definedName name="FtElementalEnvoy">[1]Feats!$AR$730</definedName>
    <definedName name="FtElementalEssance1">[1]Feats!$AR$1132</definedName>
    <definedName name="FtElementalEssance2">[1]Feats!$AR$1133</definedName>
    <definedName name="FtElementalEssance3">[1]Feats!$AR$1134</definedName>
    <definedName name="FtElementalGrafter">[1]Feats!$AR$2733</definedName>
    <definedName name="FtElementalSpellcasting1">[1]Feats!$AR$1903</definedName>
    <definedName name="FtElementalSpellcasting2">[1]Feats!$AR$1904</definedName>
    <definedName name="FtElementalSpellcasting3">[1]Feats!$AR$1905</definedName>
    <definedName name="FtElfDilettante">[1]Feats!$AR$1290</definedName>
    <definedName name="FtElfhunter">[1]Feats!$AR$2309</definedName>
    <definedName name="FtElfhunter2">[1]Feats!$AR$2310</definedName>
    <definedName name="FtElfHunter3">[1]Feats!$AR$2311</definedName>
    <definedName name="FtElflore">[1]Feats!$AR$1951</definedName>
    <definedName name="FtEmotionalPurgative">[1]Feats!$AR$3577</definedName>
    <definedName name="FtEmpowerSpell">[1]Feats!$AR$157</definedName>
    <definedName name="FtEmpowerSpellLikeAbility">[1]Feats!$AR$3115</definedName>
    <definedName name="FtEmpowerSupernaturalAbility1">[1]Feats!$AR$1580</definedName>
    <definedName name="FtEmpowerSupernaturalAbility2">[1]Feats!$AR$1581</definedName>
    <definedName name="FtEmpowerSupernaturalAbility3">[1]Feats!$AR$1582</definedName>
    <definedName name="FtEmpowerTurning">[1]Feats!$AR$3017</definedName>
    <definedName name="FtEndurance">[1]Feats!$AR$34</definedName>
    <definedName name="FtEndureBlows">[1]Feats!$AR$2940</definedName>
    <definedName name="FtEnduringLife">[1]Feats!$AR$3015</definedName>
    <definedName name="FtEnergyAdmixture1">[1]Feats!$AR$595</definedName>
    <definedName name="FtEnergyAdmixture2">[1]Feats!$AR$596</definedName>
    <definedName name="FtEnergyAdmixture3">[1]Feats!$AR$597</definedName>
    <definedName name="FtEnergyAffinity1">[1]Feats!$AR$1790</definedName>
    <definedName name="FtEnergyAffinity2">[1]Feats!$AR$1791</definedName>
    <definedName name="FtEnergyAffinity3">[1]Feats!$AR$1792</definedName>
    <definedName name="FtEnergyResistance1">[1]Feats!$AR$3284</definedName>
    <definedName name="FtEnergyResistance2">[1]Feats!$AR$3285</definedName>
    <definedName name="FtEnergyResistance3">[1]Feats!$AR$3286</definedName>
    <definedName name="FtEnergySubstitution1">[1]Feats!$AR$590</definedName>
    <definedName name="FtEnergySubstitution2">[1]Feats!$AR$591</definedName>
    <definedName name="FtEnergySubstitution3">[1]Feats!$AR$592</definedName>
    <definedName name="FtEnlargeSpell">[1]Feats!$AR$158</definedName>
    <definedName name="FtEnlargeSupernaturalAbility1">[1]Feats!$AR$1583</definedName>
    <definedName name="FtEnlargeSupernaturalAbility2">[1]Feats!$AR$1584</definedName>
    <definedName name="FtEnlargeSupernaturalAbility3">[1]Feats!$AR$1585</definedName>
    <definedName name="FtEpicDevotion1">[1]Feats!$AR$503</definedName>
    <definedName name="FtEpicDevotion2">[1]Feats!$AR$504</definedName>
    <definedName name="FtEpicDR">[1]Feats!$AQ$411</definedName>
    <definedName name="FtEpicDragonWildShape">[1]Feats!$AR$3460</definedName>
    <definedName name="FtEpicInspiration1">[1]Feats!$AR$3288</definedName>
    <definedName name="FtEpicInspiration2">[1]Feats!$AR$3289</definedName>
    <definedName name="FtEpicLeadership">[1]Feats!$AR$3292</definedName>
    <definedName name="FtEpicProwess1">[1]Feats!$AR$415</definedName>
    <definedName name="FtEpicPsionicFocus1">[1]Feats!$AR$3438</definedName>
    <definedName name="FtEpicPsionicFocus2">[1]Feats!$AR$3439</definedName>
    <definedName name="FtEpicReputation">[1]Feats!$AR$708</definedName>
    <definedName name="FtEpicSkillFocus1">[1]Feats!$AR$710</definedName>
    <definedName name="FtEpicSkillFocus2">[1]Feats!$AR$711</definedName>
    <definedName name="FtEpicSkillFocus3">[1]Feats!$AR$712</definedName>
    <definedName name="FtEpicSpellFocus1">[1]Feats!$AR$633</definedName>
    <definedName name="FtEpicSpellFocus2">[1]Feats!$AR$634</definedName>
    <definedName name="FtEpicSpellFocus3">[1]Feats!$AR$635</definedName>
    <definedName name="FtEpicWeaponFocus1">[1]Feats!$AR$423</definedName>
    <definedName name="FtEpicWeaponSpecialization1">[1]Feats!$AR$3297</definedName>
    <definedName name="FtEpicWeaponSpecialization2">[1]Feats!$AR$3298</definedName>
    <definedName name="FtEpicWeaponSpecialization3">[1]Feats!$AR$3299</definedName>
    <definedName name="FtEquestrian">[1]Feats!$AR$3537</definedName>
    <definedName name="FtEschewMaterials">[1]Feats!$AR$36</definedName>
    <definedName name="FtEtherealEmpathy">[1]Feats!$AR$3499</definedName>
    <definedName name="FtEthran">[1]Feats!$AR$2114</definedName>
    <definedName name="FtEvasiveReflexes">[1]Feats!$AR$1529</definedName>
    <definedName name="FtEvilBrand">[1]Feats!$AR$2020</definedName>
    <definedName name="FtEvilDevotion1">[1]Feats!$AR$1066</definedName>
    <definedName name="FtEvilDevotion2">[1]Feats!$AR$1067</definedName>
    <definedName name="FtExaltedCompanion">[1]Feats!$AR$2050</definedName>
    <definedName name="FtExaltedWildShape">[1]Feats!$AR$2054</definedName>
    <definedName name="FtExoticArmorProficiency1">[1]Feats!$AR$1146</definedName>
    <definedName name="FtExoticArmorProficiency2">[1]Feats!$AR$1147</definedName>
    <definedName name="FtExoticArmorProficiency3">[1]Feats!$AR$1148</definedName>
    <definedName name="FtExoticShieldProficiency1">[1]Feats!$AR$1150</definedName>
    <definedName name="FtExoticShieldProficiency2">[1]Feats!$AR$1151</definedName>
    <definedName name="FtExoticShieldProficiency3">[1]Feats!$AR$1152</definedName>
    <definedName name="FtExoticWeapon1">[1]Feats!$AR$38</definedName>
    <definedName name="FtExoticWeapon2">[1]Feats!$AR$39</definedName>
    <definedName name="FtExoticWeaponProf">[1]Feats!$AR$37</definedName>
    <definedName name="FtExpandedKiPool">[1]Feats!$AR$974</definedName>
    <definedName name="FtExpandedKnowledge1">[1]Feats!$AR$1825</definedName>
    <definedName name="FtExpandedKnowledge2">[1]Feats!$AR$1826</definedName>
    <definedName name="FtExpandedKnowledge3">[1]Feats!$AR$1827</definedName>
    <definedName name="FtExpeditiousDodge">[1]Feats!$AR$1291</definedName>
    <definedName name="FtExpelVestige">[1]Feats!$AR$1586</definedName>
    <definedName name="FtExpertSwimmer">[1]Feats!$AR$1442</definedName>
    <definedName name="FtExpSoulmeldCap">[1]Feats!$AR$1665</definedName>
    <definedName name="FtExpSoulmeldCap2">[1]Feats!$AR$1666</definedName>
    <definedName name="FtExpSoulmeldCap3">[1]Feats!$AR$1667</definedName>
    <definedName name="FtExtendedLifeSpan1">[1]Feats!$AR$3302</definedName>
    <definedName name="FtExtendedLifeSpan2">[1]Feats!$AR$3303</definedName>
    <definedName name="FtExtendRage">[1]Feats!$AR$2464</definedName>
    <definedName name="FtExtendSpell">[1]Feats!$AR$159</definedName>
    <definedName name="FtExtendSupernaturalAbility1">[1]Feats!$AR$1588</definedName>
    <definedName name="FtExtendSupernaturalAbility2">[1]Feats!$AR$1589</definedName>
    <definedName name="FtExtendSupernaturalAbility3">[1]Feats!$AR$1590</definedName>
    <definedName name="FtExtraContacts">[1]Feats!$AR$1740</definedName>
    <definedName name="FtExtraContacts2">[1]Feats!$AR$1741</definedName>
    <definedName name="FtExtraDomainSpell1">[1]Feats!$AR$1771</definedName>
    <definedName name="FtExtraDomainSpell2">[1]Feats!$AR$1772</definedName>
    <definedName name="FtExtraDomainSpell3">[1]Feats!$AR$1773</definedName>
    <definedName name="FtExtraEdge">[1]Feats!$AR$525</definedName>
    <definedName name="FtExtraExhalation1">[1]Feats!$AR$1340</definedName>
    <definedName name="FtExtraExhalation2">[1]Feats!$AR$1341</definedName>
    <definedName name="FtExtraInvocation1">[1]Feats!$AR$526</definedName>
    <definedName name="FtExtraInvocation2">[1]Feats!$AR$527</definedName>
    <definedName name="FtExtraInvocation3">[1]Feats!$AR$528</definedName>
    <definedName name="FtExtraLurkAugment">[1]Feats!$AR$744</definedName>
    <definedName name="FtExtraMusic1">[1]Feats!$AR$662</definedName>
    <definedName name="FtExtraMusic2">[1]Feats!$AR$663</definedName>
    <definedName name="FtExtraMusic3">[1]Feats!$AR$664</definedName>
    <definedName name="FtExtraRage1">[1]Feats!$AR$315</definedName>
    <definedName name="FtExtraRage2">[1]Feats!$AR$316</definedName>
    <definedName name="FtExtraRage3">[1]Feats!$AR$317</definedName>
    <definedName name="FtExtraShifterTrait">[1]Feats!$AR$2572</definedName>
    <definedName name="FtExtraSilence1">[1]Feats!$AR$1186</definedName>
    <definedName name="FtExtraSilence2">[1]Feats!$AR$1187</definedName>
    <definedName name="FtExtraSlot1">[1]Feats!$AR$530</definedName>
    <definedName name="FtExtraSlot2">[1]Feats!$AR$531</definedName>
    <definedName name="FtExtraSlot3">[1]Feats!$AR$532</definedName>
    <definedName name="FtExtraSmiting1">[1]Feats!$AR$318</definedName>
    <definedName name="FtExtraSmiting2">[1]Feats!$AR$319</definedName>
    <definedName name="FtExtraSmiting3">[1]Feats!$AR$320</definedName>
    <definedName name="FtExtraSpell1">[1]Feats!$AR$534</definedName>
    <definedName name="FtExtraSpell2">[1]Feats!$AR$535</definedName>
    <definedName name="FtExtraSpell3">[1]Feats!$AR$536</definedName>
    <definedName name="FtExtraSpellSecret1">[1]Feats!$AR$538</definedName>
    <definedName name="FtExtraSpellSecret2">[1]Feats!$AR$539</definedName>
    <definedName name="FtExtraSpellSecret3">[1]Feats!$AR$540</definedName>
    <definedName name="FtExtraStunning1">[1]Feats!$AR$322</definedName>
    <definedName name="FtExtraStunning2">[1]Feats!$AR$323</definedName>
    <definedName name="FtExtraTurning1">[1]Feats!$AR$41</definedName>
    <definedName name="FtExtraTurning2">[1]Feats!$AR$42</definedName>
    <definedName name="FtExtraWildShape1">[1]Feats!$AR$486</definedName>
    <definedName name="FtExtraWildShape2">[1]Feats!$AR$487</definedName>
    <definedName name="FtExtraWildShape3">[1]Feats!$AR$488</definedName>
    <definedName name="FtExtraXephBurst1">[1]Feats!$AR$826</definedName>
    <definedName name="FtExtraXephBurst2">[1]Feats!$AR$827</definedName>
    <definedName name="FtFallingSunAttack">[1]Feats!$AR$1532</definedName>
    <definedName name="FtFamiliarSpell">[1]Feats!$AR$2314</definedName>
    <definedName name="FtFamiliarSpell1">[1]Feats!$AR$3466</definedName>
    <definedName name="FtFamiliarSpell2">[1]Feats!$AR$3467</definedName>
    <definedName name="FtFamiliarSpellx2">[1]Feats!$AR$2315</definedName>
    <definedName name="FtFarHorizons">[1]Feats!$AR$1267</definedName>
    <definedName name="FtFarShot">[1]Feats!$AR$78</definedName>
    <definedName name="FtFasterHealing">[1]Feats!$AR$326</definedName>
    <definedName name="FtFastHealing1">[1]Feats!$AR$3305</definedName>
    <definedName name="FtFastHealing2">[1]Feats!$AR$3306</definedName>
    <definedName name="FtFastWildShape">[1]Feats!$AR$489</definedName>
    <definedName name="FtFavored">[1]Feats!$AR$1743</definedName>
    <definedName name="FtFavored2">[1]Feats!$AR$1744</definedName>
    <definedName name="FtFavoredCompanions">[1]Feats!$AR$2055</definedName>
    <definedName name="FtFavoredInHouse">[1]Feats!$AR$2466</definedName>
    <definedName name="FtFavoredMagicFoe1">[1]Feats!$AR$896</definedName>
    <definedName name="FtFavoredMagicFoe2">[1]Feats!$AR$897</definedName>
    <definedName name="FtFavoredMagicFoe3">[1]Feats!$AR$898</definedName>
    <definedName name="FtFavoredVestige1">[1]Feats!$AR$1592</definedName>
    <definedName name="FtFavoredVestige2">[1]Feats!$AR$1593</definedName>
    <definedName name="FtFavoredVestige3">[1]Feats!$AR$1594</definedName>
    <definedName name="FtFellShot">[1]Feats!$AR$1860</definedName>
    <definedName name="FtFeyHeritage">[1]Feats!$AR$919</definedName>
    <definedName name="FtFeySkin">[1]Feats!$AR$923</definedName>
    <definedName name="FtFiendishBloodline">[1]Feats!$AR$2258</definedName>
    <definedName name="FtFiendishHeritage">[1]Feats!$AR$924</definedName>
    <definedName name="FtFieryFist">[1]Feats!$AR$199</definedName>
    <definedName name="FtFireDevotion1">[1]Feats!$AR$1069</definedName>
    <definedName name="FtFireDevotion2">[1]Feats!$AR$1070</definedName>
    <definedName name="FtFireHeritage">[1]Feats!$AR$1926</definedName>
    <definedName name="FtFleetOfFootRegional">[1]Feats!$AR$2116</definedName>
    <definedName name="FtFlyByAttack">[1]Feats!$AR$3118</definedName>
    <definedName name="FtFlybyBreath">[1]Feats!$AR$2782</definedName>
    <definedName name="FtFoeHunter">[1]Feats!$AR$2117</definedName>
    <definedName name="FtFoeSpecialist1">[1]Feats!$AR$1775</definedName>
    <definedName name="FtFoeSpecialist2">[1]Feats!$AR$1776</definedName>
    <definedName name="FtFoeSpecialist3">[1]Feats!$AR$1777</definedName>
    <definedName name="FtForester">[1]Feats!$AR$2118</definedName>
    <definedName name="FtForgeRing">[1]Feats!$AR$153</definedName>
    <definedName name="FtFreerunner">[1]Feats!$AR$976</definedName>
    <definedName name="FtFrightfulPresence">[1]Feats!$AR$2911</definedName>
    <definedName name="FtFrozenBerserker">[1]Feats!$AR$1375</definedName>
    <definedName name="FtFrozenMagic">[1]Feats!$AR$1386</definedName>
    <definedName name="FtFrozenWildShape">[1]Feats!$AR$1376</definedName>
    <definedName name="FtGargantuanWildShape">[1]Feats!$AR$3458</definedName>
    <definedName name="FtGatekeeperInitiate">[1]Feats!$AR$2468</definedName>
    <definedName name="FtGhostsight">[1]Feats!$AR$3500</definedName>
    <definedName name="FtGiantbane">[1]Feats!$AR$388</definedName>
    <definedName name="FtGiftedGeneral">[1]Feats!$AR$2850</definedName>
    <definedName name="FtGiftOfTongues">[1]Feats!$AR$2228</definedName>
    <definedName name="FtGnomelore">[1]Feats!$AR$1957</definedName>
    <definedName name="FtGoodDevotion1">[1]Feats!$AR$1072</definedName>
    <definedName name="FtGoodDevotion2">[1]Feats!$AR$1073</definedName>
    <definedName name="FtGraftFlesh">[1]Feats!$AR$3108</definedName>
    <definedName name="FtGreatCharisma1">[1]Feats!$AR$3308</definedName>
    <definedName name="FtGreatCharisma2">[1]Feats!$AR$3309</definedName>
    <definedName name="FtGreatCharisma3">[1]Feats!$AR$3310</definedName>
    <definedName name="FtGreatCleave">[1]Feats!$AR$86</definedName>
    <definedName name="FtGreatConstitution1">[1]Feats!$AR$3311</definedName>
    <definedName name="FtGreatConstitution2">[1]Feats!$AR$3312</definedName>
    <definedName name="FtGreatConstitution3">[1]Feats!$AR$3313</definedName>
    <definedName name="FtGreatCrafter">[1]Feats!$AR$2851</definedName>
    <definedName name="FtGreatDexterity1">[1]Feats!$AR$3314</definedName>
    <definedName name="FtGreatDexterity2">[1]Feats!$AR$3315</definedName>
    <definedName name="FtGreatDexterity3">[1]Feats!$AR$3316</definedName>
    <definedName name="FtGreatDiplomat">[1]Feats!$AR$2852</definedName>
    <definedName name="FtGreaterDragonmark">[1]Feats!$AR$2478</definedName>
    <definedName name="FtGreaterHeavyArmorOptimization">[1]Feats!$AR$1155</definedName>
    <definedName name="FtGreaterMultigrab">[1]Feats!$AR$3240</definedName>
    <definedName name="FtGreaterMultiweaponFighting">[1]Feats!$AR$3232</definedName>
    <definedName name="FtGreaterPowerPenetration">[1]Feats!$AR$1840</definedName>
    <definedName name="FtGreaterPsionicEndowment">[1]Feats!$AR$1853</definedName>
    <definedName name="FtGreaterResiliency">[1]Feats!$AR$333</definedName>
    <definedName name="FtGreaterShifterDefense">[1]Feats!$AR$2519</definedName>
    <definedName name="FtGreaterSpellFocus1">[1]Feats!$AR$110</definedName>
    <definedName name="FtGreaterSpellFocus2">[1]Feats!$AR$111</definedName>
    <definedName name="FtGreaterSpellFocus3">[1]Feats!$AR$112</definedName>
    <definedName name="FtGreaterSpellPenetration">[1]Feats!$AR$118</definedName>
    <definedName name="FtGreaterTwoWeaponDefense">[1]Feats!$AR$335</definedName>
    <definedName name="FtGreaterTwoWeaponFighting">[1]Feats!$AR$127</definedName>
    <definedName name="FtGreaterWeaponFocus1">[1]Feats!$AR$138</definedName>
    <definedName name="FtGreaterWeaponFocus2">[1]Feats!$AR$139</definedName>
    <definedName name="FtGreaterWeaponFocus3">[1]Feats!$AR$140</definedName>
    <definedName name="FtGreatFortitude">[1]Feats!$AR$45</definedName>
    <definedName name="FtGreatIntelligence1">[1]Feats!$AR$3317</definedName>
    <definedName name="FtGreatIntelligence2">[1]Feats!$AR$3318</definedName>
    <definedName name="FtGreatIntelligence3">[1]Feats!$AR$3319</definedName>
    <definedName name="FtGreatSmiting1">[1]Feats!$AR$3469</definedName>
    <definedName name="FtGreatSmiting2">[1]Feats!$AR$3470</definedName>
    <definedName name="FtGreatStamina">[1]Feats!$AR$2853</definedName>
    <definedName name="FtGreatStrength1">[1]Feats!$AR$3320</definedName>
    <definedName name="FtGreatStrength2">[1]Feats!$AR$3321</definedName>
    <definedName name="FtGreatStrength3">[1]Feats!$AR$3322</definedName>
    <definedName name="FtGreatWisdom1">[1]Feats!$AR$3323</definedName>
    <definedName name="FtGreatWisdom2">[1]Feats!$AR$3324</definedName>
    <definedName name="FtGreatWisdom3">[1]Feats!$AR$3325</definedName>
    <definedName name="FtGreensingerInitiate">[1]Feats!$AR$2470</definedName>
    <definedName name="FtGrenadier">[1]Feats!$AR$203</definedName>
    <definedName name="FtGrimVisage">[1]Feats!$AR$2229</definedName>
    <definedName name="FtGuerrillaScout">[1]Feats!$AR$1469</definedName>
    <definedName name="FtGuerrillaWarrior">[1]Feats!$AR$1470</definedName>
    <definedName name="FtHaggler">[1]Feats!$AR$2799</definedName>
    <definedName name="FtHalfGiantStomp1">[1]Feats!$AR$804</definedName>
    <definedName name="FtHalfGiantStomp2">[1]Feats!$AR$805</definedName>
    <definedName name="FtHalflinglore">[1]Feats!$AR$1960</definedName>
    <definedName name="FtHandOfTyr">[1]Feats!$AR$2435</definedName>
    <definedName name="FtHandsOfAHealer">[1]Feats!$AR$2059</definedName>
    <definedName name="FtHaremTrained">[1]Feats!$AR$2230</definedName>
    <definedName name="FtHealingDevotion1">[1]Feats!$AR$1075</definedName>
    <definedName name="FtHealingDevotion2">[1]Feats!$AR$1076</definedName>
    <definedName name="FtHearthlore">[1]Feats!$AR$3540</definedName>
    <definedName name="FtHeartofIncarnum">[1]Feats!$AR$1668</definedName>
    <definedName name="FtHeatEndurance">[1]Feats!$AR$1408</definedName>
    <definedName name="FtHeavyArmorOptimization">[1]Feats!$AR$1154</definedName>
    <definedName name="FtHeavyLithoderms">[1]Feats!$AR$1190</definedName>
    <definedName name="FtHeightenSpell">[1]Feats!$AR$160</definedName>
    <definedName name="FtHeightenSpellLikeAbility1">[1]Feats!$AR$542</definedName>
    <definedName name="FtHeightenSpellLikeAbility2">[1]Feats!$AR$543</definedName>
    <definedName name="FtHeroicCompanion">[1]Feats!$AR$2718</definedName>
    <definedName name="FtHeroicDestiny">[1]Feats!$AR$1249</definedName>
    <definedName name="FtHeroicFocus">[1]Feats!$AR$2737</definedName>
    <definedName name="FtHeroicSpirit">[1]Feats!$AR$2472</definedName>
    <definedName name="FtHinderingOpportunist">[1]Feats!$Y$205</definedName>
    <definedName name="FtHonestMerchant">[1]Feats!$AR$2855</definedName>
    <definedName name="FtHonorBound">[1]Feats!$AR$2784</definedName>
    <definedName name="FtHorseNomad">[1]Feats!$AR$2121</definedName>
    <definedName name="FtHostileMind">[1]Feats!$AR$1807</definedName>
    <definedName name="FtHover">[1]Feats!$AR$3119</definedName>
    <definedName name="FtHumanHeritage">[1]Feats!$AR$1252</definedName>
    <definedName name="FtIgnoreSpecialRequirement">[1]Feats!$AR$1603</definedName>
    <definedName name="FtIllithidGrapple1">[1]Feats!$AR$852</definedName>
    <definedName name="FtIllithidGrapple2">[1]Feats!$AR$853</definedName>
    <definedName name="FtIllithidGrapple3">[1]Feats!$AR$854</definedName>
    <definedName name="FtIllithidGrapple4">[1]Feats!$AR$855</definedName>
    <definedName name="FtIllithidHeritage">[1]Feats!$AR$848</definedName>
    <definedName name="FtImprovedAlignmentBasedCasting1">[1]Feats!$AR$3328</definedName>
    <definedName name="FtImprovedAlignmentBasedCasting2">[1]Feats!$AR$3329</definedName>
    <definedName name="FtImprovedAlignmentBasedCasting3">[1]Feats!$AR$3330</definedName>
    <definedName name="FtImprovedArrowOfDeath1">[1]Feats!$AR$3331</definedName>
    <definedName name="FtImprovedArrowOfDeath2">[1]Feats!$AR$3332</definedName>
    <definedName name="FtImprovedAuraOfCourage">[1]Feats!$AR$3334</definedName>
    <definedName name="FtImprovedBinding">[1]Feats!$AR$1604</definedName>
    <definedName name="FtImprovedBindVestige">[1]Feats!$AR$1577</definedName>
    <definedName name="FtImprovedBullRush">[1]Feats!$AR$87</definedName>
    <definedName name="FtImprovedColdEndurance1">[1]Feats!$AR$1369</definedName>
    <definedName name="FtImprovedColdEndurance2">[1]Feats!$AR$1370</definedName>
    <definedName name="FtImprovedCounterspell">[1]Feats!$AR$46</definedName>
    <definedName name="FtImprovedCritical1">[1]Feats!$AR$48</definedName>
    <definedName name="FtImprovedCritical2">[1]Feats!$AR$49</definedName>
    <definedName name="FtImprovedDamageReduction1">[1]Feats!$AR$2525</definedName>
    <definedName name="FtImprovedDamageReduction2">[1]Feats!$AR$2526</definedName>
    <definedName name="FtImprovedDarkvision1">[1]Feats!$AR$3337</definedName>
    <definedName name="FtImprovedDarkvision2">[1]Feats!$AR$3338</definedName>
    <definedName name="FtImprovedDeathAttack1">[1]Feats!$AR$3340</definedName>
    <definedName name="FtImprovedDeathAttack2">[1]Feats!$AR$3341</definedName>
    <definedName name="FtImprovedDisarm">[1]Feats!$AR$23</definedName>
    <definedName name="FtImprovedEnergyDrain">[1]Feats!$AR$3063</definedName>
    <definedName name="FtImprovedEnergyResistance1">[1]Feats!$AR$2267</definedName>
    <definedName name="FtImprovedEnergyResistance2">[1]Feats!$AR$2268</definedName>
    <definedName name="FtImprovedEnergyResistance3">[1]Feats!$AR$2269</definedName>
    <definedName name="FtImprovedEssentiaCap">[1]Feats!$AR$1669</definedName>
    <definedName name="FtImprovedFamiliar">[1]Feats!$AR$51</definedName>
    <definedName name="FtImprovedFeint">[1]Feats!$AR$24</definedName>
    <definedName name="FtImprovedFlight">[1]Feats!$AR$1295</definedName>
    <definedName name="FtImprovedFortification">[1]Feats!$AR$2528</definedName>
    <definedName name="FtImprovedGrapple">[1]Feats!$AR$55</definedName>
    <definedName name="FtImprovedInitiative">[1]Feats!$AR$52</definedName>
    <definedName name="FtImprovedLowLightVision1">[1]Feats!$AR$3345</definedName>
    <definedName name="FtImprovedLowLightVision2">[1]Feats!$AR$3346</definedName>
    <definedName name="FtImprovedManeuverability">[1]Feats!$AR$2916</definedName>
    <definedName name="FtImprovedManifestation1">[1]Feats!$AR$3441</definedName>
    <definedName name="FtImprovedManifestation2">[1]Feats!$AR$3442</definedName>
    <definedName name="FtImprovedMetapsionics1">[1]Feats!$AR$3444</definedName>
    <definedName name="FtImprovedMetapsionics2">[1]Feats!$AR$3445</definedName>
    <definedName name="FtImprovedMultiweaponFighting">[1]Feats!$AR$3231</definedName>
    <definedName name="FtImprovedNaturalArmor">[1]Feats!$AR$3120</definedName>
    <definedName name="FtImprovedPreciseShot">[1]Feats!$AR$80</definedName>
    <definedName name="FtImprovedPsicrystal1">[1]Feats!$AR$1846</definedName>
    <definedName name="FtImprovedPsicrystal2">[1]Feats!$AR$1847</definedName>
    <definedName name="FtImprovedPsicrystal3">[1]Feats!$AR$1848</definedName>
    <definedName name="FtImprovedRapidShot">[1]Feats!$AR$342</definedName>
    <definedName name="FtImprovedScent">[1]Feats!$AR$3196</definedName>
    <definedName name="FtImprovedShieldBash">[1]Feats!$AR$98</definedName>
    <definedName name="FtImprovedSnatch">[1]Feats!$AR$2946</definedName>
    <definedName name="FtImprovedSneakAttack1">[1]Feats!$AR$3475</definedName>
    <definedName name="FtImprovedSneakAttack2">[1]Feats!$AR$3476</definedName>
    <definedName name="FtImprovedSpeed">[1]Feats!$AR$2941</definedName>
    <definedName name="FtImprovedSpellResistance1">[1]Feats!$AR$3349</definedName>
    <definedName name="FtImprovedSpellResistance2">[1]Feats!$AR$3350</definedName>
    <definedName name="FtIMprovedSuddenStrike">[1]Feats!$AR$715</definedName>
    <definedName name="FtImprovedSunder">[1]Feats!$AR$89</definedName>
    <definedName name="FtImprovedSwimming">[1]Feats!$AR$673</definedName>
    <definedName name="FtImprovedToughness">[1]Feats!$AR$3138</definedName>
    <definedName name="FtImprovedTrip">[1]Feats!$AR$25</definedName>
    <definedName name="FtImprovedTurning">[1]Feats!$AR$53</definedName>
    <definedName name="FtImprovedTwoWeaponDefense">[1]Feats!$AR$344</definedName>
    <definedName name="FtImprovedTwoWeaponFighting">[1]Feats!$AR$126</definedName>
    <definedName name="FtImprovedUnarmed">[1]Feats!$AR$54</definedName>
    <definedName name="FtImprovedWeaponFamiliarity">[1]Feats!$AR$1156</definedName>
    <definedName name="FtIncarnumSpellshaping">[1]Feats!$AR$1710</definedName>
    <definedName name="FtIndigoStrike">[1]Feats!$AR$1711</definedName>
    <definedName name="FtIndistinct">[1]Feats!$AR$2631</definedName>
    <definedName name="FtInfernalSorcererHeritage">[1]Feats!$AR$282</definedName>
    <definedName name="FtInhumanReach">[1]Feats!$AR$3099</definedName>
    <definedName name="FtInhumanVision">[1]Feats!$AR$3100</definedName>
    <definedName name="FtInitiateOfAastorinian">[1]Feats!$AR$2975</definedName>
    <definedName name="FtInitiateOfAstilabor">[1]Feats!$AR$2976</definedName>
    <definedName name="FtInitiateOfBahamut">[1]Feats!$AR$2977</definedName>
    <definedName name="FtInitiateOfGond">[1]Feats!$AR$2158</definedName>
    <definedName name="FtInitiateOfHlal">[1]Feats!$AR$2980</definedName>
    <definedName name="FtInitiateOfIlmater">[1]Feats!$AR$2160</definedName>
    <definedName name="FtInitiateOfIo">[1]Feats!$AR$2981</definedName>
    <definedName name="FtInitiateOfLendys">[1]Feats!$AR$2982</definedName>
    <definedName name="FtInitiateOfShar">[1]Feats!$AR$2441</definedName>
    <definedName name="FtInitiateOfTiamat">[1]Feats!$AR$2984</definedName>
    <definedName name="FtInitiateOfTorm">[1]Feats!$AR$2427</definedName>
    <definedName name="FtInitiateOfTyr">[1]Feats!$AR$2166</definedName>
    <definedName name="FtInnateSpell1">[1]Feats!$AR$545</definedName>
    <definedName name="FtInnateSpell2">[1]Feats!$AR$546</definedName>
    <definedName name="FtInnocenceCoagulant">[1]Feats!$AR$3575</definedName>
    <definedName name="FtInquisitor">[1]Feats!$AR$1830</definedName>
    <definedName name="FtInscribeRune">[1]Feats!$AR$2187</definedName>
    <definedName name="FtInsightfulReflexes">[1]Feats!$AR$674</definedName>
    <definedName name="FtInstantReload1">[1]Feats!$AR$3357</definedName>
    <definedName name="FtInstantReload2">[1]Feats!$AR$3358</definedName>
    <definedName name="FtInstantReload3">[1]Feats!$AR$3359</definedName>
    <definedName name="FtIntimidatingRage">[1]Feats!$AR$347</definedName>
    <definedName name="FtIntuitiveAttack">[1]Feats!$AR$2061</definedName>
    <definedName name="FtInvestArmor">[1]Feats!$AR$742</definedName>
    <definedName name="FtInvestigate">[1]Feats!$AR$2474</definedName>
    <definedName name="FtInvestigator">[1]Feats!$AR$59</definedName>
    <definedName name="FtIronheartAura">[1]Feats!$AR$1533</definedName>
    <definedName name="FtIronMind">[1]Feats!$AR$2231</definedName>
    <definedName name="FtIronWill">[1]Feats!$AR$60</definedName>
    <definedName name="FtIronwoodBody">[1]Feats!$AR$2600</definedName>
    <definedName name="FtIrresistibleGaze">[1]Feats!$AR$3235</definedName>
    <definedName name="FtJackofAllTrades">[1]Feats!$AR$675</definedName>
    <definedName name="FtJaded">[1]Feats!$AR$3502</definedName>
    <definedName name="FtJotunbrud">[1]Feats!$AR$2232</definedName>
    <definedName name="FtJungleStamina">[1]Feats!$AR$2233</definedName>
    <definedName name="FtKalashtarMindlink">[1]Feats!$AR$2768</definedName>
    <definedName name="FtKamisIntuition">[1]Feats!$AR$2858</definedName>
    <definedName name="FtKarmicTwin">[1]Feats!$AR$2859</definedName>
    <definedName name="FtKeenIntellect">[1]Feats!$AR$2860</definedName>
    <definedName name="FtKeenStrike">[1]Feats!$AR$3360</definedName>
    <definedName name="FtKiaiShout">[1]Feats!$AR$349</definedName>
    <definedName name="FtKnightOfStars">[1]Feats!$AR$2062</definedName>
    <definedName name="FtKnowledgeDevotion">[1]Feats!$AR$1078</definedName>
    <definedName name="FtKnowledgeDevotionSkill">[1]ExportSheet!$CB$1070</definedName>
    <definedName name="FtKoboldEndurance">[1]Feats!$AR$1325</definedName>
    <definedName name="FtLawDevotion1">[1]Feats!$AR$1079</definedName>
    <definedName name="FtLawDevotion2">[1]Feats!$AR$1080</definedName>
    <definedName name="FtLeadership">[1]Feats!$AR$61</definedName>
    <definedName name="FtLeastDragonmark">[1]Feats!$AR$2476</definedName>
    <definedName name="FtLeechItem">[1]Feats!$AR$2813</definedName>
    <definedName name="FtLesserDragonmark">[1]Feats!$AR$2477</definedName>
    <definedName name="FtLichLoved">[1]Feats!$AR$2021</definedName>
    <definedName name="FtLifebond1">[1]Feats!$AR$3068</definedName>
    <definedName name="FtLifebond2">[1]Feats!$AR$3069</definedName>
    <definedName name="FtLifeforceSacrifice">[1]Feats!$AR$3566</definedName>
    <definedName name="FtLightningReflexes">[1]Feats!$AR$62</definedName>
    <definedName name="FtLionSpy">[1]Feats!$AR$2861</definedName>
    <definedName name="FtLiteracy">[1]Feats!$AR$3524</definedName>
    <definedName name="FtLliirasBlessing">[1]Feats!$AR$2167</definedName>
    <definedName name="FtLolthsMeat">[1]Feats!$AR$2319</definedName>
    <definedName name="FtLongstrideElite">[1]Feats!$AR$2574</definedName>
    <definedName name="FtLowBlow">[1]Feats!$AR$2275</definedName>
    <definedName name="FtLuckDevotion1">[1]Feats!$AR$1082</definedName>
    <definedName name="FtLuckDevotion2">[1]Feats!$AR$1083</definedName>
    <definedName name="FtLuckOfHeroes">[1]Feats!$AR$2123</definedName>
    <definedName name="FtLucky">[1]Feats!$AR$2803</definedName>
    <definedName name="FtLunarMagic">[1]Feats!$AR$2437</definedName>
    <definedName name="FtLunaticInsight">[1]Feats!$AR$1509</definedName>
    <definedName name="FtMachiavellian">[1]Feats!$AR$3542</definedName>
    <definedName name="FtMaenadFury1">[1]Feats!$AR$808</definedName>
    <definedName name="FtMaenadFury2">[1]Feats!$AR$809</definedName>
    <definedName name="FtMaenadScream1">[1]Feats!$AR$811</definedName>
    <definedName name="FtMaenadScream2">[1]Feats!$AR$812</definedName>
    <definedName name="FtMageSlayer">[1]Feats!$AR$549</definedName>
    <definedName name="FtMagicalAptitude">[1]Feats!$AR$63</definedName>
    <definedName name="FtMagicalArtisan1">[1]Feats!$AR$2169</definedName>
    <definedName name="FtMagicalArtisan2">[1]Feats!$AR$2170</definedName>
    <definedName name="FtMagicalBeastCompanion">[1]Feats!$AR$3461</definedName>
    <definedName name="FtMagicalBeastWildShape">[1]Feats!$AR$506</definedName>
    <definedName name="FtMagicalTraining">[1]Feats!$AR$2126</definedName>
    <definedName name="FtMagicDevotion1">[1]Feats!$AR$1085</definedName>
    <definedName name="FtMagicDevotion2">[1]Feats!$AR$1086</definedName>
    <definedName name="FtMagistratesMind">[1]Feats!$AR$2866</definedName>
    <definedName name="FtManyMasks">[1]Feats!$AR$2867</definedName>
    <definedName name="FtManyshot">[1]Feats!$AR$82</definedName>
    <definedName name="FtMarkofHleid">[1]Feats!$AR$1379</definedName>
    <definedName name="FtMartialStalker">[1]Feats!$AR$979</definedName>
    <definedName name="FtMartialStance">[1]Feats!$AR$1534</definedName>
    <definedName name="FtMartialStance2">[1]Feats!$AR$1535</definedName>
    <definedName name="FtMartialStance3">[1]Feats!$AR$1536</definedName>
    <definedName name="FtMartialStudy1">[1]Feats!$AR$1538</definedName>
    <definedName name="FtMartialStudy2">[1]Feats!$AR$1539</definedName>
    <definedName name="FtMartialStudy3">[1]Feats!$AR$1540</definedName>
    <definedName name="FtMartialWeapon">[1]Feats!$AR$64</definedName>
    <definedName name="FtMartialWeapon1">[1]Feats!$AR$65</definedName>
    <definedName name="FtMartialWeapon2">[1]Feats!$AR$66</definedName>
    <definedName name="FtMasterLinguist">[1]Feats!$AR$2547</definedName>
    <definedName name="FtMasterOfKnowledge">[1]Feats!$AR$1511</definedName>
    <definedName name="FtMaximizeBreath">[1]Feats!$AR$2926</definedName>
    <definedName name="FtMaximizeSpell">[1]Feats!$AR$161</definedName>
    <definedName name="FtMaximizeSpellLikeAbility1">[1]Feats!$AR$552</definedName>
    <definedName name="FtMaximizeSpellLikeAbility2">[1]Feats!$AR$553</definedName>
    <definedName name="FTMechanicalMindedness">[1]Feats!$AR$3617</definedName>
    <definedName name="FtMeleeEvasion">[1]Feats!$AR$213</definedName>
    <definedName name="FtMeleeWeaponMastery">[1]Feats!$AR$214</definedName>
    <definedName name="FtMeleeWeaponMastery1">[1]Feats!$AR$215</definedName>
    <definedName name="FtMeleeWeaponMastery2">[1]Feats!$AR$216</definedName>
    <definedName name="FtMelodicCasting">[1]Feats!$AR$904</definedName>
    <definedName name="FtMemoryCoagulant">[1]Feats!$AR$3574</definedName>
    <definedName name="FtMenacingDemeanor">[1]Feats!$AR$1259</definedName>
    <definedName name="FtMercantileBackground">[1]Feats!$AR$1968</definedName>
    <definedName name="FtMercenaryBackground">[1]Feats!$AR$1969</definedName>
    <definedName name="FtMesmerizing">[1]Feats!$AR$3544</definedName>
    <definedName name="FtMetallurgy">[1]Feats!$AR$2235</definedName>
    <definedName name="FtMetamagicSchoolFocus1">[1]Feats!$AR$906</definedName>
    <definedName name="FtMetamagicSchoolFocus2">[1]Feats!$AR$907</definedName>
    <definedName name="FtMetamagicSchoolFocus3">[1]Feats!$AR$908</definedName>
    <definedName name="FtMetamorphicTransfer1">[1]Feats!$AR$1832</definedName>
    <definedName name="FtMetamorphicTransfer2">[1]Feats!$AR$1833</definedName>
    <definedName name="FtMetamorphicTransfer3">[1]Feats!$AR$1834</definedName>
    <definedName name="FtMetapower1">[1]Feats!$AR$866</definedName>
    <definedName name="FtMetapower2">[1]Feats!$AR$867</definedName>
    <definedName name="FtMidnightAugmentation">[1]Feats!$AR$1712</definedName>
    <definedName name="FtMidnightDodge">[1]Feats!$AR$1713</definedName>
    <definedName name="FtMidnightMetamagic">[1]Feats!$AR$1714</definedName>
    <definedName name="FtMightMakesRight">[1]Feats!$AR$2277</definedName>
    <definedName name="FtMightyRage">[1]Feats!$AR$3365</definedName>
    <definedName name="FtMightyRoar">[1]Feats!$AR$3237</definedName>
    <definedName name="FtMimic">[1]Feats!$AR$2804</definedName>
    <definedName name="FtMindCleave">[1]Feats!$AR$750</definedName>
    <definedName name="FtMindOverBody">[1]Feats!$AR$2130</definedName>
    <definedName name="FtMithralBody">[1]Feats!$AR$2602</definedName>
    <definedName name="FtMithralFluidity1">[1]Feats!$AR$2530</definedName>
    <definedName name="FtMithralFluidity2">[1]Feats!$AR$2531</definedName>
    <definedName name="FtMobility">[1]Feats!$AR$32</definedName>
    <definedName name="FtMonasticTraining">[1]Feats!$AR$2479</definedName>
    <definedName name="FtMonkeyGrip">[1]Feats!$AR$351</definedName>
    <definedName name="FtMoradinsSmile">[1]Feats!$AR$1191</definedName>
    <definedName name="FtMortalbane">[1]Feats!$AR$2003</definedName>
    <definedName name="FtMortalbane2">[1]Feats!$AR$2004</definedName>
    <definedName name="FtMountaineer">[1]Feats!$AR$1380</definedName>
    <definedName name="FtMountainWarrior">[1]Feats!$AR$1158</definedName>
    <definedName name="FtMountedArchery">[1]Feats!$AR$69</definedName>
    <definedName name="FtMountedCombat">[1]Feats!$AR$68</definedName>
    <definedName name="FtMultiattack">[1]Feats!$AR$3127</definedName>
    <definedName name="FtMultigrab">[1]Feats!$AR$3239</definedName>
    <definedName name="FtMultispell1">[1]Feats!$AR$3367</definedName>
    <definedName name="FtMultispell2">[1]Feats!$AR$3368</definedName>
    <definedName name="FtMultiweaponFighting">[1]Feats!$AR$3128</definedName>
    <definedName name="FtMysteriousMagic">[1]Feats!$AR$2624</definedName>
    <definedName name="FtNarrowMind">[1]Feats!$AR$1836</definedName>
    <definedName name="FtNaturalBond">[1]Feats!$AR$679</definedName>
    <definedName name="FtNaturalHeavyweight">[1]Feats!$AR$1929</definedName>
    <definedName name="FtNecrocarnumAcolyte">[1]Feats!$AR$1672</definedName>
    <definedName name="FtNecroticPresence">[1]Feats!$AR$3023</definedName>
    <definedName name="FtNegotiator">[1]Feats!$AR$74</definedName>
    <definedName name="FtNemesis1">[1]Feats!$AR$2064</definedName>
    <definedName name="FtNemesis2">[1]Feats!$AR$2065</definedName>
    <definedName name="FtNemesis3">[1]Feats!$AR$2066</definedName>
    <definedName name="FtNimbleFingers">[1]Feats!$AR$75</definedName>
    <definedName name="FtNimbusOfLight">[1]Feats!$AR$2067</definedName>
    <definedName name="FtNobleSoul">[1]Feats!$AR$1972</definedName>
    <definedName name="FtNobodysFool">[1]Feats!$AR$2236</definedName>
    <definedName name="FtNodeSpellcasting">[1]Feats!$AR$2353</definedName>
    <definedName name="FtNodeSpellcasting1">[1]Feats!$AR$2354</definedName>
    <definedName name="FtNodeSpellcasting2">[1]Feats!$AR$2355</definedName>
    <definedName name="FtNodeStore1">[1]Feats!$AR$2358</definedName>
    <definedName name="FtNodeStore2">[1]Feats!$AR$2359</definedName>
    <definedName name="FtNonlethalSubstitution1">[1]Feats!$AR$602</definedName>
    <definedName name="FtNonlethalSubstitution2">[1]Feats!$AR$603</definedName>
    <definedName name="FtNonlethalSubstitution3">[1]Feats!$AR$604</definedName>
    <definedName name="FtNymphsKiss">[1]Feats!$AR$2070</definedName>
    <definedName name="FtObscureLore">[1]Feats!$AR$680</definedName>
    <definedName name="FtObtainFamiliar">[1]Feats!$AR$557</definedName>
    <definedName name="FtOldSalt">[1]Feats!$AR$1446</definedName>
    <definedName name="FtOneiromancy">[1]Feats!$AR$1503</definedName>
    <definedName name="FtOnisBane">[1]Feats!$AR$2868</definedName>
    <definedName name="FtOpenArmsChakra">[1]Feats!$AR$1676</definedName>
    <definedName name="FtOpenBrowChakra">[1]Feats!$AR$1677</definedName>
    <definedName name="FtOpenCrownChakra">[1]Feats!$AR$1673</definedName>
    <definedName name="FtOpenFeetChakra">[1]Feats!$AR$1675</definedName>
    <definedName name="FtOpenHandsChakra">[1]Feats!$AR$1674</definedName>
    <definedName name="FtOpenMind">[1]Feats!$AR$3504</definedName>
    <definedName name="FtOpenMinded1">[1]Feats!$AR$681</definedName>
    <definedName name="FtOpenMinded2">[1]Feats!$AR$682</definedName>
    <definedName name="FtOpenMinded3">[1]Feats!$AR$683</definedName>
    <definedName name="FtOpenShouldersChakra">[1]Feats!$AR$1678</definedName>
    <definedName name="FtOpenThroatChakra">[1]Feats!$AR$1679</definedName>
    <definedName name="FtOpenWaistChakra">[1]Feats!$AR$1680</definedName>
    <definedName name="FtOralHistory">[1]Feats!$AR$2237</definedName>
    <definedName name="FtOtherworldly">[1]Feats!$AR$2131</definedName>
    <definedName name="FtOverchannel">[1]Feats!$AR$1837</definedName>
    <definedName name="FtOversizedTwoWeaponFighting">[1]Feats!$AR$684</definedName>
    <definedName name="FtOverwhelmingCritical">[1]Feats!$AR$3483</definedName>
    <definedName name="FtOverwhelmingCritical1">[1]Feats!$AR$3484</definedName>
    <definedName name="FtOverwhelmingCritical2">[1]Feats!$AR$3485</definedName>
    <definedName name="FtParaElementalPower1">[1]Feats!$AR$870</definedName>
    <definedName name="FtParaElementalPower2">[1]Feats!$AR$871</definedName>
    <definedName name="FtParaElementalPower3">[1]Feats!$AR$872</definedName>
    <definedName name="FtParryingShield">[1]Feats!$AR$3082</definedName>
    <definedName name="FtPathOfShadows">[1]Feats!$AR$2550</definedName>
    <definedName name="FtPenetrateDamageReduction1">[1]Feats!$AR$3373</definedName>
    <definedName name="FtPenetrateDamageReduction2">[1]Feats!$AR$3374</definedName>
    <definedName name="FtPenetrateDamageReduction3">[1]Feats!$AR$3375</definedName>
    <definedName name="FtPerfectTwoWeaponFighting">[1]Feats!$AR$427</definedName>
    <definedName name="FtPermanentEmanation1">[1]Feats!$AR$3379</definedName>
    <definedName name="FtPermanentEmanation2">[1]Feats!$AR$3380</definedName>
    <definedName name="FtPermanentEmanation3">[1]Feats!$AR$3381</definedName>
    <definedName name="FtPerniciousMagic">[1]Feats!$AR$2193</definedName>
    <definedName name="FtPersonaImmersion">[1]Feats!$AR$2551</definedName>
    <definedName name="FtPersonalTouchstone1">[1]Feats!$AR$1914</definedName>
    <definedName name="FtPersonalTouchstone2">[1]Feats!$AR$1915</definedName>
    <definedName name="FtPersuasive">[1]Feats!$AR$76</definedName>
    <definedName name="FtPhilosophicalChild">[1]Feats!$AR$3584</definedName>
    <definedName name="FtPhilosophicalPurifier">[1]Feats!$AR$3581</definedName>
    <definedName name="FtPhoenixDiscipline">[1]Feats!$AR$2848</definedName>
    <definedName name="FtPierceMagicalConcealment">[1]Feats!$AR$550</definedName>
    <definedName name="FtPierceMagicalProtection">[1]Feats!$AR$551</definedName>
    <definedName name="FtPiercingCold">[1]Feats!$AR$1401</definedName>
    <definedName name="FtPlanarFamiliar">[1]Feats!$AR$1910</definedName>
    <definedName name="FtPlanarTouchstone1">[1]Feats!$AR$1911</definedName>
    <definedName name="FtPlanarTouchstone2">[1]Feats!$AR$1912</definedName>
    <definedName name="FtPlantDevotion1">[1]Feats!$AR$1088</definedName>
    <definedName name="FtPlantDevotion2">[1]Feats!$AR$1089</definedName>
    <definedName name="FtPointBlankShot">[1]Feats!$AR$77</definedName>
    <definedName name="FtPoisonExpert">[1]Feats!$AR$981</definedName>
    <definedName name="FtPoisonExpert1">[1]Feats!$AR$982</definedName>
    <definedName name="FtPoisonExpert2">[1]Feats!$AR$983</definedName>
    <definedName name="FtPoisonExpert3">[1]Feats!$AR$984</definedName>
    <definedName name="FtPoisonImmunity">[1]Feats!$AR$2006</definedName>
    <definedName name="FtPoisonImmunity1">[1]Feats!$AR$2007</definedName>
    <definedName name="FtPoisonImmunity2">[1]Feats!$AR$2008</definedName>
    <definedName name="FtPoisonImmunity3">[1]Feats!$AR$2009</definedName>
    <definedName name="FtPoisonMaster1">[1]Feats!$AR$986</definedName>
    <definedName name="FtPoisonMaster2">[1]Feats!$AR$987</definedName>
    <definedName name="FtPoisonResistance">[1]Feats!$AR$3246</definedName>
    <definedName name="FtPowerAttack">[1]Feats!$AR$84</definedName>
    <definedName name="FtPowerAttackEquiv">[1]Feats!$S$4</definedName>
    <definedName name="FtPowerCritical1">[1]Feats!$AR$356</definedName>
    <definedName name="FtPowerCritical2">[1]Feats!$AR$357</definedName>
    <definedName name="FtPowerCritical3">[1]Feats!$AR$358</definedName>
    <definedName name="FtPowerfulCharge">[1]Feats!$AR$2482</definedName>
    <definedName name="FtPowerfulVoice">[1]Feats!$AR$2871</definedName>
    <definedName name="FtPowerKnowledge1">[1]Feats!$AR$3447</definedName>
    <definedName name="FtPowerKnowledge2">[1]Feats!$AR$3448</definedName>
    <definedName name="FtPowerPenetration">[1]Feats!$AR$1839</definedName>
    <definedName name="FtPowerSpecialization">[1]Feats!$AR$1841</definedName>
    <definedName name="FtPowerThrow">[1]Feats!$AR$649</definedName>
    <definedName name="FtPracticalMetamagic1">[1]Feats!$AR$1328</definedName>
    <definedName name="FtPracticalMetamagic2">[1]Feats!$AR$1329</definedName>
    <definedName name="FtPracticalMetamagic3">[1]Feats!$AR$1330</definedName>
    <definedName name="FtPracticedBinder">[1]Feats!$AR$1578</definedName>
    <definedName name="FtPracticedManifester1">[1]Feats!$AR$757</definedName>
    <definedName name="FtPracticedManifester2">[1]Feats!$AR$758</definedName>
    <definedName name="FtPracticedManifester3">[1]Feats!$AR$759</definedName>
    <definedName name="FtPracticedSpellcaster1">[1]Feats!$AR$559</definedName>
    <definedName name="FtPracticedSpellcaster2">[1]Feats!$AR$560</definedName>
    <definedName name="FtPracticedSpellcaster3">[1]Feats!$AR$561</definedName>
    <definedName name="FtPrecApprentice">[1]Feats!$AR$562</definedName>
    <definedName name="FtPreciseShot">[1]Feats!$AR$79</definedName>
    <definedName name="FtPrivilegedEnergy">[1]Feats!$AR$760</definedName>
    <definedName name="FtPrivilegedEnergy1">[1]Feats!$AR$761</definedName>
    <definedName name="FtPrivilegedEnergy2">[1]Feats!$AR$762</definedName>
    <definedName name="FtPrivilegedEnergy3">[1]Feats!$AR$763</definedName>
    <definedName name="FtProtectionDevotion1">[1]Feats!$AR$1091</definedName>
    <definedName name="FtProtectionDevotion2">[1]Feats!$AR$1092</definedName>
    <definedName name="FtPsicrystalAffinity">[1]Feats!$AR$1843</definedName>
    <definedName name="FtPsicrystalPower1">[1]Feats!$AR$3451</definedName>
    <definedName name="FtPsicrystalPower2">[1]Feats!$AR$3452</definedName>
    <definedName name="FtPsicrystalPower3">[1]Feats!$AR$3453</definedName>
    <definedName name="FtPsiforgedBody">[1]Feats!$AR$2720</definedName>
    <definedName name="FtPsionicAffinity">[1]Feats!$AR$1811</definedName>
    <definedName name="FtPsionicBody">[1]Feats!$AR$1850</definedName>
    <definedName name="FtPsionicEndowment">[1]Feats!$AR$1852</definedName>
    <definedName name="FtPsionicFist">[1]Feats!$AR$1854</definedName>
    <definedName name="FtPsionicShot">[1]Feats!$AR$1858</definedName>
    <definedName name="FtPsionicTalent1">[1]Feats!$AR$1862</definedName>
    <definedName name="FtPsionicTalent2">[1]Feats!$AR$1863</definedName>
    <definedName name="FtPsionicTalent3">[1]Feats!$AR$1864</definedName>
    <definedName name="FtPsionicTalent4">[1]Feats!$AR$1865</definedName>
    <definedName name="FtPsionicWeapon">[1]Feats!$AR$1866</definedName>
    <definedName name="FtPsithief">[1]Feats!$AR$989</definedName>
    <definedName name="FtPsycarnumBlade">[1]Feats!$AR$1715</definedName>
    <definedName name="FtPurebloodedSuel">[1]Feats!$AR$1974</definedName>
    <definedName name="FtPureSoul">[1]Feats!$AR$1512</definedName>
    <definedName name="FtPurifySpell">[1]Feats!$AR$2097</definedName>
    <definedName name="FtQuickDraw">[1]Feats!$AR$90</definedName>
    <definedName name="FtQuickenDragonmarkLeast">[1]Feats!$AR$2721</definedName>
    <definedName name="FtQuickenDragonmarkLesser">[1]Feats!$AR$2722</definedName>
    <definedName name="FtQuickenPower">[1]Feats!$AR$1883</definedName>
    <definedName name="FtQuickenSpell">[1]Feats!$AR$162</definedName>
    <definedName name="FtQuickenSpellLikeAbility">[1]Feats!$AR$3129</definedName>
    <definedName name="FtQuickReconnoiter">[1]Feats!$AR$1727</definedName>
    <definedName name="FtQuickRecovery">[1]Feats!$AR$3083</definedName>
    <definedName name="FtQuickThinking">[1]Feats!$AR$2805</definedName>
    <definedName name="FtQuintessence">[1]Feats!$AR$3571</definedName>
    <definedName name="FtQuoriDread">[1]Feats!$AR$2771</definedName>
    <definedName name="FtRaidersSpirit">[1]Feats!$AR$1975</definedName>
    <definedName name="FtRangedInspiration1">[1]Feats!$AR$3382</definedName>
    <definedName name="FtRangedInspiration2">[1]Feats!$AR$3383</definedName>
    <definedName name="FtRangedPin">[1]Feats!$AR$361</definedName>
    <definedName name="FtRangedWeaponMastery">[1]Feats!$AR$225</definedName>
    <definedName name="FtRangedWeaponMastery1">[1]Feats!$AR$226</definedName>
    <definedName name="FtRangedWeaponMastery2">[1]Feats!$AR$227</definedName>
    <definedName name="FtRapidRegen1">[1]Feats!$AR$3156</definedName>
    <definedName name="FtRapidRegen2">[1]Feats!$AR$3157</definedName>
    <definedName name="FtRapidRegen3">[1]Feats!$AR$3158</definedName>
    <definedName name="FtRapidReload">[1]Feats!$AR$91</definedName>
    <definedName name="FtRapidReload1">[1]Feats!$AR$92</definedName>
    <definedName name="FtRapidReload2">[1]Feats!$AR$93</definedName>
    <definedName name="FtRapidReload3">[1]Feats!$AR$94</definedName>
    <definedName name="FtRapidShot">[1]Feats!$AR$81</definedName>
    <definedName name="FtRapidStrike">[1]Feats!$AR$2943</definedName>
    <definedName name="FtRapidSwimming">[1]Feats!$AR$1447</definedName>
    <definedName name="FtRapscallion">[1]Feats!$AR$1976</definedName>
    <definedName name="FtReactiveCounterspell">[1]Feats!$AR$2173</definedName>
    <definedName name="FtRecklessRage">[1]Feats!$AR$1160</definedName>
    <definedName name="FtRecoverBreath">[1]Feats!$AR$2928</definedName>
    <definedName name="FtRegenerativeSalve">[1]Feats!$AR$3572</definedName>
    <definedName name="FtReinforcedWings">[1]Feats!$AR$1331</definedName>
    <definedName name="FtRequiem">[1]Feats!$AR$3028</definedName>
    <definedName name="FtResistDragonfear">[1]Feats!$AR$2787</definedName>
    <definedName name="FtResoundingBlow">[1]Feats!$AR$2042</definedName>
    <definedName name="FtRhennlore">[1]Feats!$AR$1977</definedName>
    <definedName name="FtRideByAttack">[1]Feats!$AR$70</definedName>
    <definedName name="FtRighteousWrath">[1]Feats!$AR$2074</definedName>
    <definedName name="FtrLvl">'Class Info'!$E$9</definedName>
    <definedName name="FtRockHurling">[1]Feats!$AR$1161</definedName>
    <definedName name="FtRollWithIt">[1]Feats!$AR$3205</definedName>
    <definedName name="FtRollWithIt2">[1]Feats!$AR$3206</definedName>
    <definedName name="FtRollWithIt3">[1]Feats!$AR$3207</definedName>
    <definedName name="FtRoofwalker">[1]Feats!$AR$1761</definedName>
    <definedName name="FtRun">[1]Feats!$AR$95</definedName>
    <definedName name="FtSacredHealingPHB2">[1]Feats!$AR$272</definedName>
    <definedName name="FtSacredVow">[1]Feats!$AR$2076</definedName>
    <definedName name="FtSacrificialMastery">[1]Feats!$AR$2023</definedName>
    <definedName name="FtSanctifyKiStrike">[1]Feats!$AR$2084</definedName>
    <definedName name="FtSanctifyMartialStrike">[1]Feats!$AR$2086</definedName>
    <definedName name="FtSanctifyMartialStrike1">[1]Feats!$AR$2087</definedName>
    <definedName name="FtSanctifyMartialStrike2">[1]Feats!$AR$2088</definedName>
    <definedName name="FtSanctifyMartialStrike3">[1]Feats!$AR$2089</definedName>
    <definedName name="FtSandDancer">[1]Feats!$AR$1415</definedName>
    <definedName name="FtSandSkimmer">[1]Feats!$AR$1418</definedName>
    <definedName name="FtSapphireFist">[1]Feats!$AR$1716</definedName>
    <definedName name="FtSapphireSmite">[1]Feats!$AR$1717</definedName>
    <definedName name="FtSapphireSprint">[1]Feats!$AR$1718</definedName>
    <definedName name="FtScholarOfNature">[1]Feats!$AR$2875</definedName>
    <definedName name="FtScorpionsInstincts">[1]Feats!$AR$1422</definedName>
    <definedName name="FtScorpionsResolve">[1]Feats!$AR$1423</definedName>
    <definedName name="FtScribeScroll">[1]Feats!$AR$154</definedName>
    <definedName name="FtSelfConcealment1">[1]Feats!$AR$3390</definedName>
    <definedName name="FtSelfConcealment2">[1]Feats!$AR$3391</definedName>
    <definedName name="FtSelfSufficient">[1]Feats!$AR$96</definedName>
    <definedName name="FtSerpentStrike">[1]Feats!$AR$2490</definedName>
    <definedName name="FtServantOfTheHeavens">[1]Feats!$AR$2092</definedName>
    <definedName name="FtShadowBlade">[1]Feats!$AR$1542</definedName>
    <definedName name="FtShadowMarchesWarmonger">[1]Feats!$AR$2555</definedName>
    <definedName name="FtShadowShift">[1]Feats!$AR$2633</definedName>
    <definedName name="FtShadowWeaveMagic">[1]Feats!$AR$2174</definedName>
    <definedName name="FtShapeBreath">[1]Feats!$AR$2929</definedName>
    <definedName name="FtShapeSoulmeld1">[1]Feats!$AR$1682</definedName>
    <definedName name="FtShapeSoulmeld2">[1]Feats!$AR$1683</definedName>
    <definedName name="FtShapeSoulmeld3">[1]Feats!$AR$1684</definedName>
    <definedName name="FtSharpEyed">[1]Feats!$AR$2806</definedName>
    <definedName name="FtShieldCharge">[1]Feats!$AR$368</definedName>
    <definedName name="FtShieldmate">[1]Feats!$AR$1784</definedName>
    <definedName name="FtShieldProficiency">[1]Feats!$AR$97</definedName>
    <definedName name="FtShieldSpecialization">[1]Feats!$AR$230</definedName>
    <definedName name="FtShieldSpecialization1">[1]Feats!$AR$231</definedName>
    <definedName name="FtShieldSpecialization2">[1]Feats!$AR$232</definedName>
    <definedName name="FtShieldSpecialization3">[1]Feats!$AR$233</definedName>
    <definedName name="FtShieldWard">[1]Feats!$AR$237</definedName>
    <definedName name="FtShifterAgility">[1]Feats!$AR$2578</definedName>
    <definedName name="FtShifterDefense">[1]Feats!$AR$2518</definedName>
    <definedName name="FtShifterInstincts">[1]Feats!$AR$2580</definedName>
    <definedName name="FtShifterSavagery">[1]Feats!$AR$2581</definedName>
    <definedName name="FtShockWave">[1]Feats!$AR$2945</definedName>
    <definedName name="FtSignatureSpell1">[1]Feats!$AR$2176</definedName>
    <definedName name="FtSignatureSpell2">[1]Feats!$AR$2177</definedName>
    <definedName name="FtSilentSpell">[1]Feats!$AR$163</definedName>
    <definedName name="FtSilverPalm">[1]Feats!$AR$2134</definedName>
    <definedName name="FtSilverTongue">[1]Feats!$AR$2877</definedName>
    <definedName name="FtSilverTracery">[1]Feats!$AR$2604</definedName>
    <definedName name="FtSimpleWeaponProficiency">[1]Feats!$AR$100</definedName>
    <definedName name="FtSkilledPact">[1]Feats!$AR$1605</definedName>
    <definedName name="FtSkillFocus1">[1]Feats!$AR$102</definedName>
    <definedName name="FtSkillFocus2">[1]Feats!$AR$103</definedName>
    <definedName name="FtSkillFocus3">[1]Feats!$AR$104</definedName>
    <definedName name="FtSkyrider">[1]Feats!$AR$2241</definedName>
    <definedName name="FtSlashingFury">[1]Feats!$AR$220</definedName>
    <definedName name="FtSLvl">'Class Info'!$E$193</definedName>
    <definedName name="FtSnakeBlood">[1]Feats!$AR$2136</definedName>
    <definedName name="FtSnatch">[1]Feats!$AR$3132</definedName>
    <definedName name="FtSnatchTrophy">[1]Feats!$AR$2366</definedName>
    <definedName name="FtSnowcasting">[1]Feats!$AR$1385</definedName>
    <definedName name="FtSongOfTheHeart">[1]Feats!$AR$2492</definedName>
    <definedName name="FtSoulOfSincerity">[1]Feats!$AR$2881</definedName>
    <definedName name="FtSoulsight">[1]Feats!$AR$1719</definedName>
    <definedName name="FtSoultouchedSpellcasting">[1]Feats!$AR$1720</definedName>
    <definedName name="FtSpecialDispensation">[1]Feats!$AR$1747</definedName>
    <definedName name="FtSpecialDispensation2">[1]Feats!$AR$1748</definedName>
    <definedName name="FtSpeedOfThought">[1]Feats!$AR$1869</definedName>
    <definedName name="FtSpellcastingProdigyCha">[1]Feats!$AR$2180</definedName>
    <definedName name="FtSpellcastingProdigyInt">[1]Feats!$AR$2181</definedName>
    <definedName name="FtSpellcastingProdigyWis">[1]Feats!$AR$2182</definedName>
    <definedName name="FtSpellfireWielder">[1]Feats!$AR$2212</definedName>
    <definedName name="FtSpellFocus">[1]Feats!$AR$105</definedName>
    <definedName name="FtSpellFocus1">[1]Feats!$AR$106</definedName>
    <definedName name="FtSpellFocus2">[1]Feats!$AR$107</definedName>
    <definedName name="FtSpellFocus3">[1]Feats!$AR$108</definedName>
    <definedName name="FtSpellKnowledge1">[1]Feats!$AR$3488</definedName>
    <definedName name="FtSpellKnowledge2">[1]Feats!$AR$3489</definedName>
    <definedName name="FtSpellKnowledge3">[1]Feats!$AR$3490</definedName>
    <definedName name="FtSpellLikeAbilityFocus">[1]Feats!$AR$2288</definedName>
    <definedName name="FtSpellLikeAbiltyFocus2">[1]Feats!$AR$2289</definedName>
    <definedName name="FtSpellMastery1">[1]Feats!$AR$114</definedName>
    <definedName name="FtSpellMastery2">[1]Feats!$AR$115</definedName>
    <definedName name="FtSpellMastery3">[1]Feats!$AR$116</definedName>
    <definedName name="FtSpellPenetration">[1]Feats!$AR$117</definedName>
    <definedName name="FtSpellStowaway1">[1]Feats!$AR$3397</definedName>
    <definedName name="FtSpellStowaway2">[1]Feats!$AR$3398</definedName>
    <definedName name="FtSpellStowaway3">[1]Feats!$AR$3399</definedName>
    <definedName name="FtSpellwise">[1]Feats!$AR$2137</definedName>
    <definedName name="FtSpireWalking">[1]Feats!$AR$2242</definedName>
    <definedName name="FtSpiritedCharge">[1]Feats!$AR$72</definedName>
    <definedName name="FtSplitChakra1">[1]Feats!$AR$1687</definedName>
    <definedName name="FtSplitChakra2">[1]Feats!$AR$1688</definedName>
    <definedName name="FtSplitChakra3">[1]Feats!$AR$1689</definedName>
    <definedName name="FtSpontaneousDomainAccess1">[1]Feats!$AR$3402</definedName>
    <definedName name="FtSpontaneousSpell1">[1]Feats!$AR$3406</definedName>
    <definedName name="FtSpontaneousSpell2">[1]Feats!$AR$3407</definedName>
    <definedName name="FtSpontaneousSpell3">[1]Feats!$AR$3408</definedName>
    <definedName name="FtSpreadingBreath">[1]Feats!$AR$2931</definedName>
    <definedName name="FtSpringAttack">[1]Feats!$AR$33</definedName>
    <definedName name="FtSteadfastDetermination">[1]Feats!$AR$241</definedName>
    <definedName name="FtStealthy">[1]Feats!$AR$119</definedName>
    <definedName name="FtStillSpell">[1]Feats!$AR$164</definedName>
    <definedName name="FtStoneForm">[1]Feats!$AR$1232</definedName>
    <definedName name="FtStonePower">[1]Feats!$AR$1546</definedName>
    <definedName name="FtStoneshaper">[1]Feats!$AR$2243</definedName>
    <definedName name="FtStormheart">[1]Feats!$AR$2138</definedName>
    <definedName name="FtStormMagic">[1]Feats!$AR$1455</definedName>
    <definedName name="FtStreetSmart">[1]Feats!$AR$2139</definedName>
    <definedName name="FtStrengthDevotion1">[1]Feats!$AR$1094</definedName>
    <definedName name="FtStrengthDevotion2">[1]Feats!$AR$1095</definedName>
    <definedName name="FtStrengthOfTheCharger">[1]Feats!$AR$2884</definedName>
    <definedName name="FtStrongSoul">[1]Feats!$AR$2140</definedName>
    <definedName name="FtStubborn">[1]Feats!$AR$2809</definedName>
    <definedName name="FtStunningFist">[1]Feats!$AR$58</definedName>
    <definedName name="FtSubduingStrike">[1]Feats!$AR$2043</definedName>
    <definedName name="FtSuddenAbilityFocus1">[1]Feats!$AR$1606</definedName>
    <definedName name="FtSuddenAbilityFocus2">[1]Feats!$AR$1607</definedName>
    <definedName name="FtSuddenAbilityFocus3">[1]Feats!$AR$1608</definedName>
    <definedName name="FtSuddenEmpower">[1]Feats!$AR$610</definedName>
    <definedName name="FtSuddenEnergyAffinity1">[1]Feats!$AR$1794</definedName>
    <definedName name="FtSuddenEnergyAffinity2">[1]Feats!$AR$1795</definedName>
    <definedName name="FtSuddenEnergyAffinity3">[1]Feats!$AR$1796</definedName>
    <definedName name="FtSuddenExtend">[1]Feats!$AR$612</definedName>
    <definedName name="FtSuddenMaximize">[1]Feats!$AR$613</definedName>
    <definedName name="FtSuddenSilent">[1]Feats!$AR$615</definedName>
    <definedName name="FtSuddenStill">[1]Feats!$AR$616</definedName>
    <definedName name="FtSunDevotion1">[1]Feats!$AR$1097</definedName>
    <definedName name="FtSunDevotion2">[1]Feats!$AR$1098</definedName>
    <definedName name="FtSuperiorInitiative">[1]Feats!$AR$3410</definedName>
    <definedName name="FtSuperiorUnarmedStrike">[1]Feats!$AR$1548</definedName>
    <definedName name="FtSupernaturalCrusader">[1]Feats!$AR$1609</definedName>
    <definedName name="FtSuppressWeakness">[1]Feats!$AR$2951</definedName>
    <definedName name="FtSurefooted">[1]Feats!$AR$2141</definedName>
    <definedName name="FtSureHand">[1]Feats!$AR$991</definedName>
    <definedName name="FtSurgeOfMalevolence">[1]Feats!$AR$1514</definedName>
    <definedName name="FtSurvivor">[1]Feats!$AR$2142</definedName>
    <definedName name="FtSweetTalker">[1]Feats!$AR$992</definedName>
    <definedName name="FtSwiftAmbusher">[1]Feats!$AR$993</definedName>
    <definedName name="FtSwiftHunter">[1]Feats!$AR$994</definedName>
    <definedName name="FtSwiftwingElite">[1]Feats!$AR$2583</definedName>
    <definedName name="FtSymbiontMastery">[1]Feats!$AR$2725</definedName>
    <definedName name="FtTactileTrapsmith">[1]Feats!$AR$689</definedName>
    <definedName name="FtTantricAbility">[1]Feats!$AR$3550</definedName>
    <definedName name="FtTapMantle">[1]Feats!$AR$768</definedName>
    <definedName name="FtTargetVulnerableSpot">[1]Feats!$AR$3551</definedName>
    <definedName name="FtTashalatora">[1]Feats!$AR$2754</definedName>
    <definedName name="FtTattooFocus">[1]Feats!$AR$2144</definedName>
    <definedName name="FtTempestBreath">[1]Feats!$AR$2933</definedName>
    <definedName name="FtTenaciousMagic">[1]Feats!$AR$2195</definedName>
    <definedName name="FtTenaciousMagic1">[1]Feats!$AR$3413</definedName>
    <definedName name="FtTenaciousMagic2">[1]Feats!$AR$3414</definedName>
    <definedName name="FtTenaciousMagic3">[1]Feats!$AR$3415</definedName>
    <definedName name="FtTheocrat">[1]Feats!$AR$2244</definedName>
    <definedName name="FtThickSkinned">[1]Feats!$AR$3251</definedName>
    <definedName name="FtThickSkinned2">[1]Feats!$AR$3252</definedName>
    <definedName name="FtThickSkinned3">[1]Feats!$AR$3253</definedName>
    <definedName name="FtThickSkinnedDR">'[1]CS Calc.'!$K$96</definedName>
    <definedName name="FtThrallToDemon">[1]Feats!$AR$2024</definedName>
    <definedName name="FtThriKreenClaw1">[1]Feats!$AR$817</definedName>
    <definedName name="FtThriKreenClaw2">[1]Feats!$AR$818</definedName>
    <definedName name="FtThriKreenDisplacement1">[1]Feats!$AR$820</definedName>
    <definedName name="FtThriKreenDisplacement2">[1]Feats!$AR$821</definedName>
    <definedName name="FtThriKreenPoison1">[1]Feats!$AR$823</definedName>
    <definedName name="FtThriKreenPoison2">[1]Feats!$AR$824</definedName>
    <definedName name="FtThug">[1]Feats!$AR$2145</definedName>
    <definedName name="FtThunderTwin">[1]Feats!$AR$2146</definedName>
    <definedName name="FtTombTaintedSoul">[1]Feats!$AR$3030</definedName>
    <definedName name="FtTouchstone1">[1]Feats!$AR$1426</definedName>
    <definedName name="FtTouchstone2">[1]Feats!$AR$1427</definedName>
    <definedName name="FtToughness1">[1]Feats!$AR$120</definedName>
    <definedName name="FtToughness2">[1]Feats!$AR$121</definedName>
    <definedName name="FtToughnessEquiv">[1]Feats!$U$4</definedName>
    <definedName name="FtTowerShieldProficiency">[1]Feats!$AR$99</definedName>
    <definedName name="FtTrack">[1]Feats!$AR$123</definedName>
    <definedName name="FtTrample">[1]Feats!$AR$71</definedName>
    <definedName name="FtTravelDevotion1">[1]Feats!$AR$1100</definedName>
    <definedName name="FtTravelDevotion2">[1]Feats!$AR$1101</definedName>
    <definedName name="FtTreeTopper">[1]Feats!$AR$2148</definedName>
    <definedName name="FtTrickeryDevotion1">[1]Feats!$AR$1103</definedName>
    <definedName name="FtTrickeryDevotion2">[1]Feats!$AR$1104</definedName>
    <definedName name="FtTrueBeliever">[1]Feats!$AR$464</definedName>
    <definedName name="FtTruediveElite">[1]Feats!$AR$2584</definedName>
    <definedName name="FtTrustworthy">[1]Feats!$AR$2810</definedName>
    <definedName name="FtTunnelFighting">[1]Feats!$AR$1730</definedName>
    <definedName name="FtTunnelrunner">[1]Feats!$AR$2328</definedName>
    <definedName name="FtTwoWeaponDefense">[1]Feats!$AR$125</definedName>
    <definedName name="FtTwoWeaponFighting">[1]Feats!$AR$124</definedName>
    <definedName name="FtUndeadMastery">[1]Feats!$AR$510</definedName>
    <definedName name="FtUndeadMeldshaper">[1]Feats!$AR$1690</definedName>
    <definedName name="FtUnderfootCombat">[1]Feats!$AR$1303</definedName>
    <definedName name="FtUndoResistance">[1]Feats!$AR$3160</definedName>
    <definedName name="FtUnicornCoolHead">[1]Feats!$AR$2847</definedName>
    <definedName name="FtUnicornMagicInTheBlood">[1]Feats!$AR$2863</definedName>
    <definedName name="FtUnicornSaddleback">[1]Feats!$AR$2874</definedName>
    <definedName name="FtUnicornStrongSoul">[1]Feats!$AR$2886</definedName>
    <definedName name="FtUnnervingCalm">[1]Feats!$AR$1550</definedName>
    <definedName name="FtUrbanTracking">[1]Feats!$AR$1752</definedName>
    <definedName name="FtVerminfriend">[1]Feats!$AR$2025</definedName>
    <definedName name="FtVerminShape">[1]Feats!$AR$2455</definedName>
    <definedName name="FtVerminWildShape">[1]Feats!$AR$3463</definedName>
    <definedName name="FtVestigeFocus1">[1]Feats!$AR$1596</definedName>
    <definedName name="FtVestigeFocus2">[1]Feats!$AR$1597</definedName>
    <definedName name="FtVestigeFocus3">[1]Feats!$AR$1598</definedName>
    <definedName name="FtVexingFlanker">[1]Feats!$AR$249</definedName>
    <definedName name="FtVileMartialStrike1">[1]Feats!$AR$2027</definedName>
    <definedName name="FtVileMartialStrike2">[1]Feats!$AR$2028</definedName>
    <definedName name="FtVileMartialStrike3">[1]Feats!$AR$2029</definedName>
    <definedName name="FtVileNaturalAttack">[1]Feats!$AR$2030</definedName>
    <definedName name="FtViolateSpell">[1]Feats!$AR$2015</definedName>
    <definedName name="FtVirulentPoison">[1]Feats!$AR$3254</definedName>
    <definedName name="FtVoiceOfWrath">[1]Feats!$AR$3507</definedName>
    <definedName name="FtVowAbstinence">[1]Feats!$AR$2077</definedName>
    <definedName name="FtVowChastity">[1]Feats!$AR$2078</definedName>
    <definedName name="FtVowNonviolence">[1]Feats!$AR$2079</definedName>
    <definedName name="FtVowObedience">[1]Feats!$AR$2081</definedName>
    <definedName name="FtVowPeace">[1]Feats!$AR$2080</definedName>
    <definedName name="FtVowPoverty">[1]Feats!$AR$2082</definedName>
    <definedName name="FtVowPurity">[1]Feats!$AR$2083</definedName>
    <definedName name="FtWandMastery">[1]Feats!$AR$2508</definedName>
    <definedName name="FtWardenInitiate">[1]Feats!$AR$2498</definedName>
    <definedName name="FtWarDevotion1">[1]Feats!$AR$1106</definedName>
    <definedName name="FtWarDevotion2">[1]Feats!$AR$1107</definedName>
    <definedName name="FtWarpedMind">[1]Feats!$AR$3103</definedName>
    <definedName name="FtWarriorInstinct">[1]Feats!$AR$2887</definedName>
    <definedName name="FtWarriorShugenja">[1]Feats!$AR$2888</definedName>
    <definedName name="FtWaterDevotion1">[1]Feats!$AR$1109</definedName>
    <definedName name="FtWaterDevotion2">[1]Feats!$AR$1110</definedName>
    <definedName name="FtWaterHeritage">[1]Feats!$AR$1931</definedName>
    <definedName name="FtWaterspawn">[1]Feats!$AR$3104</definedName>
    <definedName name="FtWealth">[1]Feats!$AR$3529</definedName>
    <definedName name="FtWeaponFinesse">[1]Feats!$AR$128</definedName>
    <definedName name="FtWeaponFocus">[1]Feats!$AR$129</definedName>
    <definedName name="FtWeaponFocus1">[1]Feats!$AR$130</definedName>
    <definedName name="FtWeaponFocus2">[1]Feats!$AR$131</definedName>
    <definedName name="FtWeaponFocus3">[1]Feats!$AR$132</definedName>
    <definedName name="FtWeaponSpecialization1">[1]Feats!$AR$134</definedName>
    <definedName name="FtWeaponSpecialization2">[1]Feats!$AR$135</definedName>
    <definedName name="FtWeaponSpecialization3">[1]Feats!$AR$136</definedName>
    <definedName name="FtWeaponSupremacy1">[1]Feats!$AR$222</definedName>
    <definedName name="FtWellRead">[1]Feats!$AR$1990</definedName>
    <definedName name="FtWhirlingSteelStrike">[1]Feats!$AR$2499</definedName>
    <definedName name="FtWhirlwindAttack">[1]Feats!$AR$26</definedName>
    <definedName name="FtWhisperedSecrets">[1]Feats!$AR$1271</definedName>
    <definedName name="FtWhiteRavenDefense">[1]Feats!$AR$1552</definedName>
    <definedName name="FtWidenSpell">[1]Feats!$AR$165</definedName>
    <definedName name="FtWidenSupernaturalAbility1">[1]Feats!$AR$1611</definedName>
    <definedName name="FtWidenSupernaturalAbility2">[1]Feats!$AR$1612</definedName>
    <definedName name="FtWidenSupernaturalAbility3">[1]Feats!$AR$1613</definedName>
    <definedName name="FtWildTalent">[1]Feats!$AR$3085</definedName>
    <definedName name="FtWillingDeformity">[1]Feats!$AR$2031</definedName>
    <definedName name="FtWingExpert">[1]Feats!$AR$1361</definedName>
    <definedName name="FtWingover">[1]Feats!$AR$3133</definedName>
    <definedName name="FtWingstorm">[1]Feats!$AR$2955</definedName>
    <definedName name="FtWisdomBreedCaution">[1]Feats!$AR$2329</definedName>
    <definedName name="FtWordsOfCreation">[1]Feats!$AR$2094</definedName>
    <definedName name="FtWyrmgrafter">[1]Feats!$AR$1334</definedName>
    <definedName name="FtYondallasSense">[1]Feats!$AR$1304</definedName>
    <definedName name="FtZenArchery">[1]Feats!$AR$373</definedName>
    <definedName name="FullRace">'[1]Race Info'!$B$12</definedName>
    <definedName name="FullRaceDeity">[1]Deities!$G$2</definedName>
    <definedName name="FullRacePsion">'[1]Psionic Info'!$F$24</definedName>
    <definedName name="FvSLvl">'Class Info'!$E$26</definedName>
    <definedName name="fWill">[1]Classes!$BN$34</definedName>
    <definedName name="GameLog">[1]ExportSheet!$CI$1</definedName>
    <definedName name="GameLogTreasure">[1]ExportSheet!$CK$1</definedName>
    <definedName name="GameLogXP">[1]ExportSheet!$CJ$1</definedName>
    <definedName name="GClassLvl1">[1]Classes!$E$2</definedName>
    <definedName name="GdELvl">'Class Info'!$E$461</definedName>
    <definedName name="GdnLvl">'Class Info'!$E$772</definedName>
    <definedName name="Gems">'[1]Stats &amp; Character Details'!$B$30</definedName>
    <definedName name="Gender">'[1]Race &amp; Templates'!$AG$3</definedName>
    <definedName name="GenderOverride">'[1]Race &amp; Templates'!$D$9</definedName>
    <definedName name="GenderTxt">'[1]Race &amp; Templates'!$D$8</definedName>
    <definedName name="GeoLvl">'Class Info'!$E$170</definedName>
    <definedName name="GeoTerrain1">[1]ExportSheet!$AA$21</definedName>
    <definedName name="GeoTerrain2">[1]ExportSheet!$AA$22</definedName>
    <definedName name="GeoTerrain3">[1]ExportSheet!$AA$23</definedName>
    <definedName name="GGSLvl">'Class Info'!$E$133</definedName>
    <definedName name="GHELvl">'Class Info'!$E$526</definedName>
    <definedName name="GhKLvl">'Class Info'!$E$222</definedName>
    <definedName name="GhostAbilities">'[1]Race &amp; Templates'!$X$11:$X$13</definedName>
    <definedName name="GhostAbilitiesList">'[1]Race &amp; Templates'!$AP$3:$AP$9</definedName>
    <definedName name="GhostAbilitiesTxt">'[1]Race &amp; Templates'!$AJ$7</definedName>
    <definedName name="GhostForm">'[1]Race &amp; Templates'!$X$10</definedName>
    <definedName name="GhostSelected">'[1]Race &amp; Templates'!$AJ$6</definedName>
    <definedName name="GhrLvl">'Class Info'!$E$763</definedName>
    <definedName name="Giant">[1]Languages!$H$16</definedName>
    <definedName name="GiftOfTheDivine1">[1]ExportSheet!$AG$28</definedName>
    <definedName name="GiftOfTheDivine2">[1]ExportSheet!$AG$29</definedName>
    <definedName name="GiftOfTheDivine3">[1]ExportSheet!$AG$30</definedName>
    <definedName name="GiftOfTheDivine4">[1]ExportSheet!$AG$31</definedName>
    <definedName name="GiftOfTonguesLevel">[1]ExportSheet!$BT$3</definedName>
    <definedName name="GiKLvl">'Class Info'!$E$519</definedName>
    <definedName name="GirArmsSkBonus">[1]SoulmeldAbilities!$G$81</definedName>
    <definedName name="GlaLvl">'Class Info'!$E$782</definedName>
    <definedName name="GlLLvl">'Class Info'!$E$294</definedName>
    <definedName name="GmtLvl">'Class Info'!$E$194</definedName>
    <definedName name="GnALvl">'Class Info'!$E$474</definedName>
    <definedName name="GnPgLvl">'Class Info'!$E$74</definedName>
    <definedName name="GorgonMaskFortBonus">[1]SoulmeldAbilities!$G$86</definedName>
    <definedName name="GP">'[1]Stats &amp; Character Details'!$B$26</definedName>
    <definedName name="GRAbolethTentacle">[1]ExportSheet!$Y$77</definedName>
    <definedName name="Grace">[1]Buffs!$B$37</definedName>
    <definedName name="GraceAmount">'[1]Class Abilities'!$D$221</definedName>
    <definedName name="GraceHideMod">[1]Buffs!$H$37</definedName>
    <definedName name="GraceMod">[1]Buffs!$G$37</definedName>
    <definedName name="GRAddedTail">[1]ExportSheet!$AD$77</definedName>
    <definedName name="GraftAttacks">'[1]Graft Abilities'!$G$12</definedName>
    <definedName name="GraftList">[1]Grafts!$AC$4</definedName>
    <definedName name="GraftsAbilitiesAdj">[1]Grafts!$I$4:$N$4</definedName>
    <definedName name="GraftsSelected">'[1]Graft Abilities'!$C$5</definedName>
    <definedName name="GRAmphibiousSkin">[1]ExportSheet!$Y$79</definedName>
    <definedName name="GRAntennae">[1]ExportSheet!$AB$77</definedName>
    <definedName name="GrappleBonus">'[1]CS Calc.'!$H$19</definedName>
    <definedName name="GRAqueousBody">[1]ExportSheet!$AH$88</definedName>
    <definedName name="GRArmOfTheAncestor">[1]ExportSheet!$AG$77</definedName>
    <definedName name="GraveTouchedGhoulSelected">'[1]Race &amp; Templates'!$AG$37</definedName>
    <definedName name="GRBodaksEye">[1]ExportSheet!$AC$82</definedName>
    <definedName name="GRBonemail">[1]ExportSheet!$AC$77</definedName>
    <definedName name="GRBonePlating">[1]ExportSheet!$AG$78</definedName>
    <definedName name="GRBrainmate">[1]ExportSheet!$AB$89</definedName>
    <definedName name="GRBreathOfTheWaves">[1]ExportSheet!$AH$89</definedName>
    <definedName name="GRBuffetingFists">[1]ExportSheet!$AH$79</definedName>
    <definedName name="GRBuffettingWings">[1]ExportSheet!$AF$77</definedName>
    <definedName name="GRBurrowingClaws">[1]ExportSheet!$AB$85</definedName>
    <definedName name="GRCharmingEye">[1]ExportSheet!$AA$77</definedName>
    <definedName name="GRChitinPlating">[1]ExportSheet!$AE$77</definedName>
    <definedName name="GRClawedArm">[1]ExportSheet!$AA$78</definedName>
    <definedName name="GRClimbingLegs">[1]ExportSheet!$AB$78</definedName>
    <definedName name="GRCrownOfEyes">[1]ExportSheet!$Z$77</definedName>
    <definedName name="GRDarksightEyes">[1]ExportSheet!$AB$86</definedName>
    <definedName name="GRDarkwoodFlesh">[1]ExportSheet!$AI$77</definedName>
    <definedName name="GRDeathlessFlesh">[1]ExportSheet!$AG$79</definedName>
    <definedName name="GRDeathlessVisage">[1]ExportSheet!$AG$80</definedName>
    <definedName name="GRDragonboneLegs">[1]ExportSheet!$AF$78</definedName>
    <definedName name="GRDragonheartPresence">[1]ExportSheet!$AF$79</definedName>
    <definedName name="GRDustForm">[1]ExportSheet!$AH$80</definedName>
    <definedName name="GREarthGlider">[1]ExportSheet!$AH$82</definedName>
    <definedName name="GreaterHeroism">[1]Buffs!$B$67</definedName>
    <definedName name="GreaterHeroismHP">[1]Buffs!$E$67</definedName>
    <definedName name="GreaterHeroismMod">[1]Buffs!$G$67</definedName>
    <definedName name="GreaterLuminousArmor">[1]Buffs!$B$49</definedName>
    <definedName name="GreaterLuminousArmorMd">[1]Buffs!$G$49</definedName>
    <definedName name="GreaterMageArmor">[1]Buffs!$B$40</definedName>
    <definedName name="GreaterMageArmorMod">[1]Buffs!$G$40</definedName>
    <definedName name="GreaterRage">[1]Buffs!$M$4</definedName>
    <definedName name="GreaterRageACMod">[1]Buffs!$T$4</definedName>
    <definedName name="GreaterRageConMod">[1]Buffs!$R$4</definedName>
    <definedName name="GreaterRageStrMod">[1]Buffs!$Q$4</definedName>
    <definedName name="GreaterRageWillMod">[1]Buffs!$S$4</definedName>
    <definedName name="GreaterResiliencyCell">[1]Feats!$AP$334</definedName>
    <definedName name="GreaterResiliencyDR">[1]Feats!$AQ$334</definedName>
    <definedName name="GreaterResistance">[1]Buffs!$B$47</definedName>
    <definedName name="GreaterResistanceMod">[1]Buffs!$G$47</definedName>
    <definedName name="GRElementalFlesh">[1]ExportSheet!$AH$78</definedName>
    <definedName name="GREnervatingArm">[1]ExportSheet!$AC$78</definedName>
    <definedName name="GRExtendedLegs">[1]ExportSheet!$AE$78</definedName>
    <definedName name="GRExtractingTentacle">[1]ExportSheet!$AB$91</definedName>
    <definedName name="GREyeOfFlame">[1]ExportSheet!$AC$83</definedName>
    <definedName name="GREyeStalk">[1]ExportSheet!$Z$78</definedName>
    <definedName name="GREyeStalkAbility">[1]ExportSheet!$Z$86</definedName>
    <definedName name="GRFastLeg">[1]ExportSheet!$AA$79</definedName>
    <definedName name="GRFatigueSpores">[1]ExportSheet!$AI$78</definedName>
    <definedName name="GRFearsomeEye">[1]ExportSheet!$AA$80</definedName>
    <definedName name="GRFeatheredWings">[1]ExportSheet!$AA$81</definedName>
    <definedName name="GRFiendishEar">[1]ExportSheet!$AA$82</definedName>
    <definedName name="GRFiendishJaw">[1]ExportSheet!$AA$83</definedName>
    <definedName name="GRFiendishSkin">[1]ExportSheet!$AA$84</definedName>
    <definedName name="GRFlexibleArm">[1]ExportSheet!$AA$85</definedName>
    <definedName name="GRFlexibleSpine">[1]ExportSheet!$AE$79</definedName>
    <definedName name="GRFrightfulCrest">[1]ExportSheet!$AF$80</definedName>
    <definedName name="GRGazingEye">[1]ExportSheet!$Z$79</definedName>
    <definedName name="GRGazingEyeAbility">[1]ExportSheet!$Z$87</definedName>
    <definedName name="GRGhostlyArm">[1]ExportSheet!$AC$84</definedName>
    <definedName name="GRGlaringEye">[1]ExportSheet!$AF$81</definedName>
    <definedName name="GRGleamingScales">[1]ExportSheet!$AF$82</definedName>
    <definedName name="GrGLvl">'Class Info'!$E$266</definedName>
    <definedName name="GRGoringHorn">[1]ExportSheet!$AB$79</definedName>
    <definedName name="GRGrapplingTentacle">[1]ExportSheet!$AA$86</definedName>
    <definedName name="GRGrapplingTentacle2">[1]ExportSheet!$AB$90</definedName>
    <definedName name="GRGrapplingVine">[1]ExportSheet!$AI$79</definedName>
    <definedName name="GRGraspingMandibles">[1]ExportSheet!$AB$80</definedName>
    <definedName name="GRHandsOfFlame">[1]ExportSheet!$AH$85</definedName>
    <definedName name="GRHaulingBack">[1]ExportSheet!$AB$81</definedName>
    <definedName name="GRHealingBlood">[1]ExportSheet!$AE$80</definedName>
    <definedName name="GRHealingNodules">[1]ExportSheet!$AI$80</definedName>
    <definedName name="GRHPCost">[1]Grafts!$H$4</definedName>
    <definedName name="GRHumanoidSkin">[1]ExportSheet!$AB$88</definedName>
    <definedName name="GRIncendiarySkin">[1]ExportSheet!$AH$86</definedName>
    <definedName name="GRInksac">[1]ExportSheet!$Y$82</definedName>
    <definedName name="GRLegsOfTheUndyingMarcher">[1]ExportSheet!$AG$81</definedName>
    <definedName name="GRLockingHand">[1]ExportSheet!$X$85</definedName>
    <definedName name="GRLongArm">[1]ExportSheet!$AA$87</definedName>
    <definedName name="GRMembranousWings">[1]ExportSheet!$AA$88</definedName>
    <definedName name="GRMetabolicFire">[1]ExportSheet!$AF$83</definedName>
    <definedName name="GRMindblastRelay">[1]ExportSheet!$AB$87</definedName>
    <definedName name="GRMohrgsTongue">[1]ExportSheet!$AC$85</definedName>
    <definedName name="GRMSkBonus">[1]SoulmeldAbilities!$G$89</definedName>
    <definedName name="GRMucusProjector">[1]ExportSheet!$Y$83</definedName>
    <definedName name="GRMucusSheath">[1]ExportSheet!$Y$78</definedName>
    <definedName name="GRMummifiedEye">[1]ExportSheet!$AC$79</definedName>
    <definedName name="GRMummifiedHand">[1]ExportSheet!$AC$86</definedName>
    <definedName name="GROceanicAdaptation">[1]ExportSheet!$AH$90</definedName>
    <definedName name="GRParalyzingArm">[1]ExportSheet!$AC$80</definedName>
    <definedName name="GRPerceptionSeed">[1]ExportSheet!$AI$81</definedName>
    <definedName name="GRPlatedSkin">[1]ExportSheet!$Z$80</definedName>
    <definedName name="GRPoisonFangs">[1]ExportSheet!$AD$78</definedName>
    <definedName name="GRRakingTentacle">[1]ExportSheet!$AB$82</definedName>
    <definedName name="GRRendingClaw">[1]ExportSheet!$AB$83</definedName>
    <definedName name="GRReplacementEye">[1]ExportSheet!$Z$81</definedName>
    <definedName name="GRReplacementEyeAbility">[1]ExportSheet!$Z$89</definedName>
    <definedName name="GRReplacementTail">[1]ExportSheet!$AD$79</definedName>
    <definedName name="GRResilientScales">[1]ExportSheet!$AF$84</definedName>
    <definedName name="GRRollers">[1]ExportSheet!$X$86</definedName>
    <definedName name="GRRootlegs">[1]ExportSheet!$AI$82</definedName>
    <definedName name="GRRudimentaryEyespots">[1]ExportSheet!$AE$81</definedName>
    <definedName name="GRScalySkin">[1]ExportSheet!$AD$80</definedName>
    <definedName name="GRScorchingGaze">[1]ExportSheet!$AH$87</definedName>
    <definedName name="GRSerpentArm">[1]ExportSheet!$AD$81</definedName>
    <definedName name="GRShovingArm">[1]ExportSheet!$X$87</definedName>
    <definedName name="GRShudderPlate">[1]ExportSheet!$X$88</definedName>
    <definedName name="GRSilthilarBones">[1]ExportSheet!$AE$82</definedName>
    <definedName name="GRSilthilarHeart">[1]ExportSheet!$AE$83</definedName>
    <definedName name="GRSilthilarMuscles">[1]ExportSheet!$AE$84</definedName>
    <definedName name="GRSilthilarTendons">[1]ExportSheet!$AE$85</definedName>
    <definedName name="GRSkeletalHand">[1]ExportSheet!$AC$87</definedName>
    <definedName name="GRSkumEyes">[1]ExportSheet!$Y$80</definedName>
    <definedName name="GRSkumTail">[1]ExportSheet!$Y$81</definedName>
    <definedName name="GRSLvl">'Class Info'!$E$488</definedName>
    <definedName name="GRSmashingTail">[1]ExportSheet!$AF$85</definedName>
    <definedName name="GRSpikeStones">[1]ExportSheet!$X$89</definedName>
    <definedName name="GRSpringingLeg">[1]ExportSheet!$AA$89</definedName>
    <definedName name="GRStingTail">[1]ExportSheet!$AA$90</definedName>
    <definedName name="GRStoneSpitter">[1]ExportSheet!$X$90</definedName>
    <definedName name="GRStonyPlating">[1]ExportSheet!$AH$83</definedName>
    <definedName name="GRStrongLeg">[1]ExportSheet!$AA$91</definedName>
    <definedName name="GRTalonedArm">[1]ExportSheet!$AF$86</definedName>
    <definedName name="GRThirdEye">[1]ExportSheet!$Z$82</definedName>
    <definedName name="GRTramplingLeg">[1]ExportSheet!$AA$92</definedName>
    <definedName name="GRTreebarkCarapace">[1]ExportSheet!$AI$83</definedName>
    <definedName name="GRTremorGraft">[1]ExportSheet!$AH$84</definedName>
    <definedName name="GRUndeadSkin">[1]ExportSheet!$AC$88</definedName>
    <definedName name="GRVampiricFangs">[1]ExportSheet!$AC$89</definedName>
    <definedName name="GRWaterjet">[1]ExportSheet!$Y$84</definedName>
    <definedName name="GRWeakeningArm">[1]ExportSheet!$AC$81</definedName>
    <definedName name="GRWeaponGraft">[1]ExportSheet!$AB$84</definedName>
    <definedName name="GRWhipTail">[1]ExportSheet!$AA$93</definedName>
    <definedName name="GRWhirlwindForm">[1]ExportSheet!$AH$81</definedName>
    <definedName name="GRZombieArm">[1]ExportSheet!$AC$90</definedName>
    <definedName name="GSALvl">'Class Info'!$E$195</definedName>
    <definedName name="GtCLvl">'Class Info'!$E$730</definedName>
    <definedName name="GuerrillaScoutLevel">[1]ExportSheet!$BT$14</definedName>
    <definedName name="GuerrillaWarriorLevel">[1]ExportSheet!$BT$15</definedName>
    <definedName name="GWWLvl">'Class Info'!$E$475</definedName>
    <definedName name="HalfDragonColor">'[1]Racial Abilities'!$G$875</definedName>
    <definedName name="HalfDragonSelected">'[1]Race &amp; Templates'!$AG$21</definedName>
    <definedName name="HalfDragonType">'[1]Race &amp; Templates'!$X$14</definedName>
    <definedName name="HalfElementalType">'[1]Race &amp; Templates'!$X$15</definedName>
    <definedName name="HalfIllithidSelected">'[1]Race &amp; Templates'!$AG$31</definedName>
    <definedName name="HalfVampireAttack">'[1]Race &amp; Templates'!$X$16</definedName>
    <definedName name="HalfVampireSelected">'[1]Race &amp; Templates'!$AG$39</definedName>
    <definedName name="HandSlot">'[1]Magic Equipment'!$J$12</definedName>
    <definedName name="HandSlotDexMod">'[1]Magic Equipment'!$AB$16</definedName>
    <definedName name="HandSlotStrMod">'[1]Magic Equipment'!$AB$15</definedName>
    <definedName name="HandSlotValue">'[1]Magic Equipment'!$AC$73</definedName>
    <definedName name="HandSlotWeight">'[1]Magic Equipment'!$AA$73</definedName>
    <definedName name="HaPgLvl">'Class Info'!$E$78</definedName>
    <definedName name="HardySoldiersMod">[1]Buffs!$M$27</definedName>
    <definedName name="HarperPriestBlessings">[1]Tables!$N$180:$N$190</definedName>
    <definedName name="HasCustomRace">'[1]Custom Race'!$I$2</definedName>
    <definedName name="HasCustomTemplate">'[1]Custom Template'!$I$2</definedName>
    <definedName name="HasDomainChoices">[1]Classes!$BN$50</definedName>
    <definedName name="HasEBHouse">'[1]Race &amp; Templates'!$AG$8</definedName>
    <definedName name="hasEvasion">'[1]Class Abilities'!$AL$8</definedName>
    <definedName name="HasFamiliar">'[1]Creature Info'!$CN$51</definedName>
    <definedName name="HasHalfTemplate">'[1]Template Info'!$BI$30</definedName>
    <definedName name="HasLowlightVision">'[1]Racial Abilities'!$F$16</definedName>
    <definedName name="HasSmite">'[1]Class Abilities'!$G$62</definedName>
    <definedName name="HasSmiteEvil">'[1]Class Abilities'!$E$62</definedName>
    <definedName name="HasSoulmelds">[1]Soulmelds!$Y$41</definedName>
    <definedName name="HasSubrace">'[1]Race Info'!$B$8</definedName>
    <definedName name="Haste">[1]Buffs!$B$38</definedName>
    <definedName name="HasteBurrowSpeed">[1]Buffs!$I$39</definedName>
    <definedName name="HasteClimbSpeed">[1]Buffs!$J$38</definedName>
    <definedName name="HasteFlySpeed">[1]Buffs!$I$38</definedName>
    <definedName name="HasteMod">[1]Buffs!$G$38</definedName>
    <definedName name="HasTemplate">'[1]Template Info'!$AP$1</definedName>
    <definedName name="HasteSpeed">[1]Buffs!$H$38</definedName>
    <definedName name="HasteSwimSpeed">[1]Buffs!$H$39</definedName>
    <definedName name="hasTrapfinding">'[1]Class Abilities'!$AL$9</definedName>
    <definedName name="HasVirtualClasses">'Class Info'!$EF$278</definedName>
    <definedName name="HazLvl">'Class Info'!$E$580</definedName>
    <definedName name="HbrLvl">'Class Info'!$E$663</definedName>
    <definedName name="HCDLvl">'Class Info'!$E$651</definedName>
    <definedName name="HdBHordeEnemy1">[1]ExportSheet!$AE$56</definedName>
    <definedName name="HdBHordeEnemy2">[1]ExportSheet!$AE$57</definedName>
    <definedName name="HdBHordeEnemy3">[1]ExportSheet!$AE$58</definedName>
    <definedName name="HdBLvl">'Class Info'!$E$520</definedName>
    <definedName name="HDPgDragonColor">[1]ExportSheet!$W$73</definedName>
    <definedName name="HDPgLvl">'Class Info'!$E$75</definedName>
    <definedName name="HDSpecial">[1]Classes!$BN$22</definedName>
    <definedName name="HDSummary">[1]Classes!$BJ$13</definedName>
    <definedName name="HeadSlot">'[1]Magic Equipment'!$P$2</definedName>
    <definedName name="HeadSlotChaBonus">'[1]Magic Equipment'!$AG$17</definedName>
    <definedName name="HeadSlotChaCheckBonus">'[1]Magic Equipment'!$AG$18</definedName>
    <definedName name="HeadSlotIntBonus">'[1]Magic Equipment'!$AG$16</definedName>
    <definedName name="HeadSlotValue">'[1]Magic Equipment'!$AH$55</definedName>
    <definedName name="HeadSlotWeight">'[1]Magic Equipment'!$AF$55</definedName>
    <definedName name="HeartOfAir">[1]Buffs!$B$28</definedName>
    <definedName name="HeartOfAirMod">[1]Buffs!$G$28</definedName>
    <definedName name="HeartOfEarth">[1]Buffs!$B$48</definedName>
    <definedName name="HeartOfEarthMod">[1]Buffs!$G$48</definedName>
    <definedName name="HeartOfFire">[1]Buffs!$B$55</definedName>
    <definedName name="HeartOfFireMod">[1]Buffs!$G$55</definedName>
    <definedName name="HeartsGrace1">[1]ExportSheet!$AI$65</definedName>
    <definedName name="HeartsGrace2">[1]ExportSheet!$AI$66</definedName>
    <definedName name="HEBElemental1">[1]ExportSheet!$AF$55</definedName>
    <definedName name="HEBElemental2">[1]ExportSheet!$AF$56</definedName>
    <definedName name="HEBElemental3">[1]ExportSheet!$AF$57</definedName>
    <definedName name="HEBElemental4">[1]ExportSheet!$AF$58</definedName>
    <definedName name="HEBLvl">'Class Info'!$E$567</definedName>
    <definedName name="HellbredAspect">'[1]Race &amp; Templates'!$P$7</definedName>
    <definedName name="HengeyokaiAnimal">'[1]Race &amp; Templates'!$P$8</definedName>
    <definedName name="HengeyokaiForm">'[1]Race &amp; Templates'!$P$9</definedName>
    <definedName name="HenLvl">'Class Info'!$E$619</definedName>
    <definedName name="HEPgLvl">'Class Info'!$E$76</definedName>
    <definedName name="HEPgStatBump">[1]ExportSheet!$W$72</definedName>
    <definedName name="Heroism">[1]Buffs!$B$39</definedName>
    <definedName name="HeroismMod">[1]Buffs!$G$39</definedName>
    <definedName name="HerosFeast">[1]Buffs!$B$69</definedName>
    <definedName name="HerosFeastHP">[1]Buffs!$E$69</definedName>
    <definedName name="HerosFeastToHit">[1]Buffs!$G$69</definedName>
    <definedName name="HerosFeastToWill">[1]Buffs!$H$69</definedName>
    <definedName name="HfOLvl">'Class Info'!$E$134</definedName>
    <definedName name="HiDLvl">'Class Info'!$E$620</definedName>
    <definedName name="HieLvl">'Class Info'!$E$115</definedName>
    <definedName name="Hierophant1">[1]ExportSheet!$AB$29</definedName>
    <definedName name="Hierophant2">[1]ExportSheet!$AB$30</definedName>
    <definedName name="Hierophant3">[1]ExportSheet!$AB$31</definedName>
    <definedName name="Hierophant4">[1]ExportSheet!$AB$32</definedName>
    <definedName name="Hierophant5">[1]ExportSheet!$AB$33</definedName>
    <definedName name="HierophantAbilities">[1]ExportSheet!$AB$29:$AB$33</definedName>
    <definedName name="HighArcana">[1]ExportSheet!$AB$24:$AB$28</definedName>
    <definedName name="HighArcana1">[1]ExportSheet!$AB$24</definedName>
    <definedName name="HighArcana2">[1]ExportSheet!$AB$25</definedName>
    <definedName name="HighArcana3">[1]ExportSheet!$AB$26</definedName>
    <definedName name="HighArcana4">[1]ExportSheet!$AB$27</definedName>
    <definedName name="HighArcana5">[1]ExportSheet!$AB$28</definedName>
    <definedName name="HiSLvl">'Class Info'!$E$223</definedName>
    <definedName name="HitDice">'Class Info'!$EF$8</definedName>
    <definedName name="HitPoints">[1]Classes!$H$63</definedName>
    <definedName name="HkHLvl">'Class Info'!$E$135</definedName>
    <definedName name="HlrLvl">'Class Info'!$E$59</definedName>
    <definedName name="HltWLvl">'Class Info'!$E$277</definedName>
    <definedName name="HoDLvl">'Class Info'!$E$136</definedName>
    <definedName name="HoLLvl">'Class Info'!$E$171</definedName>
    <definedName name="HolyAura">[1]Buffs!$B$76</definedName>
    <definedName name="HolyAuraMod">[1]Buffs!$G$76</definedName>
    <definedName name="HoMLvl">'Class Info'!$E$436</definedName>
    <definedName name="HoodedPupilSelected">'[1]Race &amp; Templates'!$AG$38</definedName>
    <definedName name="HOPgLvl">'Class Info'!$E$77</definedName>
    <definedName name="HosLvl">'Class Info'!$E$172</definedName>
    <definedName name="HostFeats">[1]Feats!$AQ$837</definedName>
    <definedName name="HoWLvl">'Class Info'!$E$116</definedName>
    <definedName name="HPAdjLvl1">[1]Classes!$BN$25</definedName>
    <definedName name="HPAdjLvl2to60">[1]Classes!$BN$26</definedName>
    <definedName name="HPaLvl">'Class Info'!$E$438</definedName>
    <definedName name="HPLycanthrope">[1]Classes!$BN$27</definedName>
    <definedName name="HPMax">[1]Classes!$BN$24</definedName>
    <definedName name="HpMKnowledgeCell">[1]ExportSheet!$AI$27</definedName>
    <definedName name="HpMLvl">'Class Info'!$E$476</definedName>
    <definedName name="HpMSkillCell">[1]ExportSheet!$AI$28</definedName>
    <definedName name="HpPBlessings">[1]ExportSheet!$AK$27:$AK$31</definedName>
    <definedName name="HpPLvl">'Class Info'!$E$477</definedName>
    <definedName name="HPRoll">[1]Classes!$BN$23</definedName>
    <definedName name="HR2Thirds">[1]ExportSheet!$B$27</definedName>
    <definedName name="HR3Quarters">[1]ExportSheet!$A$27</definedName>
    <definedName name="HRAoM">[1]ExportSheet!$B$106</definedName>
    <definedName name="HRBoED">[1]ExportSheet!$B$51</definedName>
    <definedName name="HRBoK">[1]ExportSheet!$B$107</definedName>
    <definedName name="HRBoVD">[1]ExportSheet!$B$52</definedName>
    <definedName name="HRCA">[1]ExportSheet!$B$31</definedName>
    <definedName name="HRCAd">[1]ExportSheet!$B$30</definedName>
    <definedName name="HRCampaigns">[1]ExportSheet!$B$77:$B$84,[1]ExportSheet!$B$87:$B$96,[1]ExportSheet!$B$99:$B$102,[1]ExportSheet!$B$105:$B$107,[1]ExportSheet!$B$110,[1]ExportSheet!$B$115:$B$117,[1]ExportSheet!$B$122:$B$122</definedName>
    <definedName name="HRCC">[1]ExportSheet!$B$37</definedName>
    <definedName name="HRCD">[1]ExportSheet!$B$32</definedName>
    <definedName name="HRChR">[1]ExportSheet!$B$82</definedName>
    <definedName name="HRChV">[1]ExportSheet!$B$83</definedName>
    <definedName name="HRCi">[1]ExportSheet!$B$46</definedName>
    <definedName name="HRCM">[1]ExportSheet!$B$35</definedName>
    <definedName name="HRCOD">[1]ExportSheet!$B$101</definedName>
    <definedName name="HRCoS">[1]ExportSheet!$B$84</definedName>
    <definedName name="HRCPs">[1]ExportSheet!$B$33</definedName>
    <definedName name="HRCS">[1]ExportSheet!$B$36</definedName>
    <definedName name="HRCW">[1]ExportSheet!$B$34</definedName>
    <definedName name="HRDC">[1]ExportSheet!$B$122</definedName>
    <definedName name="HRDLCS">[1]ExportSheet!$B$105</definedName>
    <definedName name="HRDMag">[1]ExportSheet!$B$111</definedName>
    <definedName name="HRDr">[1]ExportSheet!$B$70</definedName>
    <definedName name="HRDrM">[1]ExportSheet!$B$71</definedName>
    <definedName name="HRDs">[1]ExportSheet!$B$45</definedName>
    <definedName name="HREBCS">[1]ExportSheet!$B$88</definedName>
    <definedName name="HRECS">[1]ExportSheet!$B$87</definedName>
    <definedName name="HREH">[1]ExportSheet!$B$92</definedName>
    <definedName name="HRELH">[1]ExportSheet!$B$59</definedName>
    <definedName name="HRfBAB">[1]ExportSheet!$B$10</definedName>
    <definedName name="HRFCII">[1]ExportSheet!$B$74</definedName>
    <definedName name="HRFF">[1]ExportSheet!$B$69</definedName>
    <definedName name="HRFlaws">[1]ExportSheet!$B$13</definedName>
    <definedName name="HRFN">[1]ExportSheet!$B$89</definedName>
    <definedName name="HRFRCS">[1]ExportSheet!$B$77</definedName>
    <definedName name="HRFrost">[1]ExportSheet!$B$42</definedName>
    <definedName name="HRfSave">[1]ExportSheet!$B$11</definedName>
    <definedName name="HRGestalt">[1]ExportSheet!$B$9</definedName>
    <definedName name="HRHalfPlus1">[1]ExportSheet!$B$26</definedName>
    <definedName name="HRHB">[1]ExportSheet!$B$47</definedName>
    <definedName name="HRHH">[1]ExportSheet!$B$48</definedName>
    <definedName name="HRHideTrained">[1]ExportSheet!$B$8</definedName>
    <definedName name="HrHLvl">'Class Info'!$E$463</definedName>
    <definedName name="HRHOL">[1]ExportSheet!$B$100</definedName>
    <definedName name="HRLivingGreyhawk">[1]ExportSheet!$B$110</definedName>
    <definedName name="HRLivingGreyhawkFt">[1]Feats!$AQ$2</definedName>
    <definedName name="HRLM">[1]ExportSheet!$B$72</definedName>
    <definedName name="HRLoM">[1]ExportSheet!$B$73</definedName>
    <definedName name="HRMH">[1]ExportSheet!$B$54</definedName>
    <definedName name="HRMM">[1]ExportSheet!$B$62</definedName>
    <definedName name="HRMM2">[1]ExportSheet!$B$63</definedName>
    <definedName name="HRMM3">[1]ExportSheet!$B$64</definedName>
    <definedName name="HRMM4">[1]ExportSheet!$B$65</definedName>
    <definedName name="HRMoE">[1]ExportSheet!$B$95</definedName>
    <definedName name="HRMoF">[1]ExportSheet!$B$79</definedName>
    <definedName name="HRMoI">[1]ExportSheet!$B$58</definedName>
    <definedName name="HROA">[1]ExportSheet!$B$121</definedName>
    <definedName name="HRPC">[1]ExportSheet!$B$114</definedName>
    <definedName name="HRPGtA">[1]ExportSheet!$B$115</definedName>
    <definedName name="HRPGtE">[1]ExportSheet!$B$94</definedName>
    <definedName name="HRPGtF">[1]ExportSheet!$B$78</definedName>
    <definedName name="HRPHB2">[1]ExportSheet!$B$55</definedName>
    <definedName name="HRPlH">[1]ExportSheet!$B$57</definedName>
    <definedName name="HrpLvl">'Class Info'!$E$437</definedName>
    <definedName name="HRRE">[1]ExportSheet!$B$90</definedName>
    <definedName name="HRRoD">[1]ExportSheet!$B$38</definedName>
    <definedName name="HRRoF">[1]ExportSheet!$B$80</definedName>
    <definedName name="HRRoS">[1]ExportSheet!$B$40</definedName>
    <definedName name="HRRotD">[1]ExportSheet!$B$39</definedName>
    <definedName name="HRRotW">[1]ExportSheet!$B$41</definedName>
    <definedName name="HRRVL">[1]ExportSheet!$B$99</definedName>
    <definedName name="HRSand">[1]ExportSheet!$B$43</definedName>
    <definedName name="HRSF">[1]ExportSheet!$B$123</definedName>
    <definedName name="HRShowAllInBook">[1]Tables!$I$233</definedName>
    <definedName name="HRSN">[1]ExportSheet!$B$91</definedName>
    <definedName name="HRSoS">[1]ExportSheet!$B$96</definedName>
    <definedName name="HRSources">[1]ExportSheet!$B$30:$B$58,[1]ExportSheet!$B$62:$B$65,[1]ExportSheet!$B$67:$B$74,[1]ExportSheet!$B$114,[1]ExportSheet!$B$111,[1]ExportSheet!$B$121:$B$123</definedName>
    <definedName name="HRSoX">[1]ExportSheet!$B$93</definedName>
    <definedName name="HRSpC">[1]ExportSheet!$B$53</definedName>
    <definedName name="HRSS">[1]ExportSheet!$B$67</definedName>
    <definedName name="HRSSMC">[1]ExportSheet!$B$68</definedName>
    <definedName name="HRSto">[1]ExportSheet!$B$44</definedName>
    <definedName name="HRToB">[1]ExportSheet!$B$49</definedName>
    <definedName name="HRToM">[1]ExportSheet!$B$50</definedName>
    <definedName name="HRTraits">[1]ExportSheet!$B$12</definedName>
    <definedName name="HRUD">[1]ExportSheet!$B$81</definedName>
    <definedName name="HrvLvl">'Class Info'!$E$665</definedName>
    <definedName name="HRVRA1">[1]ExportSheet!$B$102</definedName>
    <definedName name="HRXPH">[1]ExportSheet!$B$56</definedName>
    <definedName name="HSbLvl">'Class Info'!$E$535</definedName>
    <definedName name="HSCLvl">'Class Info'!$E$253</definedName>
    <definedName name="HStLvl">'Class Info'!$E$642</definedName>
    <definedName name="HthLvl">'Class Info'!$E$439</definedName>
    <definedName name="HtWLvl">'Class Info'!$E$462</definedName>
    <definedName name="Hulk1">[1]ExportSheet!$AH$15</definedName>
    <definedName name="Hulk2">[1]ExportSheet!$AH$16</definedName>
    <definedName name="HuntCircSkBonus">[1]SoulmeldAbilities!$G$95</definedName>
    <definedName name="HuPg1">[1]ExportSheet!$X$71</definedName>
    <definedName name="HuPg10">[1]ExportSheet!$X$80</definedName>
    <definedName name="HuPg2">[1]ExportSheet!$X$72</definedName>
    <definedName name="HuPg3">[1]ExportSheet!$X$73</definedName>
    <definedName name="HuPg4">[1]ExportSheet!$X$74</definedName>
    <definedName name="HuPg5">[1]ExportSheet!$X$75</definedName>
    <definedName name="HuPg6">[1]ExportSheet!$X$76</definedName>
    <definedName name="HuPg7">[1]ExportSheet!$X$77</definedName>
    <definedName name="HuPg8">[1]ExportSheet!$X$78</definedName>
    <definedName name="HuPg9">[1]ExportSheet!$X$79</definedName>
    <definedName name="HuPgClassSkill">[1]Classes!$BN$3</definedName>
    <definedName name="HuPgClassSkillCell">[1]ExportSheet!$W$75</definedName>
    <definedName name="HuPgLvl">'Class Info'!$E$79</definedName>
    <definedName name="HuPgMartialWeapon">[1]Classes!$BN$4</definedName>
    <definedName name="HuPgMartialWeaponCell">[1]ExportSheet!$W$74</definedName>
    <definedName name="HuPgStatBump">[1]ExportSheet!$W$76</definedName>
    <definedName name="HurlTricks">[1]Tables!$N$310:$N$315</definedName>
    <definedName name="HvMLvl">'Class Info'!$E$402</definedName>
    <definedName name="HvyArmorProf">'Class Info'!$EJ$13</definedName>
    <definedName name="HWhLvl">'Class Info'!$E$788</definedName>
    <definedName name="HwiLvl">'Class Info'!$E$773</definedName>
    <definedName name="HWlLvl">'Class Info'!$E$664</definedName>
    <definedName name="HWMLvl">'Class Info'!$E$658</definedName>
    <definedName name="HWMSpecialAttack1">[1]ExportSheet!$AB$52</definedName>
    <definedName name="HWMSpecialAttack2">[1]ExportSheet!$AB$53</definedName>
    <definedName name="HWMSpecialAttack3">[1]ExportSheet!$AB$54</definedName>
    <definedName name="HwrLvl">'Class Info'!$E$749</definedName>
    <definedName name="HxBLvl">'Class Info'!$E$22</definedName>
    <definedName name="IaiLvl">'Class Info'!$E$621</definedName>
    <definedName name="IBTLvl">'Class Info'!$E$498</definedName>
    <definedName name="IDGLvl">'Class Info'!$E$500</definedName>
    <definedName name="IDMLvl">'Class Info'!$E$643</definedName>
    <definedName name="Ignan">[1]Languages!$H$21</definedName>
    <definedName name="IgnoreTempConForHP">[1]Classes!$BN$29</definedName>
    <definedName name="IllithidFeats">[1]Feats!$AQ$847</definedName>
    <definedName name="IllithidSkinAC">[1]Feats!$AQ$859</definedName>
    <definedName name="IllVeilSkBonus">[1]SoulmeldAbilities!$G$99</definedName>
    <definedName name="IlSlLvl">'Class Info'!$E$244</definedName>
    <definedName name="IlSLvl">'Class Info'!$E$411</definedName>
    <definedName name="ImpBootsRefBonus">[1]SoulmeldAbilities!$G$100</definedName>
    <definedName name="ImprovedArrowOfDeath">[1]Feats!$AQ$3331</definedName>
    <definedName name="ImprovedDamageReduction">[1]Feats!$AQ$2525</definedName>
    <definedName name="ImprovedDarkvisionMod">[1]Feats!$AQ$3337</definedName>
    <definedName name="ImprovedNaturalArmor">[1]Feats!$AQ$3120</definedName>
    <definedName name="ImprovedSneakAttack">[1]Feats!$AQ$3475</definedName>
    <definedName name="InBlLvl">'Class Info'!$E$389</definedName>
    <definedName name="IncAlignment">[1]SoulmeldAbilities!$G$1</definedName>
    <definedName name="IncandescentStrikeBonus">'[1]Incarnum Abilities'!$Z$30</definedName>
    <definedName name="IncarnumDefenseBonus">'[1]Incarnum Abilities'!$Z$52</definedName>
    <definedName name="IncarnumResetRange">'[1]Incarnum Abilities'!$F$2,'[1]Incarnum Abilities'!$L$2,'[1]Incarnum Abilities'!$R$2,'[1]Incarnum Abilities'!$R$8,'[1]Incarnum Abilities'!$L$8,'[1]Incarnum Abilities'!$F$8,'[1]Incarnum Abilities'!$F$14,'[1]Incarnum Abilities'!$L$14,'[1]Incarnum Abilities'!$R$14,'[1]Incarnum Abilities'!$R$20,'[1]Incarnum Abilities'!$L$20,'[1]Incarnum Abilities'!$F$20</definedName>
    <definedName name="IncarnumSelected">[1]Feats!$AL$6</definedName>
    <definedName name="IncarnumSpeedInitBonus">'[1]Incarnum Abilities'!$Z$51</definedName>
    <definedName name="IncarnumSpeedMoveBonus">'[1]Incarnum Abilities'!$AA$51</definedName>
    <definedName name="IncAvACBonus">[1]SoulmeldAbilities!$G$106</definedName>
    <definedName name="IncAvDmgBonus">[1]SoulmeldAbilities!$G$104</definedName>
    <definedName name="IncAvMeleeBonus">[1]SoulmeldAbilities!$G$108</definedName>
    <definedName name="IncAvRangedBonus">[1]SoulmeldAbilities!$G$102</definedName>
    <definedName name="IncAvSpd">[1]SoulmeldAbilities!$G$103</definedName>
    <definedName name="IncBinds">[1]Soulmelds!$BS$11</definedName>
    <definedName name="InChLvl">'Class Info'!$E$388</definedName>
    <definedName name="IncLvl">'Class Info'!$E$55</definedName>
    <definedName name="IncMelds">[1]Soulmelds!$BS$3</definedName>
    <definedName name="IncorporealSubtype">'[1]Race Info'!$B$81</definedName>
    <definedName name="IndexRaceAttacks">'[1]Race Info'!#REF!</definedName>
    <definedName name="InertialArmor">[1]Buffs!$M$60</definedName>
    <definedName name="InertialArmorMod">[1]Buffs!$Q$60</definedName>
    <definedName name="InertialBarrier">[1]Buffs!$M$61</definedName>
    <definedName name="InertialBarrierDR">[1]Buffs!$Q$61</definedName>
    <definedName name="Infernal">[1]Languages!$H$22</definedName>
    <definedName name="InheritedTemplateIntBonus">'[1]Template Info'!$AF$3</definedName>
    <definedName name="InitialCon">'[1]Stats &amp; Character Details'!$B$5</definedName>
    <definedName name="InitialDex">'[1]Stats &amp; Character Details'!$B$4</definedName>
    <definedName name="InitialInt">'[1]Stats &amp; Character Details'!$B$6</definedName>
    <definedName name="InitialStr">'[1]Stats &amp; Character Details'!$B$3</definedName>
    <definedName name="InitiateOfSharLevel">[1]ExportSheet!$BT$17</definedName>
    <definedName name="InitSheet">[1]ExportSheet!$B$14</definedName>
    <definedName name="InitTotal">'[1]CS Calc.'!$F$22</definedName>
    <definedName name="InMLvl">'Class Info'!$E$295</definedName>
    <definedName name="InqLvl">'Class Info'!$E$591</definedName>
    <definedName name="InsectileSelected">'[1]Race &amp; Templates'!$AG$40</definedName>
    <definedName name="InspireCompetenceAbility">'[1]Class Abilities'!$B$25</definedName>
    <definedName name="InspireCourageAbility">'[1]Class Abilities'!$B$24</definedName>
    <definedName name="InspireCourageBonus">[1]Buffs!$M$7</definedName>
    <definedName name="Int">'[1]Stats &amp; Character Details'!$BN$6</definedName>
    <definedName name="InteractionSkillTricks">'[1]Skill Tricks'!$O$6</definedName>
    <definedName name="IntMagicMod">'[1]Stats &amp; Character Details'!$BM$6</definedName>
    <definedName name="IntMod">'[1]Stats &amp; Character Details'!$BO$6</definedName>
    <definedName name="IntRaceList">[1]Interfaces!$H$2:INDEX([1]Interfaces!$H$2:$H$1024,[1]Interfaces!$H$1-1)</definedName>
    <definedName name="IntTempMod">'[1]CS Calc.'!$G$5</definedName>
    <definedName name="InvLvl">'Class Info'!$E$137</definedName>
    <definedName name="IPrLvl">'Class Info'!$E$574</definedName>
    <definedName name="IPSLvl">'Class Info'!$E$715</definedName>
    <definedName name="IrFmLvl">'Class Info'!$E$390</definedName>
    <definedName name="IronBody">[1]Buffs!$B$77</definedName>
    <definedName name="IronBodyACP">[1]Buffs!$J$77</definedName>
    <definedName name="IronBodyDexMod">[1]Buffs!$H$77</definedName>
    <definedName name="IronBodySpellFail">[1]Buffs!$I$77</definedName>
    <definedName name="IronBodyStrMod">[1]Buffs!$G$77</definedName>
    <definedName name="IronHeartManeuvers">'[1]Maneuvers &amp; Stances'!$X$88</definedName>
    <definedName name="IronHeartStrikes">'[1]Maneuvers &amp; Stances'!$AE$88</definedName>
    <definedName name="IsDSm">'[1]Class Abilities'!$F$1581</definedName>
    <definedName name="IsEberron">'[1]Option Info'!$H$17</definedName>
    <definedName name="IsGestalt">[1]Classes!$BN$28</definedName>
    <definedName name="IsLycanHumanoid">'[1]Creature Info'!$CN$62</definedName>
    <definedName name="IsLycanthrope">'[1]Creature Info'!$CN$59</definedName>
    <definedName name="IsLycanthropeAlternate">'[1]Creature Info'!$CN$63</definedName>
    <definedName name="IsPrimordial">'[1]Template Info'!$BI$31</definedName>
    <definedName name="IsShifter">'[1]Racial Abilities'!$G$681</definedName>
    <definedName name="IsShifting">[1]Buffs!$Q$43</definedName>
    <definedName name="ISVLvL">'Class Info'!$E$196</definedName>
    <definedName name="ItemAccessSheet">[1]ExportSheet!$B$23</definedName>
    <definedName name="ItemCreationRowsCnt">[1]Feats!$BD$8</definedName>
    <definedName name="ItemCreationSelected">[1]Feats!$AD$6</definedName>
    <definedName name="ItrLvl">'Class Info'!$E$96</definedName>
    <definedName name="ItxLvl">'Class Info'!$E$440</definedName>
    <definedName name="IVTLvl">'Class Info'!$E$499</definedName>
    <definedName name="JPMLvl">'Class Info'!$E$377</definedName>
    <definedName name="JusLvl">'Class Info'!$E$138</definedName>
    <definedName name="JWWLvl">'Class Info'!$E$508</definedName>
    <definedName name="KBMLvl">'Class Info'!$E$527</definedName>
    <definedName name="KChLvl">'Class Info'!#REF!</definedName>
    <definedName name="KeenLensSkBonus">[1]SoulmeldAbilities!$G$118</definedName>
    <definedName name="KelanenFavoredWeapon">[1]Tables!$X$124</definedName>
    <definedName name="KelanenFavoredWeaponCell">[1]ExportSheet!$V$15</definedName>
    <definedName name="KenLvl">'Class Info'!$E$139</definedName>
    <definedName name="KESLvl">'Class Info'!$E$521</definedName>
    <definedName name="KiCLvl">'Class Info'!$E$622</definedName>
    <definedName name="KIGLvl">'Class Info'!$E$331</definedName>
    <definedName name="KiStrike">'[1]Class Abilities'!$D$76</definedName>
    <definedName name="KnELvl">'Class Info'!$E$741</definedName>
    <definedName name="KniLvl">'Class Info'!$E$20</definedName>
    <definedName name="KnoCInitiativeMod">'[1]Class Abilities'!$D$3652</definedName>
    <definedName name="KnoCLvl">'Class Info'!$E$582</definedName>
    <definedName name="KnoLLvl">'Class Info'!$E$585</definedName>
    <definedName name="KnoRLvl">'Class Info'!$E$584</definedName>
    <definedName name="KnoSkLvl">'Class Info'!$E$586</definedName>
    <definedName name="KnoSwLvl">'Class Info'!$E$583</definedName>
    <definedName name="KnoTLvl">'Class Info'!$E$587</definedName>
    <definedName name="KnPLvl">'Class Info'!$E$141</definedName>
    <definedName name="KoCLvl">'Class Info'!$E$140</definedName>
    <definedName name="KoCSLvl">'Class Info'!$E$684</definedName>
    <definedName name="KoFHLvl">'Class Info'!$E$514</definedName>
    <definedName name="KoSSAlignedStrikeSel">[1]ExportSheet!$AF$187</definedName>
    <definedName name="KoSSLvl">'Class Info'!$E$383</definedName>
    <definedName name="KoSSVestigePatron">[1]ExportSheet!$AF$188</definedName>
    <definedName name="KotPLvl">'Class Info'!$E$344</definedName>
    <definedName name="KoWLvl">'Class Info'!$E$515</definedName>
    <definedName name="KPhLvl">'Class Info'!$E$540</definedName>
    <definedName name="KrakenMantGrappleMod">[1]SoulmeldAbilities!$G$122</definedName>
    <definedName name="KrakenMantSkBonus">[1]SoulmeldAbilities!$G$121</definedName>
    <definedName name="KrensharMaskSkBonus">[1]SoulmeldAbilities!$G$124</definedName>
    <definedName name="KruthClawSkBonus">[1]SoulmeldAbilities!$G$126</definedName>
    <definedName name="KshLvl">'Class Info'!$E$774</definedName>
    <definedName name="LamiaBeltSkBonus">[1]SoulmeldAbilities!$G$130</definedName>
    <definedName name="LamiaBeltSpd">[1]SoulmeldAbilities!$G$131</definedName>
    <definedName name="LandsharkBootsSkBonus">[1]SoulmeldAbilities!$G$137</definedName>
    <definedName name="LanguagesKnown">[1]Languages!$O$3</definedName>
    <definedName name="LayOnHands">'[1]Class Abilities'!$D$64</definedName>
    <definedName name="LdCLvl">'Class Info'!$E$345</definedName>
    <definedName name="LdlLvl">'Class Info'!$E$304</definedName>
    <definedName name="LegendaryWrestlerMod">[1]Feats!$AQ$3363</definedName>
    <definedName name="Level12StatBump">[1]ExportSheet!$L$11</definedName>
    <definedName name="Level16StatBump">[1]ExportSheet!$L$12</definedName>
    <definedName name="Level20StatBump">[1]ExportSheet!$L$13</definedName>
    <definedName name="Level24StatBump">[1]ExportSheet!$M$9</definedName>
    <definedName name="Level28StatBump">[1]ExportSheet!$M$10</definedName>
    <definedName name="Level32StatBump">[1]ExportSheet!$M$11</definedName>
    <definedName name="Level36StatBump">[1]ExportSheet!$M$12</definedName>
    <definedName name="Level40StatBump">[1]ExportSheet!$M$13</definedName>
    <definedName name="Level44StatBump">[1]ExportSheet!$N$9</definedName>
    <definedName name="Level48StatBump">[1]ExportSheet!$N$10</definedName>
    <definedName name="Level4StatBump">[1]ExportSheet!$L$9</definedName>
    <definedName name="Level52StatBump">[1]ExportSheet!$N$11</definedName>
    <definedName name="Level56StatBump">[1]ExportSheet!$N$12</definedName>
    <definedName name="Level60StatBump">[1]ExportSheet!$N$13</definedName>
    <definedName name="Level8StatBump">[1]ExportSheet!$L$10</definedName>
    <definedName name="LfdLvl">'Class Info'!$E$696</definedName>
    <definedName name="LFWLvl">'Class Info'!$E$563</definedName>
    <definedName name="LFWTerrain">[1]ExportSheet!$AF$66</definedName>
    <definedName name="LGNonCoreAvailable">'[1]Spell Info'!$L$102</definedName>
    <definedName name="LGNonCoreAvailableFt">[1]Feats!$AQ$3</definedName>
    <definedName name="LgTaLvl">'Class Info'!$E$592</definedName>
    <definedName name="LightArmorProf">'Class Info'!$EJ$11</definedName>
    <definedName name="ListenTotal">[1]Skills!$HI$55</definedName>
    <definedName name="ListSpecialization">[1]Feats!$AQ$134</definedName>
    <definedName name="Literate">[1]Languages!$N$27</definedName>
    <definedName name="LivingConstructSubtype">'[1]Race Info'!$B$79</definedName>
    <definedName name="LkSLvl">'Class Info'!$E$313</definedName>
    <definedName name="LkTLvl">'Class Info'!$E$677</definedName>
    <definedName name="LLdLvl">'Class Info'!$E$354</definedName>
    <definedName name="LMyLvl">'Class Info'!$E$603</definedName>
    <definedName name="LoadACP">[1]Armor!$R$14</definedName>
    <definedName name="LoadLight">'[1]CS Calc.'!$B$83</definedName>
    <definedName name="LoadMaxDex">[1]Armor!$R$12</definedName>
    <definedName name="LoadMedium">'[1]CS Calc.'!$B$84</definedName>
    <definedName name="LorAbilBonus1">[1]ExportSheet!$AB$17</definedName>
    <definedName name="LorAbilBonus2">[1]ExportSheet!$AB$18</definedName>
    <definedName name="LorAbilDodge">[1]ExportSheet!$AB$15</definedName>
    <definedName name="LorAbilFort">[1]ExportSheet!$AB$12</definedName>
    <definedName name="LorAbilHealth">[1]ExportSheet!$AB$10</definedName>
    <definedName name="LorAbilKnow">[1]ExportSheet!$AB$16</definedName>
    <definedName name="LorAbilMast">[1]ExportSheet!$AB$9</definedName>
    <definedName name="LorAbilMasterLvl">[1]ExportSheet!$AC$9</definedName>
    <definedName name="LorAbilRef">[1]ExportSheet!$AB$13</definedName>
    <definedName name="LorAbilWeap">[1]ExportSheet!$AB$14</definedName>
    <definedName name="LorAbilWill">[1]ExportSheet!$AB$11</definedName>
    <definedName name="LorLvl">'Class Info'!$E$117</definedName>
    <definedName name="LoTLvl">'Class Info'!$E$716</definedName>
    <definedName name="LrkLvl">'Class Info'!$E$40</definedName>
    <definedName name="LrkLvlAbilities">'[1]Psionic Info'!$Q$90:$S$110</definedName>
    <definedName name="LScLvl">'Class Info'!$E$604</definedName>
    <definedName name="LScRegion1">[1]ExportSheet!$AI$67</definedName>
    <definedName name="LScRegion2">[1]ExportSheet!$AI$68</definedName>
    <definedName name="LScRegion3">[1]ExportSheet!$AI$69</definedName>
    <definedName name="LshLvl">'Class Info'!$E$792</definedName>
    <definedName name="LSoLvl">'Class Info'!$E$605</definedName>
    <definedName name="LTiLvl">'Class Info'!$E$338</definedName>
    <definedName name="LuckFeatsSelected">[1]Feats!$AH$6</definedName>
    <definedName name="LuminousArmor">[1]Buffs!$B$29</definedName>
    <definedName name="LuminousArmorMod">[1]Buffs!$G$29</definedName>
    <definedName name="LurkAugment">'[1]Class Abilities'!$D$3200</definedName>
    <definedName name="LvHLvl">'Class Info'!$E$346</definedName>
    <definedName name="Lvl1to20List">[1]Classes!$A$2:$A$21</definedName>
    <definedName name="Lvl1to60List">[1]Classes!$A$2:$A$61</definedName>
    <definedName name="LvlCS">[1]Classes!$BN$14</definedName>
    <definedName name="LvlMax">[1]Classes!$BN$15</definedName>
    <definedName name="LycanthropeAffliction">'[1]Race &amp; Templates'!$X$18</definedName>
    <definedName name="LycanthropeAnimal">'[1]Race &amp; Templates'!$X$17</definedName>
    <definedName name="LycanthropeBaseIdx">'[1]Creature Info'!$CN$70</definedName>
    <definedName name="LycanthropeCell">'Class Info'!$A$797</definedName>
    <definedName name="LycanthropeForm">'[1]Race &amp; Templates'!$X$19</definedName>
    <definedName name="LycanthropeHPAdjustment">'[1]Creature Info'!$CN$64</definedName>
    <definedName name="LycanthropeList">'[1]Creature Info'!$BT$7:INDEX('[1]Creature Info'!$BT$7:$BT$225,LycanthropeListRowsCnt)</definedName>
    <definedName name="LycanthropeListRowsCnt">'[1]Creature Info'!$CN$8</definedName>
    <definedName name="LycanthropeName">'[1]Creature Info'!$CN$65</definedName>
    <definedName name="LycanthropeRacialSkill">'[1]Creature Info'!$CN$69</definedName>
    <definedName name="LycanthropeSelected">'Class Info'!$EF$4</definedName>
    <definedName name="LyTLvl">'Class Info'!$E$254</definedName>
    <definedName name="MaeLvl">'Class Info'!$E$224</definedName>
    <definedName name="MageArmor">[1]Buffs!$B$10</definedName>
    <definedName name="MageArmorBonus">[1]Buffs!$G$10</definedName>
    <definedName name="MageKillerSaveCell">[1]ExportSheet!$AK$33</definedName>
    <definedName name="MageKillerSchoolCell">[1]ExportSheet!$AK$34</definedName>
    <definedName name="MageSpecSkBonus">[1]SoulmeldAbilities!$G$147</definedName>
    <definedName name="MagicalDefenseMod">'[1]Class Abilities'!$D$3323</definedName>
    <definedName name="MagicalTraining">[1]Feats!$AQ$2126</definedName>
    <definedName name="MagicArmor">[1]Enhancements!$C$3</definedName>
    <definedName name="MagicEquipArmBonus">[1]ExportSheet!$K$54</definedName>
    <definedName name="MagicEquipArmType">[1]ExportSheet!$K$53</definedName>
    <definedName name="MagicEquipBodyBonus">[1]ExportSheet!$M$45</definedName>
    <definedName name="MagicEquipBodyType">[1]ExportSheet!$M$44</definedName>
    <definedName name="MagicEquipFaceType">[1]ExportSheet!$L$47</definedName>
    <definedName name="MagicEquipFeetType">[1]ExportSheet!$M$53</definedName>
    <definedName name="MagicEquipHandBonus">[1]ExportSheet!$K$51</definedName>
    <definedName name="MagicEquipHandType">[1]ExportSheet!$K$50</definedName>
    <definedName name="MagicEquipHeadBonus">[1]ExportSheet!$L$45</definedName>
    <definedName name="MagicEquipHeadType">[1]ExportSheet!$L$44</definedName>
    <definedName name="MagicEquipNeckBonus">[1]ExportSheet!$L$51</definedName>
    <definedName name="MagicEquipNeckType">[1]ExportSheet!$L$50</definedName>
    <definedName name="MagicEquipReset">[1]ExportSheet!$K$44:$M$45,[1]ExportSheet!$K$47:$M$48,[1]ExportSheet!$K$50:$M$51,[1]ExportSheet!$K$53:$M$54</definedName>
    <definedName name="MagicEquipRingBonus1">[1]ExportSheet!$K$45</definedName>
    <definedName name="MagicEquipRingBonus2">[1]ExportSheet!$K$48</definedName>
    <definedName name="MagicEquipRingType1">[1]ExportSheet!$K$44</definedName>
    <definedName name="MagicEquipRingType2">[1]ExportSheet!$K$47</definedName>
    <definedName name="MagicEquipShoulderBonus">[1]ExportSheet!$L$54</definedName>
    <definedName name="MagicEquipShoulderType">[1]ExportSheet!$L$53</definedName>
    <definedName name="MagicEquipTorsoBonus">[1]ExportSheet!$M$48</definedName>
    <definedName name="MagicEquipTorsoType">[1]ExportSheet!$M$47</definedName>
    <definedName name="MagicEquipWaistBonus">[1]ExportSheet!$M$51</definedName>
    <definedName name="MagicEquipWaistType">[1]ExportSheet!$M$50</definedName>
    <definedName name="MagicFeats">[1]Feats!$AC$5</definedName>
    <definedName name="MagicFort">[1]Enhancements!$C$9</definedName>
    <definedName name="MagicInit">[1]Enhancements!$C$8</definedName>
    <definedName name="MagicRef">[1]Enhancements!$C$10</definedName>
    <definedName name="MagicShield">[1]Enhancements!$C$4</definedName>
    <definedName name="MagicTurn">[1]Enhancements!$C$12</definedName>
    <definedName name="MagicWill">[1]Enhancements!$C$11</definedName>
    <definedName name="MagnificoBonusClassSkill">[1]ExportSheet!$W$54</definedName>
    <definedName name="MagTLvl">'Class Info'!$E$267</definedName>
    <definedName name="MajorAuras">[1]Tables!$P$337</definedName>
    <definedName name="MalLvl">'Class Info'!$E$268</definedName>
    <definedName name="MAmLvl">'Class Info'!$E$606</definedName>
    <definedName name="ManeuverList">'[1]Maneuvers &amp; Stances'!$BB$6</definedName>
    <definedName name="Maneuvers">'[1]Maneuvers &amp; Stances'!$BC$6</definedName>
    <definedName name="Manifester1">[1]ExportSheet!$AF$14</definedName>
    <definedName name="Manifester10">[1]ExportSheet!$AF$23</definedName>
    <definedName name="Manifester11">[1]ExportSheet!$AF$24</definedName>
    <definedName name="Manifester12">[1]ExportSheet!$AF$25</definedName>
    <definedName name="Manifester13">[1]ExportSheet!$AF$26</definedName>
    <definedName name="Manifester14">[1]ExportSheet!$AF$27</definedName>
    <definedName name="Manifester15">[1]ExportSheet!$AF$28</definedName>
    <definedName name="Manifester16">[1]ExportSheet!$AF$29</definedName>
    <definedName name="Manifester17">[1]ExportSheet!$AF$30</definedName>
    <definedName name="Manifester18">[1]ExportSheet!$AF$31</definedName>
    <definedName name="Manifester19">[1]ExportSheet!$AF$32</definedName>
    <definedName name="Manifester2">[1]ExportSheet!$AF$15</definedName>
    <definedName name="Manifester20">[1]ExportSheet!$AF$33</definedName>
    <definedName name="Manifester21">[1]ExportSheet!$AF$34</definedName>
    <definedName name="Manifester22">[1]ExportSheet!$AF$35</definedName>
    <definedName name="Manifester23">[1]ExportSheet!$AF$36</definedName>
    <definedName name="Manifester24">[1]ExportSheet!$AF$37</definedName>
    <definedName name="Manifester25">[1]ExportSheet!$AF$38</definedName>
    <definedName name="Manifester3">[1]ExportSheet!$AF$16</definedName>
    <definedName name="Manifester4">[1]ExportSheet!$AF$17</definedName>
    <definedName name="Manifester5">[1]ExportSheet!$AF$18</definedName>
    <definedName name="Manifester6">[1]ExportSheet!$AF$19</definedName>
    <definedName name="Manifester7">[1]ExportSheet!$AF$20</definedName>
    <definedName name="Manifester8">[1]ExportSheet!$AF$21</definedName>
    <definedName name="Manifester9">[1]ExportSheet!$AF$22</definedName>
    <definedName name="ManifesterCell">[1]ExportSheet!$AE$13</definedName>
    <definedName name="ManifesterNames">[1]ExportSheet!$AE$14:$AE$38</definedName>
    <definedName name="ManipulationSkillTricks">'[1]Skill Tricks'!$O$14</definedName>
    <definedName name="ManKnownClass">'[1]Maneuvers &amp; Stances'!$Z$7:$Z$230</definedName>
    <definedName name="ManReadiedClass">'[1]Maneuvers &amp; Stances'!$AD$7:$AD$230</definedName>
    <definedName name="MantBeltFlySpeed">[1]SoulmeldAbilities!$G$150</definedName>
    <definedName name="MantBeltSkBonus">[1]SoulmeldAbilities!$G$149</definedName>
    <definedName name="MarLvl">'Class Info'!$E$92</definedName>
    <definedName name="MarshalDraconicAuras">[1]ExportSheet!$W$31:$W$40</definedName>
    <definedName name="MartialClass">'[1]Maneuvers &amp; Stances'!$Y$1</definedName>
    <definedName name="MartialProf">'Class Info'!$EJ$17</definedName>
    <definedName name="MartialStudy1">[1]Feats!$AO$1538</definedName>
    <definedName name="MartialStudy2">[1]Feats!$AO$1539</definedName>
    <definedName name="MartialStudy3">[1]Feats!$AO$1540</definedName>
    <definedName name="MartialWeapon1">[1]Feats!$AO$65</definedName>
    <definedName name="MartialWeapon2">[1]Feats!$AO$66</definedName>
    <definedName name="MartialWeapon3">[1]Feats!$AO$67</definedName>
    <definedName name="MasNLvl">'Class Info'!$E$378</definedName>
    <definedName name="MasterLevel">'[1]Creature Info'!$CN$56</definedName>
    <definedName name="MasterLinguistLevel">[1]ExportSheet!$BT$16</definedName>
    <definedName name="MasterThrowerCells">[1]ExportSheet!$AG$13:$AG$15</definedName>
    <definedName name="MasterThrowerTricks">[1]Tables!$N$218:$N$227</definedName>
    <definedName name="MaTLvl">'Class Info'!$E$142</definedName>
    <definedName name="MaTTrick1">[1]ExportSheet!$AG$13</definedName>
    <definedName name="MaTTrick2">[1]ExportSheet!$AG$14</definedName>
    <definedName name="MaTTrick3">[1]ExportSheet!$AG$15</definedName>
    <definedName name="MaulGauntUnarmedBonus">[1]SoulmeldAbilities!$G$156</definedName>
    <definedName name="MaxArcaneLevel">'[1]Spell Info'!$E$80</definedName>
    <definedName name="MaxArcaneSpellLevel">'[1]Spell Info'!$L$80</definedName>
    <definedName name="MaxArcaneSpellLikeLevel">'[1]Spell Info'!$E$82</definedName>
    <definedName name="MaxArtificerLevel">'[1]Spell Info'!$F$7</definedName>
    <definedName name="MaxCasterLevel">'[1]Spell Info'!$E$83</definedName>
    <definedName name="MaxCasterLevelFt">[1]Feats!$AQ$4</definedName>
    <definedName name="MaxCasterMod">'[1]Spell Info'!$F$75</definedName>
    <definedName name="MaxDexBonus">[1]Armor!$N$80</definedName>
    <definedName name="MaxDivineLevel">'[1]Spell Info'!$E$81</definedName>
    <definedName name="MaxDivineSpellLevel">'[1]Spell Info'!$L$81</definedName>
    <definedName name="MaxManifesterLevel">'[1]Psionic Info'!$F$18</definedName>
    <definedName name="MaxPowerLevel">'[1]Psionic Info'!$K$18</definedName>
    <definedName name="MaxSpellLevel">'[1]Spell Info'!$L$82</definedName>
    <definedName name="MaxSpontaneousLevel">'[1]Spell Info'!$L$83</definedName>
    <definedName name="MbLvl">'Class Info'!$E$753</definedName>
    <definedName name="MBrLvl">'Class Info'!$E$305</definedName>
    <definedName name="MCCell">'[1]Race &amp; Templates'!$P$17</definedName>
    <definedName name="MChBonus1">[1]ExportSheet!$AI$30</definedName>
    <definedName name="MChBonus2">[1]ExportSheet!$AI$31</definedName>
    <definedName name="MChBonus3">[1]ExportSheet!$AI$32</definedName>
    <definedName name="MChBonus4">[1]ExportSheet!$AI$33</definedName>
    <definedName name="MChBonus5">[1]ExportSheet!$AI$34</definedName>
    <definedName name="MChLvl">'Class Info'!$E$443</definedName>
    <definedName name="McuLvl">'Class Info'!$E$751</definedName>
    <definedName name="MedArmorProf">'Class Info'!$EJ$12</definedName>
    <definedName name="MeldArms">[1]ExportSheet!$BE$51</definedName>
    <definedName name="MeldArmsClass">[1]ExportSheet!$BE$52</definedName>
    <definedName name="MeldBrow">[1]ExportSheet!$BD$59</definedName>
    <definedName name="MeldBrowClass">[1]ExportSheet!$BD$60</definedName>
    <definedName name="MeldCrown">[1]ExportSheet!$BF$55</definedName>
    <definedName name="MeldCrownClass">[1]ExportSheet!$BF$56</definedName>
    <definedName name="MeldDouble1">[1]ExportSheet!$BD$63</definedName>
    <definedName name="MeldDouble1Class">[1]ExportSheet!$BD$64</definedName>
    <definedName name="MeldDouble2">[1]ExportSheet!$BE$63</definedName>
    <definedName name="MeldDouble2Class">[1]ExportSheet!$BE$64</definedName>
    <definedName name="MeldDouble3">[1]ExportSheet!$BF$63</definedName>
    <definedName name="MeldDouble3Class">[1]ExportSheet!$BF$64</definedName>
    <definedName name="MeldFeet">[1]ExportSheet!$BE$55</definedName>
    <definedName name="MeldFeetClass">[1]ExportSheet!$BE$56</definedName>
    <definedName name="MeldHands">[1]ExportSheet!$BF$51</definedName>
    <definedName name="MeldHandsClass">[1]ExportSheet!$BF$52</definedName>
    <definedName name="MeldHeart">[1]ExportSheet!$BF$59</definedName>
    <definedName name="MeldHeartClass">[1]ExportSheet!$BF$60</definedName>
    <definedName name="MeldLvlInc">[1]Soulmelds!$AA$4</definedName>
    <definedName name="MeldLvlMax">[1]Soulmelds!$AA$8</definedName>
    <definedName name="MeldLvlSbn">[1]Soulmelds!$AA$5</definedName>
    <definedName name="MeldLvlSpW">[1]Soulmelds!$AA$7</definedName>
    <definedName name="MeldLvlTotm">[1]Soulmelds!$AA$6</definedName>
    <definedName name="Meldshaper1">[1]ExportSheet!$AL$37</definedName>
    <definedName name="Meldshaper10">[1]ExportSheet!$AL$46</definedName>
    <definedName name="Meldshaper11">[1]ExportSheet!$AL$47</definedName>
    <definedName name="Meldshaper12">[1]ExportSheet!$AL$48</definedName>
    <definedName name="Meldshaper13">[1]ExportSheet!$AL$49</definedName>
    <definedName name="Meldshaper14">[1]ExportSheet!$AL$50</definedName>
    <definedName name="Meldshaper15">[1]ExportSheet!$AL$51</definedName>
    <definedName name="Meldshaper16">[1]ExportSheet!$AL$52</definedName>
    <definedName name="Meldshaper17">[1]ExportSheet!$AL$53</definedName>
    <definedName name="Meldshaper18">[1]ExportSheet!$AL$54</definedName>
    <definedName name="Meldshaper19">[1]ExportSheet!$AL$55</definedName>
    <definedName name="Meldshaper2">[1]ExportSheet!$AL$38</definedName>
    <definedName name="Meldshaper20">[1]ExportSheet!$AL$56</definedName>
    <definedName name="Meldshaper21">[1]ExportSheet!$AL$57</definedName>
    <definedName name="Meldshaper22">[1]ExportSheet!$AL$58</definedName>
    <definedName name="Meldshaper23">[1]ExportSheet!$AL$59</definedName>
    <definedName name="Meldshaper24">[1]ExportSheet!$AL$60</definedName>
    <definedName name="Meldshaper25">[1]ExportSheet!$AL$61</definedName>
    <definedName name="Meldshaper3">[1]ExportSheet!$AL$39</definedName>
    <definedName name="Meldshaper4">[1]ExportSheet!$AL$40</definedName>
    <definedName name="Meldshaper5">[1]ExportSheet!$AL$41</definedName>
    <definedName name="Meldshaper6">[1]ExportSheet!$AL$42</definedName>
    <definedName name="Meldshaper7">[1]ExportSheet!$AL$43</definedName>
    <definedName name="Meldshaper8">[1]ExportSheet!$AL$44</definedName>
    <definedName name="Meldshaper9">[1]ExportSheet!$AL$45</definedName>
    <definedName name="MeldShoulders">[1]ExportSheet!$BD$51</definedName>
    <definedName name="MeldShouldersClass">[1]ExportSheet!$BD$52</definedName>
    <definedName name="MeldSlots">[1]Soulmelds!$Y$42</definedName>
    <definedName name="MeldSoul">[1]ExportSheet!$BD$55</definedName>
    <definedName name="MeldSoulClass">[1]ExportSheet!$BD$56</definedName>
    <definedName name="MeldsShaped">[1]Soulmelds!$AN$28</definedName>
    <definedName name="MeldThroat">[1]ExportSheet!$BE$59</definedName>
    <definedName name="MeldThroatClass">[1]ExportSheet!$BE$60</definedName>
    <definedName name="MeldWaist">[1]ExportSheet!$BG$51</definedName>
    <definedName name="MeldWaistClass">[1]ExportSheet!$BG$52</definedName>
    <definedName name="MeleeBonus">[1]Classes!$BJ$2</definedName>
    <definedName name="MeleeTempMod">'[1]CS Calc.'!$I$23</definedName>
    <definedName name="MeleeWeaponMasteryCell1">[1]Feats!$AP$215</definedName>
    <definedName name="MeleeWeaponMasteryCell2">[1]Feats!$AP$216</definedName>
    <definedName name="MeleeWeaponMasteryCell3">[1]Feats!$AP$217</definedName>
    <definedName name="MentalBarrier">[1]Buffs!$M$63</definedName>
    <definedName name="MentalBarrierACMod">[1]Buffs!$Q$63</definedName>
    <definedName name="MentalSkillTricks">'[1]Skill Tricks'!$O$28</definedName>
    <definedName name="MercenaryBackgroundLevel">[1]ExportSheet!$BT$6</definedName>
    <definedName name="MetaBreathFeats">[1]Feats!$AQ$2921</definedName>
    <definedName name="MetamagicRowsCnt">[1]Feats!$AY$8</definedName>
    <definedName name="MetamagicSelected">[1]Feats!$AC$6</definedName>
    <definedName name="MetapsionicFeatSelected">[1]Feats!$AF$6</definedName>
    <definedName name="MgKLvl">'Class Info'!$E$478</definedName>
    <definedName name="MhrLvl">'Class Info'!$E$760</definedName>
    <definedName name="MightyRage">[1]Buffs!$M$5</definedName>
    <definedName name="MightyRageConMod">[1]Buffs!$R$5</definedName>
    <definedName name="MightyRageStrMod">[1]Buffs!$Q$5</definedName>
    <definedName name="MightyRageWillMod">[1]Buffs!$S$5</definedName>
    <definedName name="MILSheet">[1]ExportSheet!$B$15</definedName>
    <definedName name="MindBlade">'[1]Class Abilities'!$D$1607</definedName>
    <definedName name="MindOverBodyFeat">[1]Feats!$AQ$2130</definedName>
    <definedName name="MineralWarriorSelected">'[1]Race &amp; Templates'!$AG$42</definedName>
    <definedName name="MInLvl">'Class Info'!$E$536</definedName>
    <definedName name="MinorAuras">[1]Tables!$P$320</definedName>
    <definedName name="Misc.FortMod">'[1]CS Calc.'!$B$24</definedName>
    <definedName name="Misc.InitiativeMod">'[1]CS Calc.'!$F$24</definedName>
    <definedName name="Misc.ReflexMod">'[1]CS Calc.'!$C$24</definedName>
    <definedName name="Misc.WillMod">'[1]CS Calc.'!$D$24</definedName>
    <definedName name="MiscACBonus">[1]Enhancements!$C$7</definedName>
    <definedName name="MiscAttack">[1]Enhancements!$C$15</definedName>
    <definedName name="MiscMelee">[1]Enhancements!$C$16</definedName>
    <definedName name="MiscNatArmor">[1]Armor!$T$29</definedName>
    <definedName name="MiscRanged">[1]Enhancements!$C$17</definedName>
    <definedName name="MiscSpeed">[1]Enhancements!$C$2</definedName>
    <definedName name="MithralFluidity">[1]Feats!$AQ$2529</definedName>
    <definedName name="MLDLvl">'Class Info'!$E$444</definedName>
    <definedName name="MMcLvl">'Class Info'!$E$623</definedName>
    <definedName name="MMFLvl">'Class Info'!$E$225</definedName>
    <definedName name="MnbLvl">'Class Info'!$E$199</definedName>
    <definedName name="MnfLvl">'Class Info'!$E$97</definedName>
    <definedName name="MnkLvl">'Class Info'!$E$10</definedName>
    <definedName name="MNMLvl">'Class Info'!$E$624</definedName>
    <definedName name="MnsALvl">'Class Info'!$E$528</definedName>
    <definedName name="MnSpLvl">'Class Info'!$E$548</definedName>
    <definedName name="MoALvl">'Class Info'!$E$197</definedName>
    <definedName name="ModCodes">'[1]LG Game Log'!$B$30:$B$250</definedName>
    <definedName name="ModivateArdorMod">[1]Buffs!$M$28</definedName>
    <definedName name="MoJLvl">'Class Info'!#REF!</definedName>
    <definedName name="MoLLvl">'Class Info'!$E$445</definedName>
    <definedName name="MoMLvl">'Class Info'!$E$269</definedName>
    <definedName name="MonCell">'Class Info'!$A$799</definedName>
    <definedName name="MonkACBonus">'[1]Class Abilities'!$D$71</definedName>
    <definedName name="MonkFeat1">[1]ExportSheet!$T$23</definedName>
    <definedName name="MonkFeat2">[1]ExportSheet!$T$24</definedName>
    <definedName name="MonkFeat3">[1]ExportSheet!$T$25</definedName>
    <definedName name="MonkFlurryLevel">'[1]Class Abilities'!$D$72</definedName>
    <definedName name="MonkTattoo1">[1]ExportSheet!$AH$10</definedName>
    <definedName name="MonkTattoo2">[1]ExportSheet!$AH$11</definedName>
    <definedName name="MonkTattoo3">[1]ExportSheet!$AH$12</definedName>
    <definedName name="MonkTattoo4">[1]ExportSheet!$AH$13</definedName>
    <definedName name="MonkTattoo5">[1]ExportSheet!$AH$14</definedName>
    <definedName name="MonkTattoos">[1]Tables!$N$271:$N$301</definedName>
    <definedName name="MonLvl">'Class Info'!$E$799</definedName>
    <definedName name="MonSelected">'Class Info'!$EF$5</definedName>
    <definedName name="MonsterClassRace">'[1]Race Info'!$B$17</definedName>
    <definedName name="MonType">'[1]Race Info'!$C$54</definedName>
    <definedName name="MoonSpkEnergyResist1">[1]ExportSheet!$AE$52</definedName>
    <definedName name="MoonSpkEnergyResist2">[1]ExportSheet!$AE$53</definedName>
    <definedName name="MoonSpkResist1">[1]Tables!$Q$68</definedName>
    <definedName name="MoonSpkResist2">[1]Tables!$Q$76</definedName>
    <definedName name="MoPLvl">'Class Info'!$E$442</definedName>
    <definedName name="MoRLvl">'Class Info'!$E$670</definedName>
    <definedName name="MoSLvl">'Class Info'!$E$671</definedName>
    <definedName name="MotivateAttackMod">[1]Buffs!$M$29</definedName>
    <definedName name="MotivateCareMod">[1]Buffs!$M$30</definedName>
    <definedName name="MotivateChaMod">[1]Buffs!$M$19</definedName>
    <definedName name="MotivateConMod">[1]Buffs!$M$20</definedName>
    <definedName name="MotivateDexterityMod">[1]Buffs!$M$21</definedName>
    <definedName name="MotivateIntMod">[1]Buffs!$M$22</definedName>
    <definedName name="MotivateStrMod">[1]Buffs!$M$23</definedName>
    <definedName name="MotivateUrgencyMod">[1]Buffs!$M$31</definedName>
    <definedName name="MotivateWisMod">[1]Buffs!$M$24</definedName>
    <definedName name="MotLvl">'Class Info'!$E$625</definedName>
    <definedName name="MouLvl">'Class Info'!$E$270</definedName>
    <definedName name="MountCell">[1]ExportSheet!$T$21</definedName>
    <definedName name="MovementSkillTricks">'[1]Skill Tricks'!$O$37</definedName>
    <definedName name="MplLvl">'Class Info'!$E$750</definedName>
    <definedName name="MpsLvl">'Class Info'!$E$742</definedName>
    <definedName name="MrsLvl">'Class Info'!$E$60</definedName>
    <definedName name="MsALvl">'Class Info'!$E$479</definedName>
    <definedName name="MsEPsiChangeShape">[1]ExportSheet!$F$184</definedName>
    <definedName name="MsEPsiEnergySnap">[1]ExportSheet!$F$192</definedName>
    <definedName name="MsEPsiFatePoints">[1]ExportSheet!$F$187</definedName>
    <definedName name="MsEPsiGreaterAnimator">[1]ExportSheet!$F$193</definedName>
    <definedName name="MsEPsiHarbinger">[1]ExportSheet!$F$191</definedName>
    <definedName name="MsEPsiPersonalConstruct">[1]ExportSheet!$F$189</definedName>
    <definedName name="MsEPsiPersonalSpace">[1]ExportSheet!$F$194</definedName>
    <definedName name="MsEPsiPsionicKnowledge">[1]ExportSheet!$F$186</definedName>
    <definedName name="MsEPsiTelepathicCommunication">[1]ExportSheet!$F$190</definedName>
    <definedName name="MsEPsiTemporalGrace">[1]ExportSheet!$F$195</definedName>
    <definedName name="MsEPsiTrinkets">[1]ExportSheet!$F$188</definedName>
    <definedName name="MsEPsiTrueHealer">[1]ExportSheet!$F$185</definedName>
    <definedName name="MsmLvl">'Class Info'!$E$752</definedName>
    <definedName name="MSpLvl">'Class Info'!$E$144</definedName>
    <definedName name="MsSkLvl">'Class Info'!$E$516</definedName>
    <definedName name="MsSkShieldMod">'[1]Class Abilities'!$D$3324</definedName>
    <definedName name="MsSkSpellTurnMod">'[1]Class Abilities'!$D$3325</definedName>
    <definedName name="MstSLvl">'Class Info'!$E$255</definedName>
    <definedName name="MtaLvl">'Class Info'!$E$412</definedName>
    <definedName name="MtHLvl">'Class Info'!$E$697</definedName>
    <definedName name="MTrLvl">'Class Info'!$E$198</definedName>
    <definedName name="MUHLvl">'Class Info'!$E$143</definedName>
    <definedName name="MVpLvl">'Class Info'!$E$678</definedName>
    <definedName name="MyELvl">'Class Info'!$E$278</definedName>
    <definedName name="MyESaveBonus">'[1]Class Abilities'!$D$3864</definedName>
    <definedName name="MySize">[1]Attacks!$L$36</definedName>
    <definedName name="MysLvl">'Class Info'!$E$89</definedName>
    <definedName name="MysticTheurge1">[1]ExportSheet!$AD$39</definedName>
    <definedName name="MysticTheurge10">[1]ExportSheet!$AD$48</definedName>
    <definedName name="MysticTheurge11">[1]ExportSheet!$AD$49</definedName>
    <definedName name="MysticTheurge12">[1]ExportSheet!$AD$50</definedName>
    <definedName name="MysticTheurge13">[1]ExportSheet!$AD$51</definedName>
    <definedName name="MysticTheurge14">[1]ExportSheet!$AD$52</definedName>
    <definedName name="MysticTheurge15">[1]ExportSheet!$AD$53</definedName>
    <definedName name="MysticTheurge16">[1]ExportSheet!$AD$54</definedName>
    <definedName name="MysticTheurge17">[1]ExportSheet!$AD$55</definedName>
    <definedName name="MysticTheurge18">[1]ExportSheet!$AD$56</definedName>
    <definedName name="MysticTheurge19">[1]ExportSheet!$AD$57</definedName>
    <definedName name="MysticTheurge2">[1]ExportSheet!$AD$40</definedName>
    <definedName name="MysticTheurge20">[1]ExportSheet!$AD$58</definedName>
    <definedName name="MysticTheurge21">[1]ExportSheet!$AD$59</definedName>
    <definedName name="MysticTheurge22">[1]ExportSheet!$AD$60</definedName>
    <definedName name="MysticTheurge23">[1]ExportSheet!$AD$61</definedName>
    <definedName name="MysticTheurge24">[1]ExportSheet!$AD$62</definedName>
    <definedName name="MysticTheurge25">[1]ExportSheet!$AD$63</definedName>
    <definedName name="MysticTheurge3">[1]ExportSheet!$AD$41</definedName>
    <definedName name="MysticTheurge4">[1]ExportSheet!$AD$42</definedName>
    <definedName name="MysticTheurge5">[1]ExportSheet!$AD$43</definedName>
    <definedName name="MysticTheurge6">[1]ExportSheet!$AD$44</definedName>
    <definedName name="MysticTheurge7">[1]ExportSheet!$AD$45</definedName>
    <definedName name="MysticTheurge8">[1]ExportSheet!$AD$46</definedName>
    <definedName name="MysticTheurge9">[1]ExportSheet!$AD$47</definedName>
    <definedName name="MyTLvl">'Class Info'!$E$118</definedName>
    <definedName name="MyWLvl">'Class Info'!$E$480</definedName>
    <definedName name="NatArmor">[1]Enhancements!$C$5</definedName>
    <definedName name="NativeTies">[1]ExportSheet!$AF$60:$AF$62</definedName>
    <definedName name="NativeTies1">[1]ExportSheet!$AF$60</definedName>
    <definedName name="NativeTies2">[1]ExportSheet!$AF$61</definedName>
    <definedName name="NativeTies3">[1]ExportSheet!$AF$62</definedName>
    <definedName name="NaturalArmor">'[1]CS Calc.'!$E$43</definedName>
    <definedName name="NaturalAttacks">'[1]Class Weapons &amp; Armor'!$AQ$2</definedName>
    <definedName name="NaturesArmaments">[1]Tables!$N$234:$N$244</definedName>
    <definedName name="NaturesWarriorCells">[1]ExportSheet!$AG$16:$AG$18</definedName>
    <definedName name="NcrLvl">'Class Info'!$E$391</definedName>
    <definedName name="NeckSlot">'[1]Magic Equipment'!$P$12</definedName>
    <definedName name="NeckSlotConMod">'[1]Magic Equipment'!$AQ$16</definedName>
    <definedName name="NeckSlotMightFistBonus">'[1]Magic Equipment'!$AQ$19</definedName>
    <definedName name="NeckSlotNatArmorMod">'[1]Magic Equipment'!$AQ$17</definedName>
    <definedName name="NeckSlotValue">'[1]Magic Equipment'!$AR$111</definedName>
    <definedName name="NeckSlotWeight">'[1]Magic Equipment'!$AP$111</definedName>
    <definedName name="NeckSlotWisMod">'[1]Magic Equipment'!$AQ$18</definedName>
    <definedName name="NecrocarnateBinds">[1]Soulmelds!$BH$17</definedName>
    <definedName name="NecrocarnateMelds">[1]Soulmelds!$BG$17</definedName>
    <definedName name="NecroTouchSkBonus">[1]SoulmeldAbilities!$G$163</definedName>
    <definedName name="NegativeLevels">[1]Buffs!$W$11</definedName>
    <definedName name="NegativeLevelsHP">[1]Buffs!$Y$11</definedName>
    <definedName name="NextLevelExperience">'[1]Stats &amp; Character Details'!$E$39</definedName>
    <definedName name="Nightshield">[1]Buffs!$B$11</definedName>
    <definedName name="NightShieldMod">[1]Buffs!$G$11</definedName>
    <definedName name="NightstalkersTransformation">[1]Buffs!$B$57</definedName>
    <definedName name="NightstalkersTransformationACMod">[1]Buffs!$H$57</definedName>
    <definedName name="NightstalkersTransformationDexMod">[1]Buffs!$G$57</definedName>
    <definedName name="NightstalkersTransformationRefMod">[1]Buffs!$I$57</definedName>
    <definedName name="NightstalkersTransformationSkillMod">[1]Buffs!$J$57</definedName>
    <definedName name="NinjaSpyWpn1">[1]ExportSheet!$AH$46</definedName>
    <definedName name="NinjaSpyWpn3">[1]ExportSheet!$AH$47</definedName>
    <definedName name="NinjaSpyWpn6">[1]ExportSheet!$AH$48</definedName>
    <definedName name="NinjaSpyWpn9">[1]ExportSheet!$AH$49</definedName>
    <definedName name="NjaLvl">'Class Info'!$E$34</definedName>
    <definedName name="NjSLvl">'Class Info'!$E$626</definedName>
    <definedName name="NldLvl">'Class Info'!$E$754</definedName>
    <definedName name="NMDLvl">'Class Info'!$E$509</definedName>
    <definedName name="NobleBonusClassSkillCell">[1]ExportSheet!$W$52</definedName>
    <definedName name="NobLvl">'Class Info'!$E$90</definedName>
    <definedName name="NoElementalScionGraft">'[1]Prestige Classes III'!$I$40</definedName>
    <definedName name="NomadShamanRegionCell">[1]ExportSheet!$AJ$61</definedName>
    <definedName name="NonProfACP">[1]Armor!$N$82</definedName>
    <definedName name="NoShLvl">'Class Info'!$E$607</definedName>
    <definedName name="NsELvl">'Class Info'!$E$226</definedName>
    <definedName name="NsILvl">'Class Info'!$E$227</definedName>
    <definedName name="NSpLvl">'Class Info'!$E$256</definedName>
    <definedName name="NstLvl">'Class Info'!$E$602</definedName>
    <definedName name="NtCLvl">'Class Info'!$E$464</definedName>
    <definedName name="NumDomainsOfChoice">[1]Classes!$BN$51</definedName>
    <definedName name="NWrLvl">'Class Info'!$E$145</definedName>
    <definedName name="NymphsKissLevel">[1]ExportSheet!$BT$4</definedName>
    <definedName name="OASLvl">'Class Info'!$E$67</definedName>
    <definedName name="OcALvl">'Class Info'!$E$465</definedName>
    <definedName name="OccLvl">'Class Info'!$E$146</definedName>
    <definedName name="OChLvl">'Class Info'!$E$306</definedName>
    <definedName name="OcWLvl">'Class Info'!$E$489</definedName>
    <definedName name="OffensivePrecognition">[1]Buffs!$M$65</definedName>
    <definedName name="OffensivePrecognitionMod">[1]Buffs!$Q$65</definedName>
    <definedName name="OffensivePrescience">[1]Buffs!$M$66</definedName>
    <definedName name="OffensivePrescienceMod">[1]Buffs!$Q$66</definedName>
    <definedName name="OghmasInsightCell">[1]ExportSheet!$AK$32</definedName>
    <definedName name="OllLvl">'Class Info'!$E$228</definedName>
    <definedName name="OoBLvL">'Class Info'!$E$147</definedName>
    <definedName name="OpenBinds">[1]Soulmelds!$BS$15</definedName>
    <definedName name="OpenMelds">[1]Soulmelds!$BS$7</definedName>
    <definedName name="OpenMinded1Level">[1]ExportSheet!$BT$9</definedName>
    <definedName name="OpenMinded2Level">[1]ExportSheet!$BT$10</definedName>
    <definedName name="OpenMinded3Level">[1]ExportSheet!$BT$11</definedName>
    <definedName name="OPgLvl">'Class Info'!$E$80</definedName>
    <definedName name="OrdCLvl">'Class Info'!$E$279</definedName>
    <definedName name="OrSLvl">'Class Info'!$E$522</definedName>
    <definedName name="OstLvl">'Class Info'!$E$785</definedName>
    <definedName name="OtherGP">'[1]Stats &amp; Character Details'!$B$31</definedName>
    <definedName name="OtherILLvl">'[1]Maneuvers &amp; Stances'!$BJ$10</definedName>
    <definedName name="OtherManKnow">'[1]Maneuvers &amp; Stances'!$BJ$16</definedName>
    <definedName name="OtherManKnowList">'[1]Maneuvers &amp; Stances'!$AS$6</definedName>
    <definedName name="OtherManReady">'[1]Maneuvers &amp; Stances'!$BJ$22</definedName>
    <definedName name="OtherStanKnow">'[1]Maneuvers &amp; Stances'!$BJ$28</definedName>
    <definedName name="OtherStanKnowList">'[1]Maneuvers &amp; Stances'!$BA$6</definedName>
    <definedName name="OwlsInsight">[1]Buffs!$B$56</definedName>
    <definedName name="OwlsInsightMod">[1]Buffs!$G$56</definedName>
    <definedName name="OwlsWisdom">[1]Buffs!$B$25</definedName>
    <definedName name="OwlsWisdomMod">[1]Buffs!$G$25</definedName>
    <definedName name="PactAugCount">'[1]Class Abilities'!$E$4541</definedName>
    <definedName name="PactAugmentCount">'[1]Binder Vestiges'!$S$61:$S$72</definedName>
    <definedName name="PactAugmentList1">IF(BinLvl&gt;=2,'[1]Binder Vestiges'!$Q$61:$Q$72,"")</definedName>
    <definedName name="PactAugmentList2">IF(BinLvl&gt;=5,'[1]Binder Vestiges'!$Q$61:$Q$72,"")</definedName>
    <definedName name="PactAugmentList3">IF(BinLvl&gt;=10,'[1]Binder Vestiges'!$Q$61:$Q$72,"")</definedName>
    <definedName name="PactAugmentList4">IF(BinLvl&gt;=16,'[1]Binder Vestiges'!$Q$61:$Q$72,"")</definedName>
    <definedName name="PactAugmentList5">IF(BinLvl&gt;=20,'[1]Binder Vestiges'!$Q$61:$Q$72,"")</definedName>
    <definedName name="PalLvl">'Class Info'!$E$11</definedName>
    <definedName name="Panicked">[1]Buffs!$W$12</definedName>
    <definedName name="PanickedMod">[1]Buffs!$Y$12</definedName>
    <definedName name="ParagonsPathCell">[1]ExportSheet!$AG$38</definedName>
    <definedName name="PauldHealthFortBonus">[1]SoulmeldAbilities!$G$170</definedName>
    <definedName name="PbALvl">'Class Info'!$E$659</definedName>
    <definedName name="PDKLvl">'Class Info'!$E$148</definedName>
    <definedName name="PeALvl">'Class Info'!$E$523</definedName>
    <definedName name="PegCloakFlySpeed">[1]SoulmeldAbilities!$G$173</definedName>
    <definedName name="PegCloakSkBonus">[1]SoulmeldAbilities!$G$172</definedName>
    <definedName name="PenaltyCasterLevels">'[1]Spell Info'!$L$89</definedName>
    <definedName name="PenaltyManifesterLevels">'[1]Psionic Info'!$K$16</definedName>
    <definedName name="PhaseCloakSkBonus">[1]SoulmeldAbilities!$G$175</definedName>
    <definedName name="PHB2BbnBerserkerStrength">[1]ExportSheet!$E$75</definedName>
    <definedName name="PHB2BrdBardicKnack">[1]ExportSheet!$F$75</definedName>
    <definedName name="PHB2ClrSpontaneousDomainCast">[1]ExportSheet!$G$75</definedName>
    <definedName name="PHB2DrdShapeshift">[1]ExportSheet!$H$76</definedName>
    <definedName name="PHB2DrdSpontaneousRejuvenation">[1]ExportSheet!$H$75</definedName>
    <definedName name="PHB2FtrCounterattack">[1]ExportSheet!$J$76</definedName>
    <definedName name="PHB2FtrElusiveAttack">[1]ExportSheet!$J$75</definedName>
    <definedName name="PHB2FtrOverpoweringAttack">[1]ExportSheet!$J$77</definedName>
    <definedName name="PHB2FvSDeitysFavor">[1]ExportSheet!$I$75</definedName>
    <definedName name="PHB2HxBDarkCompanion">[1]ExportSheet!$K$75</definedName>
    <definedName name="PHB2MnkDecisiveStrike">[1]ExportSheet!$M$75</definedName>
    <definedName name="PHB2MrsAdrenalineBoost">[1]ExportSheet!$L$75</definedName>
    <definedName name="PHB2PalChargingSmite">[1]ExportSheet!$N$75</definedName>
    <definedName name="PHB2RgrDistractingAttack">[1]ExportSheet!$O$75</definedName>
    <definedName name="PHB2RogDisruptiveAttack">[1]ExportSheet!$P$75</definedName>
    <definedName name="PHB2SctDungeonSpecialist">[1]ExportSheet!$Q$75</definedName>
    <definedName name="PHB2SorMetamagicSpecialist">[1]ExportSheet!$R$75</definedName>
    <definedName name="PHB2SwsShieldofBlades">[1]ExportSheet!$S$75</definedName>
    <definedName name="PHB2WizImmediateMagic">[1]ExportSheet!$V$75</definedName>
    <definedName name="PHB2WrlFiendishFlamewreath">[1]ExportSheet!$T$75</definedName>
    <definedName name="PHB2WrmEclecticLearning">[1]ExportSheet!$U$75</definedName>
    <definedName name="PHDLvl">'Class Info'!$E$361</definedName>
    <definedName name="PICha">'[1]Psionic Info'!$D$16</definedName>
    <definedName name="PIChaMod">'[1]Psionic Info'!$E$16</definedName>
    <definedName name="PIInt">'[1]Psionic Info'!$D$14</definedName>
    <definedName name="PIIntMod">'[1]Psionic Info'!$E$14</definedName>
    <definedName name="PiousTemplarCell">[1]ExportSheet!$AH$20</definedName>
    <definedName name="PirLvl">'Class Info'!$E$218</definedName>
    <definedName name="PisLvl">'Class Info'!$E$775</definedName>
    <definedName name="PIWis">'[1]Psionic Info'!$D$15</definedName>
    <definedName name="PIWisMod">'[1]Psionic Info'!$E$15</definedName>
    <definedName name="Planetouched">'[1]Race Info'!$B$15</definedName>
    <definedName name="Player">'[1]Stats &amp; Character Details'!$B$33</definedName>
    <definedName name="PlayerName">'[1]CS Calc.'!$B$16</definedName>
    <definedName name="PlCLvl">'Class Info'!$E$731</definedName>
    <definedName name="PlKLvl">'Class Info'!$E$644</definedName>
    <definedName name="PlSLvl">'Class Info'!$E$732</definedName>
    <definedName name="PMsLvl">'Class Info'!$E$672</definedName>
    <definedName name="PoELvl">'Class Info'!$E$717</definedName>
    <definedName name="PoisonUse">'[1]Class Abilities'!$D$124</definedName>
    <definedName name="PowerAttackAmount">[1]Buffs!$M$50</definedName>
    <definedName name="PowerAuraMod">[1]Buffs!$M$9</definedName>
    <definedName name="PowerBuild">[1]Attacks!$L$35</definedName>
    <definedName name="PowerPointReserve">'[1]Psionic Info'!$K$19</definedName>
    <definedName name="PP">'[1]Stats &amp; Character Details'!$B$25</definedName>
    <definedName name="PracticedManifester1Cell">[1]ExportSheet!$BU$19</definedName>
    <definedName name="PracticedManifester1Class">[1]ExportSheet!$BT$19</definedName>
    <definedName name="PracticedManifester2Cell">[1]ExportSheet!$BU$20</definedName>
    <definedName name="PracticedManifester2Class">[1]ExportSheet!$BT$20</definedName>
    <definedName name="PracticedManifester3Cell">[1]ExportSheet!$BU$21</definedName>
    <definedName name="PracticedManifester3Class">[1]ExportSheet!$BT$21</definedName>
    <definedName name="PracticedSpellcaster1Cell">[1]ExportSheet!$BW$11</definedName>
    <definedName name="PracticedSpellcaster1Class">[1]ExportSheet!$BV$11</definedName>
    <definedName name="PracticedSpellcaster2Cell">[1]ExportSheet!$BW$12</definedName>
    <definedName name="PracticedSpellcaster2Class">[1]ExportSheet!$BV$12</definedName>
    <definedName name="PracticedSpellcaster3Cell">[1]ExportSheet!$BW$13</definedName>
    <definedName name="PracticedSpellcaster3Class">[1]ExportSheet!$BV$13</definedName>
    <definedName name="Prayer">[1]Buffs!$B$41</definedName>
    <definedName name="PrayerBonus">[1]Buffs!$G$41</definedName>
    <definedName name="PRCReset">[1]ExportSheet!$T$9:$T$68,[1]ExportSheet!$U$9:$U$14,[1]ExportSheet!$V$9:$V$15,[1]ExportSheet!$U$19:$U$20,[1]ExportSheet!$U$22,[1]ExportSheet!$U$27:$U$49,[1]ExportSheet!$V$24:$V$31,[1]ExportSheet!$X$31,[1]ExportSheet!$X$35,[1]ExportSheet!$W$43:$W$52</definedName>
    <definedName name="PresenceAuraMod">[1]Buffs!$M$10</definedName>
    <definedName name="PrestigeCell">[1]ExportSheet!$Z$9</definedName>
    <definedName name="PrestigeQual">'Class Info'!$EM$6</definedName>
    <definedName name="PrestigeReqs">'Class Info'!$EM$7</definedName>
    <definedName name="PrgALvl">'Class Info'!$E$280</definedName>
    <definedName name="PrgILvl">'Class Info'!$E$281</definedName>
    <definedName name="PrimalScream">[1]Buffs!$M$39</definedName>
    <definedName name="PrimalScreamDexMod">[1]Buffs!$R$39</definedName>
    <definedName name="PrimalScreamStrMod">[1]Buffs!$Q$39</definedName>
    <definedName name="PrimevalWildShape">[1]Buffs!$M$15</definedName>
    <definedName name="PrimordialKnowledge">'[1]Race &amp; Templates'!$X$21</definedName>
    <definedName name="PrimordialSp">'[1]Race &amp; Templates'!$X$20</definedName>
    <definedName name="PrmLvl">'Class Info'!$E$332</definedName>
    <definedName name="ProfEntry">'[1]Class Weapons &amp; Armor'!$A$15</definedName>
    <definedName name="ProLvl">'Class Info'!$E$104</definedName>
    <definedName name="Prophecy1">'[1]Prestige Classes III'!$E$19</definedName>
    <definedName name="Prophecy2">'[1]Prestige Classes III'!$E$20</definedName>
    <definedName name="Prophecy3">'[1]Prestige Classes III'!$E$21</definedName>
    <definedName name="PrpLvl">'Class Info'!$E$755</definedName>
    <definedName name="PrRLvl">'Class Info'!$E$296</definedName>
    <definedName name="PrSASecret1">[1]ExportSheet!$AG$66</definedName>
    <definedName name="PrSASecret2">[1]ExportSheet!$AG$67</definedName>
    <definedName name="PrSASecret3">[1]ExportSheet!$AG$68</definedName>
    <definedName name="PrSASecret4">[1]ExportSheet!$AG$69</definedName>
    <definedName name="PrSLvl">'Class Info'!$E$564</definedName>
    <definedName name="PsALvl">'Class Info'!$E$271</definedName>
    <definedName name="PsiLvl">'Class Info'!$E$62</definedName>
    <definedName name="PsiLvlAbilities">'[1]Psionic Info'!$Q$18:$S$38</definedName>
    <definedName name="PsionDiscipline">'[1]Class Abilities'!$F$1608</definedName>
    <definedName name="PsionDisciplineCell">[1]ExportSheet!$U$14</definedName>
    <definedName name="PsionDisciplineName">'[1]Class Abilities'!$E$1608</definedName>
    <definedName name="PsionEyesSkBonus">[1]SoulmeldAbilities!$G$186</definedName>
    <definedName name="PsionicAbility">'[1]Psionic Info'!$K$20</definedName>
    <definedName name="PsionicAugmentedExpansion">[1]Buffs!$M$57</definedName>
    <definedName name="PsionicExpansion">[1]Buffs!$M$56</definedName>
    <definedName name="PsionicSelected">[1]Feats!$AE$6</definedName>
    <definedName name="PsionicSneakAttack">'[1]Class Abilities'!$D$3201</definedName>
    <definedName name="PsionicVigor">[1]Buffs!$M$68</definedName>
    <definedName name="PsionicVigorMod">[1]Buffs!$Q$68</definedName>
    <definedName name="PsULvl">'Class Info'!$E$413</definedName>
    <definedName name="PswLvl">'Class Info'!$E$63</definedName>
    <definedName name="PswLvlAbilities">'[1]Psionic Info'!$U$18:$W$38</definedName>
    <definedName name="PsychicAura">'[1]Class Abilities'!$D$3195</definedName>
    <definedName name="PsychicEnervation">'[1]Class Abilities'!$D$1617</definedName>
    <definedName name="PsychicStrike">'[1]Class Abilities'!$D$1609</definedName>
    <definedName name="PUGLvl">'Class Info'!$E$501</definedName>
    <definedName name="PyrLvl">'Class Info'!$E$414</definedName>
    <definedName name="QMhLvl">'Class Info'!$E$575</definedName>
    <definedName name="QrNLvl">'Class Info'!$E$549</definedName>
    <definedName name="Quadruped">[1]Tables!$E$67</definedName>
    <definedName name="Race">'[1]Race Info'!$B$9</definedName>
    <definedName name="RaceAbilitiesAdj">[1]Interfaces!$B$31:$B$36</definedName>
    <definedName name="RaceAbilitiesAdjTxt">'[1]Race Info'!$B$21</definedName>
    <definedName name="RaceAge">[1]Interfaces!$B$53</definedName>
    <definedName name="RaceAttacks">[1]Interfaces!$B$15</definedName>
    <definedName name="RaceAutoLanguages">[1]Interfaces!$B$47</definedName>
    <definedName name="RaceBAB">'[1]Race Info'!$D$20</definedName>
    <definedName name="RaceBase">[1]Interfaces!$B$2</definedName>
    <definedName name="RaceBaseHD">'[1]Race Info'!$C$20</definedName>
    <definedName name="RaceBonusLanguages">[1]Interfaces!$B$48</definedName>
    <definedName name="RaceBurrowSpeed">[1]Interfaces!$B$9</definedName>
    <definedName name="RaceCaster">'[1]Spell Info'!$L$78</definedName>
    <definedName name="RaceChk">'[1]Race Info'!$B$13</definedName>
    <definedName name="RaceCi">'Class Info'!$EM$4</definedName>
    <definedName name="RaceCl">'Class Info'!$EM$4</definedName>
    <definedName name="RaceClimbSpeed">[1]Interfaces!$B$10</definedName>
    <definedName name="RaceConModReal">[1]Interfaces!$B$39</definedName>
    <definedName name="RaceCR">[1]Interfaces!$B$49</definedName>
    <definedName name="RaceDarkvision">[1]Interfaces!$B$21</definedName>
    <definedName name="RaceDefault">'[1]Race Info'!$B$7</definedName>
    <definedName name="RaceDeity">[1]Deities!$G$1</definedName>
    <definedName name="RaceDR">[1]Interfaces!$B$27</definedName>
    <definedName name="RaceEssentia">[1]Interfaces!$B$29</definedName>
    <definedName name="RaceEthnicity">'[1]Race Info'!$B$10</definedName>
    <definedName name="RaceEthnicityTxt">'[1]Race &amp; Templates'!$P$15</definedName>
    <definedName name="RaceFeats">[1]Interfaces!$B$46</definedName>
    <definedName name="RaceFlySpeed">[1]Interfaces!$B$11</definedName>
    <definedName name="RaceFort">'[1]Race Info'!$E$20</definedName>
    <definedName name="RaceFt">[1]Feats!$BK$4</definedName>
    <definedName name="RaceHD">[1]Interfaces!$B$7</definedName>
    <definedName name="RaceHdr">'[1]Race Info'!#REF!</definedName>
    <definedName name="RaceHDType">'[1]Race Info'!$B$20</definedName>
    <definedName name="RaceHeader">'[1]Race Info'!#REF!</definedName>
    <definedName name="RaceHeight">[1]Interfaces!$B$54</definedName>
    <definedName name="RaceIdx">[1]Interfaces!$B$3</definedName>
    <definedName name="RaceIgnoreSrc">[1]ExportSheet!$AN$68</definedName>
    <definedName name="RaceImmunities">[1]Interfaces!$B$23</definedName>
    <definedName name="RaceIndexList">'[1]Race Info'!#REF!</definedName>
    <definedName name="RaceInfoAvailableCol">'[1]Race Info'!#REF!</definedName>
    <definedName name="RaceIntModReal">[1]Interfaces!$B$40</definedName>
    <definedName name="RaceList">'[1]Race Info'!#REF!:INDEX('[1]Race Info'!#REF!,RaceListRowsCnt)</definedName>
    <definedName name="RaceListBase">'[1]Race Info'!#REF!</definedName>
    <definedName name="RaceListRowsCnt">'[1]Race Info'!$B$6</definedName>
    <definedName name="RaceLowlight">[1]Interfaces!$B$20</definedName>
    <definedName name="RaceLvlAdj">[1]Interfaces!$B$51</definedName>
    <definedName name="RaceManeuverability">[1]Interfaces!$B$12</definedName>
    <definedName name="RaceNA">[1]Interfaces!$B$14</definedName>
    <definedName name="RacePsion">'[1]Psionic Info'!$F$23</definedName>
    <definedName name="RaceRa">'[1]Racial Abilities'!$F$1</definedName>
    <definedName name="RaceRef">'[1]Race Info'!$F$20</definedName>
    <definedName name="RaceResistances">[1]Interfaces!$B$25</definedName>
    <definedName name="RaceSize">[1]Interfaces!$B$4</definedName>
    <definedName name="RaceSk">[1]Skills!$HP$3</definedName>
    <definedName name="RaceSkillMod">[1]Interfaces!$B$43</definedName>
    <definedName name="RaceSkillPoints">'[1]Race Info'!$H$20</definedName>
    <definedName name="RaceSpellLike">[1]Interfaces!$B$17</definedName>
    <definedName name="RaceSR">[1]Interfaces!$B$26</definedName>
    <definedName name="RaceSwimSpeed">[1]Interfaces!$B$13</definedName>
    <definedName name="RaceTxt">'[1]Race &amp; Templates'!$D$6</definedName>
    <definedName name="RaceType">[1]Interfaces!$B$5</definedName>
    <definedName name="RaceVulnerabilities">[1]Interfaces!$B$24</definedName>
    <definedName name="RaceWeight">[1]Interfaces!$B$55</definedName>
    <definedName name="RaceWill">'[1]Race Info'!$G$20</definedName>
    <definedName name="RacialAbilities">'[1]Racial Abilities'!$D$1</definedName>
    <definedName name="RacialSubtype">[1]Interfaces!$B$6</definedName>
    <definedName name="Rage">[1]Buffs!$M$3</definedName>
    <definedName name="RageACMod">[1]Buffs!$T$3</definedName>
    <definedName name="RageAmount">'[1]Class Abilities'!$F$1</definedName>
    <definedName name="RageConMod">[1]Buffs!$R$3</definedName>
    <definedName name="RageSpell">[1]Buffs!$B$42</definedName>
    <definedName name="RageSpellACMod">[1]Buffs!$J$42</definedName>
    <definedName name="RageSpellConMod">[1]Buffs!$H$42</definedName>
    <definedName name="RageSpellStrMod">[1]Buffs!$G$42</definedName>
    <definedName name="RageSpellWillMod">[1]Buffs!$I$42</definedName>
    <definedName name="RageStrMod">[1]Buffs!$Q$3</definedName>
    <definedName name="RageWillMod">[1]Buffs!$S$3</definedName>
    <definedName name="RaMLvl">'Class Info'!$E$149</definedName>
    <definedName name="RamsMight">[1]Buffs!$B$12</definedName>
    <definedName name="RamsMightMod">[1]Buffs!$G$12</definedName>
    <definedName name="RandomAge">'[1]Stats &amp; Character Details'!$CH$24</definedName>
    <definedName name="RandomHeight">'[1]Stats &amp; Character Details'!$CK$24</definedName>
    <definedName name="RandomWeight">'[1]Stats &amp; Character Details'!$CN$24</definedName>
    <definedName name="RangeBonus">[1]Classes!$BK$2</definedName>
    <definedName name="RangedSneakAttack">'[1]Class Abilities'!$D$3360</definedName>
    <definedName name="RangedWeaponMasteryCell1">[1]Feats!$AP$226</definedName>
    <definedName name="RangedWeaponMasteryCell2">[1]Feats!$AP$227</definedName>
    <definedName name="RangedWeaponMasteryCell3">[1]Feats!$AP$228</definedName>
    <definedName name="RangerCombatStyle">[1]ExportSheet!$T$39</definedName>
    <definedName name="RangeTempMod">'[1]CS Calc.'!$J$23</definedName>
    <definedName name="RapidRecovery1">[1]Feats!$AR$1600</definedName>
    <definedName name="RapidRecovery2">[1]Feats!$AR$1601</definedName>
    <definedName name="RapidRecovery3">[1]Feats!$AR$1602</definedName>
    <definedName name="RavLvl">'Class Info'!$E$150</definedName>
    <definedName name="RBlLvl">'Class Info'!$E$568</definedName>
    <definedName name="RcstLvl">'Class Info'!$E$551</definedName>
    <definedName name="RdrLvl">'Class Info'!$E$181</definedName>
    <definedName name="RebukedTurned">[1]Classes!$BJ$17</definedName>
    <definedName name="RebukeTurn">[1]Classes!$BJ$15</definedName>
    <definedName name="RebukingTurning">[1]Classes!$BJ$16</definedName>
    <definedName name="RecasterSuddenMetamagic1">[1]ExportSheet!$AF$51</definedName>
    <definedName name="RecasterSuddenMetamagic2">[1]ExportSheet!$AF$52</definedName>
    <definedName name="RecasterSuddenmetamagicFeat1">[1]Tables!$Q$84</definedName>
    <definedName name="RecasterSuddenMetamagicFeat2">[1]Tables!$Q$85</definedName>
    <definedName name="Recitation">[1]Buffs!$B$50</definedName>
    <definedName name="RecitationTotal">[1]Buffs!$I$50</definedName>
    <definedName name="ReduceDexMod">[1]Buffs!$H$13</definedName>
    <definedName name="ReducePerson">[1]Buffs!$B$13</definedName>
    <definedName name="ReduceStrMod">[1]Buffs!$G$13</definedName>
    <definedName name="ReflexAbilityMod">'[1]CS Calc.'!$C$21</definedName>
    <definedName name="ReforgedWisdomCheckMod">'[1]Class Abilities'!$D$2887</definedName>
    <definedName name="RefSave">[1]Classes!$BN$38</definedName>
    <definedName name="RefTotal">'[1]CS Calc.'!$C$19</definedName>
    <definedName name="Regeneration">'[1]Racial Abilities'!$F$15</definedName>
    <definedName name="Region">'[1]Race &amp; Templates'!$AG$4</definedName>
    <definedName name="RegionChk">'[1]Race &amp; Templates'!$AG$5</definedName>
    <definedName name="RegionList">'[1]Race Info'!$D$129:INDEX('[1]Race Info'!$D$129:$D$348,RegionListRowsCnt)</definedName>
    <definedName name="RegionListRowsCnt">'[1]Race Info'!$B$126</definedName>
    <definedName name="RegionOverride">'[1]Race &amp; Templates'!$D$12</definedName>
    <definedName name="RegionTxt">'[1]Race &amp; Templates'!$D$11</definedName>
    <definedName name="ReMLvl">'Class Info'!$E$151</definedName>
    <definedName name="ResilientTroopsMod">[1]Buffs!$M$32</definedName>
    <definedName name="Resistance">[1]Buffs!$B$3</definedName>
    <definedName name="ResistanceAuraEnergyType">[1]ExportSheet!$X$35</definedName>
    <definedName name="ResistanceMod">[1]Buffs!$G$3</definedName>
    <definedName name="RfgLvl">'Class Info'!$E$552</definedName>
    <definedName name="RgrLvl">'Class Info'!$E$12</definedName>
    <definedName name="RideBracerSkBonus">[1]SoulmeldAbilities!$G$196</definedName>
    <definedName name="RighteousMight">[1]Buffs!$B$58</definedName>
    <definedName name="RighteousMightConMod">[1]Buffs!$H$58</definedName>
    <definedName name="RighteousMightDR">[1]Buffs!$J$58</definedName>
    <definedName name="RighteousMightNatArmor">[1]Buffs!$I$58</definedName>
    <definedName name="RighteousMightStrMod">[1]Buffs!$G$58</definedName>
    <definedName name="RighteousWrath">[1]Buffs!$B$59</definedName>
    <definedName name="RighteousWrathMod">[1]Buffs!$G$59</definedName>
    <definedName name="RilkanSkBonus">'[1]Racial Abilities'!$E$733</definedName>
    <definedName name="RingArmorBonus">'[1]Magic Equipment'!$V$16</definedName>
    <definedName name="RingLHValue">'[1]Magic Equipment'!$X$103</definedName>
    <definedName name="RingOfProtectionBonus">'[1]Magic Equipment'!$V$15</definedName>
    <definedName name="RingRHValue">'[1]Magic Equipment'!$X$102</definedName>
    <definedName name="RingShieldBonus">'[1]Magic Equipment'!$V$17</definedName>
    <definedName name="RingSlotLH">'[1]Magic Equipment'!$J$7</definedName>
    <definedName name="RingSlotRH">'[1]Magic Equipment'!$J$2</definedName>
    <definedName name="RisenMartyr">[1]ExportSheet!$U$18</definedName>
    <definedName name="RiZeLvl">'Class Info'!$E$593</definedName>
    <definedName name="RKnLvl">'Class Info'!$E$608</definedName>
    <definedName name="RKVLvl">'Class Info'!$E$379</definedName>
    <definedName name="RMmLvl">'Class Info'!$E$576</definedName>
    <definedName name="RmWLvl">'Class Info'!$E$333</definedName>
    <definedName name="RncLvl">'Class Info'!$E$446</definedName>
    <definedName name="rndClassIndex">'[1]Stats &amp; Character Details'!$CH$12</definedName>
    <definedName name="RnSLvl">'Class Info'!$E$175</definedName>
    <definedName name="RogAbil1">[1]ExportSheet!$T$40</definedName>
    <definedName name="RogAbil10">[1]ExportSheet!$T$49</definedName>
    <definedName name="RogAbil11">[1]ExportSheet!$T$50</definedName>
    <definedName name="RogAbil12">[1]ExportSheet!$T$51</definedName>
    <definedName name="RogAbil13">[1]ExportSheet!$T$52</definedName>
    <definedName name="RogAbil14">[1]ExportSheet!$T$53</definedName>
    <definedName name="RogAbil2">[1]ExportSheet!$T$41</definedName>
    <definedName name="RogAbil3">[1]ExportSheet!$T$42</definedName>
    <definedName name="RogAbil4">[1]ExportSheet!$T$43</definedName>
    <definedName name="RogAbil5">[1]ExportSheet!$T$44</definedName>
    <definedName name="RogAbil6">[1]ExportSheet!$T$45</definedName>
    <definedName name="RogAbil7">[1]ExportSheet!$T$46</definedName>
    <definedName name="RogAbil8">[1]ExportSheet!$T$47</definedName>
    <definedName name="RogAbil9">[1]ExportSheet!$T$48</definedName>
    <definedName name="RogAbilBonusFts">[1]Tables!$O$26</definedName>
    <definedName name="RogAbilBreathstealer">[1]Tables!$O$2</definedName>
    <definedName name="RogAbilCritStrike">[1]Tables!$O$3</definedName>
    <definedName name="RogAbilDefRoll">[1]Tables!$O$4</definedName>
    <definedName name="RogAbilEvasion">[1]Tables!$O$10</definedName>
    <definedName name="RogAbilFortReflexes">[1]Tables!$O$11</definedName>
    <definedName name="RogAbilImpEvasion">[1]Tables!$O$5</definedName>
    <definedName name="RogAbilOpportun">[1]Tables!$O$6</definedName>
    <definedName name="RogAbilSkillMaster">[1]Tables!$O$7</definedName>
    <definedName name="RogAbilSlipMind">[1]Tables!$O$8</definedName>
    <definedName name="RogAbilSnipingMastery">[1]Tables!$O$1</definedName>
    <definedName name="RogLvl">'Class Info'!$E$13</definedName>
    <definedName name="RonLvl">'Class Info'!$E$152</definedName>
    <definedName name="RRnLvl">'Class Info'!$E$550</definedName>
    <definedName name="RSL_List">[1]Classes!$BX$4:$BX$161</definedName>
    <definedName name="RSL_Table">[1]Classes!$BX$4:$CB$161</definedName>
    <definedName name="RslAaInc1">[1]ExportSheet!$BU$50</definedName>
    <definedName name="RslAaInc3">[1]ExportSheet!$BU$51</definedName>
    <definedName name="RslAaInc7">[1]ExportSheet!$BU$52</definedName>
    <definedName name="RslAzClr1">[1]ExportSheet!$BU$53</definedName>
    <definedName name="RslAzClr4">[1]ExportSheet!$BU$54</definedName>
    <definedName name="RslAzClr9">[1]ExportSheet!$BU$55</definedName>
    <definedName name="RslChEgo1">[1]ExportSheet!$BU$56</definedName>
    <definedName name="RslChEgo3">[1]ExportSheet!$BU$57</definedName>
    <definedName name="RslChEgo5">[1]ExportSheet!$BU$58</definedName>
    <definedName name="RslChRog1">[1]ExportSheet!$BU$59</definedName>
    <definedName name="RslChRog3">[1]ExportSheet!$BU$60</definedName>
    <definedName name="RslChRog8">[1]ExportSheet!$BU$61</definedName>
    <definedName name="RslChRogSkillName">[1]Variants!$P$185</definedName>
    <definedName name="RslChRogSkillSelected">[1]ExportSheet!$BV$57</definedName>
    <definedName name="RslChWiz1">[1]ExportSheet!$BU$62</definedName>
    <definedName name="RslChWiz10">[1]ExportSheet!$BU$64</definedName>
    <definedName name="RslChWiz5">[1]ExportSheet!$BU$63</definedName>
    <definedName name="RslDbClr1">[1]ExportSheet!$BU$201</definedName>
    <definedName name="RslDbClr5">[1]ExportSheet!$BU$202</definedName>
    <definedName name="RslDbClr9">[1]ExportSheet!$BU$203</definedName>
    <definedName name="RslDBClrEnergyTypeSelected">[1]Variants!$P$442</definedName>
    <definedName name="RslDBEnergyType">[1]ExportSheet!$BV$199</definedName>
    <definedName name="RslDbPal1">[1]ExportSheet!$BU$207</definedName>
    <definedName name="RslDbPal4">[1]ExportSheet!$BU$208</definedName>
    <definedName name="RslDbPal5">[1]ExportSheet!$BU$209</definedName>
    <definedName name="RslDbSor1">[1]ExportSheet!$BU$204</definedName>
    <definedName name="RslDbSor4">[1]ExportSheet!$BU$205</definedName>
    <definedName name="RslDbSor7">[1]ExportSheet!$BU$206</definedName>
    <definedName name="RslDkBbn1">[1]ExportSheet!$BU$65</definedName>
    <definedName name="RslDkBbn11">[1]ExportSheet!$BU$67</definedName>
    <definedName name="RslDkBbn7">[1]ExportSheet!$BU$66</definedName>
    <definedName name="RslDwClr1">[1]ExportSheet!$BU$68</definedName>
    <definedName name="RslDwClr4">[1]ExportSheet!$BU$69</definedName>
    <definedName name="RslDwClr8">[1]ExportSheet!$BU$70</definedName>
    <definedName name="RslDwFtr1">[1]ExportSheet!$BU$71</definedName>
    <definedName name="RslDwFtr2">[1]ExportSheet!$BU$72</definedName>
    <definedName name="RslDwFtr8">[1]ExportSheet!$BU$73</definedName>
    <definedName name="RslDwSbn1">[1]ExportSheet!$BU$77</definedName>
    <definedName name="RslDwSbn3">[1]ExportSheet!$BU$78</definedName>
    <definedName name="RslDwSbn9">[1]ExportSheet!$BU$79</definedName>
    <definedName name="RslDwSor1">[1]ExportSheet!$BU$74</definedName>
    <definedName name="RslDwSor5">[1]ExportSheet!$BU$75</definedName>
    <definedName name="RslDwSor9">[1]ExportSheet!$BU$76</definedName>
    <definedName name="RslElPal1">[1]ExportSheet!$BU$80</definedName>
    <definedName name="RslElPal3">[1]ExportSheet!$BU$81</definedName>
    <definedName name="RslElPal5">[1]ExportSheet!$BU$82</definedName>
    <definedName name="RslElRgr1">[1]ExportSheet!$BU$83</definedName>
    <definedName name="RslElRgr10">[1]ExportSheet!$BU$85</definedName>
    <definedName name="RslElRgr4">[1]ExportSheet!$BU$84</definedName>
    <definedName name="RslElSbn1">[1]ExportSheet!$BU$86</definedName>
    <definedName name="RslElSbn2">[1]ExportSheet!$BU$87</definedName>
    <definedName name="RslElSbn7">[1]ExportSheet!$BU$88</definedName>
    <definedName name="RslElWiz1">[1]ExportSheet!$BU$89</definedName>
    <definedName name="RslElWiz3">[1]ExportSheet!$BU$90</definedName>
    <definedName name="RslElWiz5">[1]ExportSheet!$BU$91</definedName>
    <definedName name="RslGnBrd1">[1]ExportSheet!$BU$92</definedName>
    <definedName name="RslGnBrd11">[1]ExportSheet!$BU$95</definedName>
    <definedName name="RslGnBrd3">[1]ExportSheet!$BU$93</definedName>
    <definedName name="RslGnBrd6">[1]ExportSheet!$BU$94</definedName>
    <definedName name="RslGnIll1">[1]ExportSheet!$BU$96</definedName>
    <definedName name="RslGnIll10">[1]ExportSheet!$BU$98</definedName>
    <definedName name="RslGnIll1School">'[1]Class Abilities'!$Q$113:$Q$121</definedName>
    <definedName name="RslGnIll1SchoolName">'[1]Class Abilities'!$Q$111</definedName>
    <definedName name="RslGnIll1SchoolSelected">[1]ExportSheet!$BV$96</definedName>
    <definedName name="RslGnIll5">[1]ExportSheet!$BU$97</definedName>
    <definedName name="RslGnInc1">[1]ExportSheet!$BU$99</definedName>
    <definedName name="RslGnInc2">[1]ExportSheet!$BU$100</definedName>
    <definedName name="RslGnInc7">[1]ExportSheet!$BU$101</definedName>
    <definedName name="RslGnRgr1">[1]ExportSheet!$BU$102</definedName>
    <definedName name="RslGnRgr4">[1]ExportSheet!$BU$103</definedName>
    <definedName name="RslGnRgr8">[1]ExportSheet!$BU$104</definedName>
    <definedName name="RslGoBbn1">[1]ExportSheet!$BU$105</definedName>
    <definedName name="RslGoBbn5">[1]ExportSheet!$BU$106</definedName>
    <definedName name="RslGoBbn7">[1]ExportSheet!$BU$107</definedName>
    <definedName name="RslGoDrd1">[1]ExportSheet!$BU$108</definedName>
    <definedName name="RslGoDrd12">[1]ExportSheet!$BU$110</definedName>
    <definedName name="RslGoDrd6">[1]ExportSheet!$BU$109</definedName>
    <definedName name="RslGoRog2">[1]ExportSheet!$BU$111</definedName>
    <definedName name="RslGoRog3">[1]ExportSheet!$BU$112</definedName>
    <definedName name="RslGoRog8">[1]ExportSheet!$BU$113</definedName>
    <definedName name="RslHaDrd1">[1]ExportSheet!$BU$132</definedName>
    <definedName name="RslHaDrd13">[1]ExportSheet!$BU$134</definedName>
    <definedName name="RslHaDrd5">[1]ExportSheet!$BU$133</definedName>
    <definedName name="RslHaMnk1">[1]ExportSheet!$BU$135</definedName>
    <definedName name="RslHaMnk2">[1]ExportSheet!$BU$136</definedName>
    <definedName name="RslHaMnk7">[1]ExportSheet!$BU$137</definedName>
    <definedName name="RslHaRog1">[1]ExportSheet!$BU$138</definedName>
    <definedName name="RslHaRog10">[1]ExportSheet!$BU$140</definedName>
    <definedName name="RslHaRog3">[1]ExportSheet!$BU$139</definedName>
    <definedName name="RslHaTotm1">[1]ExportSheet!$BU$141</definedName>
    <definedName name="RslHaTotm3">[1]ExportSheet!$BU$142</definedName>
    <definedName name="RslHaTotm8">[1]ExportSheet!$BU$143</definedName>
    <definedName name="RslHeBrd1">[1]ExportSheet!$BU$114</definedName>
    <definedName name="RslHeBrd6">[1]ExportSheet!$BU$115</definedName>
    <definedName name="RslHeBrd8">[1]ExportSheet!$BU$116</definedName>
    <definedName name="RslHeFtr1">[1]ExportSheet!$BU$117</definedName>
    <definedName name="RslHeFtr2">[1]ExportSheet!$BU$118</definedName>
    <definedName name="RslHeFtr6">[1]ExportSheet!$BU$119</definedName>
    <definedName name="RslHeRgr1">[1]ExportSheet!$BU$120</definedName>
    <definedName name="RslHeRgr13">[1]ExportSheet!$BU$122</definedName>
    <definedName name="RslHeRgr4">[1]ExportSheet!$BU$121</definedName>
    <definedName name="RslHoBbn2">[1]ExportSheet!$BU$123</definedName>
    <definedName name="RslHoBbn5">[1]ExportSheet!$BU$124</definedName>
    <definedName name="RslHoBbn7">[1]ExportSheet!$BU$125</definedName>
    <definedName name="RslHoDrd1">[1]ExportSheet!$BU$126</definedName>
    <definedName name="RslHoDrd4">[1]ExportSheet!$BU$127</definedName>
    <definedName name="RslHoDrd6">[1]ExportSheet!$BU$128</definedName>
    <definedName name="RslHoPal1">[1]ExportSheet!$BU$129</definedName>
    <definedName name="RslHoPal3">[1]ExportSheet!$BU$130</definedName>
    <definedName name="RslHoPal6">[1]ExportSheet!$BU$131</definedName>
    <definedName name="RslKaMnk1">[1]ExportSheet!$BU$144</definedName>
    <definedName name="RslKaMnk2">[1]ExportSheet!$BU$145</definedName>
    <definedName name="RslKaMnk7">[1]ExportSheet!$BU$146</definedName>
    <definedName name="RslKaSou1">[1]ExportSheet!$BU$147</definedName>
    <definedName name="RslKaSou3">[1]ExportSheet!$BU$148</definedName>
    <definedName name="RslKaSou6">[1]ExportSheet!$BU$149</definedName>
    <definedName name="RslKaTel1">[1]ExportSheet!$BU$150</definedName>
    <definedName name="RslKaTel3">[1]ExportSheet!$BU$151</definedName>
    <definedName name="RslKaTel5">[1]ExportSheet!$BU$152</definedName>
    <definedName name="RslKoFtr1">[1]ExportSheet!$BU$153</definedName>
    <definedName name="RslKoFtr2">[1]ExportSheet!$BU$154</definedName>
    <definedName name="RslKoFtr4">[1]ExportSheet!$BU$155</definedName>
    <definedName name="RslKoRgr1">[1]ExportSheet!$BU$156</definedName>
    <definedName name="RslKoRgr4">[1]ExportSheet!$BU$157</definedName>
    <definedName name="RslKoRgr7">[1]ExportSheet!$BU$158</definedName>
    <definedName name="RslKoRog1">[1]ExportSheet!$BU$159</definedName>
    <definedName name="RslKoRog3">[1]ExportSheet!$BU$160</definedName>
    <definedName name="RslKoRog8">[1]ExportSheet!$BU$161</definedName>
    <definedName name="RslRaClr1">[1]ExportSheet!$BU$162</definedName>
    <definedName name="RslRaClr3">[1]ExportSheet!$BU$163</definedName>
    <definedName name="RslRaClr7">[1]ExportSheet!$BU$164</definedName>
    <definedName name="RslRaFtr1">[1]ExportSheet!$BU$165</definedName>
    <definedName name="RslRaFtr4">[1]ExportSheet!$BU$166</definedName>
    <definedName name="RslRaFtr8">[1]ExportSheet!$BU$167</definedName>
    <definedName name="RslRaSor1">[1]ExportSheet!$BU$168</definedName>
    <definedName name="RslRaSor11">[1]ExportSheet!$BU$170</definedName>
    <definedName name="RslRaSor5">[1]ExportSheet!$BU$169</definedName>
    <definedName name="RslRiRog1">[1]ExportSheet!$BU$171</definedName>
    <definedName name="RslRiRog10">[1]ExportSheet!$BU$173</definedName>
    <definedName name="RslRiRog3">[1]ExportSheet!$BU$172</definedName>
    <definedName name="RslShDrd1">[1]ExportSheet!$BU$174</definedName>
    <definedName name="RslShDrd1AbilitySelected">[1]ExportSheet!$BV$174</definedName>
    <definedName name="RslShDrd1TraitSelected">[1]ExportSheet!$BV$175</definedName>
    <definedName name="RslShDrd4">[1]ExportSheet!$BU$175</definedName>
    <definedName name="RslShDrd5">[1]ExportSheet!$BU$176</definedName>
    <definedName name="RslShRgr1">[1]ExportSheet!$BU$177</definedName>
    <definedName name="RslShRgr4">[1]ExportSheet!$BU$178</definedName>
    <definedName name="RslShRgr9">[1]ExportSheet!$BU$179</definedName>
    <definedName name="RslShWil1">[1]ExportSheet!$BU$180</definedName>
    <definedName name="RslShWil2">[1]ExportSheet!$BU$181</definedName>
    <definedName name="RslShWil6">[1]ExportSheet!$BU$182</definedName>
    <definedName name="RslSkMnk1">[1]ExportSheet!$BU$183</definedName>
    <definedName name="RslSkMnk10">[1]ExportSheet!$BU$185</definedName>
    <definedName name="RslSkMnk5">[1]ExportSheet!$BU$184</definedName>
    <definedName name="RslSsBrd1">[1]ExportSheet!$BU$186</definedName>
    <definedName name="RslSsBrd3">[1]ExportSheet!$BU$187</definedName>
    <definedName name="RslSsBrd6">[1]ExportSheet!$BU$188</definedName>
    <definedName name="RslTiInc1">[1]ExportSheet!$BU$189</definedName>
    <definedName name="RslTiInc3">[1]ExportSheet!$BU$190</definedName>
    <definedName name="RslTiInc7">[1]ExportSheet!$BU$191</definedName>
    <definedName name="RslWaArt1">[1]ExportSheet!$BU$192</definedName>
    <definedName name="RslWaArt4">[1]ExportSheet!$BU$193</definedName>
    <definedName name="RslWaArt5">[1]ExportSheet!$BU$194</definedName>
    <definedName name="RslWaFtr1">[1]ExportSheet!$BU$195</definedName>
    <definedName name="RslWaFtr2">[1]ExportSheet!$BU$196</definedName>
    <definedName name="RslWaFtr4">[1]ExportSheet!$BU$197</definedName>
    <definedName name="RslWaPal1">[1]ExportSheet!$BU$198</definedName>
    <definedName name="RslWaPal2">[1]ExportSheet!$BU$199</definedName>
    <definedName name="RslWaPal3">[1]ExportSheet!$BU$200</definedName>
    <definedName name="RsMLvl">'Class Info'!$E$718</definedName>
    <definedName name="RSPLvl">'Class Info'!$E$174</definedName>
    <definedName name="RuaLvl">'Class Info'!$E$314</definedName>
    <definedName name="RuatharMartialWeaponCell">[1]ExportSheet!$AA$12</definedName>
    <definedName name="RuSLvl">'Class Info'!$E$297</definedName>
    <definedName name="RWzLvl">'Class Info'!$E$119</definedName>
    <definedName name="SAdLvl">'Class Info'!$E$448</definedName>
    <definedName name="SaELvl">'Class Info'!$E$176</definedName>
    <definedName name="SaFLvl">'Class Info'!$E$177</definedName>
    <definedName name="SaHLvl">'Class Info'!$E$510</definedName>
    <definedName name="SaHSpecialAbility">[1]ExportSheet!$AJ$25</definedName>
    <definedName name="SailBraceSkBonus">[1]SoulmeldAbilities!$G$199</definedName>
    <definedName name="SAMaLvl">'Class Info'!$E$609</definedName>
    <definedName name="SameDeity">[1]Buffs!$E$50</definedName>
    <definedName name="SamLvl">'Class Info'!$E$23</definedName>
    <definedName name="SAMoSSpells">'[1]Prestige Classes III'!$E$42:$E$46</definedName>
    <definedName name="SAMoSSpellType">[1]ExportSheet!$AI$39:$AI$43</definedName>
    <definedName name="SAMoSSpellType1">[1]ExportSheet!$AI$39</definedName>
    <definedName name="SAMoSSpellType2">[1]ExportSheet!$AI$40</definedName>
    <definedName name="SAMoSSpellType3">[1]ExportSheet!$AI$41</definedName>
    <definedName name="SAMoSSpellType4">[1]ExportSheet!$AI$42</definedName>
    <definedName name="SAMoSSpellType5">[1]ExportSheet!$AI$43</definedName>
    <definedName name="SamType">[1]Feats!$BK$77</definedName>
    <definedName name="SanctifiedOneAbility1">[1]ExportSheet!$AG$40</definedName>
    <definedName name="SanctifiedOneAbility2">[1]ExportSheet!$AG$41</definedName>
    <definedName name="SanctifiedOneAbility3">[1]ExportSheet!$AG$42</definedName>
    <definedName name="SanctifiedOneDeityCell">[1]ExportSheet!$AG$39</definedName>
    <definedName name="SaOLvl">'Class Info'!$E$282</definedName>
    <definedName name="SapphireSmiteBonus">'[1]Incarnum Abilities'!$Z$26</definedName>
    <definedName name="SavesTxt">'[1]CS Calc.'!$E$19</definedName>
    <definedName name="SBHLvl">'Class Info'!$E$179</definedName>
    <definedName name="SbnBinds">[1]Soulmelds!$BS$12</definedName>
    <definedName name="SbnLvl">'Class Info'!$E$56</definedName>
    <definedName name="SbnMelds">[1]Soulmelds!$BS$4</definedName>
    <definedName name="SbSLvl">'Class Info'!$E$230</definedName>
    <definedName name="ScChLvl">'Class Info'!$E$598</definedName>
    <definedName name="ScCLvl">'Class Info'!$E$347</definedName>
    <definedName name="ScDLvl">'Class Info'!$E$384</definedName>
    <definedName name="ScELvl">'Class Info'!$E$307</definedName>
    <definedName name="ScgLvl">'Class Info'!$E$756</definedName>
    <definedName name="ScHLvl">'Class Info'!$E$341</definedName>
    <definedName name="ScionCell">[1]Feats!$AP$1942</definedName>
    <definedName name="ScionHouse">[1]Tables!$J$53:$J$59</definedName>
    <definedName name="SclLvl">'Class Info'!$E$743</definedName>
    <definedName name="ScMLvl">'Class Info'!$E$298</definedName>
    <definedName name="ScrLvl">'Class Info'!$E$393</definedName>
    <definedName name="ScSLvl">'Class Info'!$E$553</definedName>
    <definedName name="SctLvl">'Class Info'!$E$35</definedName>
    <definedName name="ScWLvl">'Class Info'!$E$565</definedName>
    <definedName name="SdALvl">'Class Info'!$E$300</definedName>
    <definedName name="SDCLvl">'Class Info'!$E$503</definedName>
    <definedName name="SearchTotal">[1]Skills!$HI$73</definedName>
    <definedName name="SecretAboleth">'[1]Class Abilities'!$D$2722</definedName>
    <definedName name="SecretBeholder">'[1]Class Abilities'!$D$2723</definedName>
    <definedName name="SecretChoker">'[1]Class Abilities'!$D$2724</definedName>
    <definedName name="SecretDestrachan">'[1]Class Abilities'!$D$2725</definedName>
    <definedName name="SecretEttercap">'[1]Class Abilities'!$D$2726</definedName>
    <definedName name="SecretGibberingMouther">'[1]Class Abilities'!$D$2727</definedName>
    <definedName name="SecretMindFlayer">'[1]Class Abilities'!$D$2728</definedName>
    <definedName name="SecretOtyugh">'[1]Class Abilities'!$D$2729</definedName>
    <definedName name="SecretUmberhulk">'[1]Class Abilities'!$D$2730</definedName>
    <definedName name="SeeLvl">'Class Info'!$E$200</definedName>
    <definedName name="SelectedCasterReal">'[1]Spell Info'!$L$96</definedName>
    <definedName name="SensesAuraMod">[1]Buffs!$M$11</definedName>
    <definedName name="Setting">'[1]Option Info'!$H$12</definedName>
    <definedName name="SettingIdx">'[1]Option Info'!$H$15</definedName>
    <definedName name="SettingsAbrList">INDEX(TblSettings,2,1):INDEX(TblSettings,SettingsRowsCnt,1)</definedName>
    <definedName name="SettingsBase">'[1]Option Info'!$H$14</definedName>
    <definedName name="SettingsList">INDEX(TblSettings,2,5):INDEX(TblSettings,SettingsRowsCnt,5)</definedName>
    <definedName name="SettingsRowsCnt">'[1]Option Info'!$H$11</definedName>
    <definedName name="SettingSunManeuvers">'[1]Maneuvers &amp; Stances'!$X$111</definedName>
    <definedName name="SettingSunStrikes">'[1]Maneuvers &amp; Stances'!$AE$111</definedName>
    <definedName name="SfCLvl">'Class Info'!$E$482</definedName>
    <definedName name="SfiLvl">'Class Info'!$E$610</definedName>
    <definedName name="SfLLvl">'Class Info'!$E$467</definedName>
    <definedName name="SftLvl">'Class Info'!$E$783</definedName>
    <definedName name="SgdLvl">'Class Info'!$E$666</definedName>
    <definedName name="SghLvl">'Class Info'!$E$631</definedName>
    <definedName name="ShadowAbilities">'[1]Race &amp; Templates'!$X$22:$X$28</definedName>
    <definedName name="ShadowAbilitiesList">'[1]Race &amp; Templates'!$AP$11:INDEX('[1]Race &amp; Templates'!$AP$11:$AP$17,ShadowAbilitiesListRowsCnt)</definedName>
    <definedName name="ShadowAbilitiesListRowsCnt">'[1]Race &amp; Templates'!$AJ$8</definedName>
    <definedName name="ShadowCFear">'[1]Race &amp; Templates'!$AN$12</definedName>
    <definedName name="ShadowEvasion">'[1]Race &amp; Templates'!$AN$14</definedName>
    <definedName name="ShadowHandManeuvers">'[1]Maneuvers &amp; Stances'!$X$133</definedName>
    <definedName name="ShadowHandStances">'[1]Maneuvers &amp; Stances'!$AE$133</definedName>
    <definedName name="ShadowLuck">'[1]Race &amp; Templates'!$AN$11</definedName>
    <definedName name="ShadowMantleSkBonus">[1]SoulmeldAbilities!$G$201</definedName>
    <definedName name="ShadowMImage">'[1]Race &amp; Templates'!$AN$16</definedName>
    <definedName name="ShadowPShift">'[1]Race &amp; Templates'!$AN$17</definedName>
    <definedName name="Shaken">[1]Buffs!$W$13</definedName>
    <definedName name="ShakenMod">[1]Buffs!$Y$13</definedName>
    <definedName name="ShaLvl">'Class Info'!$E$68</definedName>
    <definedName name="ShapeMindBlade">'[1]Class Abilities'!$D$1611</definedName>
    <definedName name="ShapeSoulmeld1Choice">[1]ExportSheet!$BD$70</definedName>
    <definedName name="ShapeSoulmeld2Choice">[1]ExportSheet!$BE$70</definedName>
    <definedName name="ShapeSoulmeld3Choice">[1]ExportSheet!$BF$70</definedName>
    <definedName name="ShapeSoulmeldClass1">[1]ExportSheet!$BD$71</definedName>
    <definedName name="ShapeSoulmeldClass2">[1]ExportSheet!$BE$71</definedName>
    <definedName name="ShapeSoulmeldClass3">[1]ExportSheet!$BF$71</definedName>
    <definedName name="ShaSLvl">'Class Info'!$E$283</definedName>
    <definedName name="SHBWeapon">'[1]Class Abilities'!$D$633</definedName>
    <definedName name="ShCLvl">'Class Info'!$E$52</definedName>
    <definedName name="ShdLvl">'Class Info'!$E$120</definedName>
    <definedName name="ShHLvl">'Class Info'!$E$447</definedName>
    <definedName name="ShieldBonus">[1]Armor!$M$62</definedName>
    <definedName name="ShieldCell">[1]ExportSheet!$F$46</definedName>
    <definedName name="ShieldCP">[1]Armor!$O$62</definedName>
    <definedName name="ShieldMat">[1]ExportSheet!$F$48</definedName>
    <definedName name="ShieldMaterial">[1]Armor!$J$62</definedName>
    <definedName name="ShieldMaterialName">[1]Armor!$M$90</definedName>
    <definedName name="ShieldMaxDex">[1]Armor!$N$62</definedName>
    <definedName name="ShieldName">[1]Armor!$M$88</definedName>
    <definedName name="ShieldOfFaith">[1]Buffs!$B$15</definedName>
    <definedName name="ShieldOfFaithAC">[1]Buffs!$G$15</definedName>
    <definedName name="ShieldOfLaw">[1]Buffs!$B$78</definedName>
    <definedName name="ShieldOfLawMod">[1]Buffs!$G$78</definedName>
    <definedName name="ShieldOfWarding">[1]Buffs!$B$43</definedName>
    <definedName name="ShieldOfWardingMod">[1]Buffs!$G$43</definedName>
    <definedName name="ShieldProf">'Class Info'!$EJ$14</definedName>
    <definedName name="ShieldProficient">[1]Armor!$L$62</definedName>
    <definedName name="ShieldProps">[1]Armor!$A$22</definedName>
    <definedName name="ShieldQual">[1]ExportSheet!$F$47</definedName>
    <definedName name="ShieldSel">[1]Armor!$I$90</definedName>
    <definedName name="ShieldSpecial1">[1]Feats!$AO$231</definedName>
    <definedName name="ShieldSpecial2">[1]Feats!$AO$232</definedName>
    <definedName name="ShieldSpecial3">[1]Feats!$AO$233</definedName>
    <definedName name="ShieldSpell">[1]Buffs!$B$14</definedName>
    <definedName name="ShieldSpellBonus">[1]Buffs!$G$14</definedName>
    <definedName name="ShieldSpellFail">[1]Armor!$P$62</definedName>
    <definedName name="ShieldType">[1]Armor!$J$90</definedName>
    <definedName name="ShieldWgt">[1]Armor!$Q$62</definedName>
    <definedName name="ShifterAbility">'[1]Racial Abilities'!$H$681</definedName>
    <definedName name="ShifterAgilityMod">[1]Buffs!$R$43</definedName>
    <definedName name="ShifterAttackBite">'[1]Racial Abilities'!$J$691</definedName>
    <definedName name="ShifterAttackClaw">'[1]Racial Abilities'!$J$692</definedName>
    <definedName name="ShifterAttackGore">'[1]Racial Abilities'!$J$689</definedName>
    <definedName name="ShifterCell2">[1]Feats!$AP$2572</definedName>
    <definedName name="ShifterCell3">[1]ExportSheet!$AE$54</definedName>
    <definedName name="ShifterCnt">'[1]Racial Abilities'!$J$683</definedName>
    <definedName name="ShifterDmgBonus">'[1]Racial Abilities'!$K$681</definedName>
    <definedName name="ShifterLandSpeedBonus">'[1]Racial Abilities'!$J$690</definedName>
    <definedName name="ShifterNaturalArmor">'[1]Racial Abilities'!$J$686</definedName>
    <definedName name="ShifterSelected">[1]Feats!$AN$6</definedName>
    <definedName name="ShifterTrait1Idx">'[1]Racial Abilities'!$G$683</definedName>
    <definedName name="ShifterTrait1Txt">'[1]Race &amp; Templates'!$P$18</definedName>
    <definedName name="ShifterTrait2Idx">'[1]Racial Abilities'!$H$683</definedName>
    <definedName name="ShifterTrait2Txt">[1]Feats!$AQ$2572</definedName>
    <definedName name="ShifterTrait3Idx">'[1]Racial Abilities'!$I$683</definedName>
    <definedName name="ShifterTrait3Txt">'[1]Racial Abilities'!$J$681</definedName>
    <definedName name="ShifterTrait4Idx">'[1]Racial Abilities'!$L$681</definedName>
    <definedName name="ShifterTrait4Txt">'[1]Racial Abilities'!$M$681</definedName>
    <definedName name="ShifterTraitList">'[1]Racial Abilities'!$G$686:$G$695</definedName>
    <definedName name="ShifterTraitTxt">'[1]Racial Abilities'!$I$681</definedName>
    <definedName name="ShiftingMod">[1]Feats!$AN$5</definedName>
    <definedName name="ShILvl">'Class Info'!$E$229</definedName>
    <definedName name="ShjLvl">'Class Info'!$E$27</definedName>
    <definedName name="ShkLvl">'Class Info'!$E$211</definedName>
    <definedName name="ShMkLvl">'Class Info'!$E$630</definedName>
    <definedName name="ShmLvl">'Class Info'!$E$231</definedName>
    <definedName name="ShortClass">'Class Info'!$EF$11</definedName>
    <definedName name="ShortClassLen">'Class Info'!$EG$11</definedName>
    <definedName name="ShoulderSlot">'[1]Magic Equipment'!$P$17</definedName>
    <definedName name="ShoulderSlotChaMod">'[1]Magic Equipment'!$AV$17</definedName>
    <definedName name="ShoulderSlotSavesMod">'[1]Magic Equipment'!$AV$18</definedName>
    <definedName name="ShoulderSlotSpellResist">'[1]Magic Equipment'!$AV$19</definedName>
    <definedName name="ShoulderSlotValue">'[1]Magic Equipment'!$AW$56</definedName>
    <definedName name="ShoulderSlotWeight">'[1]Magic Equipment'!$AU$56</definedName>
    <definedName name="ShowCanNotCast">'[1]Spell Info'!$L$87</definedName>
    <definedName name="ShpLvl">'Class Info'!$E$628</definedName>
    <definedName name="SHrLvl">'Class Info'!$E$392</definedName>
    <definedName name="ShSLvl">'Class Info'!$E$308</definedName>
    <definedName name="ShtSLvl">'Class Info'!$E$284</definedName>
    <definedName name="ShugenjaElement">[1]Tables!$L$322</definedName>
    <definedName name="ShugenjaElementCell">[1]ExportSheet!$U$19</definedName>
    <definedName name="ShugenjaOrderCell">[1]ExportSheet!$U$20</definedName>
    <definedName name="Sickened">[1]Buffs!$W$14</definedName>
    <definedName name="SickenedMod">[1]Buffs!$Y$14</definedName>
    <definedName name="SiftWingSurge1">[1]ExportSheet!$AB$56</definedName>
    <definedName name="SiftWingSurge2">[1]ExportSheet!$AB$57</definedName>
    <definedName name="SightGlovesDmgBonus">[1]SoulmeldAbilities!$G$208</definedName>
    <definedName name="SIIntMod">'[1]Spell Info'!$D$75</definedName>
    <definedName name="SilverMaskSkBonus">[1]SoulmeldAbilities!$G$210</definedName>
    <definedName name="SimpleProf">'Class Info'!$EJ$16</definedName>
    <definedName name="SiOLvl">'Class Info'!#REF!</definedName>
    <definedName name="Size">'[1]Race Info'!$B$31</definedName>
    <definedName name="SizeArmorWgt">'[1]Race Info'!$B$47</definedName>
    <definedName name="SizeBase">'[1]Race Info'!$B$33</definedName>
    <definedName name="SizeBaseIdx">'[1]Race Info'!$C$33</definedName>
    <definedName name="SizeChanged">'[1]Race Info'!$B$30</definedName>
    <definedName name="SizeFace">'[1]Race Info'!$H$47</definedName>
    <definedName name="SizeList">'[1]Race Info'!$J$5:$J$18</definedName>
    <definedName name="SizeLong">'[1]Race Info'!$B$32</definedName>
    <definedName name="SizeMod">'[1]Race Info'!$D$47</definedName>
    <definedName name="SizeNumber">'[1]Race Info'!$A$47</definedName>
    <definedName name="SizeReach">'[1]Race Info'!$I$47</definedName>
    <definedName name="SizeReachLong">'[1]Race Info'!$J$47</definedName>
    <definedName name="SizeSkillMod">'[1]Race Info'!$E$47</definedName>
    <definedName name="SizeWgtMod">'[1]Race Info'!$C$47</definedName>
    <definedName name="SkACP">[1]Skills!$GR$1</definedName>
    <definedName name="SkAppraiseRanks">[1]Skills!$HH$6</definedName>
    <definedName name="SkAutohypnosisRanks">[1]Skills!$HH$7</definedName>
    <definedName name="SkBalanceRanks">[1]Skills!$HH$8</definedName>
    <definedName name="SkBluffRanks">[1]Skills!$HH$9</definedName>
    <definedName name="SkClimbRanks">[1]Skills!$HH$10</definedName>
    <definedName name="SkConcentrationRanks">[1]Skills!$HH$12</definedName>
    <definedName name="SkControlShapeRanks">[1]Skills!$HH$11</definedName>
    <definedName name="SkCraft1Ranks">[1]Skills!$HH$14</definedName>
    <definedName name="SkCraft2Ranks">[1]Skills!$HH$15</definedName>
    <definedName name="SkCraft3Ranks">[1]Skills!$HH$16</definedName>
    <definedName name="SkCraft4Ranks">[1]Skills!$HH$17</definedName>
    <definedName name="SkCraft5Ranks">[1]Skills!$HH$18</definedName>
    <definedName name="SkCraft6Ranks">[1]Skills!$HH$19</definedName>
    <definedName name="SkCraftRanks">[1]Skills!$HM$13</definedName>
    <definedName name="SkDecipherScriptRanks">[1]Skills!$HH$20</definedName>
    <definedName name="SkDiplomacyRanks">[1]Skills!$HH$21</definedName>
    <definedName name="SkDisableDeviceRanks">[1]Skills!$HH$22</definedName>
    <definedName name="SkDisguiseRanks">[1]Skills!$HH$23</definedName>
    <definedName name="SkEscapeArtistRanks">[1]Skills!$HH$24</definedName>
    <definedName name="SkForgeryRanks">[1]Skills!$HH$25</definedName>
    <definedName name="SkGatherInformationRanks">[1]Skills!$HH$26</definedName>
    <definedName name="SkHandleAnimalRanks">[1]Skills!$HH$27</definedName>
    <definedName name="SkHealRanks">[1]Skills!$HH$28</definedName>
    <definedName name="SkHideRanks">[1]Skills!$HH$29</definedName>
    <definedName name="SkIaijutsuRanks">[1]Skills!$HH$31</definedName>
    <definedName name="SkillArtistry1">[1]ExportSheet!$AG$24</definedName>
    <definedName name="SkillArtistry2">[1]ExportSheet!$AG$25</definedName>
    <definedName name="SkillArtistry3">[1]ExportSheet!$AG$26</definedName>
    <definedName name="SkillArtistry4">[1]ExportSheet!$AG$27</definedName>
    <definedName name="SkillFocusList">[1]Feats!$AQ$102</definedName>
    <definedName name="SkillList">[1]Skills!$HW$6</definedName>
    <definedName name="SkillName">[1]Skills!$IA$5:$IA$85</definedName>
    <definedName name="SkillTrickList">'[1]Skill Tricks'!$R$5</definedName>
    <definedName name="SkillTrickRanks">[1]Skills!$F$75</definedName>
    <definedName name="SkillTricks">'[1]Skill Tricks'!$S$5</definedName>
    <definedName name="SkillTricksSelected">'[1]Skill Tricks'!$G$3</definedName>
    <definedName name="SkIntimidateRanks">[1]Skills!$HH$32</definedName>
    <definedName name="SkirmishACAmount">'[1]Class Abilities'!$E$848</definedName>
    <definedName name="SkirmishDamageAmount">'[1]Class Abilities'!$D$848</definedName>
    <definedName name="SkJumpRanks">[1]Skills!$HH$33</definedName>
    <definedName name="SkKnowledgeArcanaRanks">[1]Skills!$HH$34</definedName>
    <definedName name="SkKnowledgeArchitectureRanks">[1]Skills!$HH$35</definedName>
    <definedName name="SkKnowledgeDungeoneeringRanks">[1]Skills!$HH$36</definedName>
    <definedName name="SkKnowledgeGeographyRanks">[1]Skills!$HH$37</definedName>
    <definedName name="SkKnowledgeHistoryRanks">[1]Skills!$HH$38</definedName>
    <definedName name="SkKnowledgeList">[1]Skills!$IJ$33:INDEX([1]Skills!$IJ$33:$IJ$53,SkKnowledgeListRowsCnt)</definedName>
    <definedName name="SkKnowledgeListRowsCnt">[1]Skills!$II$2</definedName>
    <definedName name="SkKnowledgeLocalRanks">[1]Skills!$HH$39</definedName>
    <definedName name="SkKnowledgeNatureRanks">[1]Skills!$HH$41</definedName>
    <definedName name="SkKnowledgeNobilityRanks">[1]Skills!$HH$42</definedName>
    <definedName name="SkKnowledgePlanesRanks">[1]Skills!$HH$46</definedName>
    <definedName name="SkKnowledgePsionicsRanks">[1]Skills!$HH$43</definedName>
    <definedName name="SkKnowledgeRanks">[1]Skills!$HM$47</definedName>
    <definedName name="SkKnowledgeRavenloftRanks">[1]Skills!$HH$44</definedName>
    <definedName name="SkKnowledgeReligionRanks">[1]Skills!$HH$45</definedName>
    <definedName name="SkListenRanks">[1]Skills!$HH$55</definedName>
    <definedName name="SklLvl">'Class Info'!$E$403</definedName>
    <definedName name="SkMoveSilentlyRanks">[1]Skills!$HH$57</definedName>
    <definedName name="SkNonProfACP">[1]Skills!$GR$2</definedName>
    <definedName name="SkOpenLockRanks">[1]Skills!$HH$58</definedName>
    <definedName name="SkPerform1Ranks">[1]Skills!$HH$60</definedName>
    <definedName name="SkPerform2Ranks">[1]Skills!$HH$61</definedName>
    <definedName name="SkPerformRanks">[1]Skills!$HM$59</definedName>
    <definedName name="SkPLvl">'Class Info'!$E$315</definedName>
    <definedName name="SkProfessionRanks">[1]Skills!$HM$65</definedName>
    <definedName name="SkPsicraftRanks">[1]Skills!$HH$71</definedName>
    <definedName name="SkRacialModMisc">[1]Skills!$IN$6</definedName>
    <definedName name="SkRanks">[1]Skills!$F$6:$F$85</definedName>
    <definedName name="SkRideRanks">[1]Skills!$HH$72</definedName>
    <definedName name="SkrLvl">'Class Info'!$E$433</definedName>
    <definedName name="SkSearchRanks">[1]Skills!$HH$73</definedName>
    <definedName name="SkSenseMotiveRanks">[1]Skills!$HH$74</definedName>
    <definedName name="SkSleightOfHandRanks">[1]Skills!$HH$76</definedName>
    <definedName name="SkSpeakLanguageRanks">[1]Skills!$HH$77</definedName>
    <definedName name="SkSpellcraftRanks">[1]Skills!$HH$78</definedName>
    <definedName name="SkSpotRanks">[1]Skills!$HH$79</definedName>
    <definedName name="SkSurvivalRanks">[1]Skills!$HH$80</definedName>
    <definedName name="SkSwimRanks">[1]Skills!$HH$81</definedName>
    <definedName name="SkTumbleRanks">[1]Skills!$HH$82</definedName>
    <definedName name="SkUseMagicDeviceRanks">[1]Skills!$HH$83</definedName>
    <definedName name="SkUseRopeRanks">[1]Skills!$HH$85</definedName>
    <definedName name="SkyLvl">'Class Info'!$E$720</definedName>
    <definedName name="SlBwLvl">'Class Info'!$E$245</definedName>
    <definedName name="SlELvl">'Class Info'!$E$698</definedName>
    <definedName name="SLoLvl">'Class Info'!$E$450</definedName>
    <definedName name="Slow">[1]Buffs!$W$15</definedName>
    <definedName name="SlowMod">[1]Buffs!$Y$15</definedName>
    <definedName name="SMaLvl">'Class Info'!$E$394</definedName>
    <definedName name="SMdLvl">'Class Info'!$E$685</definedName>
    <definedName name="SMILvl">'Class Info'!$E$178</definedName>
    <definedName name="SmiteEvil">'[1]Class Abilities'!$D$62</definedName>
    <definedName name="SmiteGood">'[1]Class Abilities'!$D$130</definedName>
    <definedName name="SmnLvl">'Class Info'!$E$28</definedName>
    <definedName name="SMWLvl">'Class Info'!$E$502</definedName>
    <definedName name="SneakAttack">'[1]Class Abilities'!$D$106</definedName>
    <definedName name="SnkLvl">'Class Info'!$E$212</definedName>
    <definedName name="SoBLvl">'Class Info'!$E$719</definedName>
    <definedName name="SoCLvl">'Class Info'!$E$324</definedName>
    <definedName name="SoDLvl">'Class Info'!$E$721</definedName>
    <definedName name="SohLvl">'Class Info'!$E$69</definedName>
    <definedName name="SoKLvl">'Class Info'!$E$722</definedName>
    <definedName name="SoLLvl">'Class Info'!$E$285</definedName>
    <definedName name="SoLSaveBonus">'[1]Class Abilities'!$D$3958</definedName>
    <definedName name="SonicShield">[1]Buffs!$B$60</definedName>
    <definedName name="SonicShieldMod">[1]Buffs!$G$60</definedName>
    <definedName name="SorLvl">'Class Info'!$E$14</definedName>
    <definedName name="SoSLvl">'Class Info'!$E$451</definedName>
    <definedName name="SoulmeldAbilities">[1]SoulmeldAbilities!$F$3</definedName>
    <definedName name="SoulmeldsReset">[1]ExportSheet!$BD$51:$BG$53,[1]ExportSheet!$BD$55:$BF$57,[1]ExportSheet!$BG$57,[1]ExportSheet!$BD$59:$BF$61,[1]ExportSheet!$BG$61,[1]ExportSheet!$BD$63:$BF$65,[1]ExportSheet!$BD$68:$BF$68,[1]ExportSheet!$BD$70:$BF$71</definedName>
    <definedName name="SoulmeldWeaponFinesse">[1]SoulmeldAbilities!$G$5</definedName>
    <definedName name="SouLvl">'Class Info'!$E$64</definedName>
    <definedName name="SourcebooksCategoryList">'[1]Option Info'!$A$30:$A$35</definedName>
    <definedName name="SourcebooksFeatsList">'[1]Option Info'!$R$2:INDEX('[1]Option Info'!$R$2:$R$150,SourcebooksFeatsSrcCnt,1)</definedName>
    <definedName name="SourcebooksFeatsSrcCnt">'[1]Option Info'!$Q$1</definedName>
    <definedName name="SourcebooksRowsCnt">'[1]Option Info'!$H$22</definedName>
    <definedName name="SourcebooksStatusList">'[1]Option Info'!$A$22:$A$27</definedName>
    <definedName name="SP">'[1]Stats &amp; Character Details'!$B$27</definedName>
    <definedName name="SpDLvl">'Class Info'!$E$481</definedName>
    <definedName name="SpecForbid">[1]ExportSheet!$U$10</definedName>
    <definedName name="SpecForbid2">[1]ExportSheet!$U$11</definedName>
    <definedName name="SpecForbid3">[1]ExportSheet!$U$12</definedName>
    <definedName name="SpecForbid4">[1]ExportSheet!$U$13</definedName>
    <definedName name="SpecialistName">'[1]Class Abilities'!$D$111</definedName>
    <definedName name="SpecificDomains">[1]Classes!$BN$52</definedName>
    <definedName name="SpecWiz">[1]ExportSheet!$U$9</definedName>
    <definedName name="SpecWizForbid">'[1]Class Abilities'!$D$109</definedName>
    <definedName name="SpecWizName">'[1]Class Abilities'!$D$111</definedName>
    <definedName name="SpecWizNumProhibit">'[1]Class Abilities'!$D$108</definedName>
    <definedName name="SpecWizSchool">'[1]Class Abilities'!$E$111</definedName>
    <definedName name="SpeedWithRun">[1]Armor!$S$1</definedName>
    <definedName name="Spellcaster1">[1]ExportSheet!$AD$14</definedName>
    <definedName name="Spellcaster10">[1]ExportSheet!$AD$23</definedName>
    <definedName name="Spellcaster11">[1]ExportSheet!$AD$24</definedName>
    <definedName name="Spellcaster12">[1]ExportSheet!$AD$25</definedName>
    <definedName name="Spellcaster13">[1]ExportSheet!$AD$26</definedName>
    <definedName name="Spellcaster14">[1]ExportSheet!$AD$27</definedName>
    <definedName name="Spellcaster15">[1]ExportSheet!$AD$28</definedName>
    <definedName name="Spellcaster16">[1]ExportSheet!$AD$29</definedName>
    <definedName name="Spellcaster17">[1]ExportSheet!$AD$30</definedName>
    <definedName name="Spellcaster18">[1]ExportSheet!$AD$31</definedName>
    <definedName name="Spellcaster19">[1]ExportSheet!$AD$32</definedName>
    <definedName name="Spellcaster2">[1]ExportSheet!$AD$15</definedName>
    <definedName name="Spellcaster20">[1]ExportSheet!$AD$33</definedName>
    <definedName name="Spellcaster21">[1]ExportSheet!$AD$34</definedName>
    <definedName name="Spellcaster22">[1]ExportSheet!$AD$35</definedName>
    <definedName name="Spellcaster23">[1]ExportSheet!$AD$36</definedName>
    <definedName name="Spellcaster24">[1]ExportSheet!$AD$37</definedName>
    <definedName name="Spellcaster25">[1]ExportSheet!$AD$38</definedName>
    <definedName name="Spellcaster3">[1]ExportSheet!$AD$16</definedName>
    <definedName name="Spellcaster4">[1]ExportSheet!$AD$17</definedName>
    <definedName name="Spellcaster5">[1]ExportSheet!$AD$18</definedName>
    <definedName name="Spellcaster6">[1]ExportSheet!$AD$19</definedName>
    <definedName name="Spellcaster7">[1]ExportSheet!$AD$20</definedName>
    <definedName name="Spellcaster8">[1]ExportSheet!$AD$21</definedName>
    <definedName name="Spellcaster9">[1]ExportSheet!$AD$22</definedName>
    <definedName name="SpellResistBuff">[1]Buffs!$B$61</definedName>
    <definedName name="SpellResistBuffMod">[1]Buffs!$G$61</definedName>
    <definedName name="SpellSense">'[1]Class Abilities'!$AM$7</definedName>
    <definedName name="SPfLvl">'Class Info'!$E$673</definedName>
    <definedName name="SphinxClawSkBonus">[1]SoulmeldAbilities!$G$222</definedName>
    <definedName name="SpiderServant">[1]ExportSheet!$AK$25</definedName>
    <definedName name="Spiderskin">[1]Buffs!$B$44</definedName>
    <definedName name="SpiderskinMod">[1]Buffs!$G$44</definedName>
    <definedName name="SpiritArmor">'[1]Class Abilities'!$D$3422</definedName>
    <definedName name="SpiritGuideCell">[1]ExportSheet!$U$43</definedName>
    <definedName name="SplitChakra1Choice">[1]Feats!$AP$1687</definedName>
    <definedName name="SplitChakra2Choice">[1]Feats!$AP$1688</definedName>
    <definedName name="SplitChakra3Choice">[1]Feats!$AP$1689</definedName>
    <definedName name="SplSLvl">'Class Info'!$E$490</definedName>
    <definedName name="SpotTotal">[1]Skills!$HI$79</definedName>
    <definedName name="SPrLvl">'Class Info'!$E$629</definedName>
    <definedName name="SpsLvl">'Class Info'!$E$153</definedName>
    <definedName name="SpTLvl">'Class Info'!$E$36</definedName>
    <definedName name="SpWBinds">[1]Soulmelds!$BS$14</definedName>
    <definedName name="SpWLvl">'Class Info'!$E$395</definedName>
    <definedName name="SpwMelds">[1]Soulmelds!$BS$6</definedName>
    <definedName name="SpwSLvl">'Class Info'!$E$272</definedName>
    <definedName name="SpyLvl">'Class Info'!$E$232</definedName>
    <definedName name="SpyrLvl">'Class Info'!$E$544</definedName>
    <definedName name="Squeezing">[1]Buffs!$W$16</definedName>
    <definedName name="SqueezingMod">[1]Buffs!$Y$16</definedName>
    <definedName name="SR">'[1]CS Calc.'!$D$12</definedName>
    <definedName name="SROverride">[1]Enhancements!$C$23</definedName>
    <definedName name="SSBbnBonusFeat">[1]ExportSheet!$E$80</definedName>
    <definedName name="SSBbnWastelandDamageReduction">[1]ExportSheet!$E$81</definedName>
    <definedName name="SSBbnWastelandTrapSense">[1]ExportSheet!$E$79</definedName>
    <definedName name="SScLvl">'Class Info'!$E$627</definedName>
    <definedName name="SSDrdHeatEndurance">[1]ExportSheet!$H$80</definedName>
    <definedName name="SSDrdSandskimmer">[1]ExportSheet!$H$79</definedName>
    <definedName name="SSDrdWildShape">[1]ExportSheet!$H$81</definedName>
    <definedName name="SsGLvl">'Class Info'!$E$301</definedName>
    <definedName name="SShLvl">'Class Info'!$E$339</definedName>
    <definedName name="SSMLvl">'Class Info'!$E$557</definedName>
    <definedName name="SSNLvl">'Class Info'!$E$380</definedName>
    <definedName name="SSRgrHeatEndurance">[1]ExportSheet!$O$79</definedName>
    <definedName name="SSRgrSandskimmer">[1]ExportSheet!$O$80</definedName>
    <definedName name="SSRgrWasteHunter">[1]ExportSheet!$O$81</definedName>
    <definedName name="STALvl">'Class Info'!$E$449</definedName>
    <definedName name="StalwartPact">[1]Buffs!$B$62</definedName>
    <definedName name="StalwartPactHP">[1]Buffs!$H$62</definedName>
    <definedName name="StalwartPactMod">[1]Buffs!$G$62</definedName>
    <definedName name="StanKnownClass">'[1]Maneuvers &amp; Stances'!$AA$7:$AA$230</definedName>
    <definedName name="StartingGold">'[1]LG Game Log'!$A$1:$C$21</definedName>
    <definedName name="StatMods">[1]Tables!$A$143:$L$169</definedName>
    <definedName name="StbLvl">'Class Info'!$E$299</definedName>
    <definedName name="StCLvl">'Class Info'!$E$349</definedName>
    <definedName name="StDsLvl">'Class Info'!$E$246</definedName>
    <definedName name="SteadyHandMod">[1]Buffs!$M$33</definedName>
    <definedName name="SteelLegionnaireFavEnemyCell1">[1]ExportSheet!$AI$46</definedName>
    <definedName name="SteelLegionnaireFavEnemyCell2">[1]ExportSheet!$AI$47</definedName>
    <definedName name="StepoftheBodilessBonus">'[1]Incarnum Abilities'!$Z$39</definedName>
    <definedName name="StfLvl">'Class Info'!$E$233</definedName>
    <definedName name="StillMind">'[1]Class Abilities'!$D$78</definedName>
    <definedName name="StLgLvl">'Class Info'!$E$588</definedName>
    <definedName name="StLLvl">'Class Info'!$E$180</definedName>
    <definedName name="STNLvl">'Class Info'!$E$340</definedName>
    <definedName name="StoLvl">'Class Info'!$E$154</definedName>
    <definedName name="StoneBody">[1]Buffs!$B$63</definedName>
    <definedName name="StoneBodyDexMod">[1]Buffs!$H$63</definedName>
    <definedName name="StoneBodyStrMod">[1]Buffs!$G$63</definedName>
    <definedName name="StoneDragonManeuvers">'[1]Maneuvers &amp; Stances'!$X$160</definedName>
    <definedName name="StoneLordCells">[1]ExportSheet!$AG$19:$AG$23</definedName>
    <definedName name="StonePower1">[1]ExportSheet!$AG$19</definedName>
    <definedName name="StonePower2">[1]ExportSheet!$AG$20</definedName>
    <definedName name="StonePower3">[1]ExportSheet!$AG$21</definedName>
    <definedName name="StonePower4">[1]ExportSheet!$AG$22</definedName>
    <definedName name="StonePower5">[1]ExportSheet!$AG$23</definedName>
    <definedName name="StonePowers">[1]Tables!$N$253:$N$262</definedName>
    <definedName name="Str">'[1]Stats &amp; Character Details'!$BN$3</definedName>
    <definedName name="StrCarry">'[1]CS Calc.'!$B$82</definedName>
    <definedName name="StrMagicMod">'[1]Stats &amp; Character Details'!$BM$3</definedName>
    <definedName name="StrMod">'[1]Stats &amp; Character Details'!$BO$3</definedName>
    <definedName name="StrongarmBracers">[1]Attacks!$L$34</definedName>
    <definedName name="StrTemp">'[1]CS Calc.'!$F$2</definedName>
    <definedName name="StrTempMod">'[1]CS Calc.'!$G$2</definedName>
    <definedName name="StSLvl">'Class Info'!$E$334</definedName>
    <definedName name="StTLvl">'Class Info'!$E$316</definedName>
    <definedName name="Stunned">[1]Buffs!$W$18</definedName>
    <definedName name="StunnedACMod">[1]Buffs!$Y$18</definedName>
    <definedName name="StyLvl">'Class Info'!$E$776</definedName>
    <definedName name="SuALvl">'Class Info'!$E$202</definedName>
    <definedName name="SublimeBuddyClass">[1]ExportSheet!$Z$19</definedName>
    <definedName name="SublimeBuddyClassCell">[1]ExportSheet!$AA$19</definedName>
    <definedName name="SubLvl">'Class Info'!$E$201</definedName>
    <definedName name="Subrace">'[1]Race Info'!$B$11</definedName>
    <definedName name="Subtype">'[1]Race Info'!$B$78</definedName>
    <definedName name="SuddenStrike">'[1]Class Abilities'!$D$838</definedName>
    <definedName name="SuperiorResistance">[1]Buffs!$B$68</definedName>
    <definedName name="SuperiorResistanceMod">[1]Buffs!$G$68</definedName>
    <definedName name="SurgeOfFortune">[1]Buffs!$B$64</definedName>
    <definedName name="SurgeOfFortuneMod">[1]Buffs!$G$64</definedName>
    <definedName name="SurgingEuphoria">'[1]Class Abilities'!$D$1619</definedName>
    <definedName name="SuSMLvl">'Class Info'!$E$529</definedName>
    <definedName name="SvSLvl">'Class Info'!$E$466</definedName>
    <definedName name="SwaLvl">'Class Info'!$E$723</definedName>
    <definedName name="SwarmShifter2Selected">'[1]Race &amp; Templates'!$AC$30</definedName>
    <definedName name="SwarmShifterCnt">'[1]Template Info'!$BI$29</definedName>
    <definedName name="SwarmShifterTypes">'[1]Race &amp; Templates'!$X$29:$X$31</definedName>
    <definedName name="SwarmTypeList">'[1]Race &amp; Templates'!$AV$3:INDEX('[1]Race &amp; Templates'!$AV$3:$AV$14,SwarmTypesListRowsCnt)</definedName>
    <definedName name="SwarmTypesListRowsCnt">'[1]Race &amp; Templates'!$AJ$9</definedName>
    <definedName name="SWBLvl">'Class Info'!$E$652</definedName>
    <definedName name="SwDLvl">'Class Info'!$E$468</definedName>
    <definedName name="SwfLvl">'Class Info'!$E$789</definedName>
    <definedName name="SwhLvl">'Class Info'!$E$348</definedName>
    <definedName name="SWiDraconicSurgeMent">[1]Tables!$I$205:$I$208</definedName>
    <definedName name="SWiDraconicSurgePhys">[1]Tables!$I$199:$I$202</definedName>
    <definedName name="SWiEnergyResistance">[1]ExportSheet!$AB$55</definedName>
    <definedName name="SWiLvl">'Class Info'!$E$660</definedName>
    <definedName name="SwimSpeed">[1]Armor!$U$6</definedName>
    <definedName name="SWMnkWaterStep">[1]ExportSheet!$M$78</definedName>
    <definedName name="SwordwraithSelected">'[1]Race &amp; Templates'!$AG$32</definedName>
    <definedName name="SwRLvl">'Class Info'!$E$724</definedName>
    <definedName name="SwSaDisciplineFocus">[1]Classes!$BN$8</definedName>
    <definedName name="SwSaILLvl">'[1]Maneuvers &amp; Stances'!$BJ$8</definedName>
    <definedName name="SwSaLvl">'Class Info'!$E$48</definedName>
    <definedName name="SwsaManKnow">'[1]Maneuvers &amp; Stances'!$BJ$14</definedName>
    <definedName name="SwSaManKnowList">'[1]Maneuvers &amp; Stances'!$AQ$6</definedName>
    <definedName name="SwSaManReady">'[1]Maneuvers &amp; Stances'!$BJ$20</definedName>
    <definedName name="SwSaStanKnow">'[1]Maneuvers &amp; Stances'!$BJ$26</definedName>
    <definedName name="SwsaStanKnowList">'[1]Maneuvers &amp; Stances'!$AY$6</definedName>
    <definedName name="SwsLvl">'Class Info'!$E$24</definedName>
    <definedName name="SyoLvl">'Class Info'!$E$757</definedName>
    <definedName name="TableTent">[1]ExportSheet!$B$24</definedName>
    <definedName name="TaintedOneSelected">'[1]Race &amp; Templates'!$AG$29</definedName>
    <definedName name="TashalatoraCell">[1]ExportSheet!$BW$18</definedName>
    <definedName name="TashalatoraClass">[1]ExportSheet!$BV$18</definedName>
    <definedName name="Tbl1to60">[1]Tables!$L$3:$L$63</definedName>
    <definedName name="TblAberrantFeature">[1]Tables!$E$274:$E$281</definedName>
    <definedName name="TblAberrantFeatureFeat">[1]Feats!$AO$3092:$AO$3094</definedName>
    <definedName name="TblAberrantmarks">[1]Tables!$E$259:$E$272</definedName>
    <definedName name="TblAbilities">'[1]CS Calc.'!$S$2</definedName>
    <definedName name="TblAbilitiesMirror">'[1]CS Calc.'!$S$6</definedName>
    <definedName name="TblAbilitiesMirror2">'[1]CS Calc.'!$S$7</definedName>
    <definedName name="TblActiveMelds">[1]Soulmelds!$Y$14:$AC$26</definedName>
    <definedName name="TblAdpSpsDay">'[1]Spells per Day'!$A$26:$G$46</definedName>
    <definedName name="TblAereniFocus">[1]Feats!$AO$2653</definedName>
    <definedName name="TblAfcSpsDay">'[1]Spells per Day'!$A$141:$H$161</definedName>
    <definedName name="TblAlignedAttack">[1]Tables!$H$53:$H$57</definedName>
    <definedName name="TblAlignment">'[1]Stats &amp; Character Details'!$CD$34:$CI$43</definedName>
    <definedName name="TblAlignmentComponents">[1]Tables!$A$2:$A$5</definedName>
    <definedName name="TblAmbientSecrets">[1]Tables!$Q$121:$Q$125</definedName>
    <definedName name="TblAncientSecrets">[1]Tables!$R$117:$R$125</definedName>
    <definedName name="TblAnimalCompanionBonuses">'[1]Creature Info'!$CP$10:$CT$29</definedName>
    <definedName name="TblAnointSelf">[1]ExportSheet!$AI$10:$AI$13</definedName>
    <definedName name="TblAnointSelfStatBump">[1]Tables!$H$172:$H$175</definedName>
    <definedName name="TblAoPSpsDay">'[1]Spells per Day'!$I$95:$S$105</definedName>
    <definedName name="TblArcaneDivine">[1]Tables!$C$53:$C$55</definedName>
    <definedName name="TblArcaneThesis">[1]Tables!$Q$127:$Q$138</definedName>
    <definedName name="TblArmorSpecializationList">[1]Tables!$P$101:$P$104</definedName>
    <definedName name="TblArvSpsDay">'[1]Spells per Day'!$I$285:$S$305</definedName>
    <definedName name="TblAsnSpellKn">'[1]Spells Known'!$T$3:$Y$13</definedName>
    <definedName name="TblAtavistPersonality">[1]Tables!$Q$62:$Q$66</definedName>
    <definedName name="TblAtkStrengthBonus">[1]Tables!$G$30:$G$34</definedName>
    <definedName name="TblAttackFeat">[1]Attacks!$J$45:$J$56</definedName>
    <definedName name="TblBeastTotem">[1]Tables!$H$243:$H$251</definedName>
    <definedName name="TblBegSpsDay">'[1]Spells per Day'!$I$331:$S$351</definedName>
    <definedName name="TblBindableChakras">[1]Soulmelds!$AF$28:$AF$39</definedName>
    <definedName name="TblBindsArms">[1]Soulmelds!$BF$31:$BF$32</definedName>
    <definedName name="TblBindsBrow">[1]Soulmelds!$BI$31:$BI$32</definedName>
    <definedName name="TblBindsCrown">[1]Soulmelds!$AW$31:$AW$32</definedName>
    <definedName name="TblBindsDouble1">[1]Soulmelds!$AW$41:$AW$42</definedName>
    <definedName name="TblBindsDouble2">[1]Soulmelds!$AZ$41:$AZ$42</definedName>
    <definedName name="TblBindsDouble3">[1]Soulmelds!$BC$41:$BC$42</definedName>
    <definedName name="TblBindsFeet">[1]Soulmelds!$BC$31:$BC$32</definedName>
    <definedName name="TblBindsHands">[1]Soulmelds!$AZ$31:$AZ$32</definedName>
    <definedName name="TblBindsHeart">[1]Soulmelds!$BU$31:$BU$32</definedName>
    <definedName name="TblBindsShoulders">[1]Soulmelds!$BL$31:$BL$32</definedName>
    <definedName name="TblBindsSoul">[1]Soulmelds!$BX$31:$BX$32</definedName>
    <definedName name="TblBindsThroat">[1]Soulmelds!$BO$31:$BO$32</definedName>
    <definedName name="TblBindsTotem">[1]Soulmelds!$AG$13:$AG$26</definedName>
    <definedName name="TblBindsTotem2">[1]Soulmelds!$AJ$13:$AJ$26</definedName>
    <definedName name="TblBindsWaist">[1]Soulmelds!$BR$31:$BR$32</definedName>
    <definedName name="TblBlackMagicElixir">[1]ExportSheet!$AJ$14:$AJ$16</definedName>
    <definedName name="TblBlackMagicElixirStatBump">[1]Tables!$J$172:$J$175</definedName>
    <definedName name="TblBlackMagicOil">[1]ExportSheet!$AJ$10:$AJ$13</definedName>
    <definedName name="TblBlackMagicOilStatBump">[1]Tables!$I$172:$I$175</definedName>
    <definedName name="TblBliSpsDay">'[1]Spells per Day'!$A$72:$H$92</definedName>
    <definedName name="TblBondRace">'[1]Class Abilities'!$D$1133:$D$1136</definedName>
    <definedName name="TblBonusClassAbrev">[1]Feats!$BK$8:$BK$107</definedName>
    <definedName name="TblBonusDamageType">[1]Tables!$U$61:$U$64</definedName>
    <definedName name="TblBonusFeatClasses">[1]Feats!$BJ$8:$BJ$107</definedName>
    <definedName name="TblBonusFeats">[1]ExportSheet!$BX$21:$BX$120</definedName>
    <definedName name="TblBonusMeldshapers">[1]ExportSheet!$AK$37:$AL$61</definedName>
    <definedName name="TblBonusSpellcasters">[1]ExportSheet!$AC$14:$AD$63</definedName>
    <definedName name="TblBonusSpellorFeat">[1]Tables!$P$84:$P$86</definedName>
    <definedName name="TblBrainmateKnowledgeBonus">[1]Tables!$R$87:$R$92</definedName>
    <definedName name="TblBrandof9Hells">[1]Tables!$O$140:$O$149</definedName>
    <definedName name="TblBrandof9HellsBenefits">[1]Tables!$P$140:$P$149</definedName>
    <definedName name="TblBrdSpellKn">'[1]Spells Known'!$A$3:$H$23</definedName>
    <definedName name="TblBrdSpsDay">'[1]Spells per Day'!$A$3:$H$23</definedName>
    <definedName name="TblBuBSpsDay">'[1]Spells per Day'!$A$164:$G$184</definedName>
    <definedName name="TblBullets">'[1]Option Info'!$A$45:$E$65</definedName>
    <definedName name="TblCarryCap">[2]Sheet1!$D$2:$I$71</definedName>
    <definedName name="TblCasterIndex">'[1]Spell Info'!$A$4:$B$73</definedName>
    <definedName name="TblCasterLevel">'[1]Spell Info'!$F$4:$F$73</definedName>
    <definedName name="TblCasterMod">'[1]Spell Info'!$J$4:$J$73</definedName>
    <definedName name="TblCasterStat">'[1]Spell Info'!$I$4:$I$73</definedName>
    <definedName name="TblCelestialCompanions">'[1]Creature Info'!$CQ$64:$CQ$72</definedName>
    <definedName name="TblChakras">[1]Soulmelds!$X$13:$X$23</definedName>
    <definedName name="TblCharSheetSk">[1]Skills!$HN$6:$HT$85</definedName>
    <definedName name="TblClass1">[1]Classes!$AN$2:INDEX([1]Classes!$AN$2:$AN$61,LvlCS,1)</definedName>
    <definedName name="TblClass2">[1]Classes!$AO$2:INDEX([1]Classes!$AO$2:$AO$61,LvlCS,1)</definedName>
    <definedName name="TblClass3">[1]Classes!$AP$2:INDEX([1]Classes!$AP$2:$AP$61,LvlCS,1)</definedName>
    <definedName name="TblClassAbilitiesAdj">'Class Info'!$EE$19:INDEX('Class Info'!$EE$19:$EO$134,ClassAbilitiesAdjRowsCnt,11)</definedName>
    <definedName name="TblClassAbilitiesTxt">'[1]Class Abilities'!$B$1:$B$5231</definedName>
    <definedName name="TblClassAlignmentMod">'Class Info'!$EE$282:INDEX('Class Info'!$EE$282:$ES$293,ClassALModRowsCnt,15)</definedName>
    <definedName name="TblClassBinds">[1]Soulmelds!$AX$1:$BA$22</definedName>
    <definedName name="TblClassDR">'Class Info'!$EE$301:INDEX('Class Info'!$EE$301:$EO$359,ClassDRRowsCnt,11)</definedName>
    <definedName name="TblClasses">'Class Info'!$A$4:$Y$799</definedName>
    <definedName name="TblClassesAtLvlCS">[1]Classes!$C$2:INDEX([1]Classes!$C$2:$C$61,LvlCS,1)</definedName>
    <definedName name="TblClassEssentia">[1]Soulmelds!$AN$1:$AS$22</definedName>
    <definedName name="TblClassList">'Class Info'!$B$4:$B$799</definedName>
    <definedName name="TblClassListLGStatus">'Class Info'!$DL$4:$DL$799</definedName>
    <definedName name="TblClassListRef">'Class Info'!$DK$4:$DK$799</definedName>
    <definedName name="TblClassLvls">[1]Classes!$C$2:$C$61</definedName>
    <definedName name="TblClassMelds">[1]Soulmelds!$AT$1:$AW$22</definedName>
    <definedName name="TblClassN">[1]Classes!$AH$2:INDEX([1]Classes!$AH$2:$AH$61,LvlCS,1)</definedName>
    <definedName name="TblClassSubtypeMod">'Class Info'!$EE$227:INDEX('Class Info'!$EE$227:$EO$257,ClassSubtypeModRowsCnt,11)</definedName>
    <definedName name="TblClassTypeMod">'Class Info'!$EE$188:$EO$219</definedName>
    <definedName name="TblClassVirtual">'Class Info'!$EE$264:INDEX('Class Info'!$EE$264:$EO$275,ClassVirtualRowsCnt,11)</definedName>
    <definedName name="TblClassVirtualAtLvl">'Class Info'!$EN$264:INDEX('Class Info'!$EN$264:$EN$275,ClassVirtualRowsCnt,1)</definedName>
    <definedName name="TblClassVirtualIndex">'Class Info'!$EO$264:INDEX('Class Info'!$EO$264:$EO$275,ClassVirtualRowsCnt,1)</definedName>
    <definedName name="TblClrSpsDay">'[1]Spells per Day'!$I$3:$S$23</definedName>
    <definedName name="TblCoHSpsDay">'[1]Spells per Day'!$A$49:$G$69</definedName>
    <definedName name="TblCombatStyles">[1]Tables!$P$60:$P$62</definedName>
    <definedName name="TblConstellationPower">[1]Tables!$U$125:$U$136</definedName>
    <definedName name="TblCraftRanks">[1]Skills!$HH$14:$HH$19</definedName>
    <definedName name="TblCraftSkills">[1]Skills!$A$14:$A$19</definedName>
    <definedName name="TblCreatureInfo">'[1]Creature Info'!$A$6:INDEX('[1]Creature Info'!$A$6:$CG$225,CreatureInfoRowsCnt,64)</definedName>
    <definedName name="TblCreatureInfoExt">[3]Sheet1!$A$1:$BN$519</definedName>
    <definedName name="TblCreatureType">[1]Tables!$N$72:$N$96</definedName>
    <definedName name="TblCriticalFocus">[1]Feats!$AO$3476:$AO$3480</definedName>
    <definedName name="TblCrossbowType">[1]Tables!$I$53:$I$56</definedName>
    <definedName name="TblCrSWeaponProf">[1]Tables!$N$358:$N$361</definedName>
    <definedName name="TblCShSpellKn">'[1]Spells Known'!$AS$25:$AX$35</definedName>
    <definedName name="TblDeities">[1]Deities!$H$4:$H$532</definedName>
    <definedName name="TblDeityList">[1]Deities!$A$4:$A$532</definedName>
    <definedName name="TblDemSpsDay">'[1]Spells per Day'!$AE$49:$AJ$69</definedName>
    <definedName name="TblDfABreathEffectsAvailList">[1]Tables!$F$347:$F$362</definedName>
    <definedName name="TblDfABreathWeaponEffects">[1]Tables!$E$347:$E$362</definedName>
    <definedName name="TblDgdBonuses">[1]Tables!$H$216:$J$222</definedName>
    <definedName name="TblDiDrAugmentation">[1]Tables!$I$193:$I$196</definedName>
    <definedName name="TblDomain">[1]Deities!$F$555:$F$739</definedName>
    <definedName name="TblDomainInfo">[1]Domains!$A$1:$K$175</definedName>
    <definedName name="TblDomainList">[1]Domains!$A$1:$A$175</definedName>
    <definedName name="TblDomainSpellList">[1]Deities!$P$535:$P$595</definedName>
    <definedName name="TblDomainSpells">[1]Deities!$C$536:$K$541</definedName>
    <definedName name="TblDonMantleFeat">[1]Feats!$AO$770:$AO$772</definedName>
    <definedName name="TblDoomLordStat">'[1]Prestige Classes II'!$M$2:$M$4</definedName>
    <definedName name="TblDoTSpsDay">'[1]Spells per Day'!$AE$98:$AK$108</definedName>
    <definedName name="TblDR">'[1]CS Calc.'!$A$96:$O$113</definedName>
    <definedName name="TblDraconicAuras">[1]Classes!$BR$16:$BR$28</definedName>
    <definedName name="TblDraconicHeritage">[1]Tables!$G$275:$G$317</definedName>
    <definedName name="TblDragonInfo">'[1]Creature Info'!$A$55:$BS$102</definedName>
    <definedName name="TblDragonmark">'[1]Race &amp; Templates'!$AR$15:$AS$28</definedName>
    <definedName name="TblDrdSpsDay">'[1]Spells per Day'!$I$26:$S$46</definedName>
    <definedName name="TblDrNSpsDay">'[1]Spells per Day'!$I$308:$S$328</definedName>
    <definedName name="TblDvCSpsDay">'[1]Spells per Day'!$I$236:$S$246</definedName>
    <definedName name="TblEctopicForms">[1]Tables!$S$60:$S$68</definedName>
    <definedName name="TblEducationFeats">[1]Feats!$AO$2462:$AO$2463</definedName>
    <definedName name="TblEldeenRangerSect">[1]Tables!$P$64:$P$69</definedName>
    <definedName name="TblEldritchDiscipleGifts">[1]Tables!$T$61:$T$69</definedName>
    <definedName name="TblElement">[1]Tables!$G$43:$G$48</definedName>
    <definedName name="TblElement4">[1]Tables!$G$53:$G$57</definedName>
    <definedName name="TblElementalInfo">'[1]Creature Info'!$A$107:$BS$126</definedName>
    <definedName name="TblElementalRebuke">[1]Tables!$R$114:$R$116</definedName>
    <definedName name="TblElfSubraces">[1]Tables!$U$67:$U$84</definedName>
    <definedName name="TblEnergy">[1]Tables!$E$38:$E$43</definedName>
    <definedName name="TblEnergy4">[1]Tables!$E$53:$E$57</definedName>
    <definedName name="TblEnergySub">[1]Feats!$AO$590:$AO$592</definedName>
    <definedName name="TblEoBSpellKn">'[1]Spells Known'!$AM$3:$AR$13</definedName>
    <definedName name="TblEPgWeaponFocus">[1]Tables!$X$135:$X$142</definedName>
    <definedName name="TblEpicSkillFocus">[1]Skills!$HZ$6:$HZ$85</definedName>
    <definedName name="TblEpicSkillFocusList">[1]Feats!$AO$710:$AO$712</definedName>
    <definedName name="TblEpicWeaponFocusFeat">[1]Feats!$AO$423:$AO$425</definedName>
    <definedName name="TblEpicWeaponSpecialization">[1]Feats!$AO$3297:$AO$3299</definedName>
    <definedName name="TblEternalKnowledge">'[1]Prestige Classes III'!$S$23:$S$27</definedName>
    <definedName name="TblExoticArmorList">[1]Armor!$H$124:$H$134</definedName>
    <definedName name="TblExoticArmorProficiency">[1]Feats!$AO$1146:$AO$1148</definedName>
    <definedName name="TblExoticFeats">[1]Feats!$AO$37:$AO$40</definedName>
    <definedName name="TblExoticList">'[1]Class Weapons &amp; Armor'!$AJ$33:$AJ$310</definedName>
    <definedName name="TblExoticShieldList">[1]Armor!$H$136:$H$140</definedName>
    <definedName name="TblExoticShieldProficiency">[1]Feats!$AO$1150:$AO$1152</definedName>
    <definedName name="TblExoticWeaponTricks">[1]ExportSheet!$AG$10:$AG$12</definedName>
    <definedName name="TblExp">[2]Sheet1!$A$2:$C$62</definedName>
    <definedName name="TblExpandedKnowledge">[1]ExportSheet!$BV$15:$BX$17</definedName>
    <definedName name="TblExpandedSoulmelds">[1]Soulmelds!$BC$15:$BC$17</definedName>
    <definedName name="TblExpertSkills">[1]ExportSheet!$T$9:$T$18</definedName>
    <definedName name="TblExpSoulmeldCap1">[1]Soulmelds!$BJ$2:$BJ$12</definedName>
    <definedName name="TblExpSoulmeldCap2">[1]Soulmelds!$BK$2:$BK$12</definedName>
    <definedName name="TblExpSoulmeldCap3">[1]Soulmelds!$BL$2:$BL$12</definedName>
    <definedName name="TblExtraInvocations">[1]Tables!$H$230:$J$232</definedName>
    <definedName name="TblExtraSlots">[1]ExportSheet!$BV$3:$BX$5</definedName>
    <definedName name="TblExtraSpells">[1]ExportSheet!$BV$7:$BX$9</definedName>
    <definedName name="TblExtraTurning">[1]Feats!$AR$41:$AR$44</definedName>
    <definedName name="TblFamiliarSkills">'[1]Creature Info'!$AG$1:$AW$1</definedName>
    <definedName name="TblFamiliarStrengthDamage">[1]Familiar!$DH$7:$DH$11</definedName>
    <definedName name="TblFavEnemies">[1]Classes!$BH$22:$BH$36</definedName>
    <definedName name="TblFavEnemy">[1]Tables!$V$247:INDEX([1]Tables!$V$247:$V$287,FavEnemyRows)</definedName>
    <definedName name="TblFavEnemy1st">OFFSET([1]Tables!$R$247,0,0,MATCH("*",[1]Tables!$R$247:$R$281,-1),1)</definedName>
    <definedName name="TblFavoredEnemies1">[1]Tables!$A$377:$A$395</definedName>
    <definedName name="TblFavoredEnemies10">[1]Tables!$J$377:$J$395</definedName>
    <definedName name="TblFavoredEnemies11">[1]Tables!$K$377:$K$395</definedName>
    <definedName name="TblFavoredEnemies12">[1]Tables!$L$377:$L$395</definedName>
    <definedName name="TblFavoredEnemies13">[1]Tables!$M$377:$M$395</definedName>
    <definedName name="TblFavoredEnemies14">[1]Tables!$N$377:$N$395</definedName>
    <definedName name="TblFavoredEnemies15">[1]Tables!$O$377:$O$395</definedName>
    <definedName name="TblFavoredEnemies16">[1]Tables!$P$377:$P$395</definedName>
    <definedName name="TblFavoredEnemies2">[1]Tables!$B$377:$B$395</definedName>
    <definedName name="TblFavoredEnemies3">[1]Tables!$C$377:$C$395</definedName>
    <definedName name="TblFavoredEnemies4">[1]Tables!$D$377:$D$395</definedName>
    <definedName name="TblFavoredEnemies5">[1]Tables!$E$377:$E$395</definedName>
    <definedName name="TblFavoredEnemies6">[1]Tables!$F$377:$F$395</definedName>
    <definedName name="TblFavoredEnemies7">[1]Tables!$G$377:$G$395</definedName>
    <definedName name="TblFavoredEnemies8">[1]Tables!$H$377:$H$395</definedName>
    <definedName name="TblFavoredEnemies9">[1]Tables!$I$377:$I$395</definedName>
    <definedName name="TblFBlSpsDay">'[1]Spells per Day'!$A$211:$G$217</definedName>
    <definedName name="TblFeatAbilitiesAdj">'Class Info'!$EE$149:INDEX('Class Info'!$EE$149:$EO$178,FeatAbilitiesAdjRowsCnt,11)</definedName>
    <definedName name="TblFiends">'[1]Creature Info'!$CQ$55:$CQ$62</definedName>
    <definedName name="TblFlawsSelected">[1]Flaws!$E$5:$E$22</definedName>
    <definedName name="TblFleshwarperSecret">[1]Tables!$H$258:$H$267</definedName>
    <definedName name="TblFleshwarperTaint">[1]Tables!$G$258:$G$263</definedName>
    <definedName name="TblFMkSpellKn">'[1]Spells Known'!$T$62:$Y$72</definedName>
    <definedName name="TblForbidList">'[1]Class Abilities'!$G$113:$G$121</definedName>
    <definedName name="TblForbidList2">'[1]Class Abilities'!$I$113:$I$121</definedName>
    <definedName name="TblForbidList3">'[1]Class Abilities'!$K$113:$K$121</definedName>
    <definedName name="TblForbidList4">'[1]Class Abilities'!$M$113:$M$121</definedName>
    <definedName name="TblFtDraconicAuras">[1]Tables!$R$170:$R$182</definedName>
    <definedName name="TblFvSSpellKn">'[1]Spells Known'!$I$26:$S$46</definedName>
    <definedName name="TblFvSSpsDay">'[1]Spells per Day'!$I$108:$S$128</definedName>
    <definedName name="TblGazingEyeAbilities">[1]Tables!$K$352:$K$356</definedName>
    <definedName name="TblGClassesAtLvlCS">[1]Classes!$E$2:INDEX([1]Classes!$E$2:$E$61,LvlCS,1)</definedName>
    <definedName name="TblGClassN">[1]Classes!$AI$2:INDEX([1]Classes!$AI$2:$AI$61,LvlCS,1)</definedName>
    <definedName name="TblGeomancerDriftCells">[1]ExportSheet!$AA$24:$AA$33</definedName>
    <definedName name="TblGestaltClassList">'Class Info'!$B$4:$B$799</definedName>
    <definedName name="TblGestaltClassLvls">[1]Classes!$E$2:$E$61</definedName>
    <definedName name="TblGnASpellKn">'[1]Spells Known'!$AM$16:$AR$26</definedName>
    <definedName name="TblGRAboleth">[1]ExportSheet!$Y$77:$Y$84</definedName>
    <definedName name="TblGraftTypes">[1]Tables!$R$80:$R$86</definedName>
    <definedName name="TblGRBeholder">[1]ExportSheet!$Z$77:$Z$82</definedName>
    <definedName name="TblGRDeathless">[1]ExportSheet!$AG$77:$AG$81</definedName>
    <definedName name="TblGRDraconic">[1]ExportSheet!$AF$77:$AF$86</definedName>
    <definedName name="TblGreaterSpellFocus">[1]Feats!$AO$110:$AO$112</definedName>
    <definedName name="TblGreaterWeaponFocusFeat">[1]Feats!$AO$137:$AO$140</definedName>
    <definedName name="TblGreaterWeaponSpecializationFeat">[1]Feats!$AO$142:$AO$144</definedName>
    <definedName name="TblGRElementAir">[1]ExportSheet!$AH$79:$AH$81</definedName>
    <definedName name="TblGRElemental">[1]ExportSheet!$AH$78:$AH$90</definedName>
    <definedName name="TblGRElementEarth">[1]ExportSheet!$AH$82:$AH$84</definedName>
    <definedName name="TblGRElementFire">[1]ExportSheet!$AH$85:$AH$87</definedName>
    <definedName name="TblGRElementWater">[1]ExportSheet!$AH$88:$AH$90</definedName>
    <definedName name="TblGRFiendish">[1]ExportSheet!$AA$77:$AA$93</definedName>
    <definedName name="TblGRIllithid">[1]ExportSheet!$AB$77:$AB$91</definedName>
    <definedName name="TblGRMaug">[1]ExportSheet!$X$85:$X$90</definedName>
    <definedName name="TblGRPlant">[1]ExportSheet!$AI$77:$AI$83</definedName>
    <definedName name="TblGRSilthilar">[1]ExportSheet!$AE$77:$AE$85</definedName>
    <definedName name="TblGRUndead">[1]ExportSheet!$AC$77:$AC$90</definedName>
    <definedName name="TblGRYuanTi">[1]ExportSheet!$AD$77:$AD$81</definedName>
    <definedName name="TblHasMagicEquip">'[1]Magic Equipment'!$BX$2:$BX$5</definedName>
    <definedName name="TblHengeyokaiForms">[1]Tables!$C$243:$F$255</definedName>
    <definedName name="TblHierophantAbilities">[1]Tables!$N$109:$N$118</definedName>
    <definedName name="TblHighArcana">[1]Tables!$N$99:$N$106</definedName>
    <definedName name="TblHlrSpsDay">'[1]Spells per Day'!$I$131:$S$151</definedName>
    <definedName name="TblHordeEnemies">[1]Tables!$S$323:$S$329</definedName>
    <definedName name="TblHPaFavEnemy">[1]Tables!$U$98:$U$104</definedName>
    <definedName name="TblHpMKnowledge">[1]Tables!$A$196:$A$213</definedName>
    <definedName name="TblHpMSkillFocus">[1]Tables!$B$196:$B$198</definedName>
    <definedName name="TblHpPKnowledge">[1]Tables!$C$196:$C$213</definedName>
    <definedName name="TblHuPgSkills">[1]ExportSheet!$X$71:$X$80</definedName>
    <definedName name="TblHxBSpellKn">'[1]Spells Known'!$A$26:$F$46</definedName>
    <definedName name="TblHxBSpsDay">'[1]Spells per Day'!$T$49:$Y$69</definedName>
    <definedName name="TblImprovedCritical">[1]Feats!$AO$47:$AO$50</definedName>
    <definedName name="TblImprovedNaturalAttacks">[1]Feats!$AO$3124:$AO$3126</definedName>
    <definedName name="TblItemCreationFeats">[1]Feats!$BH$10:INDEX([1]Feats!$BH$10:$BH$3634,ItemCreationRowsCnt)</definedName>
    <definedName name="TblJWWSpellKn">'[1]Spells Known'!$AM$75:$AR$85</definedName>
    <definedName name="TblKelanenFavoredWeapon">[1]Tables!$X$125:$X$132</definedName>
    <definedName name="TblKnowledgeRanks">[1]Skills!$HH$34:$HH$54</definedName>
    <definedName name="TblKnowledgeSkills">[1]Skills!$A$34:$A$54</definedName>
    <definedName name="TblKnowSkills">[1]Skills!$A$48:$A$54</definedName>
    <definedName name="TblKoWSpellKn">'[1]Spells Known'!$AB$25:$AI$36</definedName>
    <definedName name="TblKoWSpsDay">'[1]Spells per Day'!$AE$111:$AL$121</definedName>
    <definedName name="TblLangKnown">[1]Languages!$R$5:$R$183</definedName>
    <definedName name="TblLevel12StatBump">[1]Tables!$C$172:$C$178</definedName>
    <definedName name="TblLevel16StatBump">[1]Tables!$D$172:$D$178</definedName>
    <definedName name="TblLevel20StatBump">[1]Tables!$E$172:$E$178</definedName>
    <definedName name="TblLevel24StatBump">[1]Tables!$A$180:$A$186</definedName>
    <definedName name="TblLevel28StatBump">[1]Tables!$B$180:$B$186</definedName>
    <definedName name="TblLevel32StatBump">[1]Tables!$C$180:$C$186</definedName>
    <definedName name="TblLevel36StatBump">[1]Tables!$D$180:$D$186</definedName>
    <definedName name="TblLevel40StatBump">[1]Tables!$E$180:$E$186</definedName>
    <definedName name="TblLevel44StatBump">[1]Tables!$A$188:$A$194</definedName>
    <definedName name="TblLevel48StatBump">[1]Tables!$B$188:$B$194</definedName>
    <definedName name="TblLevel4StatBump">[1]Tables!$A$172:$A$178</definedName>
    <definedName name="TblLevel52StatBump">[1]Tables!$C$188:$C$194</definedName>
    <definedName name="TblLevel56StatBump">[1]Tables!$D$188:$D$194</definedName>
    <definedName name="TblLevel60StatBump">[1]Tables!$E$188:$E$194</definedName>
    <definedName name="TblLevel8StatBump">[1]Tables!$B$172:$B$178</definedName>
    <definedName name="TblLGMetaRegions">[1]Tables!$J$45:$J$50</definedName>
    <definedName name="TblLScRegionFamiliarity">[1]Tables!$S$125:$S$152</definedName>
    <definedName name="TblLycanthropeHeritage">'[1]Class Abilities'!$E$2477:$E$2483</definedName>
    <definedName name="TblMageKillerSaves">[1]Tables!$D$196:$D$198</definedName>
    <definedName name="TblMageKillerSchools">[1]Tables!$E$196:$E$200</definedName>
    <definedName name="TblMagicEquipArmBonus">'[1]Magic Equipment'!$BA$3:$BA$22</definedName>
    <definedName name="TblMagicEquipArms">'[1]Magic Equipment'!$AY$2:$AY$49</definedName>
    <definedName name="TblMagicEquipArmValue">'[1]Magic Equipment'!$BB$2:$BB$49</definedName>
    <definedName name="TblMAgicEquipArmWeight">'[1]Magic Equipment'!$AZ$2:$AZ$49</definedName>
    <definedName name="TblMagicEquipBody">'[1]Magic Equipment'!$BD$2:$BD$22</definedName>
    <definedName name="TblMagicEquipBodyBonus">'[1]Magic Equipment'!$BF$3:$BF$7</definedName>
    <definedName name="TblMagicEquipBodyValue">'[1]Magic Equipment'!$BG$2:$BG$22</definedName>
    <definedName name="TblMagicEquipBodyWeight">'[1]Magic Equipment'!$BE$2:$BE$22</definedName>
    <definedName name="TblMagicEquipFace">'[1]Magic Equipment'!$AJ$2:$AJ$79</definedName>
    <definedName name="TblMagicEquipFaceValue">'[1]Magic Equipment'!$AM$2:$AM$79</definedName>
    <definedName name="TblMagicEquipFaceWeight">'[1]Magic Equipment'!$AK$2:$AK$79</definedName>
    <definedName name="TblMagicEquipFeet">'[1]Magic Equipment'!$BS$2:$BS$51</definedName>
    <definedName name="TblMagicEquipFeetValue">'[1]Magic Equipment'!$BV$2:$BV$51</definedName>
    <definedName name="TblMagicEquipFeetWeight">'[1]Magic Equipment'!$BT$2:$BT$51</definedName>
    <definedName name="TblMagicEquipHandBonus">'[1]Magic Equipment'!$AB$3:$AB$12</definedName>
    <definedName name="TblMagicEquipHands">'[1]Magic Equipment'!$Z$2:$Z$72</definedName>
    <definedName name="TblMagicEquipHandsValue">'[1]Magic Equipment'!$AC$2:$AC$72</definedName>
    <definedName name="TblMagicEquipHandWeight">'[1]Magic Equipment'!$AA$2:$AA$72</definedName>
    <definedName name="TblMagicEquipHead">'[1]Magic Equipment'!$AE$2:$AE$52</definedName>
    <definedName name="TblMagicEquipHeadBonus">'[1]Magic Equipment'!$AG$3:$AG$12</definedName>
    <definedName name="TblMagicEquipHeadValue">'[1]Magic Equipment'!$AH$2:$AH$52</definedName>
    <definedName name="TblMagicEquipHeadWeight">'[1]Magic Equipment'!$AF$2:$AF$52</definedName>
    <definedName name="TblMagicEquipNeck">'[1]Magic Equipment'!$AO$2:$AO$110</definedName>
    <definedName name="TblMagicEquipNeckBonus">'[1]Magic Equipment'!$AQ$3:$AQ$12</definedName>
    <definedName name="TblMagicEquipNeckValue">'[1]Magic Equipment'!$AR$2:$AR$110</definedName>
    <definedName name="TblMagicEquipNeckWeight">'[1]Magic Equipment'!$AP$2:$AP$110</definedName>
    <definedName name="TblMagicEquipRings">'[1]Magic Equipment'!$U$2:$U$101</definedName>
    <definedName name="TblMagicEquipRingValue">'[1]Magic Equipment'!$X$2:$X$101</definedName>
    <definedName name="TblMagicEquipShoulders">'[1]Magic Equipment'!$AT$2:$AT$54</definedName>
    <definedName name="TblMagicEquipShouldersBonus">'[1]Magic Equipment'!$AV$3:$AV$12</definedName>
    <definedName name="TblMagicEquipShouldersValue">'[1]Magic Equipment'!$AW$2:$AW$54</definedName>
    <definedName name="TblMagicEquipShouldersWeight">'[1]Magic Equipment'!$AU$2:$AU$54</definedName>
    <definedName name="TblMagicEquipTorso">'[1]Magic Equipment'!$BI$2:$BI$47</definedName>
    <definedName name="TblMagicEquipTorsoBonus">'[1]Magic Equipment'!$BK$3:$BK$12</definedName>
    <definedName name="TblMagicEquipTorsoValue">'[1]Magic Equipment'!$BL$2:$BL$47</definedName>
    <definedName name="TblMagicEquipTorsoWeight">'[1]Magic Equipment'!$BJ$2:$BJ$47</definedName>
    <definedName name="TblMagicEquipWaist">'[1]Magic Equipment'!$BN$2:$BN$28</definedName>
    <definedName name="TblMagicEquipWaistBonus">'[1]Magic Equipment'!$BP$3:$BP$11</definedName>
    <definedName name="TblMagicEquipWaistValue">'[1]Magic Equipment'!$BQ$2:$BQ$28</definedName>
    <definedName name="TblMagicEquipWaistWeight">'[1]Magic Equipment'!$BO$2:$BO$28</definedName>
    <definedName name="TblMagicItemSlots">[1]Tables!$R$62:$R$73</definedName>
    <definedName name="TblMagnificoClassSkill">[1]Tables!$R$137:$R$166</definedName>
    <definedName name="TblManifester">[1]ExportSheet!$AE$14:$AE$28</definedName>
    <definedName name="TblManifesterClass">'[1]Psionic Info'!$L$3:$L$12</definedName>
    <definedName name="TblManifesterRef">'[1]Psionic Info'!$A$4:$J$12</definedName>
    <definedName name="TblManSel">'[1]Maneuvers &amp; Stances'!$BO$7:$BO$11</definedName>
    <definedName name="TblManSelIndx">'[1]Maneuvers &amp; Stances'!$BN$7:$BO$11</definedName>
    <definedName name="TblMantles">[1]Tables!$S$70:$S$100</definedName>
    <definedName name="TblMarshallAurasKnown">'[1]Marshal Auras'!$H$1:$J$21</definedName>
    <definedName name="TblMartialDisciplines">[1]Tables!$V$132:$V$141</definedName>
    <definedName name="TblMartialFeats">[1]Feats!$AO$62:$AO$67</definedName>
    <definedName name="TblMartialList">'[1]Class Weapons &amp; Armor'!$AG$33:$AG$310</definedName>
    <definedName name="TblMeldArmsClasses">[1]Soulmelds!$BF$27:$BF$30</definedName>
    <definedName name="TblMeldBrowClasses">[1]Soulmelds!$BI$27:$BI$30</definedName>
    <definedName name="TblMeldCrownClasses">[1]Soulmelds!$AW$27:$AW$30</definedName>
    <definedName name="TblMeldDouble1Classes">[1]Soulmelds!$AW$37:$AW$40</definedName>
    <definedName name="TblMeldDouble2Classes">[1]Soulmelds!$AZ$37:$AZ$40</definedName>
    <definedName name="TblMeldDouble3Classes">[1]Soulmelds!$BC$37:$BC$40</definedName>
    <definedName name="TblMeldFeetClasses">[1]Soulmelds!$BC$27:$BC$30</definedName>
    <definedName name="TblMeldHandsClasses">[1]Soulmelds!$AZ$27:$AZ$30</definedName>
    <definedName name="TblMeldHeartClasses">[1]Soulmelds!$BU$27:$BU$30</definedName>
    <definedName name="TblMeldsAll">[1]SoulmeldsInfo!$X$4:$X$112</definedName>
    <definedName name="TblMeldsArms">[1]SoulmeldsInfo!$AM$4:$AM$112</definedName>
    <definedName name="TblMeldSaves">[1]SoulmeldAbilities!$L$1:$M$5</definedName>
    <definedName name="TblMeldsBrow">[1]SoulmeldsInfo!$AD$4:$AD$112</definedName>
    <definedName name="TblMeldsCrown">[1]SoulmeldsInfo!$AA$4:$AA$112</definedName>
    <definedName name="TblMeldsDouble1">[1]SoulmeldsInfo!$BE$4:$BE$112</definedName>
    <definedName name="TblMeldsDouble2">[1]SoulmeldsInfo!$BH$4:$BH$112</definedName>
    <definedName name="TblMeldsDouble3">[1]SoulmeldsInfo!$BK$4:$BK$112</definedName>
    <definedName name="TblMeldsFeet">[1]SoulmeldsInfo!$AY$4:$AY$112</definedName>
    <definedName name="TblMeldsHands">[1]SoulmeldsInfo!$AP$4:$AP$112</definedName>
    <definedName name="TblMeldshaper">[1]Soulmelds!$AK$1:$AK$25</definedName>
    <definedName name="TblMeldshaperClass">[1]Soulmelds!$AE$3:$AE$7</definedName>
    <definedName name="TblMeldsHeart">[1]SoulmeldsInfo!$AS$4:$AS$112</definedName>
    <definedName name="TblMeldShouldersClasses">[1]Soulmelds!$BL$27:$BL$30</definedName>
    <definedName name="TblMeldSoulClasses">[1]Soulmelds!$BX$27:$BX$30</definedName>
    <definedName name="TblMeldsShoulders">[1]SoulmeldsInfo!$AJ$4:$AJ$112</definedName>
    <definedName name="TblMeldsSoul">[1]SoulmeldsInfo!$BB$4:$BB$112</definedName>
    <definedName name="TblMeldsThroat">[1]SoulmeldsInfo!$AG$4:$AG$112</definedName>
    <definedName name="TblMeldsWaist">[1]SoulmeldsInfo!$AV$4:$AV$112</definedName>
    <definedName name="TblMeldThroatClasses">[1]Soulmelds!$BO$27:$BO$30</definedName>
    <definedName name="TblMeldWaistClasses">[1]Soulmelds!$BR$27:$BR$30</definedName>
    <definedName name="TblMetamagicFeats">[1]Feats!$BC$10:INDEX([1]Feats!$BC$10:$BC$3634,MetamagicRowsCnt)</definedName>
    <definedName name="TblMhrSpsDay">'[1]Spells per Day'!$A$187:$G$192</definedName>
    <definedName name="TblMighty">'[1]Class Weapons &amp; Armor'!$H$2:$H$27</definedName>
    <definedName name="TblMMDragonColors">[1]Tables!$T$94:$T$104</definedName>
    <definedName name="TblMonkFeats1">[1]Tables!$P$27:$P$30</definedName>
    <definedName name="TblMonkFeats2">[1]Tables!$P$32:$P$38</definedName>
    <definedName name="TblMonkFeats3">[1]Tables!$P$41:$P$48</definedName>
    <definedName name="TblMonkTattoos">[1]ExportSheet!$AH$10:$AH$14</definedName>
    <definedName name="TblMoonSpkEnergyResist1">[1]Tables!$Q$69:$Q$74</definedName>
    <definedName name="TblMoonSpkEnergyResist2">[1]Tables!$Q$77:$Q$82</definedName>
    <definedName name="TblMounts">'[1]Creature Info'!$CQ$51:$CQ$53</definedName>
    <definedName name="TblMplSpellKn">'[1]Spells Known'!$T$16:$Y$22</definedName>
    <definedName name="TblMplSpsDay">'[1]Spells per Day'!$A$195:$G$200</definedName>
    <definedName name="TblMysSpellKn">'[1]Spells Known'!$I$62:$S$82</definedName>
    <definedName name="TblMysSpsDay">'[1]Spells per Day'!$I$354:$S$374</definedName>
    <definedName name="TblNativeTies">[1]Tables!$R$106:$R$113</definedName>
    <definedName name="TblNaturalAttackDamageType">'[1]Class Weapons &amp; Armor'!$U$1:$V$25</definedName>
    <definedName name="TblNaturalAttacks">'[1]Class Weapons &amp; Armor'!$B$290:$B$311</definedName>
    <definedName name="TblNaturalAttacksCon">'[1]Class Weapons &amp; Armor'!$AV$290:$AV$311</definedName>
    <definedName name="TblNinjaSpyWeapons">[1]Tables!$A$33:$A$45</definedName>
    <definedName name="TblNinjaSpyWpnChoices">[1]Tables!$B$33:$B$36</definedName>
    <definedName name="TblNobleBonusClassSkill">[1]Tables!$V$66:$V$95</definedName>
    <definedName name="TblNodeTypes">[1]Tables!$Q$93:$Q$96</definedName>
    <definedName name="TblNomadShamanRegion">[1]Tables!$T$118:$T$123</definedName>
    <definedName name="TblNstSpellKn">'[1]Spells Known'!$AM$101:$AR$111</definedName>
    <definedName name="TblNstSpsDay">'[1]Spells per Day'!$AE$137:$AJ$147</definedName>
    <definedName name="TblOcASpsDay">'[1]Spells per Day'!$A$95:$H$115</definedName>
    <definedName name="TblOpenChakras">[1]Soulmelds!$Y$29:$AC$39</definedName>
    <definedName name="TblOrcusDeformity">[1]Tables!$N$148:$N$150</definedName>
    <definedName name="TblOverwhelmingCrit">[1]Feats!$AO$3484:$AO$3486</definedName>
    <definedName name="TblPalSpsDay">'[1]Spells per Day'!$T$3:$Y$23</definedName>
    <definedName name="TblParagonPaths">[1]Tables!$U$27:$W$32</definedName>
    <definedName name="TblParagonsPath">[1]Tables!$U$28:$U$33</definedName>
    <definedName name="TblPerformRanks">[1]Skills!$HH$60:$HH$64</definedName>
    <definedName name="TblPerformSkills">[1]Skills!$A$60:$A$64</definedName>
    <definedName name="TblPlanarTerrains">[1]Tables!$P$2:$P$18</definedName>
    <definedName name="TblPointBuy">[1]Tables!$A$50:$B$67</definedName>
    <definedName name="TblPoisons">[1]Tables!$C$259:$C$319</definedName>
    <definedName name="TblPoisonTypes">[1]Tables!$D$259:$D$263</definedName>
    <definedName name="TblPracticedManifester">[1]Feats!$AO$757:$AO$759</definedName>
    <definedName name="TblPracticedSpellcaster">[1]Feats!$AO$559:$AO$561</definedName>
    <definedName name="TblPrestige">'Class Info'!$B$105:$B$795</definedName>
    <definedName name="TblPrestigeReq">'Class Info'!$EB$105:$EC$795</definedName>
    <definedName name="TblPrivilegedEnergy">[1]Feats!$AO$761:$AO$763</definedName>
    <definedName name="TblProfessionRanks">[1]Skills!$HH$66:$HH$70</definedName>
    <definedName name="TblProfessionSkills">[1]Skills!$A$66:$A$70</definedName>
    <definedName name="TblProfList">'[1]Class Weapons &amp; Armor'!$AM$33:$AM$310</definedName>
    <definedName name="TblPrSSelected">[1]ExportSheet!$AG$66:$AG$69</definedName>
    <definedName name="TblPsicrystalAffinityFeat">[1]Feats!$AO$1845:$AO$1848</definedName>
    <definedName name="TblPsicrystalPersonalities">[1]Tables!$N$54:$N$69</definedName>
    <definedName name="TblPsionDiscipline">'[1]Class Abilities'!$F$1609:$F$1617</definedName>
    <definedName name="TblPsionicEnergy">[1]Tables!$C$43:$C$47</definedName>
    <definedName name="TblPUGSpsDay">'[1]Spells per Day'!$AE$124:$AJ$134</definedName>
    <definedName name="TblQuality">'[1]Class Weapons &amp; Armor'!$F$2:$F$25</definedName>
    <definedName name="TblRaceInfo">'[1]Race Info'!#REF!</definedName>
    <definedName name="TblRaceList">'[1]Race Info'!#REF!</definedName>
    <definedName name="TblRaces">'[1]Race Info'!#REF!:INDEX('[1]Race Info'!#REF!,RaceListRowsCnt-1,1)</definedName>
    <definedName name="TblRapidReload">[1]Feats!$AO$92:$AO$94</definedName>
    <definedName name="TblRecasterSuddenMetamagic">[1]Tables!$Q$86:$Q$91</definedName>
    <definedName name="TblRgrSpsDay">'[1]Spells per Day'!$T$26:$Y$46</definedName>
    <definedName name="TblRingBonusType1">'[1]Magic Equipment'!$V$2:$V$11</definedName>
    <definedName name="TblRingBonusType2">'[1]Magic Equipment'!$W$2:$W$11</definedName>
    <definedName name="TblRogAbility">[1]Tables!$N$2:$N$12</definedName>
    <definedName name="TblRuatharWeapon">[1]Tables!$G$222:$G$226</definedName>
    <definedName name="TblSaHSpecialAbilities">[1]Tables!$Q$98:$Q$101</definedName>
    <definedName name="TblSaHSpellKn">'[1]Spells Known'!$AM$88:$AR$98</definedName>
    <definedName name="TblSanctifiedOneAbilities">[1]Tables!$T$87:$T$91</definedName>
    <definedName name="TblSanctifiedOneDeity">[1]Tables!$T$80:$T$84</definedName>
    <definedName name="TblSaveThrow">[1]Tables!$B$1:$B$4</definedName>
    <definedName name="TblScgSpellKn">'[1]Spells Known'!$T$40:$Z$45</definedName>
    <definedName name="TblSettings">'[1]Option Info'!$A$10:$E$17</definedName>
    <definedName name="TblShapeSoulmeld">[1]SoulmeldsInfo!$BN$4:$BN$112</definedName>
    <definedName name="TblShapeSoulmeldChoices">[1]Soulmelds!$BC$20:$BD$22</definedName>
    <definedName name="TblShapeSoulmeldClass1">[1]Soulmelds!$BG$37:$BG$39</definedName>
    <definedName name="TblShapeSoulmeldClass2">[1]Soulmelds!$BJ$37:$BJ$39</definedName>
    <definedName name="TblShapeSoulmeldClass3">[1]Soulmelds!$BM$37:$BM$39</definedName>
    <definedName name="TblShaSpsDay">'[1]Spells per Day'!$I$377:$S$397</definedName>
    <definedName name="TblShieldSpecialization">[1]Tables!$P$107:$P$110</definedName>
    <definedName name="TblShifterTrait">'[1]Racial Abilities'!$G$685:$K$695</definedName>
    <definedName name="TblShjSpellKn">'[1]Spells Known'!$AB$3:$AL$23</definedName>
    <definedName name="TblShjSpsDay">'[1]Spells per Day'!$I$190:$S$210</definedName>
    <definedName name="TblShugenjaElements">[1]Tables!$L$323:$L$327</definedName>
    <definedName name="TblShugenjaOrders">[1]Tables!$A$335:$A$343</definedName>
    <definedName name="TblSimpleList">'[1]Class Weapons &amp; Armor'!$AF$33:$AF$310</definedName>
    <definedName name="TblSize">'[1]Race Info'!$A$37:$J$45</definedName>
    <definedName name="TblSizes">'[1]Race Info'!$A$37:$A$45</definedName>
    <definedName name="TblSkillArtistry">'[1]Prestige Classes II'!$M$16:$M$19</definedName>
    <definedName name="TblSkillBin">[1]Skills!$HE$6:$HL$85</definedName>
    <definedName name="TblSkillFocus">[1]Feats!$AO$97:$AO$104</definedName>
    <definedName name="TblSkillInfo">[1]Skills!$IA$5:$IF$85</definedName>
    <definedName name="TblSkillList">[1]Skills!$A$6:$A$85</definedName>
    <definedName name="TblSkillListFocus">[1]Skills!$HK$6:$HK$85</definedName>
    <definedName name="TblSkillPoints">[1]Classes!$F$2:$F$61</definedName>
    <definedName name="TblSkillPointsByClass">'Class Info'!$K$4:$K$799</definedName>
    <definedName name="TblSkills">'Class Info'!$AI$4:$DJ$799</definedName>
    <definedName name="TblSkKnowRanks">[1]Skills!$F$34:$F$54</definedName>
    <definedName name="TblSmnSpellKn">'[1]Spells Known'!$AS$3:$BC$23</definedName>
    <definedName name="TblSmnSpsDay">'[1]Spells per Day'!$I$213:$S$233</definedName>
    <definedName name="TblSorSpellKn">'[1]Spells Known'!$I$3:$S$23</definedName>
    <definedName name="TblSorSpsDay">'[1]Spells per Day'!$I$49:$S$69</definedName>
    <definedName name="TblSoulmelds">[1]SoulmeldsInfo!$A$3:$U$112</definedName>
    <definedName name="TblSourcebooks">'[1]Option Info'!$J$1:INDEX('[1]Option Info'!$J$1:$R$150,SourcebooksRowsCnt,9)</definedName>
    <definedName name="TblSourcesSelected">[1]ExportSheet!$A$29:$B$123</definedName>
    <definedName name="TblSpecialMaterials">[1]Tables!$R$75:$R$78</definedName>
    <definedName name="TblSpecWiz">'[1]Class Abilities'!$E$113:$E$121</definedName>
    <definedName name="TblSpellcaster">'[1]Spell Info'!$AX$84:$AX$122</definedName>
    <definedName name="TblSpellClass">'[1]Spell Info'!$N$3:$N$73</definedName>
    <definedName name="TblSpellFoci">[1]Tables!$I$25:$I$37</definedName>
    <definedName name="TblSpellFocus">[1]Feats!$AO$105:$AO$108</definedName>
    <definedName name="TblSpellLevels">'[1]Spell Info'!$BB$84:$BB$93</definedName>
    <definedName name="TblSpiderServant">'[1]Creature Info'!$CP$75:$CP$79</definedName>
    <definedName name="TblSpiritGuides">[1]Tables!$A$345:$A$367</definedName>
    <definedName name="TblSpiritualTotem">[1]Tables!$J$243:$J$248</definedName>
    <definedName name="TblSpTSpellKn">'[1]Spells Known'!$AM$29:$AR$49</definedName>
    <definedName name="TblSpTSpsDay">'[1]Spells per Day'!$A$118:$H$138</definedName>
    <definedName name="TblStage1Drift">[1]Tables!$Q$2:$R$12</definedName>
    <definedName name="TblStage2Drift">[1]Tables!$Q$2:$R$23</definedName>
    <definedName name="TblStage3Drift">[1]Tables!$Q$2:$R$34</definedName>
    <definedName name="TblStage4Drift">[1]Tables!$Q$2:$R$45</definedName>
    <definedName name="TblStage5Drift">[1]Tables!$Q$2:$R$56</definedName>
    <definedName name="TblStats">'[1]Stats &amp; Character Details'!$A$2:$A$8</definedName>
    <definedName name="TblStdGSpsDay">'[1]Spells per Day'!$AE$3:$AJ$23</definedName>
    <definedName name="TblStdPSpsDay">'[1]Spells per Day'!$AE$26:$AJ$46</definedName>
    <definedName name="TblSteelLegionnaireFavEnemy">[1]Tables!$V$98:$V$105</definedName>
    <definedName name="TblStrengthBonusToDamage">[1]Tables!$G$37:$G$41</definedName>
    <definedName name="TblSuASpellKn">'[1]Spells Known'!$T$49:$Z$59</definedName>
    <definedName name="TblSuASpsDay">'[1]Spells per Day'!$AE$85:$AK$95</definedName>
    <definedName name="TblSubSpellKn">'[1]Spells Known'!$I$49:$S$59</definedName>
    <definedName name="TblSubSpsDay">'[1]Spells per Day'!$I$272:$S$282</definedName>
    <definedName name="TblSwarmType">'[1]Race &amp; Templates'!$AR$2:$AS$14</definedName>
    <definedName name="TblSwSaDisciplines">[1]Tables!$W$135:$W$141</definedName>
    <definedName name="TblSwSaDisciplineWeapons">[1]Tables!$T$146:$Y$151</definedName>
    <definedName name="TblSymbiontMastery">[1]Feats!$D$2726</definedName>
    <definedName name="TblTemplateInfo">'[1]Template Info'!$A$14:INDEX('[1]Template Info'!$A$14:$BD$79,TemplateInfoRowsCnt,55)</definedName>
    <definedName name="TblTemplateSelInfo">'[1]Template Info'!$A$5:$BE$12</definedName>
    <definedName name="TblTerrainTypes">[1]Tables!$P$2:$P$10</definedName>
    <definedName name="TblTerrainTypes2">[1]Tables!$P$2:$P$10</definedName>
    <definedName name="TblThGImbue1">[1]Tables!$Q$103:$Q$108</definedName>
    <definedName name="TblThGImbue2">[1]Tables!$Q$110:$Q$118</definedName>
    <definedName name="TblThunderLore">[1]Tables!$R$93:$R$105</definedName>
    <definedName name="TblTLAList">'Class Info'!$D$4:$D$799</definedName>
    <definedName name="TblTotemicInsight">[1]Tables!$T$125:$T$135</definedName>
    <definedName name="TblTPgResist">[1]Tables!$T$107:$T$110</definedName>
    <definedName name="TblTraitsSelected">[1]Traits!$E$4:$E$49</definedName>
    <definedName name="TblTrIlliterate">[1]Traits!$G$19</definedName>
    <definedName name="TblTypesPyramid">'[1]Race Info'!$A$57:$H$75</definedName>
    <definedName name="TblUmbragenFeats">[1]Feats!$AR$2628:$AR$2637</definedName>
    <definedName name="TblUnarmedDamage">[1]Tables!$Q$184:$S$244</definedName>
    <definedName name="TblUrPSpsDay">'[1]Spells per Day'!$I$177:$S$187</definedName>
    <definedName name="TblVClassesAtLvlCS">[1]Classes!$AK$2:INDEX([1]Classes!$AK$2:$AK$61,LvlCS,1)</definedName>
    <definedName name="TblVice">[1]Tables!$R$129:$R$136</definedName>
    <definedName name="TblVicesSelected">[1]ExportSheet!$W$55:$W$60</definedName>
    <definedName name="TblVigSpellKn">'[1]Spells Known'!$T$26:$Y$36</definedName>
    <definedName name="TblVoBSpsDay">'[1]Spells per Day'!$AE$72:$AJ$82</definedName>
    <definedName name="TblWeaponDamage">'[1]Class Weapons &amp; Armor'!$K$4:$S$20</definedName>
    <definedName name="TblWeaponEquiv">'[1]Class Weapons &amp; Armor'!$AC$2:$AD$17</definedName>
    <definedName name="TblWeaponEquiv2">'[1]Class Weapons &amp; Armor'!$AG$2:$AH$3</definedName>
    <definedName name="TblWeaponFocusFeat">[1]Feats!$BM$128:$BM$148</definedName>
    <definedName name="TblWeaponInfo">'[1]Class Weapons &amp; Armor'!$B$32:$AS$310</definedName>
    <definedName name="TblWeaponInfoExt">[4]Sheet1!$A$1:$P$257</definedName>
    <definedName name="TblWeaponMasteryList">[1]Tables!$P$113:$P$116</definedName>
    <definedName name="TblWeaponMaterial">[1]Attacks!$M$45:$M$63</definedName>
    <definedName name="TblWeaponMaterialInfo">[1]Attacks!$M$45:$O$63</definedName>
    <definedName name="TblWeapons">'[1]Class Weapons &amp; Armor'!$B$32:$B$310</definedName>
    <definedName name="TblWeaponSelect">'[1]Class Weapons &amp; Armor'!$A$32:$A$310</definedName>
    <definedName name="TblWeaponSizeLookup">'[1]Class Weapons &amp; Armor'!$K$3:$S$3</definedName>
    <definedName name="TblWeaponSpecAndGreaterWeaponFocus">[1]Feats!$AO$146:$AO$149</definedName>
    <definedName name="TblWeaponSpecializationFeat">[1]Feats!$AO$132:$AO$136</definedName>
    <definedName name="TblWeights1">'[1]Character Sheet II'!$Z$28:$AC$62</definedName>
    <definedName name="TblWeights2">'[1]Character Sheet II'!$BA$28:$BD$37</definedName>
    <definedName name="TblWield">'[1]Class Weapons &amp; Armor'!$Y$2:$Y$12</definedName>
    <definedName name="TblWildPlainsMountType">[1]Tables!$P$23:$P$25</definedName>
    <definedName name="TblWildshapeForms">'[1]Class Abilities'!$M$33:$N$46</definedName>
    <definedName name="TblWildshapeSizes">'[1]Class Abilities'!$H$33:$J$41</definedName>
    <definedName name="TblWizSpsDay">'[1]Spells per Day'!$I$72:$S$92</definedName>
    <definedName name="TblWoHsForbidSchool">[1]Tables!$V$114:$V$121</definedName>
    <definedName name="TblWoHsOrders">[1]Tables!$V$108:$V$111</definedName>
    <definedName name="TblWoHsOrderSecrets">[1]Tables!$V$124:$V$129</definedName>
    <definedName name="TblWonderWorkerSlots">[1]Tables!$H$223:$J$229</definedName>
    <definedName name="TblWrlSpellKn">'[1]Spells Known'!$AM$52:$AR$72</definedName>
    <definedName name="TblWrmSpsDay">'[1]Spells per Day'!$I$154:$S$174</definedName>
    <definedName name="TblWujFeat">[1]Tables!$I$46:$I$50</definedName>
    <definedName name="TblWuJSpsDay">'[1]Spells per Day'!$I$249:$S$269</definedName>
    <definedName name="TctLvl">'Class Info'!$E$404</definedName>
    <definedName name="TecLvl">'Class Info'!$E$469</definedName>
    <definedName name="TemLvl">'Class Info'!$E$173</definedName>
    <definedName name="TemplateAbilities">'[1]Racial Abilities'!$F$870</definedName>
    <definedName name="TemplateAcquiredAbilitiesAdj">'[1]Template Info'!$AC$2:$AH$2</definedName>
    <definedName name="TemplateAcquiredInt">'[1]Template Info'!$AF$3:$AF$8</definedName>
    <definedName name="TemplateAddedHD">'[1]Template Info'!$F$1</definedName>
    <definedName name="TemplateAddedHP">'[1]Template Info'!$BI$23</definedName>
    <definedName name="TemplateALMod">'[1]Template Info'!$BI$19:$BJ$22</definedName>
    <definedName name="TemplateAttacks">'[1]Template Info'!$N$1</definedName>
    <definedName name="TemplateCha">'[1]Template Info'!$AH$1</definedName>
    <definedName name="TemplateCon">'[1]Template Info'!$AE$1</definedName>
    <definedName name="TemplateCR">'[1]Template Info'!$AM$1</definedName>
    <definedName name="TemplateDarkvision">'[1]Template Info'!$T$1</definedName>
    <definedName name="TemplateDex">'[1]Template Info'!$AD$1</definedName>
    <definedName name="TemplateDR">'[1]Template Info'!$Z$1</definedName>
    <definedName name="TemplateEnergyResistance">'[1]Template Info'!$X$1</definedName>
    <definedName name="TemplateFastHealing">'[1]Template Info'!$AA$1</definedName>
    <definedName name="TemplateFeats">'[1]Template Info'!$AJ$1</definedName>
    <definedName name="TemplateFlySpeed">'[1]Template Info'!$J$1</definedName>
    <definedName name="TemplateHDChange">'[1]Template Info'!$AR$1</definedName>
    <definedName name="TemplateHeader">'[1]Template Info'!$A$14:$BD$14</definedName>
    <definedName name="TemplateIgnorePrereq">[1]ExportSheet!$AN$70</definedName>
    <definedName name="TemplateIgnoreSrc">[1]ExportSheet!$AN$69</definedName>
    <definedName name="TemplateImmunities">'[1]Template Info'!$V$1</definedName>
    <definedName name="TemplateInfoRowsCnt">'[1]Template Info'!$BI$15</definedName>
    <definedName name="TemplateInheritedAbilitiesAdj">'[1]Template Info'!$AC$3:$AH$3</definedName>
    <definedName name="TemplateInt">'[1]Template Info'!$AF$1</definedName>
    <definedName name="TemplateLA">'[1]Template Info'!$AO$1</definedName>
    <definedName name="TemplateLandSpeed">'[1]Template Info'!$G$1</definedName>
    <definedName name="TemplateList">'[1]Template Info'!$BF$15:INDEX('[1]Template Info'!$BF$15:$BF$79,TemplateListRowsCnt)</definedName>
    <definedName name="TemplateListRowsCnt">'[1]Template Info'!$BI$16</definedName>
    <definedName name="TemplateLowLight">'[1]Template Info'!$S$1</definedName>
    <definedName name="TemplateManeuverability">'[1]Template Info'!$K$1</definedName>
    <definedName name="TemplateNA">'[1]Template Info'!$M$1</definedName>
    <definedName name="TemplateName">'[1]Template Info'!$A$14:INDEX(TblTemplateInfo,TemplateInfoRowsCnt,1)</definedName>
    <definedName name="TemplateRaceChk">'[1]Template Info'!$BI$27</definedName>
    <definedName name="TemplateRaceHDChanged">'[1]Template Info'!$AQ$1</definedName>
    <definedName name="TemplateRacialSkillMod">'[1]Template Info'!$AI$1</definedName>
    <definedName name="Templates">'[1]Template Info'!$BI$24</definedName>
    <definedName name="TemplateSelectedLvl">'[1]Template Info'!$AU$5:$AU$12</definedName>
    <definedName name="TemplateSelectedName">'[1]Template Info'!$A$5:$A$12</definedName>
    <definedName name="TemplateSelection">'[1]Race &amp; Templates'!$D$19:$D$26</definedName>
    <definedName name="TemplateSelectionCnt">'[1]Template Info'!$BC$1</definedName>
    <definedName name="TemplateSelectionLvl">'[1]Race &amp; Templates'!$H$19:$H$26</definedName>
    <definedName name="TemplateSizeMod">'[1]Template Info'!$AZ$1</definedName>
    <definedName name="TemplateSp">'[1]Template Info'!$P$1</definedName>
    <definedName name="TemplateSpellResistance">'[1]Template Info'!$Y$1</definedName>
    <definedName name="TemplateStr">'[1]Template Info'!$AC$1</definedName>
    <definedName name="TemplateSubtype">'[1]Template Info'!$E$1</definedName>
    <definedName name="TemplateSubtypeChk">'[1]Template Info'!$BI$26</definedName>
    <definedName name="TemplateSwimSpeed">'[1]Template Info'!$L$1</definedName>
    <definedName name="TemplateType">'[1]Template Info'!$D$1</definedName>
    <definedName name="TemplateTypeChk">'[1]Template Info'!$BI$25</definedName>
    <definedName name="TemplateTypeValue">'[1]Template Info'!$AT$1</definedName>
    <definedName name="TemplateVulnerabilities">'[1]Template Info'!$W$1</definedName>
    <definedName name="TemplateWis">'[1]Template Info'!$AG$1</definedName>
    <definedName name="TenALvl">'Class Info'!$E$385</definedName>
    <definedName name="TensersTransformation">[1]Buffs!$B$70</definedName>
    <definedName name="TensersTransformationFortMod">[1]Buffs!$H$70</definedName>
    <definedName name="TensersTransformationMod">[1]Buffs!$G$70</definedName>
    <definedName name="tEpicWeaponFocus2">[1]Feats!$AR$424</definedName>
    <definedName name="Terran">[1]Languages!$H$25</definedName>
    <definedName name="TGULvl">'Class Info'!$E$560</definedName>
    <definedName name="ThayanGladiatorNatWeapon">'[1]Prestige Classes III'!$R$28</definedName>
    <definedName name="TheftGloveSkBonus">[1]SoulmeldAbilities!$G$228</definedName>
    <definedName name="ThGImbue1">[1]ExportSheet!$AJ$27</definedName>
    <definedName name="ThGImbue2">[1]ExportSheet!$AJ$28</definedName>
    <definedName name="ThGLvl">'Class Info'!$E$511</definedName>
    <definedName name="ThGNatArmor">'[1]Class Abilities'!$D$3296</definedName>
    <definedName name="ThGNatWeaponCell">[1]ExportSheet!$AJ$26</definedName>
    <definedName name="ThGWeaponSpec1">'[1]Prestige Classes III'!$R$30</definedName>
    <definedName name="ThGWeaponSpec2">'[1]Prestige Classes III'!$R$31</definedName>
    <definedName name="ThickenSkin">[1]Buffs!$M$67</definedName>
    <definedName name="ThickenSkinMod">[1]Buffs!$Q$67</definedName>
    <definedName name="ThmLvl">'Class Info'!$E$121</definedName>
    <definedName name="ThreefoldMaskSkBonus">[1]SoulmeldAbilities!$G$232</definedName>
    <definedName name="ThrLvl">'Class Info'!$E$415</definedName>
    <definedName name="ThunderLore">[1]ExportSheet!$AE$60:$AE$64</definedName>
    <definedName name="ThunderLore1">[1]ExportSheet!$AE$60</definedName>
    <definedName name="ThunderLore2">[1]ExportSheet!$AE$61</definedName>
    <definedName name="ThunderLore3">[1]ExportSheet!$AE$62</definedName>
    <definedName name="ThunderLore4">[1]ExportSheet!$AE$63</definedName>
    <definedName name="ThunderLore5">[1]ExportSheet!$AE$64</definedName>
    <definedName name="ThyLvl">'Class Info'!$E$156</definedName>
    <definedName name="TigerClawManeuvers">'[1]Maneuvers &amp; Stances'!$X$186</definedName>
    <definedName name="TinkerGnomeGuild">'[1]Race &amp; Templates'!$P$14</definedName>
    <definedName name="TmpLvl">'Class Info'!$E$234</definedName>
    <definedName name="TNcLvl">'Class Info'!$E$674</definedName>
    <definedName name="ToDBonus1">[1]ExportSheet!$AK$13</definedName>
    <definedName name="ToDBonus2">[1]ExportSheet!$AK$14</definedName>
    <definedName name="ToDBonus3">[1]ExportSheet!$AK$15</definedName>
    <definedName name="ToDBonus4">[1]ExportSheet!$AK$16</definedName>
    <definedName name="ToDLvl">'Class Info'!$E$699</definedName>
    <definedName name="ToGLvl">'Class Info'!$E$700</definedName>
    <definedName name="ToJLvl">'Class Info'!$E$701</definedName>
    <definedName name="ToOBonus1">[1]ExportSheet!$AK$17</definedName>
    <definedName name="ToOBonus2">[1]ExportSheet!$AK$18</definedName>
    <definedName name="ToOBonus3">[1]ExportSheet!$AK$19</definedName>
    <definedName name="ToOBonus4">[1]ExportSheet!$AK$20</definedName>
    <definedName name="ToOLvl">'Class Info'!$E$702</definedName>
    <definedName name="TorsoSlot">'[1]Magic Equipment'!$R$7</definedName>
    <definedName name="TorsoSlotResistSaveBonus">'[1]Magic Equipment'!$BK$16</definedName>
    <definedName name="TorsoSlotValue">'[1]Magic Equipment'!$BL$49</definedName>
    <definedName name="TorsoSlotWeight">'[1]Magic Equipment'!$BJ$49</definedName>
    <definedName name="TortoiseShell">[1]Buffs!$B$71</definedName>
    <definedName name="TortoiseShellMod">[1]Buffs!$G$71</definedName>
    <definedName name="ToSLvl">'Class Info'!$E$725</definedName>
    <definedName name="TotalArcaneCasterLevel">'[1]Spell Info'!$C$80</definedName>
    <definedName name="TotalArcaneSpellLikeLevel">'[1]Spell Info'!$C$82</definedName>
    <definedName name="TotalDefense">[1]Buffs!$M$47</definedName>
    <definedName name="TotalDefenseACMod">[1]Buffs!$Q$47</definedName>
    <definedName name="TotalDefenseACModCalc">'[1]CS Calc.'!$D$90</definedName>
    <definedName name="TotalDivineCasterLevel">'[1]Spell Info'!$C$81</definedName>
    <definedName name="TotalManeuvers">'[1]Maneuvers &amp; Stances'!$X$6</definedName>
    <definedName name="TotalWeightCarried">'[1]Character Sheet II'!$BA$63</definedName>
    <definedName name="TotemAvACBonus">[1]SoulmeldAbilities!$G$238</definedName>
    <definedName name="TotemAvDR">[1]SoulmeldAbilities!$G$241</definedName>
    <definedName name="TotemicInsight">[1]ExportSheet!$AJ$62:$AJ$66</definedName>
    <definedName name="TotemicInsight1">[1]ExportSheet!$AJ$62</definedName>
    <definedName name="TotemicInsight2">[1]ExportSheet!$AJ$63</definedName>
    <definedName name="TotemicInsight3">[1]ExportSheet!$AJ$64</definedName>
    <definedName name="TotemicInsight4">[1]ExportSheet!$AJ$65</definedName>
    <definedName name="TotemicInsight5">[1]ExportSheet!$AJ$66</definedName>
    <definedName name="ToTLvl">'Class Info'!$E$645</definedName>
    <definedName name="TotmBinds">[1]Soulmelds!$BS$13</definedName>
    <definedName name="TotmLvl">'Class Info'!$E$57</definedName>
    <definedName name="TotmMelds">[1]Soulmelds!$BS$5</definedName>
    <definedName name="TouchAC">'[1]CS Calc.'!$C$41</definedName>
    <definedName name="ToughnessAuraMod">[1]Buffs!$M$12</definedName>
    <definedName name="ToughnessHPs">[1]Feats!$AQ$120</definedName>
    <definedName name="TowerProf">'Class Info'!$EJ$15</definedName>
    <definedName name="TPgLvl">'Class Info'!$E$81</definedName>
    <definedName name="TPgResistCell">[1]ExportSheet!$W$77</definedName>
    <definedName name="TrAbrasive">[1]Traits!$F$4</definedName>
    <definedName name="TrAbsentMinded">[1]Traits!$F$5</definedName>
    <definedName name="TrAggressive">[1]Traits!$F$6</definedName>
    <definedName name="Traits">[1]Traits!$N$3</definedName>
    <definedName name="TraitsList">[1]Traits!$O$3</definedName>
    <definedName name="TraitsSelected">[1]Traits!$E$2</definedName>
    <definedName name="TrapSense">'[1]Class Abilities'!$AL$7</definedName>
    <definedName name="TrBrawler">[1]Traits!$F$7</definedName>
    <definedName name="TrCautious">[1]Traits!$F$8</definedName>
    <definedName name="TrDetached">[1]Traits!$F$9</definedName>
    <definedName name="TrDishonest">[1]Traits!$F$10</definedName>
    <definedName name="TrDistinctive">[1]Traits!$F$11</definedName>
    <definedName name="TrEasygoing">[1]Traits!$F$12</definedName>
    <definedName name="TrFarsighted">[1]Traits!$F$13</definedName>
    <definedName name="TrFocused">[1]Traits!$F$14</definedName>
    <definedName name="TRgLvl">'Class Info'!$E$396</definedName>
    <definedName name="TrHardOfHearing">[1]Traits!$F$15</definedName>
    <definedName name="TrHardy">[1]Traits!$F$16</definedName>
    <definedName name="TrHonest">[1]Traits!$F$17</definedName>
    <definedName name="Trick1">[1]ExportSheet!$AG$10</definedName>
    <definedName name="Trick2">[1]ExportSheet!$AG$11</definedName>
    <definedName name="Trick3">[1]ExportSheet!$AG$12</definedName>
    <definedName name="TriKLvl">'Class Info'!$E$517</definedName>
    <definedName name="TrIlliterate">[1]Traits!$F$18</definedName>
    <definedName name="TrILvl">'Class Info'!$E$744</definedName>
    <definedName name="TrInattentive1">[1]Traits!$F$21</definedName>
    <definedName name="TrInattentive2">[1]Traits!$F$22</definedName>
    <definedName name="TrInattentive3">[1]Traits!$F$23</definedName>
    <definedName name="TrMusclebound">[1]Traits!$F$24</definedName>
    <definedName name="TrNearsighted">[1]Traits!$F$25</definedName>
    <definedName name="TrNightsighted">[1]Traits!$F$26</definedName>
    <definedName name="TrPassionate">[1]Traits!$F$27</definedName>
    <definedName name="TrPlucky">[1]Traits!$F$28</definedName>
    <definedName name="TrPolite">[1]Traits!$F$29</definedName>
    <definedName name="TrQuick">[1]Traits!$F$30</definedName>
    <definedName name="TrReckless">[1]Traits!$F$31</definedName>
    <definedName name="TrSaddleborn">[1]Traits!$F$33</definedName>
    <definedName name="TrSkinny">[1]Traits!$F$34</definedName>
    <definedName name="TrSlow">[1]Traits!$F$36</definedName>
    <definedName name="TrsmLvl">'Class Info'!$E$365</definedName>
    <definedName name="TrSpecialized">[1]Traits!$F$37</definedName>
    <definedName name="TrSpellgifted">[1]Traits!$F$39</definedName>
    <definedName name="TrStout">[1]Traits!$F$41</definedName>
    <definedName name="TrSuspicious">[1]Traits!$F$42</definedName>
    <definedName name="TrTorpid">[1]Traits!$F$43</definedName>
    <definedName name="TrueDragonList">'[1]Creature Info'!$CJ$6:INDEX('[1]Creature Info'!$CJ$6:$CJ$226,DragonListRowsCnt+1)</definedName>
    <definedName name="TruLvl">'Class Info'!$E$53</definedName>
    <definedName name="TrUncivilized">[1]Traits!$F$44</definedName>
    <definedName name="TruthGogglesSkBonus">[1]SoulmeldAbilities!$G$244</definedName>
    <definedName name="TSLAbilClarity">[1]ExportSheet!$Z$24</definedName>
    <definedName name="TSLAbilForb1">[1]ExportSheet!$Z$29</definedName>
    <definedName name="TSLAbilForb2">[1]ExportSheet!$Z$30</definedName>
    <definedName name="TSLAbilKnell">[1]ExportSheet!$Z$23</definedName>
    <definedName name="TSLAbilMeta">[1]ExportSheet!$Z$21</definedName>
    <definedName name="TSLAbilSeeking">[1]ExportSheet!$Z$26</definedName>
    <definedName name="TSLAbilStanch">[1]ExportSheet!$Z$22</definedName>
    <definedName name="TSLAbilTainted">[1]ExportSheet!$Z$28</definedName>
    <definedName name="TSLAbilThicker">[1]ExportSheet!$Z$27</definedName>
    <definedName name="TSLAbilWholesome">[1]ExportSheet!$Z$25</definedName>
    <definedName name="TSlLvl">'Class Info'!$E$362</definedName>
    <definedName name="TtMLvl">'Class Info'!$E$155</definedName>
    <definedName name="TurnAttempts">'Class Info'!$EJ$9</definedName>
    <definedName name="TurnAttemptsBase">'Class Info'!$EK$8</definedName>
    <definedName name="TurnCheckModifier">'Class Info'!$EJ$10</definedName>
    <definedName name="TurnedRebuked">[1]Classes!$BI$17</definedName>
    <definedName name="TurningRebuking">[1]Classes!$BI$16</definedName>
    <definedName name="TurnLvl">'Class Info'!$EJ$8</definedName>
    <definedName name="TurnRebuke">[1]Classes!$BI$15</definedName>
    <definedName name="TWdLvl">'Class Info'!$E$679</definedName>
    <definedName name="TwoWeaponDefense">[1]Buffs!$M$48</definedName>
    <definedName name="TwoWeaponDefenseShieldBonus">[1]Buffs!$Q$48</definedName>
    <definedName name="TwoWeaponDefenseShieldBonusCalc">'[1]CS Calc.'!$B$90</definedName>
    <definedName name="TypeBase">'[1]Race Info'!$B$50</definedName>
    <definedName name="TypeBaseIdx">'[1]Race Info'!$B$55</definedName>
    <definedName name="TypeInfo">'[1]Race Info'!$B$54</definedName>
    <definedName name="TypeList">'[1]Race Info'!$J$59:$J$74</definedName>
    <definedName name="TypeLiving">'[1]Race Info'!$F$50</definedName>
    <definedName name="TypePyramidList">'[1]Race Info'!$A$57:$A$75</definedName>
    <definedName name="TyrLvl">'Class Info'!$E$441</definedName>
    <definedName name="TzGLvl">'Class Info'!$E$686</definedName>
    <definedName name="UABbnCraftyHunter">[1]ExportSheet!$E$89</definedName>
    <definedName name="UABrdFeyLink">[1]ExportSheet!$F$88</definedName>
    <definedName name="UAClrChampionOfFaith">[1]ExportSheet!$G$72</definedName>
    <definedName name="UADrdHunter">[1]ExportSheet!$H$72</definedName>
    <definedName name="UAFtrStealthCunning">[1]ExportSheet!$J$72</definedName>
    <definedName name="UAMnkDR">[1]ExportSheet!$M$72</definedName>
    <definedName name="UAPalFavEn">[1]ExportSheet!$N$76</definedName>
    <definedName name="UARngWildShape">[1]ExportSheet!$O$76</definedName>
    <definedName name="UARogMartialTrain">[1]ExportSheet!$P$72</definedName>
    <definedName name="UlMLvl">'Class Info'!$E$257</definedName>
    <definedName name="UmDLvl">'Class Info'!$E$397</definedName>
    <definedName name="UncannyDodge">'[1]Class Abilities'!$AL$5</definedName>
    <definedName name="UndeadType">[1]Classes!$BN$44</definedName>
    <definedName name="UnholyAura">[1]Buffs!$B$79</definedName>
    <definedName name="UnholyAuraMod">[1]Buffs!$G$79</definedName>
    <definedName name="UnicornHornSkBonus">[1]SoulmeldAbilities!$G$246</definedName>
    <definedName name="UnSLvl">'Class Info'!$E$258</definedName>
    <definedName name="UnTBonusLevelCell1">[1]ExportSheet!$AG$43</definedName>
    <definedName name="UnTBonusLevelCell2">[1]ExportSheet!$AG$44</definedName>
    <definedName name="UnTLvl">'Class Info'!$E$273</definedName>
    <definedName name="UrPLvl">'Class Info'!$E$182</definedName>
    <definedName name="UrSLvl">'Class Info'!$E$309</definedName>
    <definedName name="UrSvLvl">'Class Info'!$E$371</definedName>
    <definedName name="URTLvl">'Class Info'!$E$653</definedName>
    <definedName name="UseDragonlanceDeities">[1]ExportSheet!$B$20</definedName>
    <definedName name="UseEberronDeities">[1]ExportSheet!$B$18</definedName>
    <definedName name="UseFRDeities">[1]ExportSheet!$B$17</definedName>
    <definedName name="UseLGDeities">[1]ExportSheet!$B$16</definedName>
    <definedName name="UseRavenloftBeliefs">[1]ExportSheet!$B$19</definedName>
    <definedName name="usrColorCode">[1]ExportSheet!$N$15</definedName>
    <definedName name="ValidateDeity">[1]ExportSheet!$H$11</definedName>
    <definedName name="VampireSelected">'[1]Race &amp; Templates'!$AJ$11</definedName>
    <definedName name="VariantsSelected">[1]ExportSheet!$E$72:$V$97</definedName>
    <definedName name="VBdLvl">'Class Info'!$E$99</definedName>
    <definedName name="VdDLvl">'Class Info'!$E$183</definedName>
    <definedName name="VekACP">[1]Armor!$N$85</definedName>
    <definedName name="VekLvl">'Class Info'!$E$512</definedName>
    <definedName name="Version">'[1]Option Info'!$H$2</definedName>
    <definedName name="VestigeCount">'[1]Class Abilities'!$E$4540</definedName>
    <definedName name="VestigeFavList">'[1]Binder Vestiges'!$AN$7:INDEX('[1]Binder Vestiges'!$AN$7:$AN$50,FavVestigeListRowCnt+1)</definedName>
    <definedName name="VestigeList1">'[1]Binder Vestiges'!$AB$7:INDEX('[1]Binder Vestiges'!$AB$7:$AB$51,VestigeList1RowCnt+1)</definedName>
    <definedName name="VestigeList1RowCnt">'[1]Binder Vestiges'!$AB$1</definedName>
    <definedName name="VestigeList2">'[1]Binder Vestiges'!$AE$7:INDEX('[1]Binder Vestiges'!$AE$7:$AE$51,VestigeList2RowCnt+1)</definedName>
    <definedName name="VestigeList2RowCnt">'[1]Binder Vestiges'!$AE$1</definedName>
    <definedName name="VestigeList3">'[1]Binder Vestiges'!$AH$7:INDEX('[1]Binder Vestiges'!$AH$7:$AH$51,VestigeList3RowCnt+1)</definedName>
    <definedName name="VestigeList3RowCnt">'[1]Binder Vestiges'!$AH$1</definedName>
    <definedName name="VestigeList4">'[1]Binder Vestiges'!$AK$7:INDEX('[1]Binder Vestiges'!$AK$7:$AK$51,VestigeList4RowCnt+1)</definedName>
    <definedName name="VestigeList4RowCnt">'[1]Binder Vestiges'!$AK$1</definedName>
    <definedName name="VestigeMaxLevel">'[1]Class Abilities'!$E$4539</definedName>
    <definedName name="VestigesSelected">'[1]Binder Vestiges'!$B$6:$B$9</definedName>
    <definedName name="VhrLvl">'Class Info'!$E$764</definedName>
    <definedName name="Vice1">[1]ExportSheet!$W$55</definedName>
    <definedName name="Vice2">[1]ExportSheet!$W$56</definedName>
    <definedName name="Vice3">[1]ExportSheet!$W$57</definedName>
    <definedName name="Vice4">[1]ExportSheet!$W$58</definedName>
    <definedName name="Vice5">[1]ExportSheet!$W$59</definedName>
    <definedName name="Vice6">[1]ExportSheet!$W$60</definedName>
    <definedName name="VigLvl">'Class Info'!$E$236</definedName>
    <definedName name="VirLvl">'Class Info'!$E$237</definedName>
    <definedName name="VitBeltSkBonus">[1]SoulmeldAbilities!$G$252</definedName>
    <definedName name="VivaciousSelected">'[1]Race &amp; Templates'!$AG$36</definedName>
    <definedName name="VKPLvl">'Class Info'!$E$504</definedName>
    <definedName name="VmLLvl">'Class Info'!$E$703</definedName>
    <definedName name="VoBLvl">'Class Info'!$E$726</definedName>
    <definedName name="VoidmindSelected">'[1]Race &amp; Templates'!$AG$35</definedName>
    <definedName name="VolatileMind">'[1]Class Abilities'!$D$1620</definedName>
    <definedName name="VowPovertyLevel">[1]ExportSheet!$BT$5</definedName>
    <definedName name="VPaLvl">'Class Info'!$E$100</definedName>
    <definedName name="VSALvl">'Class Info'!$E$577</definedName>
    <definedName name="VSkLvl">'Class Info'!$E$421</definedName>
    <definedName name="VthLvl">'Class Info'!#REF!</definedName>
    <definedName name="WaistSlot">'[1]Magic Equipment'!$R$12</definedName>
    <definedName name="WaistSlotStrMod">'[1]Magic Equipment'!$BP$14</definedName>
    <definedName name="WaistSlotValue">'[1]Magic Equipment'!$BQ$30</definedName>
    <definedName name="WaistSlotWeight">'[1]Magic Equipment'!$BO$30</definedName>
    <definedName name="WalkerTerrain1">[1]ExportSheet!$AA$34</definedName>
    <definedName name="WalkerTerrain10">[1]ExportSheet!$AA$43</definedName>
    <definedName name="WalkerTerrain2">[1]ExportSheet!$AA$35</definedName>
    <definedName name="WalkerTerrain3">[1]ExportSheet!$AA$36</definedName>
    <definedName name="WalkerTerrain4">[1]ExportSheet!$AA$37</definedName>
    <definedName name="WalkerTerrain5">[1]ExportSheet!$AA$38</definedName>
    <definedName name="WalkerTerrain6">[1]ExportSheet!$AA$39</definedName>
    <definedName name="WalkerTerrain7">[1]ExportSheet!$AA$40</definedName>
    <definedName name="WalkerTerrain8">[1]ExportSheet!$AA$41</definedName>
    <definedName name="WalkerTerrain9">[1]ExportSheet!$AA$42</definedName>
    <definedName name="WalkerTerrains">[1]ExportSheet!$AA$34:$AA$43</definedName>
    <definedName name="WaPLvl">'Class Info'!$E$184</definedName>
    <definedName name="WarforgedArmorType">[1]Armor!$H$61</definedName>
    <definedName name="WarLvl">'Class Info'!$E$103</definedName>
    <definedName name="WarmageEdge">'[1]Spell Info'!$L$88</definedName>
    <definedName name="WarWizardMartial">'[1]Class Weapons &amp; Armor'!$A$21</definedName>
    <definedName name="WarWizardMartialCell">[1]ExportSheet!$AI$29</definedName>
    <definedName name="WatchfulEyeMod">[1]Buffs!$M$25</definedName>
    <definedName name="WayLvl">'Class Info'!$E$203</definedName>
    <definedName name="WblILLvl">'[1]Maneuvers &amp; Stances'!$BJ$9</definedName>
    <definedName name="WblLvl">'Class Info'!$E$49</definedName>
    <definedName name="WblManKnow">'[1]Maneuvers &amp; Stances'!$BJ$15</definedName>
    <definedName name="WblManKnowList">'[1]Maneuvers &amp; Stances'!$AR$6</definedName>
    <definedName name="WblManReady">'[1]Maneuvers &amp; Stances'!$BJ$21</definedName>
    <definedName name="WblStanKnow">'[1]Maneuvers &amp; Stances'!$BJ$27</definedName>
    <definedName name="WblStanKnowList">'[1]Maneuvers &amp; Stances'!$AZ$6</definedName>
    <definedName name="WBrLvl">'Class Info'!$E$398</definedName>
    <definedName name="WcfLvl">'Class Info'!$E$406</definedName>
    <definedName name="WdSLvl">'Class Info'!$E$524</definedName>
    <definedName name="WdWLvl">'Class Info'!$E$472</definedName>
    <definedName name="WeaponBondBonus">'[1]Incarnum Abilities'!$Z$37</definedName>
    <definedName name="WeaponFocus1">[1]Feats!$BL$140</definedName>
    <definedName name="WeaponFocus2">[1]Feats!$BL$141</definedName>
    <definedName name="WeaponFocus3">[1]Feats!$BL$142</definedName>
    <definedName name="WeaponFocusFree1">[1]Feats!$BL$137</definedName>
    <definedName name="WeaponFocusFree2">[1]Feats!$BL$138</definedName>
    <definedName name="WeaponFocusList">[1]Feats!$AQ$128</definedName>
    <definedName name="WeaponMasterKiCritical">[1]ExportSheet!$AH$52</definedName>
    <definedName name="WeaponMasterWoC">[1]ExportSheet!$AH$51</definedName>
    <definedName name="WeaponMasterWoCText">'[1]Class Abilities'!$C$5181</definedName>
    <definedName name="WeaponProf">'[1]Class Weapons &amp; Armor'!$A$12</definedName>
    <definedName name="WearerOfPurpleCell">[1]ExportSheet!$AI$26</definedName>
    <definedName name="WellReadLevel">[1]ExportSheet!$BT$7</definedName>
    <definedName name="WendigoSelected">'[1]Race &amp; Templates'!$AG$33</definedName>
    <definedName name="WerebearSelected">'[1]Race &amp; Templates'!$AG$23</definedName>
    <definedName name="WereboarSelected">'[1]Race &amp; Templates'!$AG$24</definedName>
    <definedName name="WereratSelected">'[1]Race &amp; Templates'!$AG$25</definedName>
    <definedName name="WeretigerSelected">'[1]Race &amp; Templates'!$AG$26</definedName>
    <definedName name="WeretouchedMasterForm">[1]ExportSheet!$AE$49</definedName>
    <definedName name="WerewolfSelected">'[1]Race &amp; Templates'!$AG$27</definedName>
    <definedName name="WfJLvl">'Class Info'!$E$537</definedName>
    <definedName name="WhALvl">'Class Info'!$E$745</definedName>
    <definedName name="WhiteRavenManeuvers">'[1]Maneuvers &amp; Stances'!$X$211</definedName>
    <definedName name="WHkLvl">'Class Info'!$E$405</definedName>
    <definedName name="WHnLvl">'Class Info'!$E$633</definedName>
    <definedName name="WhrLvl">'Class Info'!$E$765</definedName>
    <definedName name="WichtlinSelected">'[1]Race &amp; Templates'!$AG$44</definedName>
    <definedName name="WiCLvl">'Class Info'!$E$561</definedName>
    <definedName name="WildFeats">[1]Feats!$AG$6</definedName>
    <definedName name="WildLevel">'[1]Class Abilities'!$E$32</definedName>
    <definedName name="WildPlainsMountCell">[1]ExportSheet!$AD$9</definedName>
    <definedName name="WildShape">[1]Buffs!$M$14</definedName>
    <definedName name="WildShapeAmount">'[1]Class Abilities'!$E$36</definedName>
    <definedName name="WildShapeAttacks">'[1]Creature Info'!$N$2</definedName>
    <definedName name="WildshapeCell">[1]ExportSheet!$AU$31</definedName>
    <definedName name="WildShapeCon">'[1]Creature Info'!$AC$2</definedName>
    <definedName name="WildShapeDex">'[1]Creature Info'!$AB$2</definedName>
    <definedName name="WildShapeDuration">'[1]Class Abilities'!$F$33</definedName>
    <definedName name="WildShapeForms">'[1]Class Abilities'!$T$33</definedName>
    <definedName name="WildShapeHDLimit">'[1]Class Abilities'!$F$36</definedName>
    <definedName name="WildShapeIDx">'[1]Creature Info'!$CN$103</definedName>
    <definedName name="WildShapeLevel">'[1]Class Abilities'!$E$34</definedName>
    <definedName name="WildShapeList">'[1]Creature Info'!$CF$6:INDEX('[1]Creature Info'!$CF$6:$CF$225,WildShapeListRowsCnt+1)</definedName>
    <definedName name="WildShapeListRowsCnt">'[1]Creature Info'!$CN$11</definedName>
    <definedName name="WildShapeMaxSize">'[1]Class Abilities'!$G$37</definedName>
    <definedName name="WildShapeMinSize">'[1]Class Abilities'!$G$36</definedName>
    <definedName name="WildShapeNaturalArmor">'[1]Creature Info'!$M$2</definedName>
    <definedName name="WildShapeStr">'[1]Creature Info'!$AA$2</definedName>
    <definedName name="WildSurge">'[1]Class Abilities'!$D$1616</definedName>
    <definedName name="WillAbilityMod">'[1]CS Calc.'!$D$21</definedName>
    <definedName name="WillSave">[1]Classes!$BN$39</definedName>
    <definedName name="WillTotal">'[1]CS Calc.'!$D$19</definedName>
    <definedName name="WiMLvl">'Class Info'!$E$204</definedName>
    <definedName name="WiRLvl">'Class Info'!$E$318</definedName>
    <definedName name="Wis">'[1]Stats &amp; Character Details'!$BN$7</definedName>
    <definedName name="WiSLvl">'Class Info'!$E$386</definedName>
    <definedName name="WisMagicMod">'[1]Stats &amp; Character Details'!$BM$7</definedName>
    <definedName name="WisMod">'[1]Stats &amp; Character Details'!$BO$7</definedName>
    <definedName name="WisTempMod">'[1]CS Calc.'!$G$6</definedName>
    <definedName name="WiWLvl">'Class Info'!$E$342</definedName>
    <definedName name="WizLvl">'Class Info'!$E$15</definedName>
    <definedName name="WldLvl">'Class Info'!$E$65</definedName>
    <definedName name="WldLvlAbilities">'[1]Psionic Info'!$Q$42:$S$62</definedName>
    <definedName name="WlfLvl">'Class Info'!$E$213</definedName>
    <definedName name="WlRLvl">'Class Info'!$E$311</definedName>
    <definedName name="WMaLvl">'Class Info'!$E$611</definedName>
    <definedName name="WMdLvl">'Class Info'!$E$416</definedName>
    <definedName name="WMdLvlAbilities">'[1]Psionic Info'!$U$56:$W$66</definedName>
    <definedName name="WoDLvl">'Class Info'!$E$704</definedName>
    <definedName name="WoHsArcaneResearchBonus">'[1]Class Abilities'!$D$3692</definedName>
    <definedName name="WoHsForbidSchoolCell">[1]ExportSheet!$AI$50</definedName>
    <definedName name="WoHSLvl">'Class Info'!$E$589</definedName>
    <definedName name="WoHsOrderCell">[1]ExportSheet!$AI$49</definedName>
    <definedName name="WoHsOrderSecret1">[1]ExportSheet!$AI$51</definedName>
    <definedName name="WoHsOrderSecret2">[1]ExportSheet!$AI$52</definedName>
    <definedName name="WoHsOrderSecret3">[1]ExportSheet!$AI$53</definedName>
    <definedName name="WoHsOrderSecret4">[1]ExportSheet!$AI$54</definedName>
    <definedName name="WoHsOrderSecret5">[1]ExportSheet!$AI$55</definedName>
    <definedName name="WoILvl">'Class Info'!$E$335</definedName>
    <definedName name="WonLvl">'Class Info'!$E$727</definedName>
    <definedName name="WoPLvl">'Class Info'!$E$471</definedName>
    <definedName name="WorgPeltSkBonus">[1]SoulmeldAbilities!$G$259</definedName>
    <definedName name="WorgPeltSpd">[1]SoulmeldAbilities!$G$260</definedName>
    <definedName name="WormBeltACBonus">[1]SoulmeldAbilities!$G$263</definedName>
    <definedName name="Wounds">'[1]Character Sheet I'!$AQ$15</definedName>
    <definedName name="WpMLvl">'Class Info'!$E$632</definedName>
    <definedName name="WPOLvl">'Class Info'!$E$238</definedName>
    <definedName name="WrbLvl">'Class Info'!$E$758</definedName>
    <definedName name="WrCLvl">'Class Info'!$E$157</definedName>
    <definedName name="WrlEnergy1">[1]ExportSheet!$V$30</definedName>
    <definedName name="WrlEnergy2">[1]ExportSheet!$V$31</definedName>
    <definedName name="WrlLvl">'Class Info'!$E$30</definedName>
    <definedName name="WrmLvl">'Class Info'!$E$31</definedName>
    <definedName name="WrpLvl">'Class Info'!$E$158</definedName>
    <definedName name="WrSLvl">'Class Info'!$E$491</definedName>
    <definedName name="WsKLvl">'Class Info'!$E$317</definedName>
    <definedName name="WSlLvl">'Class Info'!$E$259</definedName>
    <definedName name="WsSLvl">'Class Info'!$E$492</definedName>
    <definedName name="WtMLvl">'Class Info'!$E$538</definedName>
    <definedName name="WuJElem">[1]ExportSheet!$V$29</definedName>
    <definedName name="WuJFt1">[1]ExportSheet!$V$24</definedName>
    <definedName name="WuJFt2">[1]ExportSheet!$V$25</definedName>
    <definedName name="WuJFt3">[1]ExportSheet!$V$26</definedName>
    <definedName name="WuJFt4">[1]ExportSheet!$V$27</definedName>
    <definedName name="WuJFt5">[1]ExportSheet!$V$28</definedName>
    <definedName name="WuJLvl">'Class Info'!$E$32</definedName>
    <definedName name="WvkLvl">'Class Info'!$E$350</definedName>
    <definedName name="WvSLvl">'Class Info'!$E$470</definedName>
    <definedName name="WWCLvl">'Class Info'!$E$483</definedName>
    <definedName name="WWiLvl">'Class Info'!$E$661</definedName>
    <definedName name="WWvLvl">'Class Info'!$E$355</definedName>
    <definedName name="YakLvl">'Class Info'!$E$634</definedName>
    <definedName name="YatLvl">'Class Info'!$E$452</definedName>
    <definedName name="YrthakMaskSkBonus">[1]SoulmeldAbilities!$G$266</definedName>
    <definedName name="YrthakMaskSkPenalty">[1]SoulmeldAbilities!$G$267</definedName>
    <definedName name="YWRLvl">'Class Info'!$E$505</definedName>
    <definedName name="ZSpLvl">'Class Info'!$E$453</definedName>
    <definedName name="ZtCbLvl">'Class Info'!$E$247</definedName>
    <definedName name="ZtCbLvlAbilities">'[1]Psionic Info'!$U$70:$W$80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799" i="1" l="1"/>
  <c r="AE799" i="1" s="1"/>
  <c r="Z799" i="1"/>
  <c r="AF798" i="1"/>
  <c r="Z798" i="1"/>
  <c r="DI797" i="1"/>
  <c r="CZ797" i="1"/>
  <c r="CV797" i="1"/>
  <c r="CG797" i="1"/>
  <c r="BU797" i="1"/>
  <c r="BT797" i="1"/>
  <c r="BQ797" i="1"/>
  <c r="BH797" i="1"/>
  <c r="BG797" i="1"/>
  <c r="AJ797" i="1"/>
  <c r="AF797" i="1"/>
  <c r="AE797" i="1" s="1"/>
  <c r="Z797" i="1"/>
  <c r="AF796" i="1"/>
  <c r="AE796" i="1" s="1"/>
  <c r="Z796" i="1"/>
  <c r="CZ795" i="1"/>
  <c r="BU795" i="1"/>
  <c r="BQ795" i="1"/>
  <c r="BM795" i="1"/>
  <c r="BK795" i="1"/>
  <c r="BH795" i="1"/>
  <c r="BG795" i="1"/>
  <c r="AF795" i="1"/>
  <c r="AD795" i="1" s="1"/>
  <c r="Z795" i="1"/>
  <c r="DJ794" i="1"/>
  <c r="DI794" i="1"/>
  <c r="DH794" i="1"/>
  <c r="DG794" i="1"/>
  <c r="DF794" i="1"/>
  <c r="DE794" i="1"/>
  <c r="DD794" i="1"/>
  <c r="DC794" i="1"/>
  <c r="DB794" i="1"/>
  <c r="DA794" i="1"/>
  <c r="CZ794" i="1"/>
  <c r="CY794" i="1"/>
  <c r="CX794" i="1"/>
  <c r="CW794" i="1"/>
  <c r="CV794" i="1"/>
  <c r="CU794" i="1"/>
  <c r="CT794" i="1"/>
  <c r="CS794" i="1"/>
  <c r="CR794" i="1"/>
  <c r="CQ794" i="1"/>
  <c r="CP794" i="1"/>
  <c r="CO794" i="1"/>
  <c r="CN794" i="1"/>
  <c r="CM794" i="1"/>
  <c r="CL794" i="1"/>
  <c r="CK794" i="1"/>
  <c r="CJ794" i="1"/>
  <c r="CI794" i="1"/>
  <c r="CH794" i="1"/>
  <c r="CG794" i="1"/>
  <c r="CF794" i="1"/>
  <c r="CE794" i="1"/>
  <c r="CD794" i="1"/>
  <c r="CC794" i="1"/>
  <c r="CB794" i="1"/>
  <c r="CA794" i="1"/>
  <c r="BZ794" i="1"/>
  <c r="BY794" i="1"/>
  <c r="BX794" i="1"/>
  <c r="BW794" i="1"/>
  <c r="BV794" i="1"/>
  <c r="BU794" i="1"/>
  <c r="BT794" i="1"/>
  <c r="BS794" i="1"/>
  <c r="BR794" i="1"/>
  <c r="BQ794" i="1"/>
  <c r="BP794" i="1"/>
  <c r="BO794" i="1"/>
  <c r="BN794" i="1"/>
  <c r="BM794" i="1"/>
  <c r="BL794" i="1"/>
  <c r="BK794" i="1"/>
  <c r="BJ794" i="1"/>
  <c r="BI794" i="1"/>
  <c r="BH794" i="1"/>
  <c r="BG794" i="1"/>
  <c r="BF794" i="1"/>
  <c r="BE794" i="1"/>
  <c r="BD794" i="1"/>
  <c r="BC794" i="1"/>
  <c r="BB794" i="1"/>
  <c r="BA794" i="1"/>
  <c r="AZ794" i="1"/>
  <c r="AY794" i="1"/>
  <c r="AX794" i="1"/>
  <c r="AW794" i="1"/>
  <c r="AV794" i="1"/>
  <c r="AU794" i="1"/>
  <c r="AT794" i="1"/>
  <c r="AS794" i="1"/>
  <c r="AR794" i="1"/>
  <c r="AQ794" i="1"/>
  <c r="AP794" i="1"/>
  <c r="AO794" i="1"/>
  <c r="AM794" i="1"/>
  <c r="AL794" i="1"/>
  <c r="AK794" i="1"/>
  <c r="AJ794" i="1"/>
  <c r="AI794" i="1"/>
  <c r="AF794" i="1"/>
  <c r="Z794" i="1"/>
  <c r="Y794" i="1"/>
  <c r="X794" i="1"/>
  <c r="W794" i="1"/>
  <c r="V794" i="1"/>
  <c r="M794" i="1"/>
  <c r="L794" i="1"/>
  <c r="K794" i="1"/>
  <c r="I794" i="1"/>
  <c r="H794" i="1"/>
  <c r="G794" i="1"/>
  <c r="B794" i="1"/>
  <c r="DZ794" i="1" s="1"/>
  <c r="EA794" i="1" s="1"/>
  <c r="AF793" i="1"/>
  <c r="AD793" i="1" s="1"/>
  <c r="AE793" i="1"/>
  <c r="Z793" i="1"/>
  <c r="DZ792" i="1"/>
  <c r="DI792" i="1"/>
  <c r="CZ792" i="1"/>
  <c r="CV792" i="1"/>
  <c r="CG792" i="1"/>
  <c r="BU792" i="1"/>
  <c r="BT792" i="1"/>
  <c r="BQ792" i="1"/>
  <c r="BH792" i="1"/>
  <c r="BG792" i="1"/>
  <c r="AJ792" i="1"/>
  <c r="AF792" i="1"/>
  <c r="Z792" i="1"/>
  <c r="DZ791" i="1"/>
  <c r="DI791" i="1"/>
  <c r="CZ791" i="1"/>
  <c r="CV791" i="1"/>
  <c r="CG791" i="1"/>
  <c r="BU791" i="1"/>
  <c r="BT791" i="1"/>
  <c r="BQ791" i="1"/>
  <c r="BH791" i="1"/>
  <c r="BG791" i="1"/>
  <c r="AJ791" i="1"/>
  <c r="AF791" i="1"/>
  <c r="Z791" i="1"/>
  <c r="AF790" i="1"/>
  <c r="Z790" i="1"/>
  <c r="DZ789" i="1"/>
  <c r="DI789" i="1"/>
  <c r="CZ789" i="1"/>
  <c r="CV789" i="1"/>
  <c r="CG789" i="1"/>
  <c r="BU789" i="1"/>
  <c r="BT789" i="1"/>
  <c r="BQ789" i="1"/>
  <c r="BH789" i="1"/>
  <c r="BG789" i="1"/>
  <c r="AJ789" i="1"/>
  <c r="AF789" i="1"/>
  <c r="AE789" i="1" s="1"/>
  <c r="DZ788" i="1"/>
  <c r="DI788" i="1"/>
  <c r="CZ788" i="1"/>
  <c r="CV788" i="1"/>
  <c r="CG788" i="1"/>
  <c r="BU788" i="1"/>
  <c r="BT788" i="1"/>
  <c r="BQ788" i="1"/>
  <c r="BH788" i="1"/>
  <c r="BG788" i="1"/>
  <c r="AJ788" i="1"/>
  <c r="AF788" i="1"/>
  <c r="AE788" i="1" s="1"/>
  <c r="DZ787" i="1"/>
  <c r="DI787" i="1"/>
  <c r="CZ787" i="1"/>
  <c r="CV787" i="1"/>
  <c r="CG787" i="1"/>
  <c r="BU787" i="1"/>
  <c r="BT787" i="1"/>
  <c r="BQ787" i="1"/>
  <c r="BH787" i="1"/>
  <c r="BG787" i="1"/>
  <c r="AJ787" i="1"/>
  <c r="AF787" i="1"/>
  <c r="AF786" i="1"/>
  <c r="AE786" i="1" s="1"/>
  <c r="DZ785" i="1"/>
  <c r="DI785" i="1"/>
  <c r="CZ785" i="1"/>
  <c r="CV785" i="1"/>
  <c r="CG785" i="1"/>
  <c r="BU785" i="1"/>
  <c r="BT785" i="1"/>
  <c r="BQ785" i="1"/>
  <c r="BH785" i="1"/>
  <c r="BG785" i="1"/>
  <c r="AJ785" i="1"/>
  <c r="AF785" i="1"/>
  <c r="Z785" i="1"/>
  <c r="AF784" i="1"/>
  <c r="Z784" i="1"/>
  <c r="DZ783" i="1"/>
  <c r="DI783" i="1"/>
  <c r="CZ783" i="1"/>
  <c r="CV783" i="1"/>
  <c r="CG783" i="1"/>
  <c r="BU783" i="1"/>
  <c r="BT783" i="1"/>
  <c r="BQ783" i="1"/>
  <c r="BH783" i="1"/>
  <c r="BG783" i="1"/>
  <c r="AJ783" i="1"/>
  <c r="AF783" i="1"/>
  <c r="Z783" i="1"/>
  <c r="DZ782" i="1"/>
  <c r="DV782" i="1"/>
  <c r="DI782" i="1"/>
  <c r="CZ782" i="1"/>
  <c r="CV782" i="1"/>
  <c r="CG782" i="1"/>
  <c r="BU782" i="1"/>
  <c r="BT782" i="1"/>
  <c r="BQ782" i="1"/>
  <c r="BH782" i="1"/>
  <c r="BG782" i="1"/>
  <c r="AJ782" i="1"/>
  <c r="AF782" i="1"/>
  <c r="AE782" i="1" s="1"/>
  <c r="Z782" i="1"/>
  <c r="AF781" i="1"/>
  <c r="Z781" i="1"/>
  <c r="CZ780" i="1"/>
  <c r="CG780" i="1"/>
  <c r="BQ780" i="1"/>
  <c r="BM780" i="1"/>
  <c r="BK780" i="1"/>
  <c r="BH780" i="1"/>
  <c r="BG780" i="1"/>
  <c r="AJ780" i="1"/>
  <c r="AF780" i="1"/>
  <c r="Z780" i="1"/>
  <c r="CZ779" i="1"/>
  <c r="CG779" i="1"/>
  <c r="BQ779" i="1"/>
  <c r="BM779" i="1"/>
  <c r="BK779" i="1"/>
  <c r="BH779" i="1"/>
  <c r="BG779" i="1"/>
  <c r="AJ779" i="1"/>
  <c r="AF779" i="1"/>
  <c r="AE779" i="1" s="1"/>
  <c r="AD779" i="1"/>
  <c r="Z779" i="1"/>
  <c r="CZ778" i="1"/>
  <c r="CG778" i="1"/>
  <c r="BQ778" i="1"/>
  <c r="BM778" i="1"/>
  <c r="BK778" i="1"/>
  <c r="BH778" i="1"/>
  <c r="BG778" i="1"/>
  <c r="AJ778" i="1"/>
  <c r="AF778" i="1"/>
  <c r="AE778" i="1" s="1"/>
  <c r="Z778" i="1"/>
  <c r="AF777" i="1"/>
  <c r="Z777" i="1"/>
  <c r="DZ776" i="1"/>
  <c r="DT776" i="1"/>
  <c r="CZ776" i="1"/>
  <c r="CG776" i="1"/>
  <c r="BU776" i="1"/>
  <c r="BQ776" i="1"/>
  <c r="BH776" i="1"/>
  <c r="BG776" i="1"/>
  <c r="AJ776" i="1"/>
  <c r="AF776" i="1"/>
  <c r="AD776" i="1" s="1"/>
  <c r="Z776" i="1"/>
  <c r="DZ775" i="1"/>
  <c r="DX775" i="1"/>
  <c r="DW775" i="1"/>
  <c r="CZ775" i="1"/>
  <c r="CG775" i="1"/>
  <c r="BU775" i="1"/>
  <c r="BQ775" i="1"/>
  <c r="BH775" i="1"/>
  <c r="BG775" i="1"/>
  <c r="AJ775" i="1"/>
  <c r="AF775" i="1"/>
  <c r="AE775" i="1" s="1"/>
  <c r="Z775" i="1"/>
  <c r="DZ774" i="1"/>
  <c r="DV774" i="1"/>
  <c r="DU774" i="1"/>
  <c r="CZ774" i="1"/>
  <c r="CG774" i="1"/>
  <c r="BU774" i="1"/>
  <c r="BQ774" i="1"/>
  <c r="BH774" i="1"/>
  <c r="BG774" i="1"/>
  <c r="AJ774" i="1"/>
  <c r="AF774" i="1"/>
  <c r="Z774" i="1"/>
  <c r="DZ773" i="1"/>
  <c r="CZ773" i="1"/>
  <c r="CG773" i="1"/>
  <c r="BU773" i="1"/>
  <c r="BQ773" i="1"/>
  <c r="BH773" i="1"/>
  <c r="BG773" i="1"/>
  <c r="AJ773" i="1"/>
  <c r="AF773" i="1"/>
  <c r="Z773" i="1"/>
  <c r="DZ772" i="1"/>
  <c r="CZ772" i="1"/>
  <c r="CG772" i="1"/>
  <c r="BU772" i="1"/>
  <c r="BQ772" i="1"/>
  <c r="BH772" i="1"/>
  <c r="BG772" i="1"/>
  <c r="AJ772" i="1"/>
  <c r="AF772" i="1"/>
  <c r="Z772" i="1"/>
  <c r="DZ771" i="1"/>
  <c r="DR771" i="1"/>
  <c r="CZ771" i="1"/>
  <c r="CG771" i="1"/>
  <c r="BU771" i="1"/>
  <c r="BQ771" i="1"/>
  <c r="BH771" i="1"/>
  <c r="BG771" i="1"/>
  <c r="AJ771" i="1"/>
  <c r="AF771" i="1"/>
  <c r="AE771" i="1" s="1"/>
  <c r="Z771" i="1"/>
  <c r="DZ770" i="1"/>
  <c r="DS770" i="1"/>
  <c r="DR770" i="1"/>
  <c r="CZ770" i="1"/>
  <c r="CG770" i="1"/>
  <c r="BU770" i="1"/>
  <c r="BQ770" i="1"/>
  <c r="BH770" i="1"/>
  <c r="BG770" i="1"/>
  <c r="AJ770" i="1"/>
  <c r="AF770" i="1"/>
  <c r="AD770" i="1" s="1"/>
  <c r="Z770" i="1"/>
  <c r="DZ769" i="1"/>
  <c r="DT769" i="1"/>
  <c r="CZ769" i="1"/>
  <c r="CG769" i="1"/>
  <c r="BU769" i="1"/>
  <c r="BQ769" i="1"/>
  <c r="BH769" i="1"/>
  <c r="BG769" i="1"/>
  <c r="AJ769" i="1"/>
  <c r="AF769" i="1"/>
  <c r="Z769" i="1"/>
  <c r="DZ768" i="1"/>
  <c r="CZ768" i="1"/>
  <c r="CG768" i="1"/>
  <c r="BU768" i="1"/>
  <c r="BQ768" i="1"/>
  <c r="BH768" i="1"/>
  <c r="BG768" i="1"/>
  <c r="AJ768" i="1"/>
  <c r="AF768" i="1"/>
  <c r="Z768" i="1"/>
  <c r="DZ767" i="1"/>
  <c r="DS767" i="1"/>
  <c r="CZ767" i="1"/>
  <c r="CG767" i="1"/>
  <c r="BU767" i="1"/>
  <c r="BQ767" i="1"/>
  <c r="BH767" i="1"/>
  <c r="BG767" i="1"/>
  <c r="AJ767" i="1"/>
  <c r="AF767" i="1"/>
  <c r="AD767" i="1" s="1"/>
  <c r="AE767" i="1"/>
  <c r="Z767" i="1"/>
  <c r="AF766" i="1"/>
  <c r="Z766" i="1"/>
  <c r="DZ765" i="1"/>
  <c r="DS765" i="1"/>
  <c r="CZ765" i="1"/>
  <c r="CG765" i="1"/>
  <c r="BU765" i="1"/>
  <c r="BQ765" i="1"/>
  <c r="BH765" i="1"/>
  <c r="BG765" i="1"/>
  <c r="AJ765" i="1"/>
  <c r="AF765" i="1"/>
  <c r="AE765" i="1" s="1"/>
  <c r="Z765" i="1"/>
  <c r="DZ764" i="1"/>
  <c r="DS764" i="1"/>
  <c r="CZ764" i="1"/>
  <c r="CG764" i="1"/>
  <c r="BU764" i="1"/>
  <c r="BQ764" i="1"/>
  <c r="BH764" i="1"/>
  <c r="BG764" i="1"/>
  <c r="AJ764" i="1"/>
  <c r="AF764" i="1"/>
  <c r="Z764" i="1"/>
  <c r="DZ763" i="1"/>
  <c r="DS763" i="1"/>
  <c r="CZ763" i="1"/>
  <c r="CG763" i="1"/>
  <c r="BU763" i="1"/>
  <c r="BQ763" i="1"/>
  <c r="BH763" i="1"/>
  <c r="BG763" i="1"/>
  <c r="AJ763" i="1"/>
  <c r="AF763" i="1"/>
  <c r="Z763" i="1"/>
  <c r="DZ762" i="1"/>
  <c r="DS762" i="1"/>
  <c r="CZ762" i="1"/>
  <c r="CG762" i="1"/>
  <c r="BU762" i="1"/>
  <c r="BQ762" i="1"/>
  <c r="BH762" i="1"/>
  <c r="BG762" i="1"/>
  <c r="AJ762" i="1"/>
  <c r="AF762" i="1"/>
  <c r="Z762" i="1"/>
  <c r="DZ761" i="1"/>
  <c r="DS761" i="1"/>
  <c r="CZ761" i="1"/>
  <c r="CG761" i="1"/>
  <c r="BU761" i="1"/>
  <c r="BQ761" i="1"/>
  <c r="BH761" i="1"/>
  <c r="BG761" i="1"/>
  <c r="AJ761" i="1"/>
  <c r="AF761" i="1"/>
  <c r="AE761" i="1" s="1"/>
  <c r="AD761" i="1"/>
  <c r="Z761" i="1"/>
  <c r="DZ760" i="1"/>
  <c r="CZ760" i="1"/>
  <c r="CG760" i="1"/>
  <c r="BU760" i="1"/>
  <c r="BQ760" i="1"/>
  <c r="BH760" i="1"/>
  <c r="BG760" i="1"/>
  <c r="AJ760" i="1"/>
  <c r="AF760" i="1"/>
  <c r="AD760" i="1" s="1"/>
  <c r="Z760" i="1"/>
  <c r="AF759" i="1"/>
  <c r="Z759" i="1"/>
  <c r="DZ758" i="1"/>
  <c r="DW758" i="1"/>
  <c r="DV758" i="1"/>
  <c r="DT758" i="1"/>
  <c r="CZ758" i="1"/>
  <c r="CG758" i="1"/>
  <c r="BU758" i="1"/>
  <c r="BQ758" i="1"/>
  <c r="BH758" i="1"/>
  <c r="BG758" i="1"/>
  <c r="AJ758" i="1"/>
  <c r="AF758" i="1"/>
  <c r="AE758" i="1" s="1"/>
  <c r="Z758" i="1"/>
  <c r="DZ757" i="1"/>
  <c r="CZ757" i="1"/>
  <c r="CG757" i="1"/>
  <c r="BU757" i="1"/>
  <c r="BQ757" i="1"/>
  <c r="BH757" i="1"/>
  <c r="BG757" i="1"/>
  <c r="AJ757" i="1"/>
  <c r="AF757" i="1"/>
  <c r="Z757" i="1"/>
  <c r="DZ756" i="1"/>
  <c r="DX756" i="1"/>
  <c r="CZ756" i="1"/>
  <c r="CG756" i="1"/>
  <c r="BU756" i="1"/>
  <c r="BQ756" i="1"/>
  <c r="BH756" i="1"/>
  <c r="BG756" i="1"/>
  <c r="AJ756" i="1"/>
  <c r="AF756" i="1"/>
  <c r="Z756" i="1"/>
  <c r="DZ755" i="1"/>
  <c r="DY755" i="1"/>
  <c r="DX755" i="1"/>
  <c r="DW755" i="1"/>
  <c r="CZ755" i="1"/>
  <c r="CG755" i="1"/>
  <c r="BU755" i="1"/>
  <c r="BQ755" i="1"/>
  <c r="BH755" i="1"/>
  <c r="BG755" i="1"/>
  <c r="AJ755" i="1"/>
  <c r="AF755" i="1"/>
  <c r="AD755" i="1" s="1"/>
  <c r="Z755" i="1"/>
  <c r="DZ754" i="1"/>
  <c r="CZ754" i="1"/>
  <c r="CG754" i="1"/>
  <c r="BU754" i="1"/>
  <c r="BQ754" i="1"/>
  <c r="BH754" i="1"/>
  <c r="BG754" i="1"/>
  <c r="AJ754" i="1"/>
  <c r="AF754" i="1"/>
  <c r="AD754" i="1" s="1"/>
  <c r="AE754" i="1"/>
  <c r="Z754" i="1"/>
  <c r="DZ753" i="1"/>
  <c r="DU753" i="1"/>
  <c r="CZ753" i="1"/>
  <c r="CG753" i="1"/>
  <c r="BU753" i="1"/>
  <c r="BQ753" i="1"/>
  <c r="BH753" i="1"/>
  <c r="BG753" i="1"/>
  <c r="AJ753" i="1"/>
  <c r="AF753" i="1"/>
  <c r="Z753" i="1"/>
  <c r="DZ752" i="1"/>
  <c r="DW752" i="1"/>
  <c r="CZ752" i="1"/>
  <c r="CG752" i="1"/>
  <c r="BU752" i="1"/>
  <c r="BQ752" i="1"/>
  <c r="BH752" i="1"/>
  <c r="BG752" i="1"/>
  <c r="AJ752" i="1"/>
  <c r="AF752" i="1"/>
  <c r="AE752" i="1"/>
  <c r="AD752" i="1"/>
  <c r="Z752" i="1"/>
  <c r="DZ751" i="1"/>
  <c r="DU751" i="1"/>
  <c r="CZ751" i="1"/>
  <c r="CG751" i="1"/>
  <c r="BU751" i="1"/>
  <c r="BQ751" i="1"/>
  <c r="BH751" i="1"/>
  <c r="BG751" i="1"/>
  <c r="AJ751" i="1"/>
  <c r="AF751" i="1"/>
  <c r="AE751" i="1" s="1"/>
  <c r="AD751" i="1"/>
  <c r="Z751" i="1"/>
  <c r="DZ750" i="1"/>
  <c r="DW750" i="1"/>
  <c r="CZ750" i="1"/>
  <c r="CG750" i="1"/>
  <c r="BU750" i="1"/>
  <c r="BQ750" i="1"/>
  <c r="BH750" i="1"/>
  <c r="BG750" i="1"/>
  <c r="AJ750" i="1"/>
  <c r="AF750" i="1"/>
  <c r="Z750" i="1"/>
  <c r="DZ749" i="1"/>
  <c r="DV749" i="1"/>
  <c r="CZ749" i="1"/>
  <c r="CG749" i="1"/>
  <c r="BU749" i="1"/>
  <c r="BQ749" i="1"/>
  <c r="BH749" i="1"/>
  <c r="BG749" i="1"/>
  <c r="AJ749" i="1"/>
  <c r="AF749" i="1"/>
  <c r="AE749" i="1"/>
  <c r="AD749" i="1"/>
  <c r="Z749" i="1"/>
  <c r="DZ748" i="1"/>
  <c r="DU748" i="1"/>
  <c r="CZ748" i="1"/>
  <c r="CG748" i="1"/>
  <c r="BU748" i="1"/>
  <c r="BQ748" i="1"/>
  <c r="BH748" i="1"/>
  <c r="BG748" i="1"/>
  <c r="AJ748" i="1"/>
  <c r="AF748" i="1"/>
  <c r="Z748" i="1"/>
  <c r="DZ747" i="1"/>
  <c r="CZ747" i="1"/>
  <c r="CG747" i="1"/>
  <c r="BU747" i="1"/>
  <c r="BQ747" i="1"/>
  <c r="BH747" i="1"/>
  <c r="BG747" i="1"/>
  <c r="AJ747" i="1"/>
  <c r="AF747" i="1"/>
  <c r="AD747" i="1" s="1"/>
  <c r="Z747" i="1"/>
  <c r="AF746" i="1"/>
  <c r="Z746" i="1"/>
  <c r="DZ745" i="1"/>
  <c r="CZ745" i="1"/>
  <c r="CG745" i="1"/>
  <c r="BU745" i="1"/>
  <c r="BQ745" i="1"/>
  <c r="BH745" i="1"/>
  <c r="BG745" i="1"/>
  <c r="AJ745" i="1"/>
  <c r="AF745" i="1"/>
  <c r="AD745" i="1" s="1"/>
  <c r="Z745" i="1"/>
  <c r="DZ744" i="1"/>
  <c r="CZ744" i="1"/>
  <c r="CG744" i="1"/>
  <c r="BU744" i="1"/>
  <c r="BQ744" i="1"/>
  <c r="BH744" i="1"/>
  <c r="BG744" i="1"/>
  <c r="AJ744" i="1"/>
  <c r="AF744" i="1"/>
  <c r="Z744" i="1"/>
  <c r="DZ743" i="1"/>
  <c r="CZ743" i="1"/>
  <c r="CG743" i="1"/>
  <c r="BU743" i="1"/>
  <c r="BQ743" i="1"/>
  <c r="BH743" i="1"/>
  <c r="BG743" i="1"/>
  <c r="AJ743" i="1"/>
  <c r="AF743" i="1"/>
  <c r="AE743" i="1" s="1"/>
  <c r="AD743" i="1"/>
  <c r="Z743" i="1"/>
  <c r="DZ742" i="1"/>
  <c r="DS742" i="1"/>
  <c r="CZ742" i="1"/>
  <c r="CG742" i="1"/>
  <c r="BU742" i="1"/>
  <c r="BQ742" i="1"/>
  <c r="BH742" i="1"/>
  <c r="BG742" i="1"/>
  <c r="AJ742" i="1"/>
  <c r="AF742" i="1"/>
  <c r="AE742" i="1" s="1"/>
  <c r="Z742" i="1"/>
  <c r="DZ741" i="1"/>
  <c r="CZ741" i="1"/>
  <c r="CG741" i="1"/>
  <c r="BU741" i="1"/>
  <c r="BQ741" i="1"/>
  <c r="BH741" i="1"/>
  <c r="BG741" i="1"/>
  <c r="AJ741" i="1"/>
  <c r="AF741" i="1"/>
  <c r="AE741" i="1" s="1"/>
  <c r="Z741" i="1"/>
  <c r="DZ740" i="1"/>
  <c r="DS740" i="1"/>
  <c r="CZ740" i="1"/>
  <c r="CG740" i="1"/>
  <c r="BU740" i="1"/>
  <c r="BQ740" i="1"/>
  <c r="BH740" i="1"/>
  <c r="BG740" i="1"/>
  <c r="AJ740" i="1"/>
  <c r="AF740" i="1"/>
  <c r="Z740" i="1"/>
  <c r="DZ739" i="1"/>
  <c r="CZ739" i="1"/>
  <c r="CG739" i="1"/>
  <c r="BU739" i="1"/>
  <c r="BQ739" i="1"/>
  <c r="BH739" i="1"/>
  <c r="BG739" i="1"/>
  <c r="AJ739" i="1"/>
  <c r="AF739" i="1"/>
  <c r="AD739" i="1" s="1"/>
  <c r="Z739" i="1"/>
  <c r="DZ738" i="1"/>
  <c r="DS738" i="1"/>
  <c r="CZ738" i="1"/>
  <c r="CG738" i="1"/>
  <c r="BU738" i="1"/>
  <c r="BQ738" i="1"/>
  <c r="BH738" i="1"/>
  <c r="BG738" i="1"/>
  <c r="AJ738" i="1"/>
  <c r="AF738" i="1"/>
  <c r="Z738" i="1"/>
  <c r="DZ737" i="1"/>
  <c r="DS737" i="1"/>
  <c r="CZ737" i="1"/>
  <c r="CG737" i="1"/>
  <c r="BU737" i="1"/>
  <c r="BQ737" i="1"/>
  <c r="BH737" i="1"/>
  <c r="BG737" i="1"/>
  <c r="AJ737" i="1"/>
  <c r="AF737" i="1"/>
  <c r="Z737" i="1"/>
  <c r="DZ736" i="1"/>
  <c r="DR736" i="1"/>
  <c r="CZ736" i="1"/>
  <c r="CG736" i="1"/>
  <c r="BU736" i="1"/>
  <c r="BQ736" i="1"/>
  <c r="BH736" i="1"/>
  <c r="BG736" i="1"/>
  <c r="AJ736" i="1"/>
  <c r="AF736" i="1"/>
  <c r="AD736" i="1" s="1"/>
  <c r="AE736" i="1"/>
  <c r="Z736" i="1"/>
  <c r="DZ735" i="1"/>
  <c r="CZ735" i="1"/>
  <c r="CG735" i="1"/>
  <c r="BU735" i="1"/>
  <c r="BQ735" i="1"/>
  <c r="BH735" i="1"/>
  <c r="BG735" i="1"/>
  <c r="AJ735" i="1"/>
  <c r="AF735" i="1"/>
  <c r="AE735" i="1" s="1"/>
  <c r="AD735" i="1"/>
  <c r="Z735" i="1"/>
  <c r="DZ734" i="1"/>
  <c r="DT734" i="1"/>
  <c r="CZ734" i="1"/>
  <c r="CG734" i="1"/>
  <c r="BU734" i="1"/>
  <c r="BQ734" i="1"/>
  <c r="BH734" i="1"/>
  <c r="BG734" i="1"/>
  <c r="AJ734" i="1"/>
  <c r="AF734" i="1"/>
  <c r="AE734" i="1" s="1"/>
  <c r="Z734" i="1"/>
  <c r="AF733" i="1"/>
  <c r="Z733" i="1"/>
  <c r="DI732" i="1"/>
  <c r="CZ732" i="1"/>
  <c r="CV732" i="1"/>
  <c r="CG732" i="1"/>
  <c r="BU732" i="1"/>
  <c r="BT732" i="1"/>
  <c r="BQ732" i="1"/>
  <c r="BP732" i="1"/>
  <c r="BH732" i="1"/>
  <c r="BG732" i="1"/>
  <c r="AJ732" i="1"/>
  <c r="AF732" i="1"/>
  <c r="AD732" i="1" s="1"/>
  <c r="Z732" i="1"/>
  <c r="DT731" i="1"/>
  <c r="DI731" i="1"/>
  <c r="CZ731" i="1"/>
  <c r="CV731" i="1"/>
  <c r="CG731" i="1"/>
  <c r="BU731" i="1"/>
  <c r="BT731" i="1"/>
  <c r="BQ731" i="1"/>
  <c r="BH731" i="1"/>
  <c r="BG731" i="1"/>
  <c r="AJ731" i="1"/>
  <c r="AF731" i="1"/>
  <c r="Z731" i="1"/>
  <c r="DI730" i="1"/>
  <c r="CZ730" i="1"/>
  <c r="CV730" i="1"/>
  <c r="CG730" i="1"/>
  <c r="BU730" i="1"/>
  <c r="BT730" i="1"/>
  <c r="BQ730" i="1"/>
  <c r="BP730" i="1"/>
  <c r="BH730" i="1"/>
  <c r="BG730" i="1"/>
  <c r="AJ730" i="1"/>
  <c r="AF730" i="1"/>
  <c r="AD730" i="1" s="1"/>
  <c r="Z730" i="1"/>
  <c r="DI729" i="1"/>
  <c r="CZ729" i="1"/>
  <c r="CV729" i="1"/>
  <c r="CG729" i="1"/>
  <c r="BU729" i="1"/>
  <c r="BT729" i="1"/>
  <c r="BQ729" i="1"/>
  <c r="BH729" i="1"/>
  <c r="BG729" i="1"/>
  <c r="AJ729" i="1"/>
  <c r="AF729" i="1"/>
  <c r="Z729" i="1"/>
  <c r="AF728" i="1"/>
  <c r="Z728" i="1"/>
  <c r="DI727" i="1"/>
  <c r="CZ727" i="1"/>
  <c r="CV727" i="1"/>
  <c r="CG727" i="1"/>
  <c r="BU727" i="1"/>
  <c r="BT727" i="1"/>
  <c r="BQ727" i="1"/>
  <c r="BH727" i="1"/>
  <c r="BG727" i="1"/>
  <c r="AJ727" i="1"/>
  <c r="AF727" i="1"/>
  <c r="AE727" i="1" s="1"/>
  <c r="AD727" i="1"/>
  <c r="Z727" i="1"/>
  <c r="DW726" i="1"/>
  <c r="DV726" i="1"/>
  <c r="DT726" i="1"/>
  <c r="DI726" i="1"/>
  <c r="CZ726" i="1"/>
  <c r="CV726" i="1"/>
  <c r="CG726" i="1"/>
  <c r="BU726" i="1"/>
  <c r="BT726" i="1"/>
  <c r="BQ726" i="1"/>
  <c r="BH726" i="1"/>
  <c r="BG726" i="1"/>
  <c r="AJ726" i="1"/>
  <c r="AF726" i="1"/>
  <c r="Z726" i="1"/>
  <c r="DT725" i="1"/>
  <c r="DI725" i="1"/>
  <c r="CZ725" i="1"/>
  <c r="CV725" i="1"/>
  <c r="CG725" i="1"/>
  <c r="BU725" i="1"/>
  <c r="BT725" i="1"/>
  <c r="BQ725" i="1"/>
  <c r="BP725" i="1"/>
  <c r="BH725" i="1"/>
  <c r="BG725" i="1"/>
  <c r="AJ725" i="1"/>
  <c r="AF725" i="1"/>
  <c r="Z725" i="1"/>
  <c r="DI724" i="1"/>
  <c r="CZ724" i="1"/>
  <c r="CV724" i="1"/>
  <c r="CG724" i="1"/>
  <c r="BU724" i="1"/>
  <c r="BT724" i="1"/>
  <c r="BQ724" i="1"/>
  <c r="BH724" i="1"/>
  <c r="BG724" i="1"/>
  <c r="AJ724" i="1"/>
  <c r="AF724" i="1"/>
  <c r="Z724" i="1"/>
  <c r="DX723" i="1"/>
  <c r="DW723" i="1"/>
  <c r="DR723" i="1"/>
  <c r="DI723" i="1"/>
  <c r="CZ723" i="1"/>
  <c r="CV723" i="1"/>
  <c r="CG723" i="1"/>
  <c r="BU723" i="1"/>
  <c r="BT723" i="1"/>
  <c r="BQ723" i="1"/>
  <c r="BH723" i="1"/>
  <c r="BG723" i="1"/>
  <c r="AJ723" i="1"/>
  <c r="AF723" i="1"/>
  <c r="Z723" i="1"/>
  <c r="DV722" i="1"/>
  <c r="DI722" i="1"/>
  <c r="CZ722" i="1"/>
  <c r="CV722" i="1"/>
  <c r="CG722" i="1"/>
  <c r="BU722" i="1"/>
  <c r="BT722" i="1"/>
  <c r="BQ722" i="1"/>
  <c r="BH722" i="1"/>
  <c r="BG722" i="1"/>
  <c r="AJ722" i="1"/>
  <c r="AF722" i="1"/>
  <c r="AD722" i="1" s="1"/>
  <c r="Z722" i="1"/>
  <c r="DV721" i="1"/>
  <c r="DI721" i="1"/>
  <c r="CZ721" i="1"/>
  <c r="CV721" i="1"/>
  <c r="CG721" i="1"/>
  <c r="BU721" i="1"/>
  <c r="BT721" i="1"/>
  <c r="BQ721" i="1"/>
  <c r="BH721" i="1"/>
  <c r="BG721" i="1"/>
  <c r="AJ721" i="1"/>
  <c r="AF721" i="1"/>
  <c r="Z721" i="1"/>
  <c r="DI720" i="1"/>
  <c r="CZ720" i="1"/>
  <c r="CV720" i="1"/>
  <c r="CG720" i="1"/>
  <c r="BU720" i="1"/>
  <c r="BT720" i="1"/>
  <c r="BQ720" i="1"/>
  <c r="BP720" i="1"/>
  <c r="BH720" i="1"/>
  <c r="BG720" i="1"/>
  <c r="AJ720" i="1"/>
  <c r="AF720" i="1"/>
  <c r="Z720" i="1"/>
  <c r="DW719" i="1"/>
  <c r="DV719" i="1"/>
  <c r="DI719" i="1"/>
  <c r="CZ719" i="1"/>
  <c r="CV719" i="1"/>
  <c r="CG719" i="1"/>
  <c r="BU719" i="1"/>
  <c r="BT719" i="1"/>
  <c r="BQ719" i="1"/>
  <c r="BP719" i="1"/>
  <c r="BH719" i="1"/>
  <c r="BG719" i="1"/>
  <c r="AJ719" i="1"/>
  <c r="AF719" i="1"/>
  <c r="AD719" i="1" s="1"/>
  <c r="Z719" i="1"/>
  <c r="DV718" i="1"/>
  <c r="DI718" i="1"/>
  <c r="CZ718" i="1"/>
  <c r="CV718" i="1"/>
  <c r="CG718" i="1"/>
  <c r="BU718" i="1"/>
  <c r="BT718" i="1"/>
  <c r="BQ718" i="1"/>
  <c r="BH718" i="1"/>
  <c r="BG718" i="1"/>
  <c r="AJ718" i="1"/>
  <c r="AF718" i="1"/>
  <c r="AE718" i="1" s="1"/>
  <c r="Z718" i="1"/>
  <c r="DX717" i="1"/>
  <c r="DV717" i="1"/>
  <c r="DU717" i="1"/>
  <c r="DI717" i="1"/>
  <c r="CZ717" i="1"/>
  <c r="CV717" i="1"/>
  <c r="CG717" i="1"/>
  <c r="BU717" i="1"/>
  <c r="BT717" i="1"/>
  <c r="BQ717" i="1"/>
  <c r="BH717" i="1"/>
  <c r="BG717" i="1"/>
  <c r="AJ717" i="1"/>
  <c r="AF717" i="1"/>
  <c r="AE717" i="1" s="1"/>
  <c r="Z717" i="1"/>
  <c r="DV716" i="1"/>
  <c r="DI716" i="1"/>
  <c r="CZ716" i="1"/>
  <c r="CV716" i="1"/>
  <c r="CG716" i="1"/>
  <c r="BU716" i="1"/>
  <c r="BT716" i="1"/>
  <c r="BQ716" i="1"/>
  <c r="BH716" i="1"/>
  <c r="BG716" i="1"/>
  <c r="AJ716" i="1"/>
  <c r="AF716" i="1"/>
  <c r="Z716" i="1"/>
  <c r="DW715" i="1"/>
  <c r="DV715" i="1"/>
  <c r="DU715" i="1"/>
  <c r="DI715" i="1"/>
  <c r="CZ715" i="1"/>
  <c r="CV715" i="1"/>
  <c r="CG715" i="1"/>
  <c r="BU715" i="1"/>
  <c r="BT715" i="1"/>
  <c r="BQ715" i="1"/>
  <c r="BH715" i="1"/>
  <c r="BG715" i="1"/>
  <c r="AJ715" i="1"/>
  <c r="AF715" i="1"/>
  <c r="AD715" i="1" s="1"/>
  <c r="Z715" i="1"/>
  <c r="DW714" i="1"/>
  <c r="DI714" i="1"/>
  <c r="CZ714" i="1"/>
  <c r="CV714" i="1"/>
  <c r="CG714" i="1"/>
  <c r="BU714" i="1"/>
  <c r="BT714" i="1"/>
  <c r="BQ714" i="1"/>
  <c r="BH714" i="1"/>
  <c r="BG714" i="1"/>
  <c r="AJ714" i="1"/>
  <c r="AF714" i="1"/>
  <c r="Z714" i="1"/>
  <c r="DW713" i="1"/>
  <c r="DV713" i="1"/>
  <c r="DI713" i="1"/>
  <c r="CZ713" i="1"/>
  <c r="CV713" i="1"/>
  <c r="CG713" i="1"/>
  <c r="BU713" i="1"/>
  <c r="BT713" i="1"/>
  <c r="BQ713" i="1"/>
  <c r="BH713" i="1"/>
  <c r="BG713" i="1"/>
  <c r="AJ713" i="1"/>
  <c r="AF713" i="1"/>
  <c r="Z713" i="1"/>
  <c r="DV712" i="1"/>
  <c r="DU712" i="1"/>
  <c r="DI712" i="1"/>
  <c r="CZ712" i="1"/>
  <c r="CV712" i="1"/>
  <c r="CG712" i="1"/>
  <c r="BU712" i="1"/>
  <c r="BT712" i="1"/>
  <c r="BQ712" i="1"/>
  <c r="BP712" i="1"/>
  <c r="BH712" i="1"/>
  <c r="BG712" i="1"/>
  <c r="AJ712" i="1"/>
  <c r="AF712" i="1"/>
  <c r="AE712" i="1" s="1"/>
  <c r="Z712" i="1"/>
  <c r="DW711" i="1"/>
  <c r="DI711" i="1"/>
  <c r="CZ711" i="1"/>
  <c r="CV711" i="1"/>
  <c r="CG711" i="1"/>
  <c r="BU711" i="1"/>
  <c r="BT711" i="1"/>
  <c r="BQ711" i="1"/>
  <c r="BH711" i="1"/>
  <c r="BG711" i="1"/>
  <c r="AJ711" i="1"/>
  <c r="AF711" i="1"/>
  <c r="AD711" i="1" s="1"/>
  <c r="Z711" i="1"/>
  <c r="DV710" i="1"/>
  <c r="DU710" i="1"/>
  <c r="DI710" i="1"/>
  <c r="CZ710" i="1"/>
  <c r="CV710" i="1"/>
  <c r="CG710" i="1"/>
  <c r="BU710" i="1"/>
  <c r="BT710" i="1"/>
  <c r="BQ710" i="1"/>
  <c r="BH710" i="1"/>
  <c r="BG710" i="1"/>
  <c r="AJ710" i="1"/>
  <c r="AF710" i="1"/>
  <c r="Z710" i="1"/>
  <c r="DY709" i="1"/>
  <c r="DX709" i="1"/>
  <c r="DW709" i="1"/>
  <c r="DI709" i="1"/>
  <c r="CZ709" i="1"/>
  <c r="CV709" i="1"/>
  <c r="CG709" i="1"/>
  <c r="BU709" i="1"/>
  <c r="BT709" i="1"/>
  <c r="BQ709" i="1"/>
  <c r="BH709" i="1"/>
  <c r="BG709" i="1"/>
  <c r="AJ709" i="1"/>
  <c r="AF709" i="1"/>
  <c r="AE709" i="1" s="1"/>
  <c r="Z709" i="1"/>
  <c r="DR708" i="1"/>
  <c r="DI708" i="1"/>
  <c r="CZ708" i="1"/>
  <c r="CV708" i="1"/>
  <c r="CG708" i="1"/>
  <c r="BU708" i="1"/>
  <c r="BT708" i="1"/>
  <c r="BQ708" i="1"/>
  <c r="BH708" i="1"/>
  <c r="BG708" i="1"/>
  <c r="AJ708" i="1"/>
  <c r="AF708" i="1"/>
  <c r="Z708" i="1"/>
  <c r="DY707" i="1"/>
  <c r="DX707" i="1"/>
  <c r="DW707" i="1"/>
  <c r="DV707" i="1"/>
  <c r="DI707" i="1"/>
  <c r="CZ707" i="1"/>
  <c r="CV707" i="1"/>
  <c r="CG707" i="1"/>
  <c r="BU707" i="1"/>
  <c r="BT707" i="1"/>
  <c r="BQ707" i="1"/>
  <c r="BP707" i="1"/>
  <c r="BH707" i="1"/>
  <c r="BG707" i="1"/>
  <c r="AJ707" i="1"/>
  <c r="AF707" i="1"/>
  <c r="Z707" i="1"/>
  <c r="DW706" i="1"/>
  <c r="DT706" i="1"/>
  <c r="DI706" i="1"/>
  <c r="CZ706" i="1"/>
  <c r="CV706" i="1"/>
  <c r="CG706" i="1"/>
  <c r="BU706" i="1"/>
  <c r="BT706" i="1"/>
  <c r="BQ706" i="1"/>
  <c r="BH706" i="1"/>
  <c r="BG706" i="1"/>
  <c r="AJ706" i="1"/>
  <c r="AF706" i="1"/>
  <c r="AD706" i="1" s="1"/>
  <c r="Z706" i="1"/>
  <c r="AF705" i="1"/>
  <c r="Z705" i="1"/>
  <c r="DI704" i="1"/>
  <c r="CZ704" i="1"/>
  <c r="CV704" i="1"/>
  <c r="CG704" i="1"/>
  <c r="BU704" i="1"/>
  <c r="BT704" i="1"/>
  <c r="BQ704" i="1"/>
  <c r="BH704" i="1"/>
  <c r="BG704" i="1"/>
  <c r="AJ704" i="1"/>
  <c r="AF704" i="1"/>
  <c r="AE704" i="1" s="1"/>
  <c r="Z704" i="1"/>
  <c r="DV703" i="1"/>
  <c r="DI703" i="1"/>
  <c r="CZ703" i="1"/>
  <c r="CV703" i="1"/>
  <c r="CG703" i="1"/>
  <c r="BU703" i="1"/>
  <c r="BT703" i="1"/>
  <c r="BQ703" i="1"/>
  <c r="BH703" i="1"/>
  <c r="BG703" i="1"/>
  <c r="AJ703" i="1"/>
  <c r="AF703" i="1"/>
  <c r="Z703" i="1"/>
  <c r="DV702" i="1"/>
  <c r="DI702" i="1"/>
  <c r="CZ702" i="1"/>
  <c r="CV702" i="1"/>
  <c r="CG702" i="1"/>
  <c r="BU702" i="1"/>
  <c r="BT702" i="1"/>
  <c r="BQ702" i="1"/>
  <c r="BP702" i="1"/>
  <c r="BH702" i="1"/>
  <c r="BG702" i="1"/>
  <c r="AJ702" i="1"/>
  <c r="AF702" i="1"/>
  <c r="AE702" i="1" s="1"/>
  <c r="Z702" i="1"/>
  <c r="DV701" i="1"/>
  <c r="DI701" i="1"/>
  <c r="CZ701" i="1"/>
  <c r="CV701" i="1"/>
  <c r="CG701" i="1"/>
  <c r="BU701" i="1"/>
  <c r="BT701" i="1"/>
  <c r="BQ701" i="1"/>
  <c r="BH701" i="1"/>
  <c r="BG701" i="1"/>
  <c r="AJ701" i="1"/>
  <c r="AF701" i="1"/>
  <c r="AD701" i="1" s="1"/>
  <c r="AE701" i="1"/>
  <c r="Z701" i="1"/>
  <c r="DW700" i="1"/>
  <c r="DI700" i="1"/>
  <c r="CZ700" i="1"/>
  <c r="CV700" i="1"/>
  <c r="CG700" i="1"/>
  <c r="BU700" i="1"/>
  <c r="BT700" i="1"/>
  <c r="BQ700" i="1"/>
  <c r="BP700" i="1"/>
  <c r="BH700" i="1"/>
  <c r="BG700" i="1"/>
  <c r="AJ700" i="1"/>
  <c r="AF700" i="1"/>
  <c r="AE700" i="1" s="1"/>
  <c r="AD700" i="1"/>
  <c r="Z700" i="1"/>
  <c r="DW699" i="1"/>
  <c r="DI699" i="1"/>
  <c r="CZ699" i="1"/>
  <c r="CV699" i="1"/>
  <c r="CG699" i="1"/>
  <c r="BU699" i="1"/>
  <c r="BT699" i="1"/>
  <c r="BQ699" i="1"/>
  <c r="BP699" i="1"/>
  <c r="BH699" i="1"/>
  <c r="BG699" i="1"/>
  <c r="AJ699" i="1"/>
  <c r="AF699" i="1"/>
  <c r="Z699" i="1"/>
  <c r="DI698" i="1"/>
  <c r="CZ698" i="1"/>
  <c r="CV698" i="1"/>
  <c r="CG698" i="1"/>
  <c r="BU698" i="1"/>
  <c r="BT698" i="1"/>
  <c r="BQ698" i="1"/>
  <c r="BH698" i="1"/>
  <c r="BG698" i="1"/>
  <c r="AJ698" i="1"/>
  <c r="AF698" i="1"/>
  <c r="AD698" i="1" s="1"/>
  <c r="Z698" i="1"/>
  <c r="DY697" i="1"/>
  <c r="DI697" i="1"/>
  <c r="CZ697" i="1"/>
  <c r="CV697" i="1"/>
  <c r="CG697" i="1"/>
  <c r="BU697" i="1"/>
  <c r="BT697" i="1"/>
  <c r="BQ697" i="1"/>
  <c r="BH697" i="1"/>
  <c r="BG697" i="1"/>
  <c r="AJ697" i="1"/>
  <c r="AF697" i="1"/>
  <c r="Z697" i="1"/>
  <c r="DI696" i="1"/>
  <c r="CZ696" i="1"/>
  <c r="CV696" i="1"/>
  <c r="CG696" i="1"/>
  <c r="BU696" i="1"/>
  <c r="BT696" i="1"/>
  <c r="BQ696" i="1"/>
  <c r="BH696" i="1"/>
  <c r="BG696" i="1"/>
  <c r="AJ696" i="1"/>
  <c r="AF696" i="1"/>
  <c r="Z696" i="1"/>
  <c r="DU695" i="1"/>
  <c r="DT695" i="1"/>
  <c r="DI695" i="1"/>
  <c r="CZ695" i="1"/>
  <c r="CV695" i="1"/>
  <c r="CG695" i="1"/>
  <c r="BU695" i="1"/>
  <c r="BT695" i="1"/>
  <c r="BQ695" i="1"/>
  <c r="BH695" i="1"/>
  <c r="BG695" i="1"/>
  <c r="AJ695" i="1"/>
  <c r="AF695" i="1"/>
  <c r="Z695" i="1"/>
  <c r="DW694" i="1"/>
  <c r="DI694" i="1"/>
  <c r="CZ694" i="1"/>
  <c r="CV694" i="1"/>
  <c r="CG694" i="1"/>
  <c r="BU694" i="1"/>
  <c r="BT694" i="1"/>
  <c r="BQ694" i="1"/>
  <c r="BP694" i="1"/>
  <c r="BH694" i="1"/>
  <c r="BG694" i="1"/>
  <c r="AJ694" i="1"/>
  <c r="AF694" i="1"/>
  <c r="AD694" i="1" s="1"/>
  <c r="AE694" i="1"/>
  <c r="Z694" i="1"/>
  <c r="DT693" i="1"/>
  <c r="DI693" i="1"/>
  <c r="CZ693" i="1"/>
  <c r="CV693" i="1"/>
  <c r="CG693" i="1"/>
  <c r="BU693" i="1"/>
  <c r="BT693" i="1"/>
  <c r="BQ693" i="1"/>
  <c r="BH693" i="1"/>
  <c r="BG693" i="1"/>
  <c r="AJ693" i="1"/>
  <c r="AF693" i="1"/>
  <c r="AE693" i="1" s="1"/>
  <c r="Z693" i="1"/>
  <c r="DV692" i="1"/>
  <c r="DI692" i="1"/>
  <c r="CZ692" i="1"/>
  <c r="CV692" i="1"/>
  <c r="CG692" i="1"/>
  <c r="BU692" i="1"/>
  <c r="BT692" i="1"/>
  <c r="BQ692" i="1"/>
  <c r="BH692" i="1"/>
  <c r="BG692" i="1"/>
  <c r="AJ692" i="1"/>
  <c r="AF692" i="1"/>
  <c r="AE692" i="1" s="1"/>
  <c r="Z692" i="1"/>
  <c r="DW691" i="1"/>
  <c r="DV691" i="1"/>
  <c r="DI691" i="1"/>
  <c r="CZ691" i="1"/>
  <c r="CV691" i="1"/>
  <c r="CG691" i="1"/>
  <c r="BU691" i="1"/>
  <c r="BT691" i="1"/>
  <c r="BQ691" i="1"/>
  <c r="BP691" i="1"/>
  <c r="BH691" i="1"/>
  <c r="BG691" i="1"/>
  <c r="AJ691" i="1"/>
  <c r="AF691" i="1"/>
  <c r="AD691" i="1" s="1"/>
  <c r="AE691" i="1"/>
  <c r="Z691" i="1"/>
  <c r="DX690" i="1"/>
  <c r="DW690" i="1"/>
  <c r="DI690" i="1"/>
  <c r="CZ690" i="1"/>
  <c r="CV690" i="1"/>
  <c r="CG690" i="1"/>
  <c r="BU690" i="1"/>
  <c r="BT690" i="1"/>
  <c r="BQ690" i="1"/>
  <c r="BH690" i="1"/>
  <c r="BG690" i="1"/>
  <c r="AJ690" i="1"/>
  <c r="AF690" i="1"/>
  <c r="Z690" i="1"/>
  <c r="DV689" i="1"/>
  <c r="DU689" i="1"/>
  <c r="DI689" i="1"/>
  <c r="CZ689" i="1"/>
  <c r="CV689" i="1"/>
  <c r="CG689" i="1"/>
  <c r="BU689" i="1"/>
  <c r="BT689" i="1"/>
  <c r="BQ689" i="1"/>
  <c r="BH689" i="1"/>
  <c r="BG689" i="1"/>
  <c r="AJ689" i="1"/>
  <c r="AF689" i="1"/>
  <c r="Z689" i="1"/>
  <c r="DY688" i="1"/>
  <c r="DI688" i="1"/>
  <c r="CZ688" i="1"/>
  <c r="CV688" i="1"/>
  <c r="CG688" i="1"/>
  <c r="BU688" i="1"/>
  <c r="BT688" i="1"/>
  <c r="BQ688" i="1"/>
  <c r="BH688" i="1"/>
  <c r="BG688" i="1"/>
  <c r="AJ688" i="1"/>
  <c r="AF688" i="1"/>
  <c r="Z688" i="1"/>
  <c r="AF687" i="1"/>
  <c r="Z687" i="1"/>
  <c r="DX686" i="1"/>
  <c r="DI686" i="1"/>
  <c r="CZ686" i="1"/>
  <c r="CV686" i="1"/>
  <c r="CG686" i="1"/>
  <c r="BU686" i="1"/>
  <c r="BT686" i="1"/>
  <c r="BQ686" i="1"/>
  <c r="BH686" i="1"/>
  <c r="BG686" i="1"/>
  <c r="AJ686" i="1"/>
  <c r="AF686" i="1"/>
  <c r="Z686" i="1"/>
  <c r="DI685" i="1"/>
  <c r="CZ685" i="1"/>
  <c r="CG685" i="1"/>
  <c r="BU685" i="1"/>
  <c r="BQ685" i="1"/>
  <c r="BH685" i="1"/>
  <c r="BG685" i="1"/>
  <c r="AJ685" i="1"/>
  <c r="AF685" i="1"/>
  <c r="Z685" i="1"/>
  <c r="DW684" i="1"/>
  <c r="DI684" i="1"/>
  <c r="CZ684" i="1"/>
  <c r="CV684" i="1"/>
  <c r="CG684" i="1"/>
  <c r="BU684" i="1"/>
  <c r="BT684" i="1"/>
  <c r="BQ684" i="1"/>
  <c r="BP684" i="1"/>
  <c r="BH684" i="1"/>
  <c r="BG684" i="1"/>
  <c r="AJ684" i="1"/>
  <c r="AF684" i="1"/>
  <c r="Z684" i="1"/>
  <c r="DU683" i="1"/>
  <c r="DI683" i="1"/>
  <c r="CZ683" i="1"/>
  <c r="CV683" i="1"/>
  <c r="CG683" i="1"/>
  <c r="BU683" i="1"/>
  <c r="BT683" i="1"/>
  <c r="BQ683" i="1"/>
  <c r="BP683" i="1"/>
  <c r="BH683" i="1"/>
  <c r="BG683" i="1"/>
  <c r="AJ683" i="1"/>
  <c r="AF683" i="1"/>
  <c r="Z683" i="1"/>
  <c r="DI682" i="1"/>
  <c r="CZ682" i="1"/>
  <c r="CV682" i="1"/>
  <c r="CG682" i="1"/>
  <c r="BU682" i="1"/>
  <c r="BT682" i="1"/>
  <c r="BQ682" i="1"/>
  <c r="BP682" i="1"/>
  <c r="BH682" i="1"/>
  <c r="BG682" i="1"/>
  <c r="AJ682" i="1"/>
  <c r="AF682" i="1"/>
  <c r="Z682" i="1"/>
  <c r="DI681" i="1"/>
  <c r="CZ681" i="1"/>
  <c r="CV681" i="1"/>
  <c r="CG681" i="1"/>
  <c r="BU681" i="1"/>
  <c r="BT681" i="1"/>
  <c r="BQ681" i="1"/>
  <c r="BH681" i="1"/>
  <c r="BG681" i="1"/>
  <c r="AJ681" i="1"/>
  <c r="AF681" i="1"/>
  <c r="Z681" i="1"/>
  <c r="AF680" i="1"/>
  <c r="AE680" i="1" s="1"/>
  <c r="Z680" i="1"/>
  <c r="DI679" i="1"/>
  <c r="CZ679" i="1"/>
  <c r="CV679" i="1"/>
  <c r="CG679" i="1"/>
  <c r="BU679" i="1"/>
  <c r="BT679" i="1"/>
  <c r="BQ679" i="1"/>
  <c r="BH679" i="1"/>
  <c r="BG679" i="1"/>
  <c r="AJ679" i="1"/>
  <c r="AF679" i="1"/>
  <c r="AD679" i="1" s="1"/>
  <c r="Z679" i="1"/>
  <c r="DI678" i="1"/>
  <c r="CZ678" i="1"/>
  <c r="CV678" i="1"/>
  <c r="CG678" i="1"/>
  <c r="BU678" i="1"/>
  <c r="BT678" i="1"/>
  <c r="BQ678" i="1"/>
  <c r="BH678" i="1"/>
  <c r="BG678" i="1"/>
  <c r="AJ678" i="1"/>
  <c r="AF678" i="1"/>
  <c r="AD678" i="1" s="1"/>
  <c r="Z678" i="1"/>
  <c r="DI677" i="1"/>
  <c r="CZ677" i="1"/>
  <c r="CV677" i="1"/>
  <c r="CG677" i="1"/>
  <c r="BU677" i="1"/>
  <c r="BT677" i="1"/>
  <c r="BQ677" i="1"/>
  <c r="BH677" i="1"/>
  <c r="BG677" i="1"/>
  <c r="AJ677" i="1"/>
  <c r="AF677" i="1"/>
  <c r="Z677" i="1"/>
  <c r="DI676" i="1"/>
  <c r="CZ676" i="1"/>
  <c r="CV676" i="1"/>
  <c r="CG676" i="1"/>
  <c r="BU676" i="1"/>
  <c r="BT676" i="1"/>
  <c r="BQ676" i="1"/>
  <c r="BH676" i="1"/>
  <c r="BG676" i="1"/>
  <c r="AJ676" i="1"/>
  <c r="AF676" i="1"/>
  <c r="AD676" i="1" s="1"/>
  <c r="Z676" i="1"/>
  <c r="DI675" i="1"/>
  <c r="AF675" i="1"/>
  <c r="AD675" i="1" s="1"/>
  <c r="Z675" i="1"/>
  <c r="CZ674" i="1"/>
  <c r="CV674" i="1"/>
  <c r="CG674" i="1"/>
  <c r="BU674" i="1"/>
  <c r="BT674" i="1"/>
  <c r="BQ674" i="1"/>
  <c r="BH674" i="1"/>
  <c r="BG674" i="1"/>
  <c r="AJ674" i="1"/>
  <c r="AF674" i="1"/>
  <c r="Z674" i="1"/>
  <c r="DI673" i="1"/>
  <c r="CZ673" i="1"/>
  <c r="CV673" i="1"/>
  <c r="CG673" i="1"/>
  <c r="BU673" i="1"/>
  <c r="BT673" i="1"/>
  <c r="BQ673" i="1"/>
  <c r="BH673" i="1"/>
  <c r="BG673" i="1"/>
  <c r="AJ673" i="1"/>
  <c r="AF673" i="1"/>
  <c r="AE673" i="1" s="1"/>
  <c r="Z673" i="1"/>
  <c r="DI672" i="1"/>
  <c r="CZ672" i="1"/>
  <c r="CV672" i="1"/>
  <c r="CG672" i="1"/>
  <c r="BU672" i="1"/>
  <c r="BT672" i="1"/>
  <c r="BQ672" i="1"/>
  <c r="BP672" i="1"/>
  <c r="BH672" i="1"/>
  <c r="BG672" i="1"/>
  <c r="AJ672" i="1"/>
  <c r="AF672" i="1"/>
  <c r="AD672" i="1" s="1"/>
  <c r="Z672" i="1"/>
  <c r="DI671" i="1"/>
  <c r="CZ671" i="1"/>
  <c r="CV671" i="1"/>
  <c r="CG671" i="1"/>
  <c r="BU671" i="1"/>
  <c r="BT671" i="1"/>
  <c r="BQ671" i="1"/>
  <c r="BH671" i="1"/>
  <c r="BG671" i="1"/>
  <c r="AJ671" i="1"/>
  <c r="AF671" i="1"/>
  <c r="Z671" i="1"/>
  <c r="DI670" i="1"/>
  <c r="CZ670" i="1"/>
  <c r="CV670" i="1"/>
  <c r="CG670" i="1"/>
  <c r="BU670" i="1"/>
  <c r="BT670" i="1"/>
  <c r="BQ670" i="1"/>
  <c r="BH670" i="1"/>
  <c r="BG670" i="1"/>
  <c r="AJ670" i="1"/>
  <c r="AF670" i="1"/>
  <c r="AD670" i="1" s="1"/>
  <c r="Z670" i="1"/>
  <c r="DU669" i="1"/>
  <c r="DI669" i="1"/>
  <c r="CZ669" i="1"/>
  <c r="CV669" i="1"/>
  <c r="CG669" i="1"/>
  <c r="BU669" i="1"/>
  <c r="BT669" i="1"/>
  <c r="BQ669" i="1"/>
  <c r="BH669" i="1"/>
  <c r="BG669" i="1"/>
  <c r="AJ669" i="1"/>
  <c r="AF669" i="1"/>
  <c r="AE669" i="1" s="1"/>
  <c r="Z669" i="1"/>
  <c r="DI668" i="1"/>
  <c r="CZ668" i="1"/>
  <c r="CV668" i="1"/>
  <c r="CG668" i="1"/>
  <c r="BU668" i="1"/>
  <c r="BT668" i="1"/>
  <c r="BQ668" i="1"/>
  <c r="BH668" i="1"/>
  <c r="BG668" i="1"/>
  <c r="AJ668" i="1"/>
  <c r="AF668" i="1"/>
  <c r="Z668" i="1"/>
  <c r="AJ667" i="1"/>
  <c r="AF667" i="1"/>
  <c r="Z667" i="1"/>
  <c r="DZ666" i="1"/>
  <c r="DU666" i="1"/>
  <c r="DI666" i="1"/>
  <c r="CZ666" i="1"/>
  <c r="CV666" i="1"/>
  <c r="CG666" i="1"/>
  <c r="BU666" i="1"/>
  <c r="BT666" i="1"/>
  <c r="BQ666" i="1"/>
  <c r="BH666" i="1"/>
  <c r="BG666" i="1"/>
  <c r="AJ666" i="1"/>
  <c r="AF666" i="1"/>
  <c r="Z666" i="1"/>
  <c r="DZ665" i="1"/>
  <c r="DI665" i="1"/>
  <c r="CZ665" i="1"/>
  <c r="CV665" i="1"/>
  <c r="CG665" i="1"/>
  <c r="BU665" i="1"/>
  <c r="BT665" i="1"/>
  <c r="BQ665" i="1"/>
  <c r="BH665" i="1"/>
  <c r="BG665" i="1"/>
  <c r="AJ665" i="1"/>
  <c r="AF665" i="1"/>
  <c r="AE665" i="1"/>
  <c r="AD665" i="1"/>
  <c r="Z665" i="1"/>
  <c r="DZ664" i="1"/>
  <c r="DV664" i="1"/>
  <c r="DI664" i="1"/>
  <c r="CZ664" i="1"/>
  <c r="CV664" i="1"/>
  <c r="CG664" i="1"/>
  <c r="BU664" i="1"/>
  <c r="BT664" i="1"/>
  <c r="BQ664" i="1"/>
  <c r="BH664" i="1"/>
  <c r="BG664" i="1"/>
  <c r="AJ664" i="1"/>
  <c r="AF664" i="1"/>
  <c r="Z664" i="1"/>
  <c r="DZ663" i="1"/>
  <c r="DU663" i="1"/>
  <c r="DR663" i="1"/>
  <c r="DI663" i="1"/>
  <c r="CZ663" i="1"/>
  <c r="CV663" i="1"/>
  <c r="CG663" i="1"/>
  <c r="BU663" i="1"/>
  <c r="BT663" i="1"/>
  <c r="BQ663" i="1"/>
  <c r="BH663" i="1"/>
  <c r="BG663" i="1"/>
  <c r="AJ663" i="1"/>
  <c r="AF663" i="1"/>
  <c r="AE663" i="1" s="1"/>
  <c r="Z663" i="1"/>
  <c r="AJ662" i="1"/>
  <c r="AF662" i="1"/>
  <c r="Z662" i="1"/>
  <c r="DT661" i="1"/>
  <c r="DI661" i="1"/>
  <c r="CZ661" i="1"/>
  <c r="CV661" i="1"/>
  <c r="CG661" i="1"/>
  <c r="BU661" i="1"/>
  <c r="BT661" i="1"/>
  <c r="BQ661" i="1"/>
  <c r="BH661" i="1"/>
  <c r="BG661" i="1"/>
  <c r="AJ661" i="1"/>
  <c r="AF661" i="1"/>
  <c r="Z661" i="1"/>
  <c r="DS660" i="1"/>
  <c r="DI660" i="1"/>
  <c r="CZ660" i="1"/>
  <c r="CV660" i="1"/>
  <c r="CG660" i="1"/>
  <c r="BU660" i="1"/>
  <c r="BT660" i="1"/>
  <c r="BQ660" i="1"/>
  <c r="BH660" i="1"/>
  <c r="BG660" i="1"/>
  <c r="AJ660" i="1"/>
  <c r="AF660" i="1"/>
  <c r="Z660" i="1"/>
  <c r="DI659" i="1"/>
  <c r="CZ659" i="1"/>
  <c r="CV659" i="1"/>
  <c r="CG659" i="1"/>
  <c r="BU659" i="1"/>
  <c r="BT659" i="1"/>
  <c r="BQ659" i="1"/>
  <c r="BH659" i="1"/>
  <c r="BG659" i="1"/>
  <c r="AJ659" i="1"/>
  <c r="AF659" i="1"/>
  <c r="AD659" i="1" s="1"/>
  <c r="AE659" i="1"/>
  <c r="Z659" i="1"/>
  <c r="DX658" i="1"/>
  <c r="DI658" i="1"/>
  <c r="CZ658" i="1"/>
  <c r="CV658" i="1"/>
  <c r="CG658" i="1"/>
  <c r="BU658" i="1"/>
  <c r="BT658" i="1"/>
  <c r="BQ658" i="1"/>
  <c r="BH658" i="1"/>
  <c r="BG658" i="1"/>
  <c r="AJ658" i="1"/>
  <c r="AF658" i="1"/>
  <c r="AE658" i="1" s="1"/>
  <c r="Z658" i="1"/>
  <c r="DI657" i="1"/>
  <c r="CZ657" i="1"/>
  <c r="CV657" i="1"/>
  <c r="CG657" i="1"/>
  <c r="BU657" i="1"/>
  <c r="BT657" i="1"/>
  <c r="BQ657" i="1"/>
  <c r="BH657" i="1"/>
  <c r="BG657" i="1"/>
  <c r="AJ657" i="1"/>
  <c r="AF657" i="1"/>
  <c r="AD657" i="1" s="1"/>
  <c r="Z657" i="1"/>
  <c r="DI656" i="1"/>
  <c r="CZ656" i="1"/>
  <c r="CV656" i="1"/>
  <c r="CG656" i="1"/>
  <c r="BU656" i="1"/>
  <c r="BT656" i="1"/>
  <c r="BQ656" i="1"/>
  <c r="BH656" i="1"/>
  <c r="BG656" i="1"/>
  <c r="AJ656" i="1"/>
  <c r="AF656" i="1"/>
  <c r="Z656" i="1"/>
  <c r="DU655" i="1"/>
  <c r="CZ655" i="1"/>
  <c r="CG655" i="1"/>
  <c r="BU655" i="1"/>
  <c r="BQ655" i="1"/>
  <c r="BH655" i="1"/>
  <c r="BG655" i="1"/>
  <c r="AF655" i="1"/>
  <c r="Z655" i="1"/>
  <c r="AF654" i="1"/>
  <c r="Z654" i="1"/>
  <c r="DW653" i="1"/>
  <c r="DV653" i="1"/>
  <c r="DU653" i="1"/>
  <c r="DI653" i="1"/>
  <c r="CZ653" i="1"/>
  <c r="CV653" i="1"/>
  <c r="CG653" i="1"/>
  <c r="BU653" i="1"/>
  <c r="BT653" i="1"/>
  <c r="BQ653" i="1"/>
  <c r="BH653" i="1"/>
  <c r="BG653" i="1"/>
  <c r="AJ653" i="1"/>
  <c r="AF653" i="1"/>
  <c r="AD653" i="1" s="1"/>
  <c r="Z653" i="1"/>
  <c r="DU652" i="1"/>
  <c r="DI652" i="1"/>
  <c r="CZ652" i="1"/>
  <c r="CV652" i="1"/>
  <c r="CG652" i="1"/>
  <c r="BU652" i="1"/>
  <c r="BT652" i="1"/>
  <c r="BQ652" i="1"/>
  <c r="BH652" i="1"/>
  <c r="BG652" i="1"/>
  <c r="AJ652" i="1"/>
  <c r="AF652" i="1"/>
  <c r="AD652" i="1" s="1"/>
  <c r="AE652" i="1"/>
  <c r="Z652" i="1"/>
  <c r="DI651" i="1"/>
  <c r="CZ651" i="1"/>
  <c r="CV651" i="1"/>
  <c r="CG651" i="1"/>
  <c r="BU651" i="1"/>
  <c r="BT651" i="1"/>
  <c r="BQ651" i="1"/>
  <c r="BH651" i="1"/>
  <c r="BG651" i="1"/>
  <c r="AJ651" i="1"/>
  <c r="AF651" i="1"/>
  <c r="AD651" i="1" s="1"/>
  <c r="Z651" i="1"/>
  <c r="DT650" i="1"/>
  <c r="DI650" i="1"/>
  <c r="CZ650" i="1"/>
  <c r="CV650" i="1"/>
  <c r="CG650" i="1"/>
  <c r="BU650" i="1"/>
  <c r="BT650" i="1"/>
  <c r="BQ650" i="1"/>
  <c r="BH650" i="1"/>
  <c r="BG650" i="1"/>
  <c r="AJ650" i="1"/>
  <c r="AF650" i="1"/>
  <c r="AD650" i="1" s="1"/>
  <c r="Z650" i="1"/>
  <c r="DW649" i="1"/>
  <c r="DU649" i="1"/>
  <c r="DT649" i="1"/>
  <c r="DI649" i="1"/>
  <c r="CZ649" i="1"/>
  <c r="CV649" i="1"/>
  <c r="CG649" i="1"/>
  <c r="BU649" i="1"/>
  <c r="BT649" i="1"/>
  <c r="BQ649" i="1"/>
  <c r="BH649" i="1"/>
  <c r="BG649" i="1"/>
  <c r="AJ649" i="1"/>
  <c r="AF649" i="1"/>
  <c r="AD649" i="1" s="1"/>
  <c r="Z649" i="1"/>
  <c r="DI648" i="1"/>
  <c r="CZ648" i="1"/>
  <c r="CV648" i="1"/>
  <c r="CG648" i="1"/>
  <c r="BU648" i="1"/>
  <c r="BT648" i="1"/>
  <c r="BQ648" i="1"/>
  <c r="BP648" i="1"/>
  <c r="BH648" i="1"/>
  <c r="BG648" i="1"/>
  <c r="AJ648" i="1"/>
  <c r="AF648" i="1"/>
  <c r="AE648" i="1"/>
  <c r="AD648" i="1"/>
  <c r="Z648" i="1"/>
  <c r="DX647" i="1"/>
  <c r="DI647" i="1"/>
  <c r="CZ647" i="1"/>
  <c r="CV647" i="1"/>
  <c r="CG647" i="1"/>
  <c r="BU647" i="1"/>
  <c r="BT647" i="1"/>
  <c r="BQ647" i="1"/>
  <c r="BH647" i="1"/>
  <c r="BG647" i="1"/>
  <c r="AJ647" i="1"/>
  <c r="AF647" i="1"/>
  <c r="AE647" i="1" s="1"/>
  <c r="Z647" i="1"/>
  <c r="DZ646" i="1"/>
  <c r="DX646" i="1"/>
  <c r="DW646" i="1"/>
  <c r="DI646" i="1"/>
  <c r="CZ646" i="1"/>
  <c r="CV646" i="1"/>
  <c r="CG646" i="1"/>
  <c r="BU646" i="1"/>
  <c r="BT646" i="1"/>
  <c r="BQ646" i="1"/>
  <c r="BH646" i="1"/>
  <c r="BG646" i="1"/>
  <c r="AJ646" i="1"/>
  <c r="AF646" i="1"/>
  <c r="AD646" i="1" s="1"/>
  <c r="AE646" i="1"/>
  <c r="Z646" i="1"/>
  <c r="DT645" i="1"/>
  <c r="DI645" i="1"/>
  <c r="CZ645" i="1"/>
  <c r="CV645" i="1"/>
  <c r="CG645" i="1"/>
  <c r="BU645" i="1"/>
  <c r="BT645" i="1"/>
  <c r="BQ645" i="1"/>
  <c r="BH645" i="1"/>
  <c r="BG645" i="1"/>
  <c r="AJ645" i="1"/>
  <c r="AF645" i="1"/>
  <c r="Z645" i="1"/>
  <c r="DT644" i="1"/>
  <c r="DI644" i="1"/>
  <c r="CZ644" i="1"/>
  <c r="CV644" i="1"/>
  <c r="CG644" i="1"/>
  <c r="BU644" i="1"/>
  <c r="BT644" i="1"/>
  <c r="BQ644" i="1"/>
  <c r="BH644" i="1"/>
  <c r="BG644" i="1"/>
  <c r="AJ644" i="1"/>
  <c r="AF644" i="1"/>
  <c r="AD644" i="1" s="1"/>
  <c r="Z644" i="1"/>
  <c r="DI643" i="1"/>
  <c r="CZ643" i="1"/>
  <c r="CV643" i="1"/>
  <c r="CG643" i="1"/>
  <c r="BU643" i="1"/>
  <c r="BT643" i="1"/>
  <c r="BQ643" i="1"/>
  <c r="BH643" i="1"/>
  <c r="BG643" i="1"/>
  <c r="AJ643" i="1"/>
  <c r="AF643" i="1"/>
  <c r="Z643" i="1"/>
  <c r="DI642" i="1"/>
  <c r="CZ642" i="1"/>
  <c r="CV642" i="1"/>
  <c r="CG642" i="1"/>
  <c r="BU642" i="1"/>
  <c r="BT642" i="1"/>
  <c r="BQ642" i="1"/>
  <c r="BH642" i="1"/>
  <c r="BG642" i="1"/>
  <c r="AJ642" i="1"/>
  <c r="AF642" i="1"/>
  <c r="Z642" i="1"/>
  <c r="DI641" i="1"/>
  <c r="CZ641" i="1"/>
  <c r="CV641" i="1"/>
  <c r="CG641" i="1"/>
  <c r="BU641" i="1"/>
  <c r="BT641" i="1"/>
  <c r="BQ641" i="1"/>
  <c r="BP641" i="1"/>
  <c r="BH641" i="1"/>
  <c r="BG641" i="1"/>
  <c r="AJ641" i="1"/>
  <c r="AF641" i="1"/>
  <c r="Z641" i="1"/>
  <c r="DS640" i="1"/>
  <c r="DI640" i="1"/>
  <c r="CZ640" i="1"/>
  <c r="CV640" i="1"/>
  <c r="CG640" i="1"/>
  <c r="BU640" i="1"/>
  <c r="BT640" i="1"/>
  <c r="BQ640" i="1"/>
  <c r="BH640" i="1"/>
  <c r="BG640" i="1"/>
  <c r="AJ640" i="1"/>
  <c r="AF640" i="1"/>
  <c r="AE640" i="1" s="1"/>
  <c r="Z640" i="1"/>
  <c r="DI639" i="1"/>
  <c r="CZ639" i="1"/>
  <c r="CV639" i="1"/>
  <c r="CG639" i="1"/>
  <c r="BU639" i="1"/>
  <c r="BT639" i="1"/>
  <c r="BQ639" i="1"/>
  <c r="BH639" i="1"/>
  <c r="BG639" i="1"/>
  <c r="AJ639" i="1"/>
  <c r="AF639" i="1"/>
  <c r="Z639" i="1"/>
  <c r="DI638" i="1"/>
  <c r="CZ638" i="1"/>
  <c r="CV638" i="1"/>
  <c r="CG638" i="1"/>
  <c r="BU638" i="1"/>
  <c r="BT638" i="1"/>
  <c r="BQ638" i="1"/>
  <c r="BH638" i="1"/>
  <c r="BG638" i="1"/>
  <c r="AJ638" i="1"/>
  <c r="AF638" i="1"/>
  <c r="AD638" i="1" s="1"/>
  <c r="AE638" i="1"/>
  <c r="Z638" i="1"/>
  <c r="DI637" i="1"/>
  <c r="CZ637" i="1"/>
  <c r="CV637" i="1"/>
  <c r="CG637" i="1"/>
  <c r="BU637" i="1"/>
  <c r="BT637" i="1"/>
  <c r="BQ637" i="1"/>
  <c r="BP637" i="1"/>
  <c r="BH637" i="1"/>
  <c r="BG637" i="1"/>
  <c r="AJ637" i="1"/>
  <c r="AF637" i="1"/>
  <c r="AD637" i="1" s="1"/>
  <c r="Z637" i="1"/>
  <c r="DS636" i="1"/>
  <c r="DI636" i="1"/>
  <c r="CZ636" i="1"/>
  <c r="CV636" i="1"/>
  <c r="CG636" i="1"/>
  <c r="BU636" i="1"/>
  <c r="BT636" i="1"/>
  <c r="BQ636" i="1"/>
  <c r="BH636" i="1"/>
  <c r="BG636" i="1"/>
  <c r="AJ636" i="1"/>
  <c r="AF636" i="1"/>
  <c r="Z636" i="1"/>
  <c r="AF635" i="1"/>
  <c r="Z635" i="1"/>
  <c r="DZ634" i="1"/>
  <c r="DI634" i="1"/>
  <c r="CZ634" i="1"/>
  <c r="CV634" i="1"/>
  <c r="CG634" i="1"/>
  <c r="BU634" i="1"/>
  <c r="BT634" i="1"/>
  <c r="BQ634" i="1"/>
  <c r="BG634" i="1"/>
  <c r="AJ634" i="1"/>
  <c r="AF634" i="1"/>
  <c r="DZ633" i="1"/>
  <c r="DI633" i="1"/>
  <c r="CZ633" i="1"/>
  <c r="CV633" i="1"/>
  <c r="CG633" i="1"/>
  <c r="CE633" i="1"/>
  <c r="CD633" i="1"/>
  <c r="CC633" i="1"/>
  <c r="CB633" i="1"/>
  <c r="CA633" i="1"/>
  <c r="BZ633" i="1"/>
  <c r="BY633" i="1"/>
  <c r="BX633" i="1"/>
  <c r="BU633" i="1"/>
  <c r="BT633" i="1"/>
  <c r="BQ633" i="1"/>
  <c r="BG633" i="1"/>
  <c r="AJ633" i="1"/>
  <c r="AF633" i="1"/>
  <c r="DZ632" i="1"/>
  <c r="DI632" i="1"/>
  <c r="CZ632" i="1"/>
  <c r="CV632" i="1"/>
  <c r="CG632" i="1"/>
  <c r="BU632" i="1"/>
  <c r="BT632" i="1"/>
  <c r="BQ632" i="1"/>
  <c r="BG632" i="1"/>
  <c r="AJ632" i="1"/>
  <c r="AF632" i="1"/>
  <c r="AE632" i="1"/>
  <c r="AD632" i="1"/>
  <c r="DZ631" i="1"/>
  <c r="DV631" i="1"/>
  <c r="DI631" i="1"/>
  <c r="CZ631" i="1"/>
  <c r="CV631" i="1"/>
  <c r="CG631" i="1"/>
  <c r="BU631" i="1"/>
  <c r="BT631" i="1"/>
  <c r="BQ631" i="1"/>
  <c r="BG631" i="1"/>
  <c r="AJ631" i="1"/>
  <c r="AF631" i="1"/>
  <c r="DZ630" i="1"/>
  <c r="DI630" i="1"/>
  <c r="CZ630" i="1"/>
  <c r="CV630" i="1"/>
  <c r="CG630" i="1"/>
  <c r="BU630" i="1"/>
  <c r="BT630" i="1"/>
  <c r="BQ630" i="1"/>
  <c r="BG630" i="1"/>
  <c r="AJ630" i="1"/>
  <c r="AF630" i="1"/>
  <c r="DZ629" i="1"/>
  <c r="DX629" i="1"/>
  <c r="DI629" i="1"/>
  <c r="CZ629" i="1"/>
  <c r="CV629" i="1"/>
  <c r="CG629" i="1"/>
  <c r="BU629" i="1"/>
  <c r="BT629" i="1"/>
  <c r="BQ629" i="1"/>
  <c r="BG629" i="1"/>
  <c r="AJ629" i="1"/>
  <c r="AF629" i="1"/>
  <c r="DZ628" i="1"/>
  <c r="DI628" i="1"/>
  <c r="CZ628" i="1"/>
  <c r="CV628" i="1"/>
  <c r="CG628" i="1"/>
  <c r="BU628" i="1"/>
  <c r="BT628" i="1"/>
  <c r="BQ628" i="1"/>
  <c r="BG628" i="1"/>
  <c r="AJ628" i="1"/>
  <c r="AF628" i="1"/>
  <c r="AD628" i="1" s="1"/>
  <c r="DZ627" i="1"/>
  <c r="DI627" i="1"/>
  <c r="CZ627" i="1"/>
  <c r="CV627" i="1"/>
  <c r="CG627" i="1"/>
  <c r="CE627" i="1"/>
  <c r="CD627" i="1"/>
  <c r="CC627" i="1"/>
  <c r="CB627" i="1"/>
  <c r="CA627" i="1"/>
  <c r="BZ627" i="1"/>
  <c r="BY627" i="1"/>
  <c r="BX627" i="1"/>
  <c r="BU627" i="1"/>
  <c r="BT627" i="1"/>
  <c r="BQ627" i="1"/>
  <c r="BG627" i="1"/>
  <c r="AJ627" i="1"/>
  <c r="AF627" i="1"/>
  <c r="AD627" i="1" s="1"/>
  <c r="DZ626" i="1"/>
  <c r="DI626" i="1"/>
  <c r="CZ626" i="1"/>
  <c r="CV626" i="1"/>
  <c r="CG626" i="1"/>
  <c r="BU626" i="1"/>
  <c r="BT626" i="1"/>
  <c r="BQ626" i="1"/>
  <c r="BG626" i="1"/>
  <c r="AJ626" i="1"/>
  <c r="AF626" i="1"/>
  <c r="DZ625" i="1"/>
  <c r="DX625" i="1"/>
  <c r="DI625" i="1"/>
  <c r="CZ625" i="1"/>
  <c r="CV625" i="1"/>
  <c r="CG625" i="1"/>
  <c r="BU625" i="1"/>
  <c r="BT625" i="1"/>
  <c r="BQ625" i="1"/>
  <c r="BG625" i="1"/>
  <c r="AJ625" i="1"/>
  <c r="AF625" i="1"/>
  <c r="AD625" i="1" s="1"/>
  <c r="AE625" i="1"/>
  <c r="DZ624" i="1"/>
  <c r="DX624" i="1"/>
  <c r="DI624" i="1"/>
  <c r="CZ624" i="1"/>
  <c r="CV624" i="1"/>
  <c r="CG624" i="1"/>
  <c r="BU624" i="1"/>
  <c r="BT624" i="1"/>
  <c r="BQ624" i="1"/>
  <c r="BG624" i="1"/>
  <c r="AJ624" i="1"/>
  <c r="AF624" i="1"/>
  <c r="DZ623" i="1"/>
  <c r="DX623" i="1"/>
  <c r="DI623" i="1"/>
  <c r="CZ623" i="1"/>
  <c r="CV623" i="1"/>
  <c r="CG623" i="1"/>
  <c r="BU623" i="1"/>
  <c r="BT623" i="1"/>
  <c r="BQ623" i="1"/>
  <c r="BG623" i="1"/>
  <c r="AJ623" i="1"/>
  <c r="AF623" i="1"/>
  <c r="AE623" i="1" s="1"/>
  <c r="AD623" i="1"/>
  <c r="DZ622" i="1"/>
  <c r="DI622" i="1"/>
  <c r="CZ622" i="1"/>
  <c r="CV622" i="1"/>
  <c r="CG622" i="1"/>
  <c r="BU622" i="1"/>
  <c r="BT622" i="1"/>
  <c r="BQ622" i="1"/>
  <c r="BG622" i="1"/>
  <c r="AJ622" i="1"/>
  <c r="AF622" i="1"/>
  <c r="AD622" i="1" s="1"/>
  <c r="DZ621" i="1"/>
  <c r="DI621" i="1"/>
  <c r="CZ621" i="1"/>
  <c r="CV621" i="1"/>
  <c r="CG621" i="1"/>
  <c r="BT621" i="1"/>
  <c r="BQ621" i="1"/>
  <c r="BG621" i="1"/>
  <c r="AJ621" i="1"/>
  <c r="AF621" i="1"/>
  <c r="DZ620" i="1"/>
  <c r="DX620" i="1"/>
  <c r="DI620" i="1"/>
  <c r="CZ620" i="1"/>
  <c r="CV620" i="1"/>
  <c r="CG620" i="1"/>
  <c r="BU620" i="1"/>
  <c r="BT620" i="1"/>
  <c r="BQ620" i="1"/>
  <c r="BG620" i="1"/>
  <c r="AJ620" i="1"/>
  <c r="AF620" i="1"/>
  <c r="AD620" i="1" s="1"/>
  <c r="DZ619" i="1"/>
  <c r="DI619" i="1"/>
  <c r="CZ619" i="1"/>
  <c r="CV619" i="1"/>
  <c r="CG619" i="1"/>
  <c r="BU619" i="1"/>
  <c r="BT619" i="1"/>
  <c r="BQ619" i="1"/>
  <c r="BG619" i="1"/>
  <c r="AJ619" i="1"/>
  <c r="AF619" i="1"/>
  <c r="DZ618" i="1"/>
  <c r="DY618" i="1"/>
  <c r="DI618" i="1"/>
  <c r="CZ618" i="1"/>
  <c r="CV618" i="1"/>
  <c r="CG618" i="1"/>
  <c r="BU618" i="1"/>
  <c r="BT618" i="1"/>
  <c r="BQ618" i="1"/>
  <c r="BG618" i="1"/>
  <c r="AJ618" i="1"/>
  <c r="AF618" i="1"/>
  <c r="AE618" i="1" s="1"/>
  <c r="DZ617" i="1"/>
  <c r="DX617" i="1"/>
  <c r="DI617" i="1"/>
  <c r="CZ617" i="1"/>
  <c r="CV617" i="1"/>
  <c r="CG617" i="1"/>
  <c r="BU617" i="1"/>
  <c r="BT617" i="1"/>
  <c r="BQ617" i="1"/>
  <c r="BG617" i="1"/>
  <c r="AJ617" i="1"/>
  <c r="AF617" i="1"/>
  <c r="AE617" i="1"/>
  <c r="AD617" i="1"/>
  <c r="DZ616" i="1"/>
  <c r="DI616" i="1"/>
  <c r="CZ616" i="1"/>
  <c r="CV616" i="1"/>
  <c r="CG616" i="1"/>
  <c r="BU616" i="1"/>
  <c r="BT616" i="1"/>
  <c r="BQ616" i="1"/>
  <c r="BG616" i="1"/>
  <c r="AJ616" i="1"/>
  <c r="AF616" i="1"/>
  <c r="DZ615" i="1"/>
  <c r="DX615" i="1"/>
  <c r="DI615" i="1"/>
  <c r="CZ615" i="1"/>
  <c r="CV615" i="1"/>
  <c r="CG615" i="1"/>
  <c r="BU615" i="1"/>
  <c r="BT615" i="1"/>
  <c r="BQ615" i="1"/>
  <c r="BG615" i="1"/>
  <c r="AJ615" i="1"/>
  <c r="AF615" i="1"/>
  <c r="DZ614" i="1"/>
  <c r="DY614" i="1"/>
  <c r="DI614" i="1"/>
  <c r="CZ614" i="1"/>
  <c r="CV614" i="1"/>
  <c r="CG614" i="1"/>
  <c r="BU614" i="1"/>
  <c r="BT614" i="1"/>
  <c r="BQ614" i="1"/>
  <c r="BG614" i="1"/>
  <c r="AJ614" i="1"/>
  <c r="AF614" i="1"/>
  <c r="AE614" i="1" s="1"/>
  <c r="DZ613" i="1"/>
  <c r="DX613" i="1"/>
  <c r="DS613" i="1"/>
  <c r="DI613" i="1"/>
  <c r="CZ613" i="1"/>
  <c r="CV613" i="1"/>
  <c r="CG613" i="1"/>
  <c r="BU613" i="1"/>
  <c r="BT613" i="1"/>
  <c r="BQ613" i="1"/>
  <c r="BG613" i="1"/>
  <c r="AJ613" i="1"/>
  <c r="AF613" i="1"/>
  <c r="AE613" i="1" s="1"/>
  <c r="AD613" i="1"/>
  <c r="AF612" i="1"/>
  <c r="AD612" i="1" s="1"/>
  <c r="DZ611" i="1"/>
  <c r="DI611" i="1"/>
  <c r="CZ611" i="1"/>
  <c r="CV611" i="1"/>
  <c r="CG611" i="1"/>
  <c r="BU611" i="1"/>
  <c r="BT611" i="1"/>
  <c r="BQ611" i="1"/>
  <c r="BH611" i="1"/>
  <c r="BG611" i="1"/>
  <c r="AJ611" i="1"/>
  <c r="AF611" i="1"/>
  <c r="Z611" i="1"/>
  <c r="DZ610" i="1"/>
  <c r="DI610" i="1"/>
  <c r="CZ610" i="1"/>
  <c r="CV610" i="1"/>
  <c r="CG610" i="1"/>
  <c r="BU610" i="1"/>
  <c r="BT610" i="1"/>
  <c r="BQ610" i="1"/>
  <c r="BH610" i="1"/>
  <c r="BG610" i="1"/>
  <c r="AJ610" i="1"/>
  <c r="AF610" i="1"/>
  <c r="Z610" i="1"/>
  <c r="DZ609" i="1"/>
  <c r="DW609" i="1"/>
  <c r="DI609" i="1"/>
  <c r="CZ609" i="1"/>
  <c r="CV609" i="1"/>
  <c r="CG609" i="1"/>
  <c r="BU609" i="1"/>
  <c r="BT609" i="1"/>
  <c r="BQ609" i="1"/>
  <c r="BH609" i="1"/>
  <c r="BG609" i="1"/>
  <c r="AJ609" i="1"/>
  <c r="AF609" i="1"/>
  <c r="AD609" i="1" s="1"/>
  <c r="Z609" i="1"/>
  <c r="DZ608" i="1"/>
  <c r="DY608" i="1"/>
  <c r="DI608" i="1"/>
  <c r="CZ608" i="1"/>
  <c r="CV608" i="1"/>
  <c r="CG608" i="1"/>
  <c r="BU608" i="1"/>
  <c r="BT608" i="1"/>
  <c r="BQ608" i="1"/>
  <c r="BH608" i="1"/>
  <c r="BG608" i="1"/>
  <c r="AJ608" i="1"/>
  <c r="AF608" i="1"/>
  <c r="AE608" i="1"/>
  <c r="AD608" i="1"/>
  <c r="Z608" i="1"/>
  <c r="DZ607" i="1"/>
  <c r="DI607" i="1"/>
  <c r="CZ607" i="1"/>
  <c r="CV607" i="1"/>
  <c r="CG607" i="1"/>
  <c r="BU607" i="1"/>
  <c r="BT607" i="1"/>
  <c r="BQ607" i="1"/>
  <c r="BH607" i="1"/>
  <c r="BG607" i="1"/>
  <c r="AJ607" i="1"/>
  <c r="AF607" i="1"/>
  <c r="Z607" i="1"/>
  <c r="DZ606" i="1"/>
  <c r="DI606" i="1"/>
  <c r="CZ606" i="1"/>
  <c r="CV606" i="1"/>
  <c r="CG606" i="1"/>
  <c r="BU606" i="1"/>
  <c r="BT606" i="1"/>
  <c r="BQ606" i="1"/>
  <c r="BH606" i="1"/>
  <c r="BG606" i="1"/>
  <c r="AJ606" i="1"/>
  <c r="AF606" i="1"/>
  <c r="AD606" i="1" s="1"/>
  <c r="AE606" i="1"/>
  <c r="Z606" i="1"/>
  <c r="DZ605" i="1"/>
  <c r="DU605" i="1"/>
  <c r="CZ605" i="1"/>
  <c r="CV605" i="1"/>
  <c r="CG605" i="1"/>
  <c r="BU605" i="1"/>
  <c r="BT605" i="1"/>
  <c r="BQ605" i="1"/>
  <c r="BH605" i="1"/>
  <c r="BG605" i="1"/>
  <c r="AJ605" i="1"/>
  <c r="AF605" i="1"/>
  <c r="AD605" i="1" s="1"/>
  <c r="Z605" i="1"/>
  <c r="DZ604" i="1"/>
  <c r="DI604" i="1"/>
  <c r="CZ604" i="1"/>
  <c r="CV604" i="1"/>
  <c r="CG604" i="1"/>
  <c r="BU604" i="1"/>
  <c r="BT604" i="1"/>
  <c r="BQ604" i="1"/>
  <c r="BH604" i="1"/>
  <c r="BG604" i="1"/>
  <c r="AJ604" i="1"/>
  <c r="AF604" i="1"/>
  <c r="AD604" i="1" s="1"/>
  <c r="AE604" i="1"/>
  <c r="Z604" i="1"/>
  <c r="DZ603" i="1"/>
  <c r="DI603" i="1"/>
  <c r="CZ603" i="1"/>
  <c r="CV603" i="1"/>
  <c r="CG603" i="1"/>
  <c r="BU603" i="1"/>
  <c r="BT603" i="1"/>
  <c r="BQ603" i="1"/>
  <c r="BH603" i="1"/>
  <c r="BG603" i="1"/>
  <c r="AJ603" i="1"/>
  <c r="AF603" i="1"/>
  <c r="AD603" i="1" s="1"/>
  <c r="Z603" i="1"/>
  <c r="DZ602" i="1"/>
  <c r="DI602" i="1"/>
  <c r="CZ602" i="1"/>
  <c r="CV602" i="1"/>
  <c r="CG602" i="1"/>
  <c r="BU602" i="1"/>
  <c r="BT602" i="1"/>
  <c r="BQ602" i="1"/>
  <c r="BH602" i="1"/>
  <c r="BG602" i="1"/>
  <c r="AJ602" i="1"/>
  <c r="AF602" i="1"/>
  <c r="AE602" i="1" s="1"/>
  <c r="AD602" i="1"/>
  <c r="Z602" i="1"/>
  <c r="DZ601" i="1"/>
  <c r="DI601" i="1"/>
  <c r="CZ601" i="1"/>
  <c r="CV601" i="1"/>
  <c r="CG601" i="1"/>
  <c r="BU601" i="1"/>
  <c r="BT601" i="1"/>
  <c r="BQ601" i="1"/>
  <c r="BH601" i="1"/>
  <c r="BG601" i="1"/>
  <c r="AJ601" i="1"/>
  <c r="AF601" i="1"/>
  <c r="Z601" i="1"/>
  <c r="DZ600" i="1"/>
  <c r="DI600" i="1"/>
  <c r="CZ600" i="1"/>
  <c r="CV600" i="1"/>
  <c r="CG600" i="1"/>
  <c r="BU600" i="1"/>
  <c r="BT600" i="1"/>
  <c r="BQ600" i="1"/>
  <c r="BH600" i="1"/>
  <c r="BG600" i="1"/>
  <c r="AJ600" i="1"/>
  <c r="AF600" i="1"/>
  <c r="Z600" i="1"/>
  <c r="AF599" i="1"/>
  <c r="Z599" i="1"/>
  <c r="DZ598" i="1"/>
  <c r="DI598" i="1"/>
  <c r="CZ598" i="1"/>
  <c r="CV598" i="1"/>
  <c r="CG598" i="1"/>
  <c r="BU598" i="1"/>
  <c r="BT598" i="1"/>
  <c r="BQ598" i="1"/>
  <c r="BH598" i="1"/>
  <c r="BG598" i="1"/>
  <c r="AJ598" i="1"/>
  <c r="AF598" i="1"/>
  <c r="AD598" i="1" s="1"/>
  <c r="Z598" i="1"/>
  <c r="DZ597" i="1"/>
  <c r="DI597" i="1"/>
  <c r="CZ597" i="1"/>
  <c r="CV597" i="1"/>
  <c r="CG597" i="1"/>
  <c r="BU597" i="1"/>
  <c r="BT597" i="1"/>
  <c r="BQ597" i="1"/>
  <c r="BH597" i="1"/>
  <c r="BG597" i="1"/>
  <c r="AJ597" i="1"/>
  <c r="AF597" i="1"/>
  <c r="Z597" i="1"/>
  <c r="DZ596" i="1"/>
  <c r="DV596" i="1"/>
  <c r="DI596" i="1"/>
  <c r="CZ596" i="1"/>
  <c r="CV596" i="1"/>
  <c r="CG596" i="1"/>
  <c r="BU596" i="1"/>
  <c r="BT596" i="1"/>
  <c r="BQ596" i="1"/>
  <c r="BH596" i="1"/>
  <c r="BG596" i="1"/>
  <c r="AJ596" i="1"/>
  <c r="AF596" i="1"/>
  <c r="Z596" i="1"/>
  <c r="DZ595" i="1"/>
  <c r="DI595" i="1"/>
  <c r="CZ595" i="1"/>
  <c r="CV595" i="1"/>
  <c r="CG595" i="1"/>
  <c r="BU595" i="1"/>
  <c r="BT595" i="1"/>
  <c r="BQ595" i="1"/>
  <c r="BH595" i="1"/>
  <c r="BG595" i="1"/>
  <c r="AJ595" i="1"/>
  <c r="AF595" i="1"/>
  <c r="AE595" i="1" s="1"/>
  <c r="AD595" i="1"/>
  <c r="Z595" i="1"/>
  <c r="AF594" i="1"/>
  <c r="AE594" i="1" s="1"/>
  <c r="AD594" i="1"/>
  <c r="Z594" i="1"/>
  <c r="DI593" i="1"/>
  <c r="CZ593" i="1"/>
  <c r="CV593" i="1"/>
  <c r="CG593" i="1"/>
  <c r="BU593" i="1"/>
  <c r="BT593" i="1"/>
  <c r="BQ593" i="1"/>
  <c r="BH593" i="1"/>
  <c r="BG593" i="1"/>
  <c r="AJ593" i="1"/>
  <c r="AF593" i="1"/>
  <c r="Z593" i="1"/>
  <c r="DI592" i="1"/>
  <c r="CZ592" i="1"/>
  <c r="CV592" i="1"/>
  <c r="CG592" i="1"/>
  <c r="BU592" i="1"/>
  <c r="BT592" i="1"/>
  <c r="BQ592" i="1"/>
  <c r="BH592" i="1"/>
  <c r="BG592" i="1"/>
  <c r="AJ592" i="1"/>
  <c r="AF592" i="1"/>
  <c r="Z592" i="1"/>
  <c r="DI591" i="1"/>
  <c r="CZ591" i="1"/>
  <c r="CV591" i="1"/>
  <c r="CG591" i="1"/>
  <c r="BU591" i="1"/>
  <c r="BT591" i="1"/>
  <c r="BQ591" i="1"/>
  <c r="BH591" i="1"/>
  <c r="BG591" i="1"/>
  <c r="AJ591" i="1"/>
  <c r="AF591" i="1"/>
  <c r="Z591" i="1"/>
  <c r="DZ590" i="1"/>
  <c r="DI590" i="1"/>
  <c r="CZ590" i="1"/>
  <c r="CV590" i="1"/>
  <c r="CG590" i="1"/>
  <c r="BU590" i="1"/>
  <c r="BT590" i="1"/>
  <c r="BQ590" i="1"/>
  <c r="BH590" i="1"/>
  <c r="BG590" i="1"/>
  <c r="AJ590" i="1"/>
  <c r="AF590" i="1"/>
  <c r="AD590" i="1" s="1"/>
  <c r="Z590" i="1"/>
  <c r="DW589" i="1"/>
  <c r="DI589" i="1"/>
  <c r="CZ589" i="1"/>
  <c r="CV589" i="1"/>
  <c r="CG589" i="1"/>
  <c r="BU589" i="1"/>
  <c r="BT589" i="1"/>
  <c r="BQ589" i="1"/>
  <c r="BH589" i="1"/>
  <c r="BG589" i="1"/>
  <c r="AJ589" i="1"/>
  <c r="AF589" i="1"/>
  <c r="Z589" i="1"/>
  <c r="DI588" i="1"/>
  <c r="CZ588" i="1"/>
  <c r="CV588" i="1"/>
  <c r="CG588" i="1"/>
  <c r="BU588" i="1"/>
  <c r="BT588" i="1"/>
  <c r="BQ588" i="1"/>
  <c r="BH588" i="1"/>
  <c r="BG588" i="1"/>
  <c r="AJ588" i="1"/>
  <c r="AF588" i="1"/>
  <c r="Z588" i="1"/>
  <c r="DI587" i="1"/>
  <c r="CZ587" i="1"/>
  <c r="CV587" i="1"/>
  <c r="CG587" i="1"/>
  <c r="BU587" i="1"/>
  <c r="BT587" i="1"/>
  <c r="BQ587" i="1"/>
  <c r="BH587" i="1"/>
  <c r="BG587" i="1"/>
  <c r="AJ587" i="1"/>
  <c r="AF587" i="1"/>
  <c r="AD587" i="1" s="1"/>
  <c r="AE587" i="1"/>
  <c r="Z587" i="1"/>
  <c r="DI586" i="1"/>
  <c r="CZ586" i="1"/>
  <c r="CV586" i="1"/>
  <c r="CG586" i="1"/>
  <c r="BU586" i="1"/>
  <c r="BT586" i="1"/>
  <c r="BQ586" i="1"/>
  <c r="BH586" i="1"/>
  <c r="BG586" i="1"/>
  <c r="AJ586" i="1"/>
  <c r="AF586" i="1"/>
  <c r="Z586" i="1"/>
  <c r="DZ585" i="1"/>
  <c r="DI585" i="1"/>
  <c r="CZ585" i="1"/>
  <c r="CV585" i="1"/>
  <c r="CG585" i="1"/>
  <c r="BU585" i="1"/>
  <c r="BT585" i="1"/>
  <c r="BQ585" i="1"/>
  <c r="BH585" i="1"/>
  <c r="BG585" i="1"/>
  <c r="AJ585" i="1"/>
  <c r="AF585" i="1"/>
  <c r="Z585" i="1"/>
  <c r="DU584" i="1"/>
  <c r="DI584" i="1"/>
  <c r="CZ584" i="1"/>
  <c r="CV584" i="1"/>
  <c r="CG584" i="1"/>
  <c r="BU584" i="1"/>
  <c r="BT584" i="1"/>
  <c r="BQ584" i="1"/>
  <c r="BH584" i="1"/>
  <c r="BG584" i="1"/>
  <c r="AJ584" i="1"/>
  <c r="AF584" i="1"/>
  <c r="AD584" i="1" s="1"/>
  <c r="Z584" i="1"/>
  <c r="DX583" i="1"/>
  <c r="DI583" i="1"/>
  <c r="CZ583" i="1"/>
  <c r="CV583" i="1"/>
  <c r="CG583" i="1"/>
  <c r="BU583" i="1"/>
  <c r="BT583" i="1"/>
  <c r="BQ583" i="1"/>
  <c r="BH583" i="1"/>
  <c r="BG583" i="1"/>
  <c r="AJ583" i="1"/>
  <c r="AF583" i="1"/>
  <c r="Z583" i="1"/>
  <c r="DX582" i="1"/>
  <c r="DI582" i="1"/>
  <c r="CZ582" i="1"/>
  <c r="CV582" i="1"/>
  <c r="CG582" i="1"/>
  <c r="BU582" i="1"/>
  <c r="BT582" i="1"/>
  <c r="BQ582" i="1"/>
  <c r="BH582" i="1"/>
  <c r="BG582" i="1"/>
  <c r="AJ582" i="1"/>
  <c r="AF582" i="1"/>
  <c r="Z582" i="1"/>
  <c r="AF581" i="1"/>
  <c r="Z581" i="1"/>
  <c r="DZ580" i="1"/>
  <c r="DV580" i="1"/>
  <c r="DI580" i="1"/>
  <c r="CZ580" i="1"/>
  <c r="CV580" i="1"/>
  <c r="CG580" i="1"/>
  <c r="BU580" i="1"/>
  <c r="BT580" i="1"/>
  <c r="BQ580" i="1"/>
  <c r="BH580" i="1"/>
  <c r="BG580" i="1"/>
  <c r="AF580" i="1"/>
  <c r="Z580" i="1"/>
  <c r="DZ579" i="1"/>
  <c r="DI579" i="1"/>
  <c r="CZ579" i="1"/>
  <c r="CV579" i="1"/>
  <c r="CG579" i="1"/>
  <c r="BU579" i="1"/>
  <c r="BQ579" i="1"/>
  <c r="BH579" i="1"/>
  <c r="BG579" i="1"/>
  <c r="AJ579" i="1"/>
  <c r="AF579" i="1"/>
  <c r="AE579" i="1" s="1"/>
  <c r="Z579" i="1"/>
  <c r="AF578" i="1"/>
  <c r="AE578" i="1" s="1"/>
  <c r="Z578" i="1"/>
  <c r="DZ577" i="1"/>
  <c r="DI577" i="1"/>
  <c r="CZ577" i="1"/>
  <c r="CV577" i="1"/>
  <c r="CG577" i="1"/>
  <c r="BU577" i="1"/>
  <c r="BT577" i="1"/>
  <c r="BQ577" i="1"/>
  <c r="BH577" i="1"/>
  <c r="BG577" i="1"/>
  <c r="AJ577" i="1"/>
  <c r="AF577" i="1"/>
  <c r="Z577" i="1"/>
  <c r="DZ576" i="1"/>
  <c r="DW576" i="1"/>
  <c r="DI576" i="1"/>
  <c r="CZ576" i="1"/>
  <c r="CV576" i="1"/>
  <c r="CG576" i="1"/>
  <c r="BU576" i="1"/>
  <c r="BT576" i="1"/>
  <c r="BQ576" i="1"/>
  <c r="BH576" i="1"/>
  <c r="BG576" i="1"/>
  <c r="AJ576" i="1"/>
  <c r="AF576" i="1"/>
  <c r="AD576" i="1" s="1"/>
  <c r="Z576" i="1"/>
  <c r="DZ575" i="1"/>
  <c r="DY575" i="1"/>
  <c r="DI575" i="1"/>
  <c r="CZ575" i="1"/>
  <c r="CG575" i="1"/>
  <c r="BU575" i="1"/>
  <c r="BQ575" i="1"/>
  <c r="BH575" i="1"/>
  <c r="BG575" i="1"/>
  <c r="AF575" i="1"/>
  <c r="AE575" i="1" s="1"/>
  <c r="Z575" i="1"/>
  <c r="DZ574" i="1"/>
  <c r="DI574" i="1"/>
  <c r="CZ574" i="1"/>
  <c r="CV574" i="1"/>
  <c r="CG574" i="1"/>
  <c r="BU574" i="1"/>
  <c r="BT574" i="1"/>
  <c r="BQ574" i="1"/>
  <c r="BH574" i="1"/>
  <c r="BG574" i="1"/>
  <c r="AJ574" i="1"/>
  <c r="AF574" i="1"/>
  <c r="Z574" i="1"/>
  <c r="DZ573" i="1"/>
  <c r="DI573" i="1"/>
  <c r="CZ573" i="1"/>
  <c r="CV573" i="1"/>
  <c r="CG573" i="1"/>
  <c r="BU573" i="1"/>
  <c r="BT573" i="1"/>
  <c r="BQ573" i="1"/>
  <c r="BH573" i="1"/>
  <c r="BG573" i="1"/>
  <c r="AJ573" i="1"/>
  <c r="AF573" i="1"/>
  <c r="Z573" i="1"/>
  <c r="DZ572" i="1"/>
  <c r="DX572" i="1"/>
  <c r="DI572" i="1"/>
  <c r="CZ572" i="1"/>
  <c r="CV572" i="1"/>
  <c r="CG572" i="1"/>
  <c r="CE572" i="1"/>
  <c r="CD572" i="1"/>
  <c r="CC572" i="1"/>
  <c r="CB572" i="1"/>
  <c r="CA572" i="1"/>
  <c r="BZ572" i="1"/>
  <c r="BY572" i="1"/>
  <c r="BX572" i="1"/>
  <c r="BW572" i="1"/>
  <c r="BV572" i="1"/>
  <c r="BU572" i="1"/>
  <c r="BT572" i="1"/>
  <c r="BS572" i="1"/>
  <c r="BR572" i="1"/>
  <c r="BQ572" i="1"/>
  <c r="BP572" i="1"/>
  <c r="BO572" i="1"/>
  <c r="BN572" i="1"/>
  <c r="BM572" i="1"/>
  <c r="BL572" i="1"/>
  <c r="BK572" i="1"/>
  <c r="BH572" i="1"/>
  <c r="BG572" i="1"/>
  <c r="AJ572" i="1"/>
  <c r="AF572" i="1"/>
  <c r="AD572" i="1" s="1"/>
  <c r="Z572" i="1"/>
  <c r="DZ571" i="1"/>
  <c r="DI571" i="1"/>
  <c r="CZ571" i="1"/>
  <c r="CV571" i="1"/>
  <c r="CG571" i="1"/>
  <c r="BU571" i="1"/>
  <c r="BT571" i="1"/>
  <c r="BQ571" i="1"/>
  <c r="BH571" i="1"/>
  <c r="BG571" i="1"/>
  <c r="AJ571" i="1"/>
  <c r="AF571" i="1"/>
  <c r="Z571" i="1"/>
  <c r="DZ570" i="1"/>
  <c r="DY570" i="1"/>
  <c r="DV570" i="1"/>
  <c r="DI570" i="1"/>
  <c r="CZ570" i="1"/>
  <c r="CV570" i="1"/>
  <c r="CG570" i="1"/>
  <c r="BU570" i="1"/>
  <c r="BT570" i="1"/>
  <c r="BQ570" i="1"/>
  <c r="BH570" i="1"/>
  <c r="BG570" i="1"/>
  <c r="AJ570" i="1"/>
  <c r="AF570" i="1"/>
  <c r="AE570" i="1" s="1"/>
  <c r="Z570" i="1"/>
  <c r="AF569" i="1"/>
  <c r="Z569" i="1"/>
  <c r="DZ568" i="1"/>
  <c r="DW568" i="1"/>
  <c r="DR568" i="1"/>
  <c r="DI568" i="1"/>
  <c r="CZ568" i="1"/>
  <c r="CV568" i="1"/>
  <c r="CG568" i="1"/>
  <c r="BU568" i="1"/>
  <c r="BT568" i="1"/>
  <c r="BQ568" i="1"/>
  <c r="BH568" i="1"/>
  <c r="BG568" i="1"/>
  <c r="AJ568" i="1"/>
  <c r="AF568" i="1"/>
  <c r="AE568" i="1"/>
  <c r="AD568" i="1"/>
  <c r="Z568" i="1"/>
  <c r="DZ567" i="1"/>
  <c r="DW567" i="1"/>
  <c r="DI567" i="1"/>
  <c r="CZ567" i="1"/>
  <c r="CV567" i="1"/>
  <c r="CG567" i="1"/>
  <c r="BU567" i="1"/>
  <c r="BT567" i="1"/>
  <c r="BQ567" i="1"/>
  <c r="BH567" i="1"/>
  <c r="BG567" i="1"/>
  <c r="AJ567" i="1"/>
  <c r="AF567" i="1"/>
  <c r="AD567" i="1" s="1"/>
  <c r="AE567" i="1"/>
  <c r="Z567" i="1"/>
  <c r="AF566" i="1"/>
  <c r="AD566" i="1" s="1"/>
  <c r="Z566" i="1"/>
  <c r="DZ565" i="1"/>
  <c r="DI565" i="1"/>
  <c r="CZ565" i="1"/>
  <c r="CV565" i="1"/>
  <c r="CG565" i="1"/>
  <c r="BU565" i="1"/>
  <c r="BT565" i="1"/>
  <c r="BQ565" i="1"/>
  <c r="BH565" i="1"/>
  <c r="BG565" i="1"/>
  <c r="AJ565" i="1"/>
  <c r="AF565" i="1"/>
  <c r="Z565" i="1"/>
  <c r="DZ564" i="1"/>
  <c r="DX564" i="1"/>
  <c r="DI564" i="1"/>
  <c r="CZ564" i="1"/>
  <c r="CV564" i="1"/>
  <c r="CG564" i="1"/>
  <c r="BU564" i="1"/>
  <c r="BT564" i="1"/>
  <c r="BQ564" i="1"/>
  <c r="BH564" i="1"/>
  <c r="BG564" i="1"/>
  <c r="AJ564" i="1"/>
  <c r="AF564" i="1"/>
  <c r="Z564" i="1"/>
  <c r="DZ563" i="1"/>
  <c r="DI563" i="1"/>
  <c r="CZ563" i="1"/>
  <c r="CV563" i="1"/>
  <c r="CG563" i="1"/>
  <c r="BU563" i="1"/>
  <c r="BT563" i="1"/>
  <c r="BQ563" i="1"/>
  <c r="BH563" i="1"/>
  <c r="BG563" i="1"/>
  <c r="AJ563" i="1"/>
  <c r="AF563" i="1"/>
  <c r="Z563" i="1"/>
  <c r="AF562" i="1"/>
  <c r="Z562" i="1"/>
  <c r="DZ561" i="1"/>
  <c r="DX561" i="1"/>
  <c r="DV561" i="1"/>
  <c r="DI561" i="1"/>
  <c r="CZ561" i="1"/>
  <c r="CV561" i="1"/>
  <c r="CG561" i="1"/>
  <c r="BU561" i="1"/>
  <c r="BT561" i="1"/>
  <c r="BQ561" i="1"/>
  <c r="BH561" i="1"/>
  <c r="BG561" i="1"/>
  <c r="AJ561" i="1"/>
  <c r="AF561" i="1"/>
  <c r="AD561" i="1" s="1"/>
  <c r="Z561" i="1"/>
  <c r="DZ560" i="1"/>
  <c r="DI560" i="1"/>
  <c r="CZ560" i="1"/>
  <c r="CV560" i="1"/>
  <c r="CG560" i="1"/>
  <c r="BU560" i="1"/>
  <c r="BT560" i="1"/>
  <c r="BQ560" i="1"/>
  <c r="BH560" i="1"/>
  <c r="BG560" i="1"/>
  <c r="AJ560" i="1"/>
  <c r="AF560" i="1"/>
  <c r="Z560" i="1"/>
  <c r="DZ559" i="1"/>
  <c r="DI559" i="1"/>
  <c r="CZ559" i="1"/>
  <c r="CV559" i="1"/>
  <c r="CG559" i="1"/>
  <c r="BU559" i="1"/>
  <c r="BT559" i="1"/>
  <c r="BQ559" i="1"/>
  <c r="BH559" i="1"/>
  <c r="BG559" i="1"/>
  <c r="AJ559" i="1"/>
  <c r="AF559" i="1"/>
  <c r="Z559" i="1"/>
  <c r="AF558" i="1"/>
  <c r="Z558" i="1"/>
  <c r="DZ557" i="1"/>
  <c r="CZ557" i="1"/>
  <c r="CG557" i="1"/>
  <c r="BU557" i="1"/>
  <c r="BQ557" i="1"/>
  <c r="BH557" i="1"/>
  <c r="BG557" i="1"/>
  <c r="AJ557" i="1"/>
  <c r="AF557" i="1"/>
  <c r="AE557" i="1" s="1"/>
  <c r="AD557" i="1"/>
  <c r="Z557" i="1"/>
  <c r="DZ556" i="1"/>
  <c r="CZ556" i="1"/>
  <c r="CG556" i="1"/>
  <c r="BU556" i="1"/>
  <c r="BQ556" i="1"/>
  <c r="BH556" i="1"/>
  <c r="BG556" i="1"/>
  <c r="AJ556" i="1"/>
  <c r="AF556" i="1"/>
  <c r="AE556" i="1" s="1"/>
  <c r="AD556" i="1"/>
  <c r="Z556" i="1"/>
  <c r="DZ555" i="1"/>
  <c r="DX555" i="1"/>
  <c r="CZ555" i="1"/>
  <c r="CG555" i="1"/>
  <c r="BU555" i="1"/>
  <c r="BQ555" i="1"/>
  <c r="BH555" i="1"/>
  <c r="BG555" i="1"/>
  <c r="AJ555" i="1"/>
  <c r="AF555" i="1"/>
  <c r="AD555" i="1" s="1"/>
  <c r="Z555" i="1"/>
  <c r="AF554" i="1"/>
  <c r="AE554" i="1" s="1"/>
  <c r="Z554" i="1"/>
  <c r="DZ553" i="1"/>
  <c r="DS553" i="1"/>
  <c r="CZ553" i="1"/>
  <c r="CG553" i="1"/>
  <c r="BU553" i="1"/>
  <c r="BQ553" i="1"/>
  <c r="BH553" i="1"/>
  <c r="BG553" i="1"/>
  <c r="AJ553" i="1"/>
  <c r="AF553" i="1"/>
  <c r="Z553" i="1"/>
  <c r="DZ552" i="1"/>
  <c r="CZ552" i="1"/>
  <c r="CG552" i="1"/>
  <c r="BU552" i="1"/>
  <c r="BQ552" i="1"/>
  <c r="BH552" i="1"/>
  <c r="BG552" i="1"/>
  <c r="AJ552" i="1"/>
  <c r="AF552" i="1"/>
  <c r="AE552" i="1" s="1"/>
  <c r="AD552" i="1"/>
  <c r="Z552" i="1"/>
  <c r="DZ551" i="1"/>
  <c r="CZ551" i="1"/>
  <c r="CG551" i="1"/>
  <c r="BU551" i="1"/>
  <c r="BQ551" i="1"/>
  <c r="BH551" i="1"/>
  <c r="BG551" i="1"/>
  <c r="AJ551" i="1"/>
  <c r="AF551" i="1"/>
  <c r="Z551" i="1"/>
  <c r="DZ550" i="1"/>
  <c r="CZ550" i="1"/>
  <c r="CG550" i="1"/>
  <c r="BU550" i="1"/>
  <c r="BQ550" i="1"/>
  <c r="BH550" i="1"/>
  <c r="BG550" i="1"/>
  <c r="AJ550" i="1"/>
  <c r="AF550" i="1"/>
  <c r="Z550" i="1"/>
  <c r="DZ549" i="1"/>
  <c r="CZ549" i="1"/>
  <c r="CG549" i="1"/>
  <c r="BU549" i="1"/>
  <c r="BQ549" i="1"/>
  <c r="BH549" i="1"/>
  <c r="BG549" i="1"/>
  <c r="AJ549" i="1"/>
  <c r="AF549" i="1"/>
  <c r="AD549" i="1" s="1"/>
  <c r="Z549" i="1"/>
  <c r="DZ548" i="1"/>
  <c r="CZ548" i="1"/>
  <c r="CG548" i="1"/>
  <c r="BU548" i="1"/>
  <c r="BQ548" i="1"/>
  <c r="BH548" i="1"/>
  <c r="BG548" i="1"/>
  <c r="AJ548" i="1"/>
  <c r="AF548" i="1"/>
  <c r="Z548" i="1"/>
  <c r="DZ547" i="1"/>
  <c r="DR547" i="1"/>
  <c r="CZ547" i="1"/>
  <c r="CG547" i="1"/>
  <c r="BU547" i="1"/>
  <c r="BQ547" i="1"/>
  <c r="BH547" i="1"/>
  <c r="BG547" i="1"/>
  <c r="AJ547" i="1"/>
  <c r="AF547" i="1"/>
  <c r="Z547" i="1"/>
  <c r="DZ546" i="1"/>
  <c r="DI546" i="1"/>
  <c r="DG546" i="1"/>
  <c r="DD546" i="1"/>
  <c r="CZ546" i="1"/>
  <c r="CY546" i="1"/>
  <c r="CX546" i="1"/>
  <c r="CH546" i="1"/>
  <c r="CG546" i="1"/>
  <c r="CF546" i="1"/>
  <c r="BU546" i="1"/>
  <c r="BQ546" i="1"/>
  <c r="BJ546" i="1"/>
  <c r="BH546" i="1"/>
  <c r="BG546" i="1"/>
  <c r="BF546" i="1"/>
  <c r="BC546" i="1"/>
  <c r="AX546" i="1"/>
  <c r="AM546" i="1"/>
  <c r="AK546" i="1"/>
  <c r="AJ546" i="1"/>
  <c r="AF546" i="1"/>
  <c r="AD546" i="1" s="1"/>
  <c r="Z546" i="1"/>
  <c r="AF545" i="1"/>
  <c r="AE545" i="1" s="1"/>
  <c r="AD545" i="1"/>
  <c r="Z545" i="1"/>
  <c r="DZ544" i="1"/>
  <c r="DI544" i="1"/>
  <c r="CZ544" i="1"/>
  <c r="CG544" i="1"/>
  <c r="BU544" i="1"/>
  <c r="BT544" i="1"/>
  <c r="BQ544" i="1"/>
  <c r="BH544" i="1"/>
  <c r="BG544" i="1"/>
  <c r="AF544" i="1"/>
  <c r="AE544" i="1" s="1"/>
  <c r="AD544" i="1"/>
  <c r="Z544" i="1"/>
  <c r="DZ543" i="1"/>
  <c r="DR543" i="1"/>
  <c r="DI543" i="1"/>
  <c r="CZ543" i="1"/>
  <c r="CV543" i="1"/>
  <c r="CG543" i="1"/>
  <c r="BU543" i="1"/>
  <c r="BT543" i="1"/>
  <c r="BQ543" i="1"/>
  <c r="BH543" i="1"/>
  <c r="BG543" i="1"/>
  <c r="AF543" i="1"/>
  <c r="Z543" i="1"/>
  <c r="DZ542" i="1"/>
  <c r="DI542" i="1"/>
  <c r="CZ542" i="1"/>
  <c r="CV542" i="1"/>
  <c r="CG542" i="1"/>
  <c r="BU542" i="1"/>
  <c r="BT542" i="1"/>
  <c r="BQ542" i="1"/>
  <c r="BH542" i="1"/>
  <c r="BG542" i="1"/>
  <c r="AF542" i="1"/>
  <c r="AD542" i="1" s="1"/>
  <c r="Z542" i="1"/>
  <c r="DZ541" i="1"/>
  <c r="DI541" i="1"/>
  <c r="CZ541" i="1"/>
  <c r="CV541" i="1"/>
  <c r="CG541" i="1"/>
  <c r="BU541" i="1"/>
  <c r="BT541" i="1"/>
  <c r="BQ541" i="1"/>
  <c r="BH541" i="1"/>
  <c r="AJ541" i="1"/>
  <c r="AF541" i="1"/>
  <c r="Z541" i="1"/>
  <c r="DZ540" i="1"/>
  <c r="DI540" i="1"/>
  <c r="CZ540" i="1"/>
  <c r="CV540" i="1"/>
  <c r="CG540" i="1"/>
  <c r="BU540" i="1"/>
  <c r="BT540" i="1"/>
  <c r="BQ540" i="1"/>
  <c r="BH540" i="1"/>
  <c r="BG540" i="1"/>
  <c r="AJ540" i="1"/>
  <c r="AF540" i="1"/>
  <c r="AE540" i="1" s="1"/>
  <c r="Z540" i="1"/>
  <c r="AF539" i="1"/>
  <c r="Z539" i="1"/>
  <c r="DI538" i="1"/>
  <c r="CZ538" i="1"/>
  <c r="CV538" i="1"/>
  <c r="CG538" i="1"/>
  <c r="BU538" i="1"/>
  <c r="BT538" i="1"/>
  <c r="BQ538" i="1"/>
  <c r="BH538" i="1"/>
  <c r="BG538" i="1"/>
  <c r="AJ538" i="1"/>
  <c r="AF538" i="1"/>
  <c r="AE538" i="1" s="1"/>
  <c r="Z538" i="1"/>
  <c r="DU537" i="1"/>
  <c r="DI537" i="1"/>
  <c r="CZ537" i="1"/>
  <c r="CV537" i="1"/>
  <c r="CG537" i="1"/>
  <c r="BU537" i="1"/>
  <c r="BT537" i="1"/>
  <c r="BQ537" i="1"/>
  <c r="BH537" i="1"/>
  <c r="BG537" i="1"/>
  <c r="AJ537" i="1"/>
  <c r="AF537" i="1"/>
  <c r="Z537" i="1"/>
  <c r="DU536" i="1"/>
  <c r="DI536" i="1"/>
  <c r="CZ536" i="1"/>
  <c r="CV536" i="1"/>
  <c r="CG536" i="1"/>
  <c r="BU536" i="1"/>
  <c r="BT536" i="1"/>
  <c r="BQ536" i="1"/>
  <c r="BP536" i="1"/>
  <c r="BH536" i="1"/>
  <c r="BG536" i="1"/>
  <c r="AJ536" i="1"/>
  <c r="AF536" i="1"/>
  <c r="AD536" i="1" s="1"/>
  <c r="AE536" i="1"/>
  <c r="Z536" i="1"/>
  <c r="CZ535" i="1"/>
  <c r="CG535" i="1"/>
  <c r="BU535" i="1"/>
  <c r="BQ535" i="1"/>
  <c r="BH535" i="1"/>
  <c r="BG535" i="1"/>
  <c r="AF535" i="1"/>
  <c r="Z535" i="1"/>
  <c r="DU534" i="1"/>
  <c r="DI534" i="1"/>
  <c r="CZ534" i="1"/>
  <c r="CV534" i="1"/>
  <c r="CG534" i="1"/>
  <c r="BU534" i="1"/>
  <c r="BT534" i="1"/>
  <c r="BQ534" i="1"/>
  <c r="BH534" i="1"/>
  <c r="BG534" i="1"/>
  <c r="AJ534" i="1"/>
  <c r="AF534" i="1"/>
  <c r="AE534" i="1" s="1"/>
  <c r="Z534" i="1"/>
  <c r="DI533" i="1"/>
  <c r="CZ533" i="1"/>
  <c r="CV533" i="1"/>
  <c r="CG533" i="1"/>
  <c r="BU533" i="1"/>
  <c r="BT533" i="1"/>
  <c r="BQ533" i="1"/>
  <c r="BH533" i="1"/>
  <c r="BG533" i="1"/>
  <c r="AJ533" i="1"/>
  <c r="AF533" i="1"/>
  <c r="AE533" i="1" s="1"/>
  <c r="Z533" i="1"/>
  <c r="DW532" i="1"/>
  <c r="DI532" i="1"/>
  <c r="CZ532" i="1"/>
  <c r="CV532" i="1"/>
  <c r="CG532" i="1"/>
  <c r="BU532" i="1"/>
  <c r="BT532" i="1"/>
  <c r="BQ532" i="1"/>
  <c r="BH532" i="1"/>
  <c r="BG532" i="1"/>
  <c r="AJ532" i="1"/>
  <c r="AF532" i="1"/>
  <c r="Z532" i="1"/>
  <c r="DU531" i="1"/>
  <c r="DT531" i="1"/>
  <c r="DI531" i="1"/>
  <c r="CZ531" i="1"/>
  <c r="CV531" i="1"/>
  <c r="CG531" i="1"/>
  <c r="BU531" i="1"/>
  <c r="BT531" i="1"/>
  <c r="BQ531" i="1"/>
  <c r="BH531" i="1"/>
  <c r="BG531" i="1"/>
  <c r="AJ531" i="1"/>
  <c r="AF531" i="1"/>
  <c r="Z531" i="1"/>
  <c r="AF530" i="1"/>
  <c r="Z530" i="1"/>
  <c r="DW529" i="1"/>
  <c r="DI529" i="1"/>
  <c r="CZ529" i="1"/>
  <c r="CV529" i="1"/>
  <c r="CG529" i="1"/>
  <c r="BU529" i="1"/>
  <c r="BT529" i="1"/>
  <c r="BQ529" i="1"/>
  <c r="BH529" i="1"/>
  <c r="BG529" i="1"/>
  <c r="AJ529" i="1"/>
  <c r="AF529" i="1"/>
  <c r="Z529" i="1"/>
  <c r="DY528" i="1"/>
  <c r="DI528" i="1"/>
  <c r="CZ528" i="1"/>
  <c r="CV528" i="1"/>
  <c r="CG528" i="1"/>
  <c r="BU528" i="1"/>
  <c r="BT528" i="1"/>
  <c r="BQ528" i="1"/>
  <c r="BH528" i="1"/>
  <c r="BG528" i="1"/>
  <c r="AJ528" i="1"/>
  <c r="AF528" i="1"/>
  <c r="Z528" i="1"/>
  <c r="DV527" i="1"/>
  <c r="DI527" i="1"/>
  <c r="CZ527" i="1"/>
  <c r="CV527" i="1"/>
  <c r="CG527" i="1"/>
  <c r="BU527" i="1"/>
  <c r="BT527" i="1"/>
  <c r="BQ527" i="1"/>
  <c r="BH527" i="1"/>
  <c r="BG527" i="1"/>
  <c r="AJ527" i="1"/>
  <c r="AF527" i="1"/>
  <c r="Z527" i="1"/>
  <c r="DI526" i="1"/>
  <c r="CZ526" i="1"/>
  <c r="CV526" i="1"/>
  <c r="CG526" i="1"/>
  <c r="BU526" i="1"/>
  <c r="BT526" i="1"/>
  <c r="BQ526" i="1"/>
  <c r="BH526" i="1"/>
  <c r="BG526" i="1"/>
  <c r="AJ526" i="1"/>
  <c r="AF526" i="1"/>
  <c r="AE526" i="1" s="1"/>
  <c r="Z526" i="1"/>
  <c r="AF525" i="1"/>
  <c r="AE525" i="1" s="1"/>
  <c r="Z525" i="1"/>
  <c r="DI524" i="1"/>
  <c r="CZ524" i="1"/>
  <c r="CV524" i="1"/>
  <c r="CG524" i="1"/>
  <c r="BU524" i="1"/>
  <c r="BT524" i="1"/>
  <c r="BQ524" i="1"/>
  <c r="BH524" i="1"/>
  <c r="BG524" i="1"/>
  <c r="AJ524" i="1"/>
  <c r="AF524" i="1"/>
  <c r="Z524" i="1"/>
  <c r="DX523" i="1"/>
  <c r="DU523" i="1"/>
  <c r="DI523" i="1"/>
  <c r="CZ523" i="1"/>
  <c r="CV523" i="1"/>
  <c r="CG523" i="1"/>
  <c r="BU523" i="1"/>
  <c r="BT523" i="1"/>
  <c r="BQ523" i="1"/>
  <c r="BH523" i="1"/>
  <c r="BG523" i="1"/>
  <c r="AJ523" i="1"/>
  <c r="AF523" i="1"/>
  <c r="AE523" i="1" s="1"/>
  <c r="Z523" i="1"/>
  <c r="DI522" i="1"/>
  <c r="CZ522" i="1"/>
  <c r="CV522" i="1"/>
  <c r="CG522" i="1"/>
  <c r="BU522" i="1"/>
  <c r="BT522" i="1"/>
  <c r="BQ522" i="1"/>
  <c r="BH522" i="1"/>
  <c r="BG522" i="1"/>
  <c r="AJ522" i="1"/>
  <c r="AF522" i="1"/>
  <c r="Z522" i="1"/>
  <c r="DV521" i="1"/>
  <c r="DI521" i="1"/>
  <c r="CZ521" i="1"/>
  <c r="CV521" i="1"/>
  <c r="CG521" i="1"/>
  <c r="BU521" i="1"/>
  <c r="BT521" i="1"/>
  <c r="BQ521" i="1"/>
  <c r="BH521" i="1"/>
  <c r="BG521" i="1"/>
  <c r="AJ521" i="1"/>
  <c r="AF521" i="1"/>
  <c r="Z521" i="1"/>
  <c r="DI520" i="1"/>
  <c r="CZ520" i="1"/>
  <c r="CV520" i="1"/>
  <c r="CG520" i="1"/>
  <c r="BU520" i="1"/>
  <c r="BT520" i="1"/>
  <c r="BQ520" i="1"/>
  <c r="BH520" i="1"/>
  <c r="BG520" i="1"/>
  <c r="AJ520" i="1"/>
  <c r="AF520" i="1"/>
  <c r="Z520" i="1"/>
  <c r="DI519" i="1"/>
  <c r="CZ519" i="1"/>
  <c r="CV519" i="1"/>
  <c r="CG519" i="1"/>
  <c r="BU519" i="1"/>
  <c r="BT519" i="1"/>
  <c r="BQ519" i="1"/>
  <c r="BH519" i="1"/>
  <c r="BG519" i="1"/>
  <c r="AJ519" i="1"/>
  <c r="AF519" i="1"/>
  <c r="Z519" i="1"/>
  <c r="AF518" i="1"/>
  <c r="AE518" i="1" s="1"/>
  <c r="Z518" i="1"/>
  <c r="DV517" i="1"/>
  <c r="DI517" i="1"/>
  <c r="CZ517" i="1"/>
  <c r="CV517" i="1"/>
  <c r="CG517" i="1"/>
  <c r="BU517" i="1"/>
  <c r="BT517" i="1"/>
  <c r="BQ517" i="1"/>
  <c r="BH517" i="1"/>
  <c r="BG517" i="1"/>
  <c r="AJ517" i="1"/>
  <c r="AF517" i="1"/>
  <c r="Z517" i="1"/>
  <c r="DI516" i="1"/>
  <c r="CZ516" i="1"/>
  <c r="CV516" i="1"/>
  <c r="CG516" i="1"/>
  <c r="BU516" i="1"/>
  <c r="BT516" i="1"/>
  <c r="BQ516" i="1"/>
  <c r="BH516" i="1"/>
  <c r="BG516" i="1"/>
  <c r="AJ516" i="1"/>
  <c r="AF516" i="1"/>
  <c r="AE516" i="1" s="1"/>
  <c r="Z516" i="1"/>
  <c r="DI515" i="1"/>
  <c r="CZ515" i="1"/>
  <c r="CV515" i="1"/>
  <c r="CG515" i="1"/>
  <c r="BU515" i="1"/>
  <c r="BT515" i="1"/>
  <c r="BQ515" i="1"/>
  <c r="BH515" i="1"/>
  <c r="BG515" i="1"/>
  <c r="AJ515" i="1"/>
  <c r="AF515" i="1"/>
  <c r="AE515" i="1"/>
  <c r="AD515" i="1"/>
  <c r="Z515" i="1"/>
  <c r="DI514" i="1"/>
  <c r="CZ514" i="1"/>
  <c r="CV514" i="1"/>
  <c r="CG514" i="1"/>
  <c r="BU514" i="1"/>
  <c r="BT514" i="1"/>
  <c r="BQ514" i="1"/>
  <c r="BH514" i="1"/>
  <c r="BG514" i="1"/>
  <c r="AJ514" i="1"/>
  <c r="AF514" i="1"/>
  <c r="AE514" i="1" s="1"/>
  <c r="Z514" i="1"/>
  <c r="AF513" i="1"/>
  <c r="AD513" i="1" s="1"/>
  <c r="AE513" i="1"/>
  <c r="Z513" i="1"/>
  <c r="DI512" i="1"/>
  <c r="CZ512" i="1"/>
  <c r="CV512" i="1"/>
  <c r="CG512" i="1"/>
  <c r="BU512" i="1"/>
  <c r="BT512" i="1"/>
  <c r="BQ512" i="1"/>
  <c r="BH512" i="1"/>
  <c r="BG512" i="1"/>
  <c r="AJ512" i="1"/>
  <c r="AF512" i="1"/>
  <c r="Z512" i="1"/>
  <c r="DI511" i="1"/>
  <c r="CZ511" i="1"/>
  <c r="CV511" i="1"/>
  <c r="CG511" i="1"/>
  <c r="BU511" i="1"/>
  <c r="BT511" i="1"/>
  <c r="BQ511" i="1"/>
  <c r="BH511" i="1"/>
  <c r="BG511" i="1"/>
  <c r="AJ511" i="1"/>
  <c r="AF511" i="1"/>
  <c r="Z511" i="1"/>
  <c r="DI510" i="1"/>
  <c r="CZ510" i="1"/>
  <c r="CV510" i="1"/>
  <c r="CG510" i="1"/>
  <c r="BU510" i="1"/>
  <c r="BT510" i="1"/>
  <c r="BQ510" i="1"/>
  <c r="BH510" i="1"/>
  <c r="BG510" i="1"/>
  <c r="AJ510" i="1"/>
  <c r="AF510" i="1"/>
  <c r="Z510" i="1"/>
  <c r="DI509" i="1"/>
  <c r="CZ509" i="1"/>
  <c r="CV509" i="1"/>
  <c r="CG509" i="1"/>
  <c r="BU509" i="1"/>
  <c r="BT509" i="1"/>
  <c r="BQ509" i="1"/>
  <c r="BH509" i="1"/>
  <c r="BG509" i="1"/>
  <c r="AJ509" i="1"/>
  <c r="AF509" i="1"/>
  <c r="AE509" i="1" s="1"/>
  <c r="AD509" i="1"/>
  <c r="Z509" i="1"/>
  <c r="DS508" i="1"/>
  <c r="DI508" i="1"/>
  <c r="CZ508" i="1"/>
  <c r="CV508" i="1"/>
  <c r="CG508" i="1"/>
  <c r="BU508" i="1"/>
  <c r="BT508" i="1"/>
  <c r="BQ508" i="1"/>
  <c r="BH508" i="1"/>
  <c r="BG508" i="1"/>
  <c r="AJ508" i="1"/>
  <c r="AF508" i="1"/>
  <c r="AE508" i="1" s="1"/>
  <c r="Z508" i="1"/>
  <c r="DI507" i="1"/>
  <c r="CZ507" i="1"/>
  <c r="CV507" i="1"/>
  <c r="CG507" i="1"/>
  <c r="BU507" i="1"/>
  <c r="BT507" i="1"/>
  <c r="BQ507" i="1"/>
  <c r="BH507" i="1"/>
  <c r="BG507" i="1"/>
  <c r="AJ507" i="1"/>
  <c r="AF507" i="1"/>
  <c r="Z507" i="1"/>
  <c r="AF506" i="1"/>
  <c r="Z506" i="1"/>
  <c r="DI505" i="1"/>
  <c r="CZ505" i="1"/>
  <c r="CV505" i="1"/>
  <c r="CG505" i="1"/>
  <c r="BU505" i="1"/>
  <c r="BT505" i="1"/>
  <c r="BQ505" i="1"/>
  <c r="BH505" i="1"/>
  <c r="BG505" i="1"/>
  <c r="AJ505" i="1"/>
  <c r="AF505" i="1"/>
  <c r="AE505" i="1" s="1"/>
  <c r="Z505" i="1"/>
  <c r="DI504" i="1"/>
  <c r="CZ504" i="1"/>
  <c r="CV504" i="1"/>
  <c r="CG504" i="1"/>
  <c r="BU504" i="1"/>
  <c r="BT504" i="1"/>
  <c r="BQ504" i="1"/>
  <c r="BH504" i="1"/>
  <c r="BG504" i="1"/>
  <c r="AJ504" i="1"/>
  <c r="AF504" i="1"/>
  <c r="AE504" i="1" s="1"/>
  <c r="Z504" i="1"/>
  <c r="DI503" i="1"/>
  <c r="CZ503" i="1"/>
  <c r="CV503" i="1"/>
  <c r="CG503" i="1"/>
  <c r="BU503" i="1"/>
  <c r="BT503" i="1"/>
  <c r="BQ503" i="1"/>
  <c r="BH503" i="1"/>
  <c r="BG503" i="1"/>
  <c r="AJ503" i="1"/>
  <c r="AF503" i="1"/>
  <c r="AE503" i="1" s="1"/>
  <c r="AD503" i="1"/>
  <c r="Z503" i="1"/>
  <c r="DI502" i="1"/>
  <c r="CZ502" i="1"/>
  <c r="CV502" i="1"/>
  <c r="CG502" i="1"/>
  <c r="BU502" i="1"/>
  <c r="BT502" i="1"/>
  <c r="BQ502" i="1"/>
  <c r="BH502" i="1"/>
  <c r="BG502" i="1"/>
  <c r="AJ502" i="1"/>
  <c r="AF502" i="1"/>
  <c r="Z502" i="1"/>
  <c r="DU501" i="1"/>
  <c r="DI501" i="1"/>
  <c r="CZ501" i="1"/>
  <c r="CV501" i="1"/>
  <c r="CG501" i="1"/>
  <c r="BU501" i="1"/>
  <c r="BT501" i="1"/>
  <c r="BQ501" i="1"/>
  <c r="BH501" i="1"/>
  <c r="BG501" i="1"/>
  <c r="AJ501" i="1"/>
  <c r="AF501" i="1"/>
  <c r="AE501" i="1" s="1"/>
  <c r="Z501" i="1"/>
  <c r="DI500" i="1"/>
  <c r="CZ500" i="1"/>
  <c r="CV500" i="1"/>
  <c r="CG500" i="1"/>
  <c r="BU500" i="1"/>
  <c r="BT500" i="1"/>
  <c r="BQ500" i="1"/>
  <c r="BH500" i="1"/>
  <c r="BG500" i="1"/>
  <c r="AJ500" i="1"/>
  <c r="AF500" i="1"/>
  <c r="Z500" i="1"/>
  <c r="DI499" i="1"/>
  <c r="CZ499" i="1"/>
  <c r="CV499" i="1"/>
  <c r="CG499" i="1"/>
  <c r="BU499" i="1"/>
  <c r="BT499" i="1"/>
  <c r="BQ499" i="1"/>
  <c r="BH499" i="1"/>
  <c r="BG499" i="1"/>
  <c r="AJ499" i="1"/>
  <c r="AF499" i="1"/>
  <c r="AE499" i="1"/>
  <c r="AD499" i="1"/>
  <c r="Z499" i="1"/>
  <c r="DI498" i="1"/>
  <c r="CZ498" i="1"/>
  <c r="CV498" i="1"/>
  <c r="CG498" i="1"/>
  <c r="BU498" i="1"/>
  <c r="BT498" i="1"/>
  <c r="BQ498" i="1"/>
  <c r="BH498" i="1"/>
  <c r="BG498" i="1"/>
  <c r="AJ498" i="1"/>
  <c r="AF498" i="1"/>
  <c r="Z498" i="1"/>
  <c r="DY497" i="1"/>
  <c r="DI497" i="1"/>
  <c r="CZ497" i="1"/>
  <c r="CV497" i="1"/>
  <c r="CG497" i="1"/>
  <c r="BU497" i="1"/>
  <c r="BT497" i="1"/>
  <c r="BQ497" i="1"/>
  <c r="BH497" i="1"/>
  <c r="BG497" i="1"/>
  <c r="AJ497" i="1"/>
  <c r="AF497" i="1"/>
  <c r="Z497" i="1"/>
  <c r="DW496" i="1"/>
  <c r="DI496" i="1"/>
  <c r="CZ496" i="1"/>
  <c r="CV496" i="1"/>
  <c r="CG496" i="1"/>
  <c r="BU496" i="1"/>
  <c r="BT496" i="1"/>
  <c r="BQ496" i="1"/>
  <c r="BH496" i="1"/>
  <c r="BG496" i="1"/>
  <c r="AJ496" i="1"/>
  <c r="AF496" i="1"/>
  <c r="AE496" i="1" s="1"/>
  <c r="Z496" i="1"/>
  <c r="DV495" i="1"/>
  <c r="DI495" i="1"/>
  <c r="CZ495" i="1"/>
  <c r="CV495" i="1"/>
  <c r="CG495" i="1"/>
  <c r="BU495" i="1"/>
  <c r="BT495" i="1"/>
  <c r="BQ495" i="1"/>
  <c r="BH495" i="1"/>
  <c r="BG495" i="1"/>
  <c r="AJ495" i="1"/>
  <c r="AF495" i="1"/>
  <c r="Z495" i="1"/>
  <c r="DI494" i="1"/>
  <c r="CZ494" i="1"/>
  <c r="CV494" i="1"/>
  <c r="CG494" i="1"/>
  <c r="BU494" i="1"/>
  <c r="BT494" i="1"/>
  <c r="BQ494" i="1"/>
  <c r="BH494" i="1"/>
  <c r="BG494" i="1"/>
  <c r="AJ494" i="1"/>
  <c r="AF494" i="1"/>
  <c r="AD494" i="1" s="1"/>
  <c r="Z494" i="1"/>
  <c r="AF493" i="1"/>
  <c r="Z493" i="1"/>
  <c r="DT492" i="1"/>
  <c r="DI492" i="1"/>
  <c r="CZ492" i="1"/>
  <c r="CV492" i="1"/>
  <c r="CG492" i="1"/>
  <c r="BU492" i="1"/>
  <c r="BT492" i="1"/>
  <c r="BQ492" i="1"/>
  <c r="BH492" i="1"/>
  <c r="BG492" i="1"/>
  <c r="AJ492" i="1"/>
  <c r="AF492" i="1"/>
  <c r="Z492" i="1"/>
  <c r="DI491" i="1"/>
  <c r="CZ491" i="1"/>
  <c r="CV491" i="1"/>
  <c r="CG491" i="1"/>
  <c r="BU491" i="1"/>
  <c r="BT491" i="1"/>
  <c r="BQ491" i="1"/>
  <c r="BH491" i="1"/>
  <c r="BG491" i="1"/>
  <c r="AJ491" i="1"/>
  <c r="AF491" i="1"/>
  <c r="AD491" i="1" s="1"/>
  <c r="Z491" i="1"/>
  <c r="DI490" i="1"/>
  <c r="CZ490" i="1"/>
  <c r="CV490" i="1"/>
  <c r="CG490" i="1"/>
  <c r="BU490" i="1"/>
  <c r="BT490" i="1"/>
  <c r="BQ490" i="1"/>
  <c r="BP490" i="1"/>
  <c r="BH490" i="1"/>
  <c r="BG490" i="1"/>
  <c r="AJ490" i="1"/>
  <c r="AF490" i="1"/>
  <c r="Z490" i="1"/>
  <c r="DX489" i="1"/>
  <c r="DI489" i="1"/>
  <c r="CZ489" i="1"/>
  <c r="CV489" i="1"/>
  <c r="CG489" i="1"/>
  <c r="BU489" i="1"/>
  <c r="BT489" i="1"/>
  <c r="BQ489" i="1"/>
  <c r="BH489" i="1"/>
  <c r="BG489" i="1"/>
  <c r="AJ489" i="1"/>
  <c r="AF489" i="1"/>
  <c r="Z489" i="1"/>
  <c r="DI488" i="1"/>
  <c r="CZ488" i="1"/>
  <c r="CV488" i="1"/>
  <c r="CG488" i="1"/>
  <c r="BU488" i="1"/>
  <c r="BT488" i="1"/>
  <c r="BQ488" i="1"/>
  <c r="BH488" i="1"/>
  <c r="BG488" i="1"/>
  <c r="AJ488" i="1"/>
  <c r="AF488" i="1"/>
  <c r="Z488" i="1"/>
  <c r="EC487" i="1"/>
  <c r="EA487" i="1"/>
  <c r="DI487" i="1"/>
  <c r="CZ487" i="1"/>
  <c r="CV487" i="1"/>
  <c r="CG487" i="1"/>
  <c r="BU487" i="1"/>
  <c r="BT487" i="1"/>
  <c r="BQ487" i="1"/>
  <c r="BP487" i="1"/>
  <c r="BH487" i="1"/>
  <c r="BG487" i="1"/>
  <c r="AJ487" i="1"/>
  <c r="AF487" i="1"/>
  <c r="Z487" i="1"/>
  <c r="DI486" i="1"/>
  <c r="CZ486" i="1"/>
  <c r="CV486" i="1"/>
  <c r="CG486" i="1"/>
  <c r="BU486" i="1"/>
  <c r="BT486" i="1"/>
  <c r="BQ486" i="1"/>
  <c r="BH486" i="1"/>
  <c r="BG486" i="1"/>
  <c r="AJ486" i="1"/>
  <c r="AF486" i="1"/>
  <c r="AD486" i="1" s="1"/>
  <c r="AE486" i="1"/>
  <c r="Z486" i="1"/>
  <c r="DI485" i="1"/>
  <c r="CZ485" i="1"/>
  <c r="CV485" i="1"/>
  <c r="CG485" i="1"/>
  <c r="BU485" i="1"/>
  <c r="BT485" i="1"/>
  <c r="BQ485" i="1"/>
  <c r="BH485" i="1"/>
  <c r="BG485" i="1"/>
  <c r="AJ485" i="1"/>
  <c r="AF485" i="1"/>
  <c r="Z485" i="1"/>
  <c r="AF484" i="1"/>
  <c r="AD484" i="1" s="1"/>
  <c r="Z484" i="1"/>
  <c r="DU483" i="1"/>
  <c r="DT483" i="1"/>
  <c r="DI483" i="1"/>
  <c r="CZ483" i="1"/>
  <c r="CV483" i="1"/>
  <c r="CG483" i="1"/>
  <c r="BU483" i="1"/>
  <c r="BT483" i="1"/>
  <c r="BQ483" i="1"/>
  <c r="BP483" i="1"/>
  <c r="BH483" i="1"/>
  <c r="BG483" i="1"/>
  <c r="AJ483" i="1"/>
  <c r="AF483" i="1"/>
  <c r="Z483" i="1"/>
  <c r="DV482" i="1"/>
  <c r="DI482" i="1"/>
  <c r="CZ482" i="1"/>
  <c r="CV482" i="1"/>
  <c r="CG482" i="1"/>
  <c r="BU482" i="1"/>
  <c r="BT482" i="1"/>
  <c r="BQ482" i="1"/>
  <c r="BH482" i="1"/>
  <c r="BG482" i="1"/>
  <c r="AJ482" i="1"/>
  <c r="AF482" i="1"/>
  <c r="Z482" i="1"/>
  <c r="DI481" i="1"/>
  <c r="CZ481" i="1"/>
  <c r="CV481" i="1"/>
  <c r="CG481" i="1"/>
  <c r="BU481" i="1"/>
  <c r="BT481" i="1"/>
  <c r="BQ481" i="1"/>
  <c r="BH481" i="1"/>
  <c r="BG481" i="1"/>
  <c r="AJ481" i="1"/>
  <c r="AF481" i="1"/>
  <c r="AD481" i="1" s="1"/>
  <c r="Z481" i="1"/>
  <c r="DW480" i="1"/>
  <c r="DS480" i="1"/>
  <c r="DI480" i="1"/>
  <c r="CZ480" i="1"/>
  <c r="CV480" i="1"/>
  <c r="CG480" i="1"/>
  <c r="BU480" i="1"/>
  <c r="BT480" i="1"/>
  <c r="BQ480" i="1"/>
  <c r="BH480" i="1"/>
  <c r="BG480" i="1"/>
  <c r="AJ480" i="1"/>
  <c r="AF480" i="1"/>
  <c r="AD480" i="1" s="1"/>
  <c r="Z480" i="1"/>
  <c r="DU479" i="1"/>
  <c r="DR479" i="1"/>
  <c r="DI479" i="1"/>
  <c r="CZ479" i="1"/>
  <c r="CV479" i="1"/>
  <c r="CG479" i="1"/>
  <c r="BU479" i="1"/>
  <c r="BT479" i="1"/>
  <c r="BQ479" i="1"/>
  <c r="BH479" i="1"/>
  <c r="BG479" i="1"/>
  <c r="AJ479" i="1"/>
  <c r="AF479" i="1"/>
  <c r="AE479" i="1"/>
  <c r="AD479" i="1"/>
  <c r="Z479" i="1"/>
  <c r="DI478" i="1"/>
  <c r="CZ478" i="1"/>
  <c r="CV478" i="1"/>
  <c r="CG478" i="1"/>
  <c r="BU478" i="1"/>
  <c r="BT478" i="1"/>
  <c r="BQ478" i="1"/>
  <c r="BP478" i="1"/>
  <c r="BH478" i="1"/>
  <c r="BG478" i="1"/>
  <c r="AJ478" i="1"/>
  <c r="AF478" i="1"/>
  <c r="AE478" i="1" s="1"/>
  <c r="AD478" i="1"/>
  <c r="Z478" i="1"/>
  <c r="DI477" i="1"/>
  <c r="CZ477" i="1"/>
  <c r="CV477" i="1"/>
  <c r="CG477" i="1"/>
  <c r="BU477" i="1"/>
  <c r="BT477" i="1"/>
  <c r="BQ477" i="1"/>
  <c r="BP477" i="1"/>
  <c r="BH477" i="1"/>
  <c r="BG477" i="1"/>
  <c r="AJ477" i="1"/>
  <c r="AF477" i="1"/>
  <c r="Z477" i="1"/>
  <c r="DX476" i="1"/>
  <c r="DI476" i="1"/>
  <c r="CZ476" i="1"/>
  <c r="CV476" i="1"/>
  <c r="CG476" i="1"/>
  <c r="BU476" i="1"/>
  <c r="BT476" i="1"/>
  <c r="BQ476" i="1"/>
  <c r="BP476" i="1"/>
  <c r="BH476" i="1"/>
  <c r="BG476" i="1"/>
  <c r="AJ476" i="1"/>
  <c r="AF476" i="1"/>
  <c r="AE476" i="1" s="1"/>
  <c r="AD476" i="1"/>
  <c r="Z476" i="1"/>
  <c r="DX475" i="1"/>
  <c r="DS475" i="1"/>
  <c r="DI475" i="1"/>
  <c r="CZ475" i="1"/>
  <c r="CV475" i="1"/>
  <c r="CG475" i="1"/>
  <c r="BU475" i="1"/>
  <c r="BT475" i="1"/>
  <c r="BQ475" i="1"/>
  <c r="BP475" i="1"/>
  <c r="BH475" i="1"/>
  <c r="BG475" i="1"/>
  <c r="AJ475" i="1"/>
  <c r="AF475" i="1"/>
  <c r="Z475" i="1"/>
  <c r="DW474" i="1"/>
  <c r="DS474" i="1"/>
  <c r="DR474" i="1" s="1"/>
  <c r="DI474" i="1"/>
  <c r="CZ474" i="1"/>
  <c r="CV474" i="1"/>
  <c r="CG474" i="1"/>
  <c r="BU474" i="1"/>
  <c r="BT474" i="1"/>
  <c r="BQ474" i="1"/>
  <c r="BH474" i="1"/>
  <c r="BG474" i="1"/>
  <c r="AJ474" i="1"/>
  <c r="AF474" i="1"/>
  <c r="AD474" i="1" s="1"/>
  <c r="Z474" i="1"/>
  <c r="AF473" i="1"/>
  <c r="AE473" i="1" s="1"/>
  <c r="AD473" i="1"/>
  <c r="Z473" i="1"/>
  <c r="DI472" i="1"/>
  <c r="CZ472" i="1"/>
  <c r="CV472" i="1"/>
  <c r="CG472" i="1"/>
  <c r="BU472" i="1"/>
  <c r="BT472" i="1"/>
  <c r="BQ472" i="1"/>
  <c r="BH472" i="1"/>
  <c r="BG472" i="1"/>
  <c r="AJ472" i="1"/>
  <c r="AF472" i="1"/>
  <c r="Z472" i="1"/>
  <c r="DI471" i="1"/>
  <c r="CZ471" i="1"/>
  <c r="CV471" i="1"/>
  <c r="CG471" i="1"/>
  <c r="BU471" i="1"/>
  <c r="BT471" i="1"/>
  <c r="BQ471" i="1"/>
  <c r="BH471" i="1"/>
  <c r="BG471" i="1"/>
  <c r="AJ471" i="1"/>
  <c r="AF471" i="1"/>
  <c r="AE471" i="1" s="1"/>
  <c r="Z471" i="1"/>
  <c r="DI470" i="1"/>
  <c r="CZ470" i="1"/>
  <c r="CV470" i="1"/>
  <c r="CG470" i="1"/>
  <c r="BU470" i="1"/>
  <c r="BT470" i="1"/>
  <c r="BQ470" i="1"/>
  <c r="BH470" i="1"/>
  <c r="BG470" i="1"/>
  <c r="AJ470" i="1"/>
  <c r="AF470" i="1"/>
  <c r="Z470" i="1"/>
  <c r="DR469" i="1"/>
  <c r="DI469" i="1"/>
  <c r="CZ469" i="1"/>
  <c r="CV469" i="1"/>
  <c r="CG469" i="1"/>
  <c r="BU469" i="1"/>
  <c r="BT469" i="1"/>
  <c r="BQ469" i="1"/>
  <c r="BH469" i="1"/>
  <c r="BG469" i="1"/>
  <c r="AJ469" i="1"/>
  <c r="AF469" i="1"/>
  <c r="Z469" i="1"/>
  <c r="DP468" i="1"/>
  <c r="DI468" i="1"/>
  <c r="CZ468" i="1"/>
  <c r="CV468" i="1"/>
  <c r="CG468" i="1"/>
  <c r="BU468" i="1"/>
  <c r="BT468" i="1"/>
  <c r="BQ468" i="1"/>
  <c r="BP468" i="1"/>
  <c r="BH468" i="1"/>
  <c r="BG468" i="1"/>
  <c r="AJ468" i="1"/>
  <c r="AF468" i="1"/>
  <c r="Z468" i="1"/>
  <c r="DI467" i="1"/>
  <c r="CZ467" i="1"/>
  <c r="CV467" i="1"/>
  <c r="CG467" i="1"/>
  <c r="BU467" i="1"/>
  <c r="BT467" i="1"/>
  <c r="BQ467" i="1"/>
  <c r="BH467" i="1"/>
  <c r="BG467" i="1"/>
  <c r="AJ467" i="1"/>
  <c r="AF467" i="1"/>
  <c r="Z467" i="1"/>
  <c r="DI466" i="1"/>
  <c r="CZ466" i="1"/>
  <c r="CV466" i="1"/>
  <c r="CG466" i="1"/>
  <c r="BU466" i="1"/>
  <c r="BT466" i="1"/>
  <c r="BQ466" i="1"/>
  <c r="BP466" i="1"/>
  <c r="BH466" i="1"/>
  <c r="BG466" i="1"/>
  <c r="AJ466" i="1"/>
  <c r="AF466" i="1"/>
  <c r="Z466" i="1"/>
  <c r="DI465" i="1"/>
  <c r="CZ465" i="1"/>
  <c r="CV465" i="1"/>
  <c r="CG465" i="1"/>
  <c r="BU465" i="1"/>
  <c r="BT465" i="1"/>
  <c r="BQ465" i="1"/>
  <c r="BH465" i="1"/>
  <c r="BG465" i="1"/>
  <c r="AJ465" i="1"/>
  <c r="AF465" i="1"/>
  <c r="Z465" i="1"/>
  <c r="DY464" i="1"/>
  <c r="DI464" i="1"/>
  <c r="CZ464" i="1"/>
  <c r="CV464" i="1"/>
  <c r="CG464" i="1"/>
  <c r="BU464" i="1"/>
  <c r="BT464" i="1"/>
  <c r="BQ464" i="1"/>
  <c r="BH464" i="1"/>
  <c r="BG464" i="1"/>
  <c r="AJ464" i="1"/>
  <c r="AF464" i="1"/>
  <c r="Z464" i="1"/>
  <c r="DI463" i="1"/>
  <c r="CZ463" i="1"/>
  <c r="CV463" i="1"/>
  <c r="CG463" i="1"/>
  <c r="BU463" i="1"/>
  <c r="BT463" i="1"/>
  <c r="BQ463" i="1"/>
  <c r="BH463" i="1"/>
  <c r="BG463" i="1"/>
  <c r="AJ463" i="1"/>
  <c r="AF463" i="1"/>
  <c r="Z463" i="1"/>
  <c r="DI462" i="1"/>
  <c r="CZ462" i="1"/>
  <c r="CV462" i="1"/>
  <c r="CG462" i="1"/>
  <c r="BU462" i="1"/>
  <c r="BT462" i="1"/>
  <c r="BQ462" i="1"/>
  <c r="BH462" i="1"/>
  <c r="BG462" i="1"/>
  <c r="AJ462" i="1"/>
  <c r="AF462" i="1"/>
  <c r="Z462" i="1"/>
  <c r="DI461" i="1"/>
  <c r="CZ461" i="1"/>
  <c r="CV461" i="1"/>
  <c r="CG461" i="1"/>
  <c r="BU461" i="1"/>
  <c r="BT461" i="1"/>
  <c r="BQ461" i="1"/>
  <c r="BP461" i="1"/>
  <c r="BH461" i="1"/>
  <c r="BG461" i="1"/>
  <c r="AJ461" i="1"/>
  <c r="AF461" i="1"/>
  <c r="Z461" i="1"/>
  <c r="DI460" i="1"/>
  <c r="CZ460" i="1"/>
  <c r="CV460" i="1"/>
  <c r="CG460" i="1"/>
  <c r="BU460" i="1"/>
  <c r="BT460" i="1"/>
  <c r="BQ460" i="1"/>
  <c r="BH460" i="1"/>
  <c r="BG460" i="1"/>
  <c r="AJ460" i="1"/>
  <c r="AF460" i="1"/>
  <c r="AE460" i="1" s="1"/>
  <c r="Z460" i="1"/>
  <c r="DI459" i="1"/>
  <c r="CZ459" i="1"/>
  <c r="CV459" i="1"/>
  <c r="CG459" i="1"/>
  <c r="BU459" i="1"/>
  <c r="BT459" i="1"/>
  <c r="BQ459" i="1"/>
  <c r="BH459" i="1"/>
  <c r="BG459" i="1"/>
  <c r="AJ459" i="1"/>
  <c r="AF459" i="1"/>
  <c r="Z459" i="1"/>
  <c r="DI458" i="1"/>
  <c r="CZ458" i="1"/>
  <c r="CV458" i="1"/>
  <c r="CG458" i="1"/>
  <c r="BU458" i="1"/>
  <c r="BT458" i="1"/>
  <c r="BQ458" i="1"/>
  <c r="BP458" i="1"/>
  <c r="BH458" i="1"/>
  <c r="BG458" i="1"/>
  <c r="AJ458" i="1"/>
  <c r="AF458" i="1"/>
  <c r="AE458" i="1" s="1"/>
  <c r="Z458" i="1"/>
  <c r="DI457" i="1"/>
  <c r="CZ457" i="1"/>
  <c r="CV457" i="1"/>
  <c r="CG457" i="1"/>
  <c r="BU457" i="1"/>
  <c r="BT457" i="1"/>
  <c r="BQ457" i="1"/>
  <c r="BH457" i="1"/>
  <c r="BG457" i="1"/>
  <c r="AJ457" i="1"/>
  <c r="AF457" i="1"/>
  <c r="AE457" i="1" s="1"/>
  <c r="AD457" i="1"/>
  <c r="Z457" i="1"/>
  <c r="DI456" i="1"/>
  <c r="CZ456" i="1"/>
  <c r="CV456" i="1"/>
  <c r="CG456" i="1"/>
  <c r="BU456" i="1"/>
  <c r="BT456" i="1"/>
  <c r="BQ456" i="1"/>
  <c r="BH456" i="1"/>
  <c r="BG456" i="1"/>
  <c r="AJ456" i="1"/>
  <c r="AF456" i="1"/>
  <c r="AE456" i="1" s="1"/>
  <c r="Z456" i="1"/>
  <c r="DV455" i="1"/>
  <c r="DN455" i="1"/>
  <c r="DI455" i="1"/>
  <c r="CZ455" i="1"/>
  <c r="CV455" i="1"/>
  <c r="CG455" i="1"/>
  <c r="BU455" i="1"/>
  <c r="BT455" i="1"/>
  <c r="BQ455" i="1"/>
  <c r="BH455" i="1"/>
  <c r="BG455" i="1"/>
  <c r="AJ455" i="1"/>
  <c r="AF455" i="1"/>
  <c r="Z455" i="1"/>
  <c r="AF454" i="1"/>
  <c r="Z454" i="1"/>
  <c r="DX453" i="1"/>
  <c r="DI453" i="1"/>
  <c r="CZ453" i="1"/>
  <c r="CV453" i="1"/>
  <c r="CG453" i="1"/>
  <c r="BU453" i="1"/>
  <c r="BT453" i="1"/>
  <c r="BQ453" i="1"/>
  <c r="BH453" i="1"/>
  <c r="BG453" i="1"/>
  <c r="AJ453" i="1"/>
  <c r="AF453" i="1"/>
  <c r="AD453" i="1" s="1"/>
  <c r="Z453" i="1"/>
  <c r="DY452" i="1"/>
  <c r="DU452" i="1"/>
  <c r="DI452" i="1"/>
  <c r="CZ452" i="1"/>
  <c r="CV452" i="1"/>
  <c r="CG452" i="1"/>
  <c r="BU452" i="1"/>
  <c r="BT452" i="1"/>
  <c r="BQ452" i="1"/>
  <c r="BH452" i="1"/>
  <c r="BG452" i="1"/>
  <c r="AJ452" i="1"/>
  <c r="AF452" i="1"/>
  <c r="DS451" i="1"/>
  <c r="DI451" i="1"/>
  <c r="CZ451" i="1"/>
  <c r="CV451" i="1"/>
  <c r="CG451" i="1"/>
  <c r="BU451" i="1"/>
  <c r="BT451" i="1"/>
  <c r="BQ451" i="1"/>
  <c r="BP451" i="1"/>
  <c r="BH451" i="1"/>
  <c r="BG451" i="1"/>
  <c r="AJ451" i="1"/>
  <c r="AF451" i="1"/>
  <c r="AE451" i="1" s="1"/>
  <c r="Z451" i="1"/>
  <c r="DW450" i="1"/>
  <c r="DI450" i="1"/>
  <c r="CZ450" i="1"/>
  <c r="CV450" i="1"/>
  <c r="CG450" i="1"/>
  <c r="BU450" i="1"/>
  <c r="BT450" i="1"/>
  <c r="BQ450" i="1"/>
  <c r="BH450" i="1"/>
  <c r="BG450" i="1"/>
  <c r="AJ450" i="1"/>
  <c r="AF450" i="1"/>
  <c r="AE450" i="1" s="1"/>
  <c r="AD450" i="1"/>
  <c r="DW449" i="1"/>
  <c r="DI449" i="1"/>
  <c r="CZ449" i="1"/>
  <c r="CV449" i="1"/>
  <c r="CG449" i="1"/>
  <c r="BU449" i="1"/>
  <c r="BT449" i="1"/>
  <c r="BQ449" i="1"/>
  <c r="BP449" i="1"/>
  <c r="BH449" i="1"/>
  <c r="BG449" i="1"/>
  <c r="AJ449" i="1"/>
  <c r="AF449" i="1"/>
  <c r="AE449" i="1" s="1"/>
  <c r="Z449" i="1"/>
  <c r="DU448" i="1"/>
  <c r="DI448" i="1"/>
  <c r="CZ448" i="1"/>
  <c r="CV448" i="1"/>
  <c r="CG448" i="1"/>
  <c r="BU448" i="1"/>
  <c r="BT448" i="1"/>
  <c r="BQ448" i="1"/>
  <c r="BP448" i="1"/>
  <c r="BH448" i="1"/>
  <c r="BG448" i="1"/>
  <c r="AJ448" i="1"/>
  <c r="AF448" i="1"/>
  <c r="AE448" i="1" s="1"/>
  <c r="AD448" i="1"/>
  <c r="Z448" i="1"/>
  <c r="DX447" i="1"/>
  <c r="DW447" i="1"/>
  <c r="DR447" i="1"/>
  <c r="DI447" i="1"/>
  <c r="CZ447" i="1"/>
  <c r="CV447" i="1"/>
  <c r="CG447" i="1"/>
  <c r="BU447" i="1"/>
  <c r="BT447" i="1"/>
  <c r="BQ447" i="1"/>
  <c r="BH447" i="1"/>
  <c r="BG447" i="1"/>
  <c r="AJ447" i="1"/>
  <c r="AF447" i="1"/>
  <c r="AE447" i="1"/>
  <c r="AD447" i="1"/>
  <c r="Z447" i="1"/>
  <c r="DU446" i="1"/>
  <c r="DI446" i="1"/>
  <c r="CZ446" i="1"/>
  <c r="CV446" i="1"/>
  <c r="CG446" i="1"/>
  <c r="BU446" i="1"/>
  <c r="BT446" i="1"/>
  <c r="BQ446" i="1"/>
  <c r="BH446" i="1"/>
  <c r="BG446" i="1"/>
  <c r="AJ446" i="1"/>
  <c r="AF446" i="1"/>
  <c r="AE446" i="1"/>
  <c r="AD446" i="1"/>
  <c r="Z446" i="1"/>
  <c r="DW445" i="1"/>
  <c r="DI445" i="1"/>
  <c r="CZ445" i="1"/>
  <c r="CV445" i="1"/>
  <c r="CG445" i="1"/>
  <c r="BU445" i="1"/>
  <c r="BT445" i="1"/>
  <c r="BQ445" i="1"/>
  <c r="BH445" i="1"/>
  <c r="BG445" i="1"/>
  <c r="AJ445" i="1"/>
  <c r="AF445" i="1"/>
  <c r="AE445" i="1" s="1"/>
  <c r="Z445" i="1"/>
  <c r="DT444" i="1"/>
  <c r="DS444" i="1"/>
  <c r="DI444" i="1"/>
  <c r="CZ444" i="1"/>
  <c r="CV444" i="1"/>
  <c r="CG444" i="1"/>
  <c r="BU444" i="1"/>
  <c r="BT444" i="1"/>
  <c r="BQ444" i="1"/>
  <c r="BH444" i="1"/>
  <c r="BG444" i="1"/>
  <c r="AJ444" i="1"/>
  <c r="AF444" i="1"/>
  <c r="Z444" i="1"/>
  <c r="DV443" i="1"/>
  <c r="DI443" i="1"/>
  <c r="CZ443" i="1"/>
  <c r="CV443" i="1"/>
  <c r="CG443" i="1"/>
  <c r="BU443" i="1"/>
  <c r="BT443" i="1"/>
  <c r="BQ443" i="1"/>
  <c r="BH443" i="1"/>
  <c r="BG443" i="1"/>
  <c r="AJ443" i="1"/>
  <c r="AF443" i="1"/>
  <c r="AE443" i="1" s="1"/>
  <c r="DZ442" i="1"/>
  <c r="DX442" i="1"/>
  <c r="DI442" i="1"/>
  <c r="CZ442" i="1"/>
  <c r="CV442" i="1"/>
  <c r="CG442" i="1"/>
  <c r="BU442" i="1"/>
  <c r="BT442" i="1"/>
  <c r="BQ442" i="1"/>
  <c r="BH442" i="1"/>
  <c r="BG442" i="1"/>
  <c r="AJ442" i="1"/>
  <c r="AF442" i="1"/>
  <c r="DI441" i="1"/>
  <c r="CZ441" i="1"/>
  <c r="CV441" i="1"/>
  <c r="CG441" i="1"/>
  <c r="BU441" i="1"/>
  <c r="BT441" i="1"/>
  <c r="BQ441" i="1"/>
  <c r="BP441" i="1"/>
  <c r="BH441" i="1"/>
  <c r="BG441" i="1"/>
  <c r="AJ441" i="1"/>
  <c r="AF441" i="1"/>
  <c r="AE441" i="1" s="1"/>
  <c r="Z441" i="1"/>
  <c r="DI440" i="1"/>
  <c r="CZ440" i="1"/>
  <c r="CV440" i="1"/>
  <c r="CG440" i="1"/>
  <c r="BU440" i="1"/>
  <c r="BT440" i="1"/>
  <c r="BQ440" i="1"/>
  <c r="BH440" i="1"/>
  <c r="BG440" i="1"/>
  <c r="AJ440" i="1"/>
  <c r="AF440" i="1"/>
  <c r="Z440" i="1"/>
  <c r="DV439" i="1"/>
  <c r="DU439" i="1"/>
  <c r="DT439" i="1"/>
  <c r="DS439" i="1"/>
  <c r="DI439" i="1"/>
  <c r="CZ439" i="1"/>
  <c r="CV439" i="1"/>
  <c r="CG439" i="1"/>
  <c r="BU439" i="1"/>
  <c r="BT439" i="1"/>
  <c r="BQ439" i="1"/>
  <c r="BP439" i="1"/>
  <c r="BH439" i="1"/>
  <c r="BG439" i="1"/>
  <c r="AJ439" i="1"/>
  <c r="AF439" i="1"/>
  <c r="AE439" i="1" s="1"/>
  <c r="Z439" i="1"/>
  <c r="DV438" i="1"/>
  <c r="DU438" i="1"/>
  <c r="DT438" i="1"/>
  <c r="DI438" i="1"/>
  <c r="CZ438" i="1"/>
  <c r="CV438" i="1"/>
  <c r="CG438" i="1"/>
  <c r="BU438" i="1"/>
  <c r="BT438" i="1"/>
  <c r="BQ438" i="1"/>
  <c r="BH438" i="1"/>
  <c r="BG438" i="1"/>
  <c r="AJ438" i="1"/>
  <c r="AF438" i="1"/>
  <c r="AE438" i="1" s="1"/>
  <c r="DW437" i="1"/>
  <c r="DI437" i="1"/>
  <c r="CZ437" i="1"/>
  <c r="CV437" i="1"/>
  <c r="CG437" i="1"/>
  <c r="BU437" i="1"/>
  <c r="BT437" i="1"/>
  <c r="BQ437" i="1"/>
  <c r="BP437" i="1"/>
  <c r="BH437" i="1"/>
  <c r="BG437" i="1"/>
  <c r="AJ437" i="1"/>
  <c r="AF437" i="1"/>
  <c r="Z437" i="1"/>
  <c r="DU436" i="1"/>
  <c r="DS436" i="1"/>
  <c r="DI436" i="1"/>
  <c r="CZ436" i="1"/>
  <c r="CV436" i="1"/>
  <c r="CG436" i="1"/>
  <c r="BU436" i="1"/>
  <c r="BT436" i="1"/>
  <c r="BQ436" i="1"/>
  <c r="BH436" i="1"/>
  <c r="BG436" i="1"/>
  <c r="AJ436" i="1"/>
  <c r="AF436" i="1"/>
  <c r="Z436" i="1"/>
  <c r="DS435" i="1"/>
  <c r="DI435" i="1"/>
  <c r="CZ435" i="1"/>
  <c r="CV435" i="1"/>
  <c r="CG435" i="1"/>
  <c r="BU435" i="1"/>
  <c r="BT435" i="1"/>
  <c r="BQ435" i="1"/>
  <c r="BP435" i="1"/>
  <c r="BH435" i="1"/>
  <c r="BG435" i="1"/>
  <c r="AJ435" i="1"/>
  <c r="AF435" i="1"/>
  <c r="AE435" i="1" s="1"/>
  <c r="Z435" i="1"/>
  <c r="DQ434" i="1"/>
  <c r="DI434" i="1"/>
  <c r="CZ434" i="1"/>
  <c r="CV434" i="1"/>
  <c r="CG434" i="1"/>
  <c r="BU434" i="1"/>
  <c r="BT434" i="1"/>
  <c r="BQ434" i="1"/>
  <c r="BH434" i="1"/>
  <c r="BG434" i="1"/>
  <c r="AJ434" i="1"/>
  <c r="AF434" i="1"/>
  <c r="AE434" i="1" s="1"/>
  <c r="Z434" i="1"/>
  <c r="DW433" i="1"/>
  <c r="DI433" i="1"/>
  <c r="CZ433" i="1"/>
  <c r="CV433" i="1"/>
  <c r="CG433" i="1"/>
  <c r="BU433" i="1"/>
  <c r="BT433" i="1"/>
  <c r="BQ433" i="1"/>
  <c r="BH433" i="1"/>
  <c r="BG433" i="1"/>
  <c r="AJ433" i="1"/>
  <c r="AF433" i="1"/>
  <c r="Z433" i="1"/>
  <c r="DU432" i="1"/>
  <c r="DI432" i="1"/>
  <c r="CZ432" i="1"/>
  <c r="CV432" i="1"/>
  <c r="CG432" i="1"/>
  <c r="BU432" i="1"/>
  <c r="BT432" i="1"/>
  <c r="BQ432" i="1"/>
  <c r="BH432" i="1"/>
  <c r="BG432" i="1"/>
  <c r="AJ432" i="1"/>
  <c r="AF432" i="1"/>
  <c r="Z432" i="1"/>
  <c r="DU431" i="1"/>
  <c r="DI431" i="1"/>
  <c r="CZ431" i="1"/>
  <c r="CV431" i="1"/>
  <c r="CG431" i="1"/>
  <c r="BU431" i="1"/>
  <c r="BT431" i="1"/>
  <c r="BQ431" i="1"/>
  <c r="BH431" i="1"/>
  <c r="BG431" i="1"/>
  <c r="AJ431" i="1"/>
  <c r="AF431" i="1"/>
  <c r="Z431" i="1"/>
  <c r="DW430" i="1"/>
  <c r="DV430" i="1"/>
  <c r="DI430" i="1"/>
  <c r="CZ430" i="1"/>
  <c r="CV430" i="1"/>
  <c r="CG430" i="1"/>
  <c r="BU430" i="1"/>
  <c r="BT430" i="1"/>
  <c r="BQ430" i="1"/>
  <c r="BH430" i="1"/>
  <c r="BG430" i="1"/>
  <c r="AJ430" i="1"/>
  <c r="AF430" i="1"/>
  <c r="Z430" i="1"/>
  <c r="DT429" i="1"/>
  <c r="DI429" i="1"/>
  <c r="CZ429" i="1"/>
  <c r="CV429" i="1"/>
  <c r="CG429" i="1"/>
  <c r="BU429" i="1"/>
  <c r="BT429" i="1"/>
  <c r="BQ429" i="1"/>
  <c r="BH429" i="1"/>
  <c r="BG429" i="1"/>
  <c r="AJ429" i="1"/>
  <c r="AF429" i="1"/>
  <c r="Z429" i="1"/>
  <c r="DV428" i="1"/>
  <c r="DU428" i="1"/>
  <c r="DI428" i="1"/>
  <c r="CZ428" i="1"/>
  <c r="CV428" i="1"/>
  <c r="CG428" i="1"/>
  <c r="BU428" i="1"/>
  <c r="BT428" i="1"/>
  <c r="BQ428" i="1"/>
  <c r="BP428" i="1"/>
  <c r="BH428" i="1"/>
  <c r="BG428" i="1"/>
  <c r="AJ428" i="1"/>
  <c r="AF428" i="1"/>
  <c r="Z428" i="1"/>
  <c r="AF427" i="1"/>
  <c r="Z427" i="1"/>
  <c r="DI426" i="1"/>
  <c r="CZ426" i="1"/>
  <c r="CV426" i="1"/>
  <c r="CG426" i="1"/>
  <c r="BU426" i="1"/>
  <c r="BT426" i="1"/>
  <c r="BQ426" i="1"/>
  <c r="BH426" i="1"/>
  <c r="BG426" i="1"/>
  <c r="AJ426" i="1"/>
  <c r="AF426" i="1"/>
  <c r="Z426" i="1"/>
  <c r="DI425" i="1"/>
  <c r="CZ425" i="1"/>
  <c r="CV425" i="1"/>
  <c r="CG425" i="1"/>
  <c r="BU425" i="1"/>
  <c r="BT425" i="1"/>
  <c r="BQ425" i="1"/>
  <c r="BH425" i="1"/>
  <c r="BG425" i="1"/>
  <c r="AJ425" i="1"/>
  <c r="AF425" i="1"/>
  <c r="Z425" i="1"/>
  <c r="DI424" i="1"/>
  <c r="CZ424" i="1"/>
  <c r="CV424" i="1"/>
  <c r="CG424" i="1"/>
  <c r="BU424" i="1"/>
  <c r="BT424" i="1"/>
  <c r="BQ424" i="1"/>
  <c r="BP424" i="1"/>
  <c r="BH424" i="1"/>
  <c r="BG424" i="1"/>
  <c r="AJ424" i="1"/>
  <c r="AF424" i="1"/>
  <c r="Z424" i="1"/>
  <c r="DV423" i="1"/>
  <c r="DI423" i="1"/>
  <c r="CZ423" i="1"/>
  <c r="CV423" i="1"/>
  <c r="CG423" i="1"/>
  <c r="BU423" i="1"/>
  <c r="BT423" i="1"/>
  <c r="BQ423" i="1"/>
  <c r="BH423" i="1"/>
  <c r="BG423" i="1"/>
  <c r="AJ423" i="1"/>
  <c r="AF423" i="1"/>
  <c r="Z423" i="1"/>
  <c r="DI422" i="1"/>
  <c r="CZ422" i="1"/>
  <c r="CV422" i="1"/>
  <c r="CG422" i="1"/>
  <c r="BU422" i="1"/>
  <c r="BT422" i="1"/>
  <c r="BQ422" i="1"/>
  <c r="BP422" i="1"/>
  <c r="BH422" i="1"/>
  <c r="BG422" i="1"/>
  <c r="AJ422" i="1"/>
  <c r="AF422" i="1"/>
  <c r="AE422" i="1" s="1"/>
  <c r="AD422" i="1"/>
  <c r="Z422" i="1"/>
  <c r="DI421" i="1"/>
  <c r="CZ421" i="1"/>
  <c r="CV421" i="1"/>
  <c r="CG421" i="1"/>
  <c r="BU421" i="1"/>
  <c r="BT421" i="1"/>
  <c r="BQ421" i="1"/>
  <c r="BP421" i="1"/>
  <c r="BH421" i="1"/>
  <c r="BG421" i="1"/>
  <c r="AJ421" i="1"/>
  <c r="AF421" i="1"/>
  <c r="Z421" i="1"/>
  <c r="DI420" i="1"/>
  <c r="CZ420" i="1"/>
  <c r="CV420" i="1"/>
  <c r="CG420" i="1"/>
  <c r="BU420" i="1"/>
  <c r="BT420" i="1"/>
  <c r="BQ420" i="1"/>
  <c r="BP420" i="1"/>
  <c r="BH420" i="1"/>
  <c r="BG420" i="1"/>
  <c r="AJ420" i="1"/>
  <c r="AF420" i="1"/>
  <c r="AE420" i="1" s="1"/>
  <c r="Z420" i="1"/>
  <c r="DI419" i="1"/>
  <c r="CZ419" i="1"/>
  <c r="CV419" i="1"/>
  <c r="CG419" i="1"/>
  <c r="BU419" i="1"/>
  <c r="BT419" i="1"/>
  <c r="BQ419" i="1"/>
  <c r="BH419" i="1"/>
  <c r="BG419" i="1"/>
  <c r="AJ419" i="1"/>
  <c r="AF419" i="1"/>
  <c r="Z419" i="1"/>
  <c r="DI418" i="1"/>
  <c r="CZ418" i="1"/>
  <c r="CV418" i="1"/>
  <c r="CG418" i="1"/>
  <c r="BU418" i="1"/>
  <c r="BT418" i="1"/>
  <c r="BQ418" i="1"/>
  <c r="BH418" i="1"/>
  <c r="BG418" i="1"/>
  <c r="AJ418" i="1"/>
  <c r="AF418" i="1"/>
  <c r="AE418" i="1" s="1"/>
  <c r="Z418" i="1"/>
  <c r="AF417" i="1"/>
  <c r="Z417" i="1"/>
  <c r="CZ416" i="1"/>
  <c r="CG416" i="1"/>
  <c r="BU416" i="1"/>
  <c r="BQ416" i="1"/>
  <c r="BH416" i="1"/>
  <c r="BG416" i="1"/>
  <c r="AF416" i="1"/>
  <c r="Z416" i="1"/>
  <c r="DT415" i="1"/>
  <c r="CZ415" i="1"/>
  <c r="CG415" i="1"/>
  <c r="BU415" i="1"/>
  <c r="BQ415" i="1"/>
  <c r="BH415" i="1"/>
  <c r="BG415" i="1"/>
  <c r="AF415" i="1"/>
  <c r="AE415" i="1" s="1"/>
  <c r="AD415" i="1"/>
  <c r="Z415" i="1"/>
  <c r="DT414" i="1"/>
  <c r="CZ414" i="1"/>
  <c r="CG414" i="1"/>
  <c r="BU414" i="1"/>
  <c r="BQ414" i="1"/>
  <c r="BH414" i="1"/>
  <c r="BG414" i="1"/>
  <c r="AF414" i="1"/>
  <c r="Z414" i="1"/>
  <c r="DS413" i="1"/>
  <c r="CZ413" i="1"/>
  <c r="CG413" i="1"/>
  <c r="BU413" i="1"/>
  <c r="BQ413" i="1"/>
  <c r="BH413" i="1"/>
  <c r="BG413" i="1"/>
  <c r="AF413" i="1"/>
  <c r="Z413" i="1"/>
  <c r="DT412" i="1"/>
  <c r="CZ412" i="1"/>
  <c r="CG412" i="1"/>
  <c r="BU412" i="1"/>
  <c r="BQ412" i="1"/>
  <c r="BH412" i="1"/>
  <c r="BG412" i="1"/>
  <c r="AF412" i="1"/>
  <c r="AD412" i="1" s="1"/>
  <c r="AE412" i="1"/>
  <c r="Z412" i="1"/>
  <c r="CZ411" i="1"/>
  <c r="CG411" i="1"/>
  <c r="BU411" i="1"/>
  <c r="BQ411" i="1"/>
  <c r="BH411" i="1"/>
  <c r="BG411" i="1"/>
  <c r="AF411" i="1"/>
  <c r="AE411" i="1" s="1"/>
  <c r="Z411" i="1"/>
  <c r="CZ410" i="1"/>
  <c r="CG410" i="1"/>
  <c r="BU410" i="1"/>
  <c r="BQ410" i="1"/>
  <c r="BH410" i="1"/>
  <c r="BG410" i="1"/>
  <c r="AF410" i="1"/>
  <c r="Z410" i="1"/>
  <c r="CZ409" i="1"/>
  <c r="CG409" i="1"/>
  <c r="BU409" i="1"/>
  <c r="BQ409" i="1"/>
  <c r="BP409" i="1"/>
  <c r="BH409" i="1"/>
  <c r="BG409" i="1"/>
  <c r="AF409" i="1"/>
  <c r="Z409" i="1"/>
  <c r="CZ408" i="1"/>
  <c r="CG408" i="1"/>
  <c r="BU408" i="1"/>
  <c r="BQ408" i="1"/>
  <c r="BH408" i="1"/>
  <c r="BG408" i="1"/>
  <c r="AF408" i="1"/>
  <c r="Z408" i="1"/>
  <c r="AF407" i="1"/>
  <c r="AE407" i="1" s="1"/>
  <c r="AD407" i="1"/>
  <c r="Z407" i="1"/>
  <c r="DI406" i="1"/>
  <c r="CZ406" i="1"/>
  <c r="CV406" i="1"/>
  <c r="CG406" i="1"/>
  <c r="BU406" i="1"/>
  <c r="BT406" i="1"/>
  <c r="BQ406" i="1"/>
  <c r="BH406" i="1"/>
  <c r="BG406" i="1"/>
  <c r="AJ406" i="1"/>
  <c r="AF406" i="1"/>
  <c r="Z406" i="1"/>
  <c r="DI405" i="1"/>
  <c r="CZ405" i="1"/>
  <c r="CV405" i="1"/>
  <c r="CG405" i="1"/>
  <c r="BU405" i="1"/>
  <c r="BT405" i="1"/>
  <c r="BQ405" i="1"/>
  <c r="BH405" i="1"/>
  <c r="BG405" i="1"/>
  <c r="AJ405" i="1"/>
  <c r="AF405" i="1"/>
  <c r="Z405" i="1"/>
  <c r="DI404" i="1"/>
  <c r="CZ404" i="1"/>
  <c r="CV404" i="1"/>
  <c r="CG404" i="1"/>
  <c r="BU404" i="1"/>
  <c r="BT404" i="1"/>
  <c r="BQ404" i="1"/>
  <c r="BH404" i="1"/>
  <c r="BG404" i="1"/>
  <c r="AJ404" i="1"/>
  <c r="AF404" i="1"/>
  <c r="Z404" i="1"/>
  <c r="DI403" i="1"/>
  <c r="CZ403" i="1"/>
  <c r="CV403" i="1"/>
  <c r="CG403" i="1"/>
  <c r="BU403" i="1"/>
  <c r="BT403" i="1"/>
  <c r="BQ403" i="1"/>
  <c r="BH403" i="1"/>
  <c r="BG403" i="1"/>
  <c r="AJ403" i="1"/>
  <c r="AF403" i="1"/>
  <c r="AD403" i="1" s="1"/>
  <c r="AE403" i="1"/>
  <c r="Z403" i="1"/>
  <c r="DI402" i="1"/>
  <c r="CZ402" i="1"/>
  <c r="CV402" i="1"/>
  <c r="CG402" i="1"/>
  <c r="BU402" i="1"/>
  <c r="BT402" i="1"/>
  <c r="BQ402" i="1"/>
  <c r="BH402" i="1"/>
  <c r="BG402" i="1"/>
  <c r="AJ402" i="1"/>
  <c r="AF402" i="1"/>
  <c r="Z402" i="1"/>
  <c r="DI401" i="1"/>
  <c r="CZ401" i="1"/>
  <c r="CV401" i="1"/>
  <c r="CG401" i="1"/>
  <c r="BU401" i="1"/>
  <c r="BT401" i="1"/>
  <c r="BQ401" i="1"/>
  <c r="BH401" i="1"/>
  <c r="BG401" i="1"/>
  <c r="AJ401" i="1"/>
  <c r="AF401" i="1"/>
  <c r="AE401" i="1" s="1"/>
  <c r="Z401" i="1"/>
  <c r="DU400" i="1"/>
  <c r="DI400" i="1"/>
  <c r="CZ400" i="1"/>
  <c r="CV400" i="1"/>
  <c r="CG400" i="1"/>
  <c r="BU400" i="1"/>
  <c r="BT400" i="1"/>
  <c r="BQ400" i="1"/>
  <c r="BP400" i="1"/>
  <c r="BH400" i="1"/>
  <c r="BG400" i="1"/>
  <c r="AJ400" i="1"/>
  <c r="AF400" i="1"/>
  <c r="Z400" i="1"/>
  <c r="AF399" i="1"/>
  <c r="DZ398" i="1"/>
  <c r="DI398" i="1"/>
  <c r="CZ398" i="1"/>
  <c r="CV398" i="1"/>
  <c r="CG398" i="1"/>
  <c r="BU398" i="1"/>
  <c r="BT398" i="1"/>
  <c r="BQ398" i="1"/>
  <c r="BH398" i="1"/>
  <c r="BG398" i="1"/>
  <c r="AJ398" i="1"/>
  <c r="AF398" i="1"/>
  <c r="AD398" i="1" s="1"/>
  <c r="AE398" i="1"/>
  <c r="DZ397" i="1"/>
  <c r="DI397" i="1"/>
  <c r="CZ397" i="1"/>
  <c r="CV397" i="1"/>
  <c r="CG397" i="1"/>
  <c r="BU397" i="1"/>
  <c r="BT397" i="1"/>
  <c r="BQ397" i="1"/>
  <c r="BH397" i="1"/>
  <c r="BG397" i="1"/>
  <c r="AJ397" i="1"/>
  <c r="AF397" i="1"/>
  <c r="DZ396" i="1"/>
  <c r="DV396" i="1"/>
  <c r="DI396" i="1"/>
  <c r="CZ396" i="1"/>
  <c r="CV396" i="1"/>
  <c r="CG396" i="1"/>
  <c r="BU396" i="1"/>
  <c r="BT396" i="1"/>
  <c r="BQ396" i="1"/>
  <c r="BH396" i="1"/>
  <c r="BG396" i="1"/>
  <c r="AJ396" i="1"/>
  <c r="AF396" i="1"/>
  <c r="DZ395" i="1"/>
  <c r="DI395" i="1"/>
  <c r="CZ395" i="1"/>
  <c r="CV395" i="1"/>
  <c r="CG395" i="1"/>
  <c r="BU395" i="1"/>
  <c r="BT395" i="1"/>
  <c r="BQ395" i="1"/>
  <c r="BH395" i="1"/>
  <c r="BG395" i="1"/>
  <c r="AJ395" i="1"/>
  <c r="AF395" i="1"/>
  <c r="AE395" i="1" s="1"/>
  <c r="DZ394" i="1"/>
  <c r="DX394" i="1"/>
  <c r="CZ394" i="1"/>
  <c r="CG394" i="1"/>
  <c r="BU394" i="1"/>
  <c r="BQ394" i="1"/>
  <c r="BH394" i="1"/>
  <c r="BG394" i="1"/>
  <c r="AF394" i="1"/>
  <c r="DZ393" i="1"/>
  <c r="DX393" i="1"/>
  <c r="DI393" i="1"/>
  <c r="CZ393" i="1"/>
  <c r="CV393" i="1"/>
  <c r="CG393" i="1"/>
  <c r="BU393" i="1"/>
  <c r="BT393" i="1"/>
  <c r="BQ393" i="1"/>
  <c r="BH393" i="1"/>
  <c r="BG393" i="1"/>
  <c r="AJ393" i="1"/>
  <c r="AF393" i="1"/>
  <c r="DZ392" i="1"/>
  <c r="DI392" i="1"/>
  <c r="CZ392" i="1"/>
  <c r="CV392" i="1"/>
  <c r="CG392" i="1"/>
  <c r="BU392" i="1"/>
  <c r="BT392" i="1"/>
  <c r="BQ392" i="1"/>
  <c r="BH392" i="1"/>
  <c r="BG392" i="1"/>
  <c r="AJ392" i="1"/>
  <c r="AF392" i="1"/>
  <c r="AE392" i="1" s="1"/>
  <c r="DZ391" i="1"/>
  <c r="DU391" i="1"/>
  <c r="DI391" i="1"/>
  <c r="CZ391" i="1"/>
  <c r="CV391" i="1"/>
  <c r="CG391" i="1"/>
  <c r="BU391" i="1"/>
  <c r="BT391" i="1"/>
  <c r="BQ391" i="1"/>
  <c r="BH391" i="1"/>
  <c r="BG391" i="1"/>
  <c r="AJ391" i="1"/>
  <c r="AF391" i="1"/>
  <c r="AE391" i="1" s="1"/>
  <c r="AD391" i="1"/>
  <c r="DZ390" i="1"/>
  <c r="DW390" i="1"/>
  <c r="DI390" i="1"/>
  <c r="CZ390" i="1"/>
  <c r="CV390" i="1"/>
  <c r="CG390" i="1"/>
  <c r="BU390" i="1"/>
  <c r="BT390" i="1"/>
  <c r="BQ390" i="1"/>
  <c r="BH390" i="1"/>
  <c r="BG390" i="1"/>
  <c r="AJ390" i="1"/>
  <c r="AF390" i="1"/>
  <c r="AE390" i="1" s="1"/>
  <c r="AD390" i="1"/>
  <c r="DZ389" i="1"/>
  <c r="DI389" i="1"/>
  <c r="CZ389" i="1"/>
  <c r="CV389" i="1"/>
  <c r="CG389" i="1"/>
  <c r="BU389" i="1"/>
  <c r="BT389" i="1"/>
  <c r="BQ389" i="1"/>
  <c r="BH389" i="1"/>
  <c r="BG389" i="1"/>
  <c r="AJ389" i="1"/>
  <c r="AF389" i="1"/>
  <c r="AD389" i="1" s="1"/>
  <c r="DZ388" i="1"/>
  <c r="DI388" i="1"/>
  <c r="CZ388" i="1"/>
  <c r="CV388" i="1"/>
  <c r="CG388" i="1"/>
  <c r="BU388" i="1"/>
  <c r="BT388" i="1"/>
  <c r="BQ388" i="1"/>
  <c r="BH388" i="1"/>
  <c r="BG388" i="1"/>
  <c r="AJ388" i="1"/>
  <c r="AF388" i="1"/>
  <c r="AE388" i="1" s="1"/>
  <c r="AD388" i="1"/>
  <c r="AF387" i="1"/>
  <c r="DQ386" i="1"/>
  <c r="DI386" i="1"/>
  <c r="CZ386" i="1"/>
  <c r="CV386" i="1"/>
  <c r="CG386" i="1"/>
  <c r="BU386" i="1"/>
  <c r="BT386" i="1"/>
  <c r="BQ386" i="1"/>
  <c r="BH386" i="1"/>
  <c r="BG386" i="1"/>
  <c r="AJ386" i="1"/>
  <c r="AF386" i="1"/>
  <c r="Z386" i="1"/>
  <c r="DQ385" i="1"/>
  <c r="DI385" i="1"/>
  <c r="CZ385" i="1"/>
  <c r="CV385" i="1"/>
  <c r="CG385" i="1"/>
  <c r="BU385" i="1"/>
  <c r="BT385" i="1"/>
  <c r="BQ385" i="1"/>
  <c r="BH385" i="1"/>
  <c r="BG385" i="1"/>
  <c r="AJ385" i="1"/>
  <c r="AF385" i="1"/>
  <c r="AE385" i="1" s="1"/>
  <c r="Z385" i="1"/>
  <c r="DQ384" i="1"/>
  <c r="DI384" i="1"/>
  <c r="CZ384" i="1"/>
  <c r="CV384" i="1"/>
  <c r="CG384" i="1"/>
  <c r="BU384" i="1"/>
  <c r="BT384" i="1"/>
  <c r="BQ384" i="1"/>
  <c r="BH384" i="1"/>
  <c r="BG384" i="1"/>
  <c r="AJ384" i="1"/>
  <c r="AF384" i="1"/>
  <c r="Z384" i="1"/>
  <c r="DQ383" i="1"/>
  <c r="DI383" i="1"/>
  <c r="CZ383" i="1"/>
  <c r="CV383" i="1"/>
  <c r="CG383" i="1"/>
  <c r="BU383" i="1"/>
  <c r="BT383" i="1"/>
  <c r="BQ383" i="1"/>
  <c r="BH383" i="1"/>
  <c r="BG383" i="1"/>
  <c r="AJ383" i="1"/>
  <c r="AF383" i="1"/>
  <c r="AE383" i="1"/>
  <c r="AD383" i="1"/>
  <c r="Z383" i="1"/>
  <c r="DQ382" i="1"/>
  <c r="DI382" i="1"/>
  <c r="CZ382" i="1"/>
  <c r="CV382" i="1"/>
  <c r="CG382" i="1"/>
  <c r="BU382" i="1"/>
  <c r="BT382" i="1"/>
  <c r="BQ382" i="1"/>
  <c r="BH382" i="1"/>
  <c r="BG382" i="1"/>
  <c r="AJ382" i="1"/>
  <c r="AF382" i="1"/>
  <c r="AE382" i="1" s="1"/>
  <c r="AD382" i="1"/>
  <c r="Z382" i="1"/>
  <c r="AF381" i="1"/>
  <c r="AE381" i="1" s="1"/>
  <c r="AD381" i="1"/>
  <c r="Z381" i="1"/>
  <c r="DV380" i="1"/>
  <c r="DI380" i="1"/>
  <c r="CZ380" i="1"/>
  <c r="CV380" i="1"/>
  <c r="BU380" i="1"/>
  <c r="BT380" i="1"/>
  <c r="BQ380" i="1"/>
  <c r="BH380" i="1"/>
  <c r="BG380" i="1"/>
  <c r="AJ380" i="1"/>
  <c r="AF380" i="1"/>
  <c r="Z380" i="1"/>
  <c r="DU379" i="1"/>
  <c r="DI379" i="1"/>
  <c r="CZ379" i="1"/>
  <c r="CV379" i="1"/>
  <c r="BU379" i="1"/>
  <c r="BT379" i="1"/>
  <c r="BQ379" i="1"/>
  <c r="BH379" i="1"/>
  <c r="BG379" i="1"/>
  <c r="AJ379" i="1"/>
  <c r="AF379" i="1"/>
  <c r="Z379" i="1"/>
  <c r="DZ378" i="1"/>
  <c r="DU378" i="1"/>
  <c r="DI378" i="1"/>
  <c r="CZ378" i="1"/>
  <c r="CV378" i="1"/>
  <c r="BU378" i="1"/>
  <c r="BT378" i="1"/>
  <c r="BQ378" i="1"/>
  <c r="BH378" i="1"/>
  <c r="BG378" i="1"/>
  <c r="AJ378" i="1"/>
  <c r="AF378" i="1"/>
  <c r="AD378" i="1" s="1"/>
  <c r="AE378" i="1"/>
  <c r="Z378" i="1"/>
  <c r="DW377" i="1"/>
  <c r="DI377" i="1"/>
  <c r="CZ377" i="1"/>
  <c r="CV377" i="1"/>
  <c r="BU377" i="1"/>
  <c r="BT377" i="1"/>
  <c r="BQ377" i="1"/>
  <c r="BH377" i="1"/>
  <c r="BG377" i="1"/>
  <c r="AJ377" i="1"/>
  <c r="AF377" i="1"/>
  <c r="AE377" i="1" s="1"/>
  <c r="Z377" i="1"/>
  <c r="DU376" i="1"/>
  <c r="DI376" i="1"/>
  <c r="CZ376" i="1"/>
  <c r="CV376" i="1"/>
  <c r="BU376" i="1"/>
  <c r="BT376" i="1"/>
  <c r="BQ376" i="1"/>
  <c r="BH376" i="1"/>
  <c r="BG376" i="1"/>
  <c r="AJ376" i="1"/>
  <c r="AF376" i="1"/>
  <c r="AE376" i="1" s="1"/>
  <c r="Z376" i="1"/>
  <c r="DV375" i="1"/>
  <c r="DI375" i="1"/>
  <c r="CZ375" i="1"/>
  <c r="CV375" i="1"/>
  <c r="BU375" i="1"/>
  <c r="BT375" i="1"/>
  <c r="BH375" i="1"/>
  <c r="BG375" i="1"/>
  <c r="AJ375" i="1"/>
  <c r="AF375" i="1"/>
  <c r="Z375" i="1"/>
  <c r="DI374" i="1"/>
  <c r="CZ374" i="1"/>
  <c r="CV374" i="1"/>
  <c r="BU374" i="1"/>
  <c r="BT374" i="1"/>
  <c r="BH374" i="1"/>
  <c r="BG374" i="1"/>
  <c r="AJ374" i="1"/>
  <c r="AF374" i="1"/>
  <c r="Z374" i="1"/>
  <c r="DT373" i="1"/>
  <c r="DI373" i="1"/>
  <c r="CZ373" i="1"/>
  <c r="CV373" i="1"/>
  <c r="BU373" i="1"/>
  <c r="BT373" i="1"/>
  <c r="BQ373" i="1"/>
  <c r="BH373" i="1"/>
  <c r="BG373" i="1"/>
  <c r="AJ373" i="1"/>
  <c r="AF373" i="1"/>
  <c r="Z373" i="1"/>
  <c r="AF372" i="1"/>
  <c r="AE372" i="1" s="1"/>
  <c r="Z372" i="1"/>
  <c r="DS371" i="1"/>
  <c r="DI371" i="1"/>
  <c r="CZ371" i="1"/>
  <c r="CV371" i="1"/>
  <c r="CG371" i="1"/>
  <c r="BU371" i="1"/>
  <c r="BT371" i="1"/>
  <c r="BQ371" i="1"/>
  <c r="BH371" i="1"/>
  <c r="BG371" i="1"/>
  <c r="AJ371" i="1"/>
  <c r="AF371" i="1"/>
  <c r="Z371" i="1"/>
  <c r="DI370" i="1"/>
  <c r="CZ370" i="1"/>
  <c r="CV370" i="1"/>
  <c r="CG370" i="1"/>
  <c r="BU370" i="1"/>
  <c r="BT370" i="1"/>
  <c r="BQ370" i="1"/>
  <c r="BH370" i="1"/>
  <c r="BG370" i="1"/>
  <c r="AJ370" i="1"/>
  <c r="AF370" i="1"/>
  <c r="AE370" i="1" s="1"/>
  <c r="AD370" i="1"/>
  <c r="Z370" i="1"/>
  <c r="DI369" i="1"/>
  <c r="CZ369" i="1"/>
  <c r="CV369" i="1"/>
  <c r="CG369" i="1"/>
  <c r="BU369" i="1"/>
  <c r="BT369" i="1"/>
  <c r="BQ369" i="1"/>
  <c r="BH369" i="1"/>
  <c r="BG369" i="1"/>
  <c r="AF369" i="1"/>
  <c r="Z369" i="1"/>
  <c r="AF368" i="1"/>
  <c r="Z368" i="1"/>
  <c r="DI367" i="1"/>
  <c r="DH367" i="1"/>
  <c r="DG367" i="1"/>
  <c r="DE367" i="1"/>
  <c r="DC367" i="1"/>
  <c r="DB367" i="1"/>
  <c r="DA367" i="1"/>
  <c r="CZ367" i="1"/>
  <c r="CY367" i="1"/>
  <c r="CW367" i="1"/>
  <c r="CV367" i="1"/>
  <c r="CU367" i="1"/>
  <c r="CT367" i="1"/>
  <c r="CS367" i="1"/>
  <c r="CR367" i="1"/>
  <c r="CQ367" i="1"/>
  <c r="CP367" i="1"/>
  <c r="CO367" i="1"/>
  <c r="CN367" i="1"/>
  <c r="CM367" i="1"/>
  <c r="CL367" i="1"/>
  <c r="CK367" i="1"/>
  <c r="CJ367" i="1"/>
  <c r="CG367" i="1"/>
  <c r="CE367" i="1"/>
  <c r="CD367" i="1"/>
  <c r="CC367" i="1"/>
  <c r="CB367" i="1"/>
  <c r="CA367" i="1"/>
  <c r="BZ367" i="1"/>
  <c r="BY367" i="1"/>
  <c r="BX367" i="1"/>
  <c r="BW367" i="1"/>
  <c r="BV367" i="1"/>
  <c r="BU367" i="1"/>
  <c r="BT367" i="1"/>
  <c r="BS367" i="1"/>
  <c r="BR367" i="1"/>
  <c r="BQ367" i="1"/>
  <c r="BP367" i="1"/>
  <c r="BO367" i="1"/>
  <c r="BN367" i="1"/>
  <c r="BM367" i="1"/>
  <c r="BK367" i="1"/>
  <c r="BH367" i="1"/>
  <c r="BG367" i="1"/>
  <c r="BE367" i="1"/>
  <c r="BD367" i="1"/>
  <c r="BC367" i="1"/>
  <c r="BB367" i="1"/>
  <c r="BA367" i="1"/>
  <c r="AZ367" i="1"/>
  <c r="AX367" i="1"/>
  <c r="AW367" i="1"/>
  <c r="AO367" i="1"/>
  <c r="AL367" i="1"/>
  <c r="AK367" i="1"/>
  <c r="AJ367" i="1"/>
  <c r="AF367" i="1"/>
  <c r="AE367" i="1" s="1"/>
  <c r="Z367" i="1"/>
  <c r="AF366" i="1"/>
  <c r="AE366" i="1" s="1"/>
  <c r="Z366" i="1"/>
  <c r="DR365" i="1"/>
  <c r="DI365" i="1"/>
  <c r="DG365" i="1"/>
  <c r="DF365" i="1"/>
  <c r="DE365" i="1"/>
  <c r="DC365" i="1"/>
  <c r="DB365" i="1"/>
  <c r="CZ365" i="1"/>
  <c r="CY365" i="1"/>
  <c r="CW365" i="1"/>
  <c r="CV365" i="1"/>
  <c r="CO365" i="1"/>
  <c r="CN365" i="1"/>
  <c r="CM365" i="1"/>
  <c r="CL365" i="1"/>
  <c r="CK365" i="1"/>
  <c r="CJ365" i="1"/>
  <c r="CH365" i="1"/>
  <c r="CG365" i="1"/>
  <c r="CE365" i="1"/>
  <c r="CD365" i="1"/>
  <c r="CC365" i="1"/>
  <c r="CB365" i="1"/>
  <c r="CA365" i="1"/>
  <c r="BZ365" i="1"/>
  <c r="BY365" i="1"/>
  <c r="BX365" i="1"/>
  <c r="BW365" i="1"/>
  <c r="BV365" i="1"/>
  <c r="BU365" i="1"/>
  <c r="BT365" i="1"/>
  <c r="BS365" i="1"/>
  <c r="BR365" i="1"/>
  <c r="BQ365" i="1"/>
  <c r="BP365" i="1"/>
  <c r="BO365" i="1"/>
  <c r="BN365" i="1"/>
  <c r="BM365" i="1"/>
  <c r="BK365" i="1"/>
  <c r="BJ365" i="1"/>
  <c r="BI365" i="1"/>
  <c r="BH365" i="1"/>
  <c r="BG365" i="1"/>
  <c r="BF365" i="1"/>
  <c r="BE365" i="1"/>
  <c r="BD365" i="1"/>
  <c r="BC365" i="1"/>
  <c r="BB365" i="1"/>
  <c r="AZ365" i="1"/>
  <c r="AX365" i="1"/>
  <c r="AW365" i="1"/>
  <c r="AO365" i="1"/>
  <c r="AM365" i="1"/>
  <c r="AL365" i="1"/>
  <c r="AK365" i="1"/>
  <c r="AJ365" i="1"/>
  <c r="AF365" i="1"/>
  <c r="Z365" i="1"/>
  <c r="EF364" i="1"/>
  <c r="DU364" i="1"/>
  <c r="DI364" i="1"/>
  <c r="CZ364" i="1"/>
  <c r="CV364" i="1"/>
  <c r="CG364" i="1"/>
  <c r="BQ364" i="1"/>
  <c r="BH364" i="1"/>
  <c r="BG364" i="1"/>
  <c r="AJ364" i="1"/>
  <c r="AF364" i="1"/>
  <c r="Z364" i="1"/>
  <c r="AF363" i="1"/>
  <c r="Z363" i="1"/>
  <c r="DI362" i="1"/>
  <c r="CZ362" i="1"/>
  <c r="CV362" i="1"/>
  <c r="CG362" i="1"/>
  <c r="BU362" i="1"/>
  <c r="BT362" i="1"/>
  <c r="BQ362" i="1"/>
  <c r="BH362" i="1"/>
  <c r="BG362" i="1"/>
  <c r="AJ362" i="1"/>
  <c r="AF362" i="1"/>
  <c r="AE362" i="1"/>
  <c r="AD362" i="1"/>
  <c r="Z362" i="1"/>
  <c r="EF361" i="1"/>
  <c r="DU361" i="1"/>
  <c r="DI361" i="1"/>
  <c r="CZ361" i="1"/>
  <c r="CV361" i="1"/>
  <c r="CG361" i="1"/>
  <c r="BU361" i="1"/>
  <c r="BT361" i="1"/>
  <c r="BQ361" i="1"/>
  <c r="BH361" i="1"/>
  <c r="BG361" i="1"/>
  <c r="AJ361" i="1"/>
  <c r="AF361" i="1"/>
  <c r="Z361" i="1"/>
  <c r="DW360" i="1"/>
  <c r="DI360" i="1"/>
  <c r="CZ360" i="1"/>
  <c r="CV360" i="1"/>
  <c r="CG360" i="1"/>
  <c r="BU360" i="1"/>
  <c r="BT360" i="1"/>
  <c r="BQ360" i="1"/>
  <c r="BH360" i="1"/>
  <c r="BG360" i="1"/>
  <c r="AJ360" i="1"/>
  <c r="AF360" i="1"/>
  <c r="Z360" i="1"/>
  <c r="DI359" i="1"/>
  <c r="CZ359" i="1"/>
  <c r="CV359" i="1"/>
  <c r="CG359" i="1"/>
  <c r="BU359" i="1"/>
  <c r="BT359" i="1"/>
  <c r="BQ359" i="1"/>
  <c r="BH359" i="1"/>
  <c r="BG359" i="1"/>
  <c r="AJ359" i="1"/>
  <c r="AF359" i="1"/>
  <c r="AD359" i="1" s="1"/>
  <c r="AE359" i="1"/>
  <c r="Z359" i="1"/>
  <c r="DI358" i="1"/>
  <c r="CZ358" i="1"/>
  <c r="CV358" i="1"/>
  <c r="CG358" i="1"/>
  <c r="BU358" i="1"/>
  <c r="BT358" i="1"/>
  <c r="BQ358" i="1"/>
  <c r="BH358" i="1"/>
  <c r="BG358" i="1"/>
  <c r="AJ358" i="1"/>
  <c r="AF358" i="1"/>
  <c r="Z358" i="1"/>
  <c r="DI357" i="1"/>
  <c r="CZ357" i="1"/>
  <c r="CV357" i="1"/>
  <c r="CG357" i="1"/>
  <c r="BU357" i="1"/>
  <c r="BT357" i="1"/>
  <c r="BQ357" i="1"/>
  <c r="BH357" i="1"/>
  <c r="BG357" i="1"/>
  <c r="AJ357" i="1"/>
  <c r="AF357" i="1"/>
  <c r="AE357" i="1" s="1"/>
  <c r="AD357" i="1"/>
  <c r="Z357" i="1"/>
  <c r="AF356" i="1"/>
  <c r="AE356" i="1" s="1"/>
  <c r="Z356" i="1"/>
  <c r="DT355" i="1"/>
  <c r="DR355" i="1"/>
  <c r="DI355" i="1"/>
  <c r="CZ355" i="1"/>
  <c r="CV355" i="1"/>
  <c r="CG355" i="1"/>
  <c r="BU355" i="1"/>
  <c r="BT355" i="1"/>
  <c r="BQ355" i="1"/>
  <c r="BH355" i="1"/>
  <c r="BG355" i="1"/>
  <c r="AJ355" i="1"/>
  <c r="AF355" i="1"/>
  <c r="AE355" i="1" s="1"/>
  <c r="Z355" i="1"/>
  <c r="DI354" i="1"/>
  <c r="CZ354" i="1"/>
  <c r="CV354" i="1"/>
  <c r="CG354" i="1"/>
  <c r="BU354" i="1"/>
  <c r="BT354" i="1"/>
  <c r="BQ354" i="1"/>
  <c r="BH354" i="1"/>
  <c r="BG354" i="1"/>
  <c r="AJ354" i="1"/>
  <c r="AF354" i="1"/>
  <c r="Z354" i="1"/>
  <c r="DI353" i="1"/>
  <c r="CZ353" i="1"/>
  <c r="CV353" i="1"/>
  <c r="CG353" i="1"/>
  <c r="BU353" i="1"/>
  <c r="BT353" i="1"/>
  <c r="BQ353" i="1"/>
  <c r="BH353" i="1"/>
  <c r="BG353" i="1"/>
  <c r="AJ353" i="1"/>
  <c r="AF353" i="1"/>
  <c r="Z353" i="1"/>
  <c r="DI352" i="1"/>
  <c r="CZ352" i="1"/>
  <c r="CV352" i="1"/>
  <c r="CG352" i="1"/>
  <c r="BU352" i="1"/>
  <c r="BT352" i="1"/>
  <c r="BQ352" i="1"/>
  <c r="BH352" i="1"/>
  <c r="BG352" i="1"/>
  <c r="AJ352" i="1"/>
  <c r="AF352" i="1"/>
  <c r="AE352" i="1" s="1"/>
  <c r="Z352" i="1"/>
  <c r="AF351" i="1"/>
  <c r="AE351" i="1" s="1"/>
  <c r="Z351" i="1"/>
  <c r="DI350" i="1"/>
  <c r="CZ350" i="1"/>
  <c r="CV350" i="1"/>
  <c r="CG350" i="1"/>
  <c r="BU350" i="1"/>
  <c r="BT350" i="1"/>
  <c r="BQ350" i="1"/>
  <c r="BH350" i="1"/>
  <c r="BG350" i="1"/>
  <c r="AJ350" i="1"/>
  <c r="AF350" i="1"/>
  <c r="Z350" i="1"/>
  <c r="DI349" i="1"/>
  <c r="CZ349" i="1"/>
  <c r="CV349" i="1"/>
  <c r="CG349" i="1"/>
  <c r="BU349" i="1"/>
  <c r="BT349" i="1"/>
  <c r="BQ349" i="1"/>
  <c r="BH349" i="1"/>
  <c r="BG349" i="1"/>
  <c r="AJ349" i="1"/>
  <c r="AF349" i="1"/>
  <c r="AE349" i="1" s="1"/>
  <c r="Z349" i="1"/>
  <c r="DI348" i="1"/>
  <c r="CZ348" i="1"/>
  <c r="CV348" i="1"/>
  <c r="CG348" i="1"/>
  <c r="BU348" i="1"/>
  <c r="BT348" i="1"/>
  <c r="BQ348" i="1"/>
  <c r="BH348" i="1"/>
  <c r="BG348" i="1"/>
  <c r="AJ348" i="1"/>
  <c r="AF348" i="1"/>
  <c r="AE348" i="1" s="1"/>
  <c r="Z348" i="1"/>
  <c r="DV347" i="1"/>
  <c r="DI347" i="1"/>
  <c r="CZ347" i="1"/>
  <c r="CV347" i="1"/>
  <c r="CG347" i="1"/>
  <c r="BU347" i="1"/>
  <c r="BT347" i="1"/>
  <c r="BQ347" i="1"/>
  <c r="BP347" i="1"/>
  <c r="BH347" i="1"/>
  <c r="BG347" i="1"/>
  <c r="AJ347" i="1"/>
  <c r="AF347" i="1"/>
  <c r="AE347" i="1" s="1"/>
  <c r="Z347" i="1"/>
  <c r="DI346" i="1"/>
  <c r="CZ346" i="1"/>
  <c r="CV346" i="1"/>
  <c r="CG346" i="1"/>
  <c r="BU346" i="1"/>
  <c r="BT346" i="1"/>
  <c r="BQ346" i="1"/>
  <c r="BH346" i="1"/>
  <c r="BG346" i="1"/>
  <c r="AJ346" i="1"/>
  <c r="AF346" i="1"/>
  <c r="AE346" i="1" s="1"/>
  <c r="Z346" i="1"/>
  <c r="DS345" i="1"/>
  <c r="DI345" i="1"/>
  <c r="CZ345" i="1"/>
  <c r="CV345" i="1"/>
  <c r="CG345" i="1"/>
  <c r="BU345" i="1"/>
  <c r="BT345" i="1"/>
  <c r="BQ345" i="1"/>
  <c r="BP345" i="1"/>
  <c r="BH345" i="1"/>
  <c r="BG345" i="1"/>
  <c r="AJ345" i="1"/>
  <c r="AF345" i="1"/>
  <c r="AE345" i="1" s="1"/>
  <c r="Z345" i="1"/>
  <c r="DI344" i="1"/>
  <c r="CZ344" i="1"/>
  <c r="CV344" i="1"/>
  <c r="CG344" i="1"/>
  <c r="BU344" i="1"/>
  <c r="BT344" i="1"/>
  <c r="BQ344" i="1"/>
  <c r="BH344" i="1"/>
  <c r="BG344" i="1"/>
  <c r="AJ344" i="1"/>
  <c r="AF344" i="1"/>
  <c r="Z344" i="1"/>
  <c r="AF343" i="1"/>
  <c r="Z343" i="1"/>
  <c r="EH342" i="1"/>
  <c r="DL342" i="1"/>
  <c r="DI342" i="1"/>
  <c r="CZ342" i="1"/>
  <c r="CV342" i="1"/>
  <c r="CG342" i="1"/>
  <c r="BU342" i="1"/>
  <c r="BT342" i="1"/>
  <c r="BQ342" i="1"/>
  <c r="BH342" i="1"/>
  <c r="BG342" i="1"/>
  <c r="AJ342" i="1"/>
  <c r="AF342" i="1"/>
  <c r="Z342" i="1"/>
  <c r="DV341" i="1"/>
  <c r="DL341" i="1"/>
  <c r="DI341" i="1"/>
  <c r="CZ341" i="1"/>
  <c r="CV341" i="1"/>
  <c r="CG341" i="1"/>
  <c r="BU341" i="1"/>
  <c r="BT341" i="1"/>
  <c r="BQ341" i="1"/>
  <c r="BP341" i="1"/>
  <c r="BH341" i="1"/>
  <c r="BG341" i="1"/>
  <c r="AJ341" i="1"/>
  <c r="AF341" i="1"/>
  <c r="Z341" i="1"/>
  <c r="DI340" i="1"/>
  <c r="CZ340" i="1"/>
  <c r="CV340" i="1"/>
  <c r="CG340" i="1"/>
  <c r="BU340" i="1"/>
  <c r="BT340" i="1"/>
  <c r="BQ340" i="1"/>
  <c r="BH340" i="1"/>
  <c r="BG340" i="1"/>
  <c r="AJ340" i="1"/>
  <c r="AF340" i="1"/>
  <c r="Z340" i="1"/>
  <c r="DU339" i="1"/>
  <c r="DI339" i="1"/>
  <c r="CZ339" i="1"/>
  <c r="CV339" i="1"/>
  <c r="CG339" i="1"/>
  <c r="BU339" i="1"/>
  <c r="BT339" i="1"/>
  <c r="BQ339" i="1"/>
  <c r="BH339" i="1"/>
  <c r="BG339" i="1"/>
  <c r="AJ339" i="1"/>
  <c r="AF339" i="1"/>
  <c r="Z339" i="1"/>
  <c r="DS338" i="1"/>
  <c r="DL338" i="1"/>
  <c r="DI338" i="1"/>
  <c r="CZ338" i="1"/>
  <c r="CV338" i="1"/>
  <c r="CG338" i="1"/>
  <c r="BU338" i="1"/>
  <c r="BT338" i="1"/>
  <c r="BQ338" i="1"/>
  <c r="BH338" i="1"/>
  <c r="BG338" i="1"/>
  <c r="AJ338" i="1"/>
  <c r="AF338" i="1"/>
  <c r="Z338" i="1"/>
  <c r="DL337" i="1"/>
  <c r="DI337" i="1"/>
  <c r="CZ337" i="1"/>
  <c r="CV337" i="1"/>
  <c r="CG337" i="1"/>
  <c r="BU337" i="1"/>
  <c r="BT337" i="1"/>
  <c r="BQ337" i="1"/>
  <c r="BH337" i="1"/>
  <c r="BG337" i="1"/>
  <c r="AJ337" i="1"/>
  <c r="AF337" i="1"/>
  <c r="AD337" i="1" s="1"/>
  <c r="AE337" i="1"/>
  <c r="Z337" i="1"/>
  <c r="AF336" i="1"/>
  <c r="AE336" i="1" s="1"/>
  <c r="Z336" i="1"/>
  <c r="DV335" i="1"/>
  <c r="DI335" i="1"/>
  <c r="CZ335" i="1"/>
  <c r="CV335" i="1"/>
  <c r="CG335" i="1"/>
  <c r="BU335" i="1"/>
  <c r="BT335" i="1"/>
  <c r="BQ335" i="1"/>
  <c r="BH335" i="1"/>
  <c r="BG335" i="1"/>
  <c r="AJ335" i="1"/>
  <c r="AF335" i="1"/>
  <c r="AE335" i="1" s="1"/>
  <c r="Z335" i="1"/>
  <c r="DY334" i="1"/>
  <c r="DX334" i="1"/>
  <c r="DV334" i="1"/>
  <c r="DI334" i="1"/>
  <c r="CZ334" i="1"/>
  <c r="CV334" i="1"/>
  <c r="CG334" i="1"/>
  <c r="BU334" i="1"/>
  <c r="BT334" i="1"/>
  <c r="BQ334" i="1"/>
  <c r="BH334" i="1"/>
  <c r="BG334" i="1"/>
  <c r="AJ334" i="1"/>
  <c r="AF334" i="1"/>
  <c r="Z334" i="1"/>
  <c r="DW333" i="1"/>
  <c r="DI333" i="1"/>
  <c r="CZ333" i="1"/>
  <c r="CV333" i="1"/>
  <c r="CG333" i="1"/>
  <c r="BU333" i="1"/>
  <c r="BT333" i="1"/>
  <c r="BQ333" i="1"/>
  <c r="BH333" i="1"/>
  <c r="BG333" i="1"/>
  <c r="AJ333" i="1"/>
  <c r="AF333" i="1"/>
  <c r="Z333" i="1"/>
  <c r="DX332" i="1"/>
  <c r="DI332" i="1"/>
  <c r="CZ332" i="1"/>
  <c r="CV332" i="1"/>
  <c r="CG332" i="1"/>
  <c r="BU332" i="1"/>
  <c r="BT332" i="1"/>
  <c r="BQ332" i="1"/>
  <c r="BH332" i="1"/>
  <c r="BG332" i="1"/>
  <c r="AJ332" i="1"/>
  <c r="AF332" i="1"/>
  <c r="Z332" i="1"/>
  <c r="DV331" i="1"/>
  <c r="DI331" i="1"/>
  <c r="CZ331" i="1"/>
  <c r="CV331" i="1"/>
  <c r="CG331" i="1"/>
  <c r="BU331" i="1"/>
  <c r="BT331" i="1"/>
  <c r="BQ331" i="1"/>
  <c r="BP331" i="1"/>
  <c r="BH331" i="1"/>
  <c r="BG331" i="1"/>
  <c r="AJ331" i="1"/>
  <c r="AF331" i="1"/>
  <c r="Z331" i="1"/>
  <c r="DU330" i="1"/>
  <c r="DI330" i="1"/>
  <c r="CZ330" i="1"/>
  <c r="CV330" i="1"/>
  <c r="CG330" i="1"/>
  <c r="BU330" i="1"/>
  <c r="BT330" i="1"/>
  <c r="BQ330" i="1"/>
  <c r="BH330" i="1"/>
  <c r="BG330" i="1"/>
  <c r="AJ330" i="1"/>
  <c r="AF330" i="1"/>
  <c r="AE330" i="1" s="1"/>
  <c r="Z330" i="1"/>
  <c r="DR329" i="1"/>
  <c r="DI329" i="1"/>
  <c r="CZ329" i="1"/>
  <c r="CV329" i="1"/>
  <c r="CG329" i="1"/>
  <c r="BU329" i="1"/>
  <c r="BT329" i="1"/>
  <c r="BQ329" i="1"/>
  <c r="BP329" i="1"/>
  <c r="BH329" i="1"/>
  <c r="BG329" i="1"/>
  <c r="AJ329" i="1"/>
  <c r="AF329" i="1"/>
  <c r="AE329" i="1"/>
  <c r="AD329" i="1"/>
  <c r="Z329" i="1"/>
  <c r="DW328" i="1"/>
  <c r="DI328" i="1"/>
  <c r="CZ328" i="1"/>
  <c r="CV328" i="1"/>
  <c r="CG328" i="1"/>
  <c r="BU328" i="1"/>
  <c r="BT328" i="1"/>
  <c r="BQ328" i="1"/>
  <c r="BH328" i="1"/>
  <c r="BG328" i="1"/>
  <c r="AJ328" i="1"/>
  <c r="AF328" i="1"/>
  <c r="Z328" i="1"/>
  <c r="DT327" i="1"/>
  <c r="DI327" i="1"/>
  <c r="CZ327" i="1"/>
  <c r="CV327" i="1"/>
  <c r="CG327" i="1"/>
  <c r="BU327" i="1"/>
  <c r="BT327" i="1"/>
  <c r="BQ327" i="1"/>
  <c r="BH327" i="1"/>
  <c r="BG327" i="1"/>
  <c r="AJ327" i="1"/>
  <c r="AF327" i="1"/>
  <c r="AE327" i="1" s="1"/>
  <c r="Z327" i="1"/>
  <c r="DY326" i="1"/>
  <c r="DI326" i="1"/>
  <c r="CZ326" i="1"/>
  <c r="CV326" i="1"/>
  <c r="CG326" i="1"/>
  <c r="BU326" i="1"/>
  <c r="BT326" i="1"/>
  <c r="BQ326" i="1"/>
  <c r="BH326" i="1"/>
  <c r="BG326" i="1"/>
  <c r="AJ326" i="1"/>
  <c r="AF326" i="1"/>
  <c r="Z326" i="1"/>
  <c r="AF325" i="1"/>
  <c r="AE325" i="1" s="1"/>
  <c r="AD325" i="1"/>
  <c r="Z325" i="1"/>
  <c r="DI324" i="1"/>
  <c r="CZ324" i="1"/>
  <c r="CV324" i="1"/>
  <c r="CG324" i="1"/>
  <c r="BU324" i="1"/>
  <c r="BT324" i="1"/>
  <c r="BQ324" i="1"/>
  <c r="BH324" i="1"/>
  <c r="BG324" i="1"/>
  <c r="AJ324" i="1"/>
  <c r="AF324" i="1"/>
  <c r="AE324" i="1" s="1"/>
  <c r="Z324" i="1"/>
  <c r="DI323" i="1"/>
  <c r="CZ323" i="1"/>
  <c r="CV323" i="1"/>
  <c r="CG323" i="1"/>
  <c r="BU323" i="1"/>
  <c r="BT323" i="1"/>
  <c r="BQ323" i="1"/>
  <c r="BH323" i="1"/>
  <c r="BG323" i="1"/>
  <c r="AJ323" i="1"/>
  <c r="AF323" i="1"/>
  <c r="AE323" i="1" s="1"/>
  <c r="Z323" i="1"/>
  <c r="DI322" i="1"/>
  <c r="CZ322" i="1"/>
  <c r="CV322" i="1"/>
  <c r="CG322" i="1"/>
  <c r="BU322" i="1"/>
  <c r="BT322" i="1"/>
  <c r="BQ322" i="1"/>
  <c r="BH322" i="1"/>
  <c r="BG322" i="1"/>
  <c r="AJ322" i="1"/>
  <c r="AF322" i="1"/>
  <c r="AD322" i="1" s="1"/>
  <c r="AE322" i="1"/>
  <c r="Z322" i="1"/>
  <c r="DT321" i="1"/>
  <c r="DI321" i="1"/>
  <c r="CZ321" i="1"/>
  <c r="CV321" i="1"/>
  <c r="CG321" i="1"/>
  <c r="BU321" i="1"/>
  <c r="BT321" i="1"/>
  <c r="BQ321" i="1"/>
  <c r="BH321" i="1"/>
  <c r="BG321" i="1"/>
  <c r="AJ321" i="1"/>
  <c r="AF321" i="1"/>
  <c r="Z321" i="1"/>
  <c r="DI320" i="1"/>
  <c r="CZ320" i="1"/>
  <c r="CV320" i="1"/>
  <c r="CG320" i="1"/>
  <c r="BU320" i="1"/>
  <c r="BT320" i="1"/>
  <c r="BQ320" i="1"/>
  <c r="BH320" i="1"/>
  <c r="BG320" i="1"/>
  <c r="AJ320" i="1"/>
  <c r="AF320" i="1"/>
  <c r="Z320" i="1"/>
  <c r="EH319" i="1"/>
  <c r="AF319" i="1"/>
  <c r="AE319" i="1" s="1"/>
  <c r="Z319" i="1"/>
  <c r="DI318" i="1"/>
  <c r="CZ318" i="1"/>
  <c r="CV318" i="1"/>
  <c r="CG318" i="1"/>
  <c r="BU318" i="1"/>
  <c r="BT318" i="1"/>
  <c r="BQ318" i="1"/>
  <c r="BH318" i="1"/>
  <c r="BG318" i="1"/>
  <c r="AJ318" i="1"/>
  <c r="AF318" i="1"/>
  <c r="Z318" i="1"/>
  <c r="DI317" i="1"/>
  <c r="CZ317" i="1"/>
  <c r="CV317" i="1"/>
  <c r="CG317" i="1"/>
  <c r="BU317" i="1"/>
  <c r="BT317" i="1"/>
  <c r="BQ317" i="1"/>
  <c r="BP317" i="1"/>
  <c r="BH317" i="1"/>
  <c r="BG317" i="1"/>
  <c r="AJ317" i="1"/>
  <c r="AF317" i="1"/>
  <c r="Z317" i="1"/>
  <c r="DI316" i="1"/>
  <c r="CZ316" i="1"/>
  <c r="CV316" i="1"/>
  <c r="CG316" i="1"/>
  <c r="BU316" i="1"/>
  <c r="BT316" i="1"/>
  <c r="BQ316" i="1"/>
  <c r="BH316" i="1"/>
  <c r="BG316" i="1"/>
  <c r="AJ316" i="1"/>
  <c r="AF316" i="1"/>
  <c r="AE316" i="1"/>
  <c r="AD316" i="1"/>
  <c r="Z316" i="1"/>
  <c r="DI315" i="1"/>
  <c r="CZ315" i="1"/>
  <c r="CV315" i="1"/>
  <c r="CG315" i="1"/>
  <c r="BU315" i="1"/>
  <c r="BT315" i="1"/>
  <c r="BQ315" i="1"/>
  <c r="BH315" i="1"/>
  <c r="BG315" i="1"/>
  <c r="AJ315" i="1"/>
  <c r="AF315" i="1"/>
  <c r="AE315" i="1" s="1"/>
  <c r="Z315" i="1"/>
  <c r="DI314" i="1"/>
  <c r="CZ314" i="1"/>
  <c r="CV314" i="1"/>
  <c r="CG314" i="1"/>
  <c r="BU314" i="1"/>
  <c r="BT314" i="1"/>
  <c r="BQ314" i="1"/>
  <c r="BP314" i="1"/>
  <c r="BH314" i="1"/>
  <c r="BG314" i="1"/>
  <c r="AJ314" i="1"/>
  <c r="AF314" i="1"/>
  <c r="AE314" i="1" s="1"/>
  <c r="Z314" i="1"/>
  <c r="DT313" i="1"/>
  <c r="DS313" i="1"/>
  <c r="DI313" i="1"/>
  <c r="CZ313" i="1"/>
  <c r="CV313" i="1"/>
  <c r="CG313" i="1"/>
  <c r="BU313" i="1"/>
  <c r="BT313" i="1"/>
  <c r="BQ313" i="1"/>
  <c r="BP313" i="1"/>
  <c r="BH313" i="1"/>
  <c r="BG313" i="1"/>
  <c r="AJ313" i="1"/>
  <c r="AF313" i="1"/>
  <c r="Z313" i="1"/>
  <c r="DI312" i="1"/>
  <c r="CZ312" i="1"/>
  <c r="CV312" i="1"/>
  <c r="CG312" i="1"/>
  <c r="BU312" i="1"/>
  <c r="BT312" i="1"/>
  <c r="BQ312" i="1"/>
  <c r="BP312" i="1"/>
  <c r="BH312" i="1"/>
  <c r="BG312" i="1"/>
  <c r="AJ312" i="1"/>
  <c r="AF312" i="1"/>
  <c r="AE312" i="1" s="1"/>
  <c r="Z312" i="1"/>
  <c r="DI311" i="1"/>
  <c r="CZ311" i="1"/>
  <c r="CV311" i="1"/>
  <c r="CG311" i="1"/>
  <c r="BU311" i="1"/>
  <c r="BT311" i="1"/>
  <c r="BQ311" i="1"/>
  <c r="BH311" i="1"/>
  <c r="BG311" i="1"/>
  <c r="AJ311" i="1"/>
  <c r="AF311" i="1"/>
  <c r="Z311" i="1"/>
  <c r="EF310" i="1"/>
  <c r="AF310" i="1"/>
  <c r="AE310" i="1" s="1"/>
  <c r="Z310" i="1"/>
  <c r="DI309" i="1"/>
  <c r="CZ309" i="1"/>
  <c r="CV309" i="1"/>
  <c r="CG309" i="1"/>
  <c r="BU309" i="1"/>
  <c r="BT309" i="1"/>
  <c r="BQ309" i="1"/>
  <c r="BP309" i="1"/>
  <c r="BH309" i="1"/>
  <c r="BG309" i="1"/>
  <c r="AJ309" i="1"/>
  <c r="AF309" i="1"/>
  <c r="AE309" i="1"/>
  <c r="AD309" i="1"/>
  <c r="Z309" i="1"/>
  <c r="DI308" i="1"/>
  <c r="CZ308" i="1"/>
  <c r="CV308" i="1"/>
  <c r="CG308" i="1"/>
  <c r="BU308" i="1"/>
  <c r="BT308" i="1"/>
  <c r="BQ308" i="1"/>
  <c r="BH308" i="1"/>
  <c r="BG308" i="1"/>
  <c r="AJ308" i="1"/>
  <c r="AF308" i="1"/>
  <c r="Z308" i="1"/>
  <c r="DI307" i="1"/>
  <c r="CZ307" i="1"/>
  <c r="CV307" i="1"/>
  <c r="CG307" i="1"/>
  <c r="BU307" i="1"/>
  <c r="BT307" i="1"/>
  <c r="BQ307" i="1"/>
  <c r="BP307" i="1"/>
  <c r="BH307" i="1"/>
  <c r="BG307" i="1"/>
  <c r="AJ307" i="1"/>
  <c r="AF307" i="1"/>
  <c r="AD307" i="1" s="1"/>
  <c r="Z307" i="1"/>
  <c r="DI306" i="1"/>
  <c r="CZ306" i="1"/>
  <c r="CV306" i="1"/>
  <c r="CG306" i="1"/>
  <c r="BU306" i="1"/>
  <c r="BT306" i="1"/>
  <c r="BQ306" i="1"/>
  <c r="BP306" i="1"/>
  <c r="BH306" i="1"/>
  <c r="BG306" i="1"/>
  <c r="AJ306" i="1"/>
  <c r="AF306" i="1"/>
  <c r="AD306" i="1" s="1"/>
  <c r="Z306" i="1"/>
  <c r="DI305" i="1"/>
  <c r="CZ305" i="1"/>
  <c r="CV305" i="1"/>
  <c r="CG305" i="1"/>
  <c r="BU305" i="1"/>
  <c r="BT305" i="1"/>
  <c r="BQ305" i="1"/>
  <c r="BP305" i="1"/>
  <c r="BH305" i="1"/>
  <c r="BG305" i="1"/>
  <c r="AJ305" i="1"/>
  <c r="AF305" i="1"/>
  <c r="AD305" i="1" s="1"/>
  <c r="Z305" i="1"/>
  <c r="DI304" i="1"/>
  <c r="CZ304" i="1"/>
  <c r="CV304" i="1"/>
  <c r="CG304" i="1"/>
  <c r="BU304" i="1"/>
  <c r="BT304" i="1"/>
  <c r="BQ304" i="1"/>
  <c r="BH304" i="1"/>
  <c r="BG304" i="1"/>
  <c r="AJ304" i="1"/>
  <c r="AF304" i="1"/>
  <c r="AE304" i="1" s="1"/>
  <c r="Z304" i="1"/>
  <c r="DW303" i="1"/>
  <c r="DI303" i="1"/>
  <c r="CZ303" i="1"/>
  <c r="CV303" i="1"/>
  <c r="CG303" i="1"/>
  <c r="BU303" i="1"/>
  <c r="BT303" i="1"/>
  <c r="BQ303" i="1"/>
  <c r="BH303" i="1"/>
  <c r="BG303" i="1"/>
  <c r="AJ303" i="1"/>
  <c r="AF303" i="1"/>
  <c r="Z303" i="1"/>
  <c r="AF302" i="1"/>
  <c r="AE302" i="1" s="1"/>
  <c r="Z302" i="1"/>
  <c r="DV301" i="1"/>
  <c r="DI301" i="1"/>
  <c r="CZ301" i="1"/>
  <c r="CV301" i="1"/>
  <c r="CG301" i="1"/>
  <c r="BU301" i="1"/>
  <c r="BT301" i="1"/>
  <c r="BQ301" i="1"/>
  <c r="BH301" i="1"/>
  <c r="BG301" i="1"/>
  <c r="AJ301" i="1"/>
  <c r="AF301" i="1"/>
  <c r="AE301" i="1"/>
  <c r="AD301" i="1"/>
  <c r="Z301" i="1"/>
  <c r="DI300" i="1"/>
  <c r="CZ300" i="1"/>
  <c r="CV300" i="1"/>
  <c r="CG300" i="1"/>
  <c r="BU300" i="1"/>
  <c r="BT300" i="1"/>
  <c r="BQ300" i="1"/>
  <c r="BH300" i="1"/>
  <c r="BG300" i="1"/>
  <c r="AJ300" i="1"/>
  <c r="AF300" i="1"/>
  <c r="Z300" i="1"/>
  <c r="DT299" i="1"/>
  <c r="DI299" i="1"/>
  <c r="CZ299" i="1"/>
  <c r="CV299" i="1"/>
  <c r="CG299" i="1"/>
  <c r="BU299" i="1"/>
  <c r="BT299" i="1"/>
  <c r="BQ299" i="1"/>
  <c r="BH299" i="1"/>
  <c r="BG299" i="1"/>
  <c r="AJ299" i="1"/>
  <c r="AF299" i="1"/>
  <c r="AE299" i="1" s="1"/>
  <c r="AD299" i="1"/>
  <c r="Z299" i="1"/>
  <c r="DI298" i="1"/>
  <c r="CZ298" i="1"/>
  <c r="CV298" i="1"/>
  <c r="CG298" i="1"/>
  <c r="BU298" i="1"/>
  <c r="BT298" i="1"/>
  <c r="BQ298" i="1"/>
  <c r="BH298" i="1"/>
  <c r="BG298" i="1"/>
  <c r="AJ298" i="1"/>
  <c r="AF298" i="1"/>
  <c r="AE298" i="1" s="1"/>
  <c r="Z298" i="1"/>
  <c r="DT297" i="1"/>
  <c r="DI297" i="1"/>
  <c r="CZ297" i="1"/>
  <c r="CV297" i="1"/>
  <c r="CG297" i="1"/>
  <c r="BU297" i="1"/>
  <c r="BT297" i="1"/>
  <c r="BQ297" i="1"/>
  <c r="BH297" i="1"/>
  <c r="BG297" i="1"/>
  <c r="AJ297" i="1"/>
  <c r="AF297" i="1"/>
  <c r="AD297" i="1" s="1"/>
  <c r="Z297" i="1"/>
  <c r="DI296" i="1"/>
  <c r="CZ296" i="1"/>
  <c r="CV296" i="1"/>
  <c r="CG296" i="1"/>
  <c r="BU296" i="1"/>
  <c r="BT296" i="1"/>
  <c r="BQ296" i="1"/>
  <c r="BH296" i="1"/>
  <c r="BG296" i="1"/>
  <c r="AJ296" i="1"/>
  <c r="AF296" i="1"/>
  <c r="AE296" i="1" s="1"/>
  <c r="Z296" i="1"/>
  <c r="EF295" i="1"/>
  <c r="DU295" i="1"/>
  <c r="DI295" i="1"/>
  <c r="CZ295" i="1"/>
  <c r="CV295" i="1"/>
  <c r="CG295" i="1"/>
  <c r="BU295" i="1"/>
  <c r="BT295" i="1"/>
  <c r="BQ295" i="1"/>
  <c r="BH295" i="1"/>
  <c r="BG295" i="1"/>
  <c r="AJ295" i="1"/>
  <c r="AF295" i="1"/>
  <c r="Z295" i="1"/>
  <c r="DI294" i="1"/>
  <c r="CZ294" i="1"/>
  <c r="CV294" i="1"/>
  <c r="CG294" i="1"/>
  <c r="BU294" i="1"/>
  <c r="BT294" i="1"/>
  <c r="BQ294" i="1"/>
  <c r="BH294" i="1"/>
  <c r="BG294" i="1"/>
  <c r="AJ294" i="1"/>
  <c r="AF294" i="1"/>
  <c r="AE294" i="1" s="1"/>
  <c r="AD294" i="1"/>
  <c r="Z294" i="1"/>
  <c r="DT293" i="1"/>
  <c r="DI293" i="1"/>
  <c r="CZ293" i="1"/>
  <c r="CV293" i="1"/>
  <c r="CG293" i="1"/>
  <c r="BU293" i="1"/>
  <c r="BT293" i="1"/>
  <c r="BQ293" i="1"/>
  <c r="BH293" i="1"/>
  <c r="BG293" i="1"/>
  <c r="AJ293" i="1"/>
  <c r="AF293" i="1"/>
  <c r="AE293" i="1" s="1"/>
  <c r="Z293" i="1"/>
  <c r="DT292" i="1"/>
  <c r="DI292" i="1"/>
  <c r="CZ292" i="1"/>
  <c r="CV292" i="1"/>
  <c r="CG292" i="1"/>
  <c r="BU292" i="1"/>
  <c r="BT292" i="1"/>
  <c r="BQ292" i="1"/>
  <c r="BH292" i="1"/>
  <c r="BG292" i="1"/>
  <c r="AJ292" i="1"/>
  <c r="AF292" i="1"/>
  <c r="Z292" i="1"/>
  <c r="DI291" i="1"/>
  <c r="CZ291" i="1"/>
  <c r="CV291" i="1"/>
  <c r="CG291" i="1"/>
  <c r="BU291" i="1"/>
  <c r="BT291" i="1"/>
  <c r="BQ291" i="1"/>
  <c r="BH291" i="1"/>
  <c r="BG291" i="1"/>
  <c r="AJ291" i="1"/>
  <c r="AF291" i="1"/>
  <c r="AE291" i="1" s="1"/>
  <c r="Z291" i="1"/>
  <c r="DS290" i="1"/>
  <c r="DI290" i="1"/>
  <c r="CZ290" i="1"/>
  <c r="CV290" i="1"/>
  <c r="CG290" i="1"/>
  <c r="BU290" i="1"/>
  <c r="BT290" i="1"/>
  <c r="BQ290" i="1"/>
  <c r="BH290" i="1"/>
  <c r="BG290" i="1"/>
  <c r="AJ290" i="1"/>
  <c r="AF290" i="1"/>
  <c r="Z290" i="1"/>
  <c r="DW289" i="1"/>
  <c r="DV289" i="1"/>
  <c r="DI289" i="1"/>
  <c r="CZ289" i="1"/>
  <c r="CV289" i="1"/>
  <c r="CG289" i="1"/>
  <c r="BU289" i="1"/>
  <c r="BT289" i="1"/>
  <c r="BQ289" i="1"/>
  <c r="BH289" i="1"/>
  <c r="BG289" i="1"/>
  <c r="AJ289" i="1"/>
  <c r="AF289" i="1"/>
  <c r="Z289" i="1"/>
  <c r="DI288" i="1"/>
  <c r="CZ288" i="1"/>
  <c r="CV288" i="1"/>
  <c r="CG288" i="1"/>
  <c r="BU288" i="1"/>
  <c r="BT288" i="1"/>
  <c r="BQ288" i="1"/>
  <c r="BH288" i="1"/>
  <c r="BG288" i="1"/>
  <c r="AJ288" i="1"/>
  <c r="AF288" i="1"/>
  <c r="Z288" i="1"/>
  <c r="DT287" i="1"/>
  <c r="DI287" i="1"/>
  <c r="CZ287" i="1"/>
  <c r="CV287" i="1"/>
  <c r="CG287" i="1"/>
  <c r="BU287" i="1"/>
  <c r="BT287" i="1"/>
  <c r="BQ287" i="1"/>
  <c r="BH287" i="1"/>
  <c r="BG287" i="1"/>
  <c r="AJ287" i="1"/>
  <c r="AF287" i="1"/>
  <c r="Z287" i="1"/>
  <c r="AF286" i="1"/>
  <c r="AE286" i="1" s="1"/>
  <c r="Z286" i="1"/>
  <c r="DZ285" i="1"/>
  <c r="DI285" i="1"/>
  <c r="CZ285" i="1"/>
  <c r="CV285" i="1"/>
  <c r="CG285" i="1"/>
  <c r="BU285" i="1"/>
  <c r="BT285" i="1"/>
  <c r="BQ285" i="1"/>
  <c r="BH285" i="1"/>
  <c r="BG285" i="1"/>
  <c r="AJ285" i="1"/>
  <c r="AF285" i="1"/>
  <c r="Z285" i="1"/>
  <c r="DZ284" i="1"/>
  <c r="DY284" i="1"/>
  <c r="DI284" i="1"/>
  <c r="CZ284" i="1"/>
  <c r="CV284" i="1"/>
  <c r="CG284" i="1"/>
  <c r="BU284" i="1"/>
  <c r="BT284" i="1"/>
  <c r="BQ284" i="1"/>
  <c r="BH284" i="1"/>
  <c r="BG284" i="1"/>
  <c r="AJ284" i="1"/>
  <c r="AF284" i="1"/>
  <c r="Z284" i="1"/>
  <c r="DZ283" i="1"/>
  <c r="DW283" i="1"/>
  <c r="DI283" i="1"/>
  <c r="CZ283" i="1"/>
  <c r="CV283" i="1"/>
  <c r="CG283" i="1"/>
  <c r="BU283" i="1"/>
  <c r="BT283" i="1"/>
  <c r="BQ283" i="1"/>
  <c r="BH283" i="1"/>
  <c r="BG283" i="1"/>
  <c r="AJ283" i="1"/>
  <c r="AF283" i="1"/>
  <c r="AE283" i="1" s="1"/>
  <c r="AD283" i="1"/>
  <c r="Z283" i="1"/>
  <c r="DZ282" i="1"/>
  <c r="DI282" i="1"/>
  <c r="DE282" i="1"/>
  <c r="DC282" i="1"/>
  <c r="CZ282" i="1"/>
  <c r="CX282" i="1"/>
  <c r="CV282" i="1"/>
  <c r="CH282" i="1"/>
  <c r="CG282" i="1"/>
  <c r="BU282" i="1"/>
  <c r="BT282" i="1"/>
  <c r="BS282" i="1"/>
  <c r="BQ282" i="1"/>
  <c r="BM282" i="1"/>
  <c r="BK282" i="1"/>
  <c r="BJ282" i="1"/>
  <c r="BH282" i="1"/>
  <c r="BG282" i="1"/>
  <c r="AW282" i="1"/>
  <c r="AM282" i="1"/>
  <c r="AJ282" i="1"/>
  <c r="AI282" i="1"/>
  <c r="AF282" i="1"/>
  <c r="Z282" i="1"/>
  <c r="DZ281" i="1"/>
  <c r="DI281" i="1"/>
  <c r="CZ281" i="1"/>
  <c r="CV281" i="1"/>
  <c r="CG281" i="1"/>
  <c r="BU281" i="1"/>
  <c r="BT281" i="1"/>
  <c r="BQ281" i="1"/>
  <c r="BH281" i="1"/>
  <c r="BG281" i="1"/>
  <c r="AJ281" i="1"/>
  <c r="AF281" i="1"/>
  <c r="Z281" i="1"/>
  <c r="DZ280" i="1"/>
  <c r="DI280" i="1"/>
  <c r="CZ280" i="1"/>
  <c r="CV280" i="1"/>
  <c r="CG280" i="1"/>
  <c r="BU280" i="1"/>
  <c r="BT280" i="1"/>
  <c r="BQ280" i="1"/>
  <c r="BH280" i="1"/>
  <c r="BG280" i="1"/>
  <c r="AJ280" i="1"/>
  <c r="AF280" i="1"/>
  <c r="Z280" i="1"/>
  <c r="DZ279" i="1"/>
  <c r="DI279" i="1"/>
  <c r="CZ279" i="1"/>
  <c r="CV279" i="1"/>
  <c r="CG279" i="1"/>
  <c r="BU279" i="1"/>
  <c r="BT279" i="1"/>
  <c r="BQ279" i="1"/>
  <c r="BH279" i="1"/>
  <c r="BG279" i="1"/>
  <c r="AJ279" i="1"/>
  <c r="AF279" i="1"/>
  <c r="AE279" i="1" s="1"/>
  <c r="Z279" i="1"/>
  <c r="DZ278" i="1"/>
  <c r="DI278" i="1"/>
  <c r="CZ278" i="1"/>
  <c r="CV278" i="1"/>
  <c r="CG278" i="1"/>
  <c r="BU278" i="1"/>
  <c r="BT278" i="1"/>
  <c r="BQ278" i="1"/>
  <c r="BH278" i="1"/>
  <c r="BG278" i="1"/>
  <c r="AJ278" i="1"/>
  <c r="AF278" i="1"/>
  <c r="Z278" i="1"/>
  <c r="EF277" i="1"/>
  <c r="DZ277" i="1"/>
  <c r="DI277" i="1"/>
  <c r="CZ277" i="1"/>
  <c r="CV277" i="1"/>
  <c r="CG277" i="1"/>
  <c r="BU277" i="1"/>
  <c r="BT277" i="1"/>
  <c r="BQ277" i="1"/>
  <c r="BH277" i="1"/>
  <c r="BG277" i="1"/>
  <c r="AJ277" i="1"/>
  <c r="AF277" i="1"/>
  <c r="Z277" i="1"/>
  <c r="DZ276" i="1"/>
  <c r="DI276" i="1"/>
  <c r="CZ276" i="1"/>
  <c r="CV276" i="1"/>
  <c r="CG276" i="1"/>
  <c r="BU276" i="1"/>
  <c r="BT276" i="1"/>
  <c r="BQ276" i="1"/>
  <c r="BH276" i="1"/>
  <c r="BG276" i="1"/>
  <c r="AJ276" i="1"/>
  <c r="AF276" i="1"/>
  <c r="Z276" i="1"/>
  <c r="DZ275" i="1"/>
  <c r="DI275" i="1"/>
  <c r="CZ275" i="1"/>
  <c r="CV275" i="1"/>
  <c r="CG275" i="1"/>
  <c r="BU275" i="1"/>
  <c r="BT275" i="1"/>
  <c r="BQ275" i="1"/>
  <c r="BH275" i="1"/>
  <c r="BG275" i="1"/>
  <c r="AJ275" i="1"/>
  <c r="AF275" i="1"/>
  <c r="Z275" i="1"/>
  <c r="AF274" i="1"/>
  <c r="AE274" i="1" s="1"/>
  <c r="Z274" i="1"/>
  <c r="EA273" i="1"/>
  <c r="DZ273" i="1"/>
  <c r="DY273" i="1"/>
  <c r="EC273" i="1" s="1"/>
  <c r="DI273" i="1"/>
  <c r="CZ273" i="1"/>
  <c r="CV273" i="1"/>
  <c r="CG273" i="1"/>
  <c r="BU273" i="1"/>
  <c r="BT273" i="1"/>
  <c r="BQ273" i="1"/>
  <c r="BH273" i="1"/>
  <c r="BG273" i="1"/>
  <c r="AJ273" i="1"/>
  <c r="AF273" i="1"/>
  <c r="Z273" i="1"/>
  <c r="DZ272" i="1"/>
  <c r="DI272" i="1"/>
  <c r="CZ272" i="1"/>
  <c r="CV272" i="1"/>
  <c r="CG272" i="1"/>
  <c r="BU272" i="1"/>
  <c r="BT272" i="1"/>
  <c r="BQ272" i="1"/>
  <c r="BH272" i="1"/>
  <c r="BG272" i="1"/>
  <c r="AJ272" i="1"/>
  <c r="AF272" i="1"/>
  <c r="Z272" i="1"/>
  <c r="DZ271" i="1"/>
  <c r="CZ271" i="1"/>
  <c r="CV271" i="1"/>
  <c r="CG271" i="1"/>
  <c r="BU271" i="1"/>
  <c r="BT271" i="1"/>
  <c r="BQ271" i="1"/>
  <c r="BP271" i="1"/>
  <c r="BH271" i="1"/>
  <c r="BG271" i="1"/>
  <c r="AJ271" i="1"/>
  <c r="AF271" i="1"/>
  <c r="Z271" i="1"/>
  <c r="DZ270" i="1"/>
  <c r="DY270" i="1"/>
  <c r="DI270" i="1"/>
  <c r="CZ270" i="1"/>
  <c r="CV270" i="1"/>
  <c r="CG270" i="1"/>
  <c r="BU270" i="1"/>
  <c r="BQ270" i="1"/>
  <c r="BP270" i="1"/>
  <c r="BH270" i="1"/>
  <c r="BG270" i="1"/>
  <c r="AJ270" i="1"/>
  <c r="AF270" i="1"/>
  <c r="AE270" i="1" s="1"/>
  <c r="Z270" i="1"/>
  <c r="DZ269" i="1"/>
  <c r="DX269" i="1"/>
  <c r="DI269" i="1"/>
  <c r="CZ269" i="1"/>
  <c r="CV269" i="1"/>
  <c r="CG269" i="1"/>
  <c r="BU269" i="1"/>
  <c r="BT269" i="1"/>
  <c r="BQ269" i="1"/>
  <c r="BH269" i="1"/>
  <c r="AJ269" i="1"/>
  <c r="AF269" i="1"/>
  <c r="AE269" i="1" s="1"/>
  <c r="Z269" i="1"/>
  <c r="DZ268" i="1"/>
  <c r="DI268" i="1"/>
  <c r="CZ268" i="1"/>
  <c r="CV268" i="1"/>
  <c r="CG268" i="1"/>
  <c r="BU268" i="1"/>
  <c r="BT268" i="1"/>
  <c r="BQ268" i="1"/>
  <c r="BH268" i="1"/>
  <c r="BG268" i="1"/>
  <c r="AJ268" i="1"/>
  <c r="AF268" i="1"/>
  <c r="AE268" i="1" s="1"/>
  <c r="Z268" i="1"/>
  <c r="DZ267" i="1"/>
  <c r="DY267" i="1"/>
  <c r="DI267" i="1"/>
  <c r="CZ267" i="1"/>
  <c r="CV267" i="1"/>
  <c r="CG267" i="1"/>
  <c r="BU267" i="1"/>
  <c r="BT267" i="1"/>
  <c r="BQ267" i="1"/>
  <c r="BH267" i="1"/>
  <c r="BG267" i="1"/>
  <c r="AJ267" i="1"/>
  <c r="AF267" i="1"/>
  <c r="Z267" i="1"/>
  <c r="EH266" i="1"/>
  <c r="EG266" i="1"/>
  <c r="DZ266" i="1"/>
  <c r="DI266" i="1"/>
  <c r="CZ266" i="1"/>
  <c r="CV266" i="1"/>
  <c r="CG266" i="1"/>
  <c r="BU266" i="1"/>
  <c r="BT266" i="1"/>
  <c r="BQ266" i="1"/>
  <c r="BP266" i="1"/>
  <c r="BH266" i="1"/>
  <c r="BG266" i="1"/>
  <c r="AJ266" i="1"/>
  <c r="AF266" i="1"/>
  <c r="Z266" i="1"/>
  <c r="EH265" i="1"/>
  <c r="EG265" i="1"/>
  <c r="DZ265" i="1"/>
  <c r="DI265" i="1"/>
  <c r="CZ265" i="1"/>
  <c r="CV265" i="1"/>
  <c r="CG265" i="1"/>
  <c r="BU265" i="1"/>
  <c r="BT265" i="1"/>
  <c r="BQ265" i="1"/>
  <c r="BH265" i="1"/>
  <c r="BG265" i="1"/>
  <c r="AJ265" i="1"/>
  <c r="AF265" i="1"/>
  <c r="AD265" i="1" s="1"/>
  <c r="Z265" i="1"/>
  <c r="DZ264" i="1"/>
  <c r="DV264" i="1"/>
  <c r="DI264" i="1"/>
  <c r="CZ264" i="1"/>
  <c r="CV264" i="1"/>
  <c r="CG264" i="1"/>
  <c r="BU264" i="1"/>
  <c r="BT264" i="1"/>
  <c r="BQ264" i="1"/>
  <c r="BH264" i="1"/>
  <c r="BG264" i="1"/>
  <c r="AJ264" i="1"/>
  <c r="AF264" i="1"/>
  <c r="AE264" i="1" s="1"/>
  <c r="AD264" i="1"/>
  <c r="Z264" i="1"/>
  <c r="DZ263" i="1"/>
  <c r="DX263" i="1"/>
  <c r="DI263" i="1"/>
  <c r="CZ263" i="1"/>
  <c r="CV263" i="1"/>
  <c r="CG263" i="1"/>
  <c r="BU263" i="1"/>
  <c r="BT263" i="1"/>
  <c r="BQ263" i="1"/>
  <c r="BH263" i="1"/>
  <c r="BG263" i="1"/>
  <c r="AJ263" i="1"/>
  <c r="AF263" i="1"/>
  <c r="Z263" i="1"/>
  <c r="DZ262" i="1"/>
  <c r="DY262" i="1"/>
  <c r="DI262" i="1"/>
  <c r="CZ262" i="1"/>
  <c r="CV262" i="1"/>
  <c r="CG262" i="1"/>
  <c r="BU262" i="1"/>
  <c r="BT262" i="1"/>
  <c r="BQ262" i="1"/>
  <c r="BH262" i="1"/>
  <c r="BG262" i="1"/>
  <c r="AJ262" i="1"/>
  <c r="AF262" i="1"/>
  <c r="AE262" i="1" s="1"/>
  <c r="AD262" i="1"/>
  <c r="Z262" i="1"/>
  <c r="DZ261" i="1"/>
  <c r="DI261" i="1"/>
  <c r="CZ261" i="1"/>
  <c r="CV261" i="1"/>
  <c r="CG261" i="1"/>
  <c r="BU261" i="1"/>
  <c r="BT261" i="1"/>
  <c r="BQ261" i="1"/>
  <c r="BH261" i="1"/>
  <c r="BG261" i="1"/>
  <c r="AJ261" i="1"/>
  <c r="AF261" i="1"/>
  <c r="Z261" i="1"/>
  <c r="AF260" i="1"/>
  <c r="Z260" i="1"/>
  <c r="EF259" i="1"/>
  <c r="DZ259" i="1"/>
  <c r="DI259" i="1"/>
  <c r="CZ259" i="1"/>
  <c r="CV259" i="1"/>
  <c r="CG259" i="1"/>
  <c r="BU259" i="1"/>
  <c r="BT259" i="1"/>
  <c r="BQ259" i="1"/>
  <c r="BH259" i="1"/>
  <c r="BG259" i="1"/>
  <c r="AJ259" i="1"/>
  <c r="AF259" i="1"/>
  <c r="AE259" i="1" s="1"/>
  <c r="AD259" i="1"/>
  <c r="Z259" i="1"/>
  <c r="DZ258" i="1"/>
  <c r="DI258" i="1"/>
  <c r="CZ258" i="1"/>
  <c r="CV258" i="1"/>
  <c r="CG258" i="1"/>
  <c r="BU258" i="1"/>
  <c r="BT258" i="1"/>
  <c r="BQ258" i="1"/>
  <c r="BH258" i="1"/>
  <c r="BG258" i="1"/>
  <c r="AJ258" i="1"/>
  <c r="AF258" i="1"/>
  <c r="Z258" i="1"/>
  <c r="DZ257" i="1"/>
  <c r="DI257" i="1"/>
  <c r="CZ257" i="1"/>
  <c r="CV257" i="1"/>
  <c r="CG257" i="1"/>
  <c r="BU257" i="1"/>
  <c r="BT257" i="1"/>
  <c r="BQ257" i="1"/>
  <c r="BH257" i="1"/>
  <c r="BG257" i="1"/>
  <c r="AJ257" i="1"/>
  <c r="AF257" i="1"/>
  <c r="AD257" i="1" s="1"/>
  <c r="AE257" i="1"/>
  <c r="Z257" i="1"/>
  <c r="DZ256" i="1"/>
  <c r="DI256" i="1"/>
  <c r="CZ256" i="1"/>
  <c r="CV256" i="1"/>
  <c r="CG256" i="1"/>
  <c r="BU256" i="1"/>
  <c r="BT256" i="1"/>
  <c r="BQ256" i="1"/>
  <c r="BH256" i="1"/>
  <c r="BG256" i="1"/>
  <c r="AJ256" i="1"/>
  <c r="AF256" i="1"/>
  <c r="AE256" i="1"/>
  <c r="AD256" i="1"/>
  <c r="Z256" i="1"/>
  <c r="DZ255" i="1"/>
  <c r="DY255" i="1"/>
  <c r="DI255" i="1"/>
  <c r="CZ255" i="1"/>
  <c r="CV255" i="1"/>
  <c r="CG255" i="1"/>
  <c r="BU255" i="1"/>
  <c r="BT255" i="1"/>
  <c r="BQ255" i="1"/>
  <c r="BH255" i="1"/>
  <c r="BG255" i="1"/>
  <c r="AJ255" i="1"/>
  <c r="AF255" i="1"/>
  <c r="Z255" i="1"/>
  <c r="DZ254" i="1"/>
  <c r="DW254" i="1"/>
  <c r="DI254" i="1"/>
  <c r="CZ254" i="1"/>
  <c r="CV254" i="1"/>
  <c r="CG254" i="1"/>
  <c r="BU254" i="1"/>
  <c r="BT254" i="1"/>
  <c r="BQ254" i="1"/>
  <c r="BH254" i="1"/>
  <c r="BG254" i="1"/>
  <c r="AJ254" i="1"/>
  <c r="AF254" i="1"/>
  <c r="Z254" i="1"/>
  <c r="DZ253" i="1"/>
  <c r="DI253" i="1"/>
  <c r="CZ253" i="1"/>
  <c r="CV253" i="1"/>
  <c r="CG253" i="1"/>
  <c r="BU253" i="1"/>
  <c r="BT253" i="1"/>
  <c r="BQ253" i="1"/>
  <c r="BH253" i="1"/>
  <c r="BG253" i="1"/>
  <c r="AJ253" i="1"/>
  <c r="AF253" i="1"/>
  <c r="AE253" i="1" s="1"/>
  <c r="AD253" i="1"/>
  <c r="Z253" i="1"/>
  <c r="DZ252" i="1"/>
  <c r="DI252" i="1"/>
  <c r="CZ252" i="1"/>
  <c r="CV252" i="1"/>
  <c r="CG252" i="1"/>
  <c r="BU252" i="1"/>
  <c r="BT252" i="1"/>
  <c r="BQ252" i="1"/>
  <c r="BH252" i="1"/>
  <c r="BG252" i="1"/>
  <c r="AJ252" i="1"/>
  <c r="AF252" i="1"/>
  <c r="AE252" i="1" s="1"/>
  <c r="Z252" i="1"/>
  <c r="DZ251" i="1"/>
  <c r="DI251" i="1"/>
  <c r="CZ251" i="1"/>
  <c r="CV251" i="1"/>
  <c r="CG251" i="1"/>
  <c r="BU251" i="1"/>
  <c r="BT251" i="1"/>
  <c r="BQ251" i="1"/>
  <c r="BH251" i="1"/>
  <c r="BG251" i="1"/>
  <c r="AJ251" i="1"/>
  <c r="AF251" i="1"/>
  <c r="Z251" i="1"/>
  <c r="DZ250" i="1"/>
  <c r="DI250" i="1"/>
  <c r="CZ250" i="1"/>
  <c r="CV250" i="1"/>
  <c r="CG250" i="1"/>
  <c r="BU250" i="1"/>
  <c r="BQ250" i="1"/>
  <c r="BH250" i="1"/>
  <c r="BG250" i="1"/>
  <c r="AF250" i="1"/>
  <c r="Z250" i="1"/>
  <c r="DZ249" i="1"/>
  <c r="CZ249" i="1"/>
  <c r="CG249" i="1"/>
  <c r="BU249" i="1"/>
  <c r="BQ249" i="1"/>
  <c r="BH249" i="1"/>
  <c r="BG249" i="1"/>
  <c r="AF249" i="1"/>
  <c r="AE249" i="1" s="1"/>
  <c r="Z249" i="1"/>
  <c r="AF248" i="1"/>
  <c r="Z248" i="1"/>
  <c r="DZ247" i="1"/>
  <c r="CZ247" i="1"/>
  <c r="CG247" i="1"/>
  <c r="BU247" i="1"/>
  <c r="BQ247" i="1"/>
  <c r="BH247" i="1"/>
  <c r="BG247" i="1"/>
  <c r="AF247" i="1"/>
  <c r="Z247" i="1"/>
  <c r="DZ246" i="1"/>
  <c r="CZ246" i="1"/>
  <c r="CG246" i="1"/>
  <c r="BU246" i="1"/>
  <c r="BQ246" i="1"/>
  <c r="BH246" i="1"/>
  <c r="BG246" i="1"/>
  <c r="AF246" i="1"/>
  <c r="AD246" i="1" s="1"/>
  <c r="AE246" i="1"/>
  <c r="Z246" i="1"/>
  <c r="DZ245" i="1"/>
  <c r="CZ245" i="1"/>
  <c r="CG245" i="1"/>
  <c r="BU245" i="1"/>
  <c r="BQ245" i="1"/>
  <c r="BH245" i="1"/>
  <c r="BG245" i="1"/>
  <c r="AF245" i="1"/>
  <c r="Z245" i="1"/>
  <c r="DZ244" i="1"/>
  <c r="CZ244" i="1"/>
  <c r="CG244" i="1"/>
  <c r="BU244" i="1"/>
  <c r="BQ244" i="1"/>
  <c r="BH244" i="1"/>
  <c r="BG244" i="1"/>
  <c r="AF244" i="1"/>
  <c r="AE244" i="1"/>
  <c r="AD244" i="1"/>
  <c r="Z244" i="1"/>
  <c r="DZ243" i="1"/>
  <c r="DW243" i="1"/>
  <c r="CZ243" i="1"/>
  <c r="CG243" i="1"/>
  <c r="BU243" i="1"/>
  <c r="BQ243" i="1"/>
  <c r="BH243" i="1"/>
  <c r="BG243" i="1"/>
  <c r="AF243" i="1"/>
  <c r="Z243" i="1"/>
  <c r="DZ242" i="1"/>
  <c r="DW242" i="1"/>
  <c r="CZ242" i="1"/>
  <c r="CG242" i="1"/>
  <c r="BU242" i="1"/>
  <c r="BQ242" i="1"/>
  <c r="BH242" i="1"/>
  <c r="BG242" i="1"/>
  <c r="AF242" i="1"/>
  <c r="Z242" i="1"/>
  <c r="DZ241" i="1"/>
  <c r="CZ241" i="1"/>
  <c r="CG241" i="1"/>
  <c r="BU241" i="1"/>
  <c r="BQ241" i="1"/>
  <c r="BH241" i="1"/>
  <c r="BG241" i="1"/>
  <c r="AF241" i="1"/>
  <c r="AE241" i="1" s="1"/>
  <c r="AD241" i="1"/>
  <c r="Z241" i="1"/>
  <c r="DZ240" i="1"/>
  <c r="CZ240" i="1"/>
  <c r="CG240" i="1"/>
  <c r="BU240" i="1"/>
  <c r="BQ240" i="1"/>
  <c r="BH240" i="1"/>
  <c r="BG240" i="1"/>
  <c r="AF240" i="1"/>
  <c r="Z240" i="1"/>
  <c r="AF239" i="1"/>
  <c r="Z239" i="1"/>
  <c r="DI238" i="1"/>
  <c r="CZ238" i="1"/>
  <c r="CV238" i="1"/>
  <c r="CG238" i="1"/>
  <c r="BU238" i="1"/>
  <c r="BT238" i="1"/>
  <c r="BQ238" i="1"/>
  <c r="BH238" i="1"/>
  <c r="BG238" i="1"/>
  <c r="AJ238" i="1"/>
  <c r="AF238" i="1"/>
  <c r="Z238" i="1"/>
  <c r="DI237" i="1"/>
  <c r="CZ237" i="1"/>
  <c r="CV237" i="1"/>
  <c r="CG237" i="1"/>
  <c r="BU237" i="1"/>
  <c r="BT237" i="1"/>
  <c r="BQ237" i="1"/>
  <c r="BH237" i="1"/>
  <c r="BG237" i="1"/>
  <c r="AJ237" i="1"/>
  <c r="AF237" i="1"/>
  <c r="Z237" i="1"/>
  <c r="DI236" i="1"/>
  <c r="CZ236" i="1"/>
  <c r="CV236" i="1"/>
  <c r="CG236" i="1"/>
  <c r="BU236" i="1"/>
  <c r="BT236" i="1"/>
  <c r="BQ236" i="1"/>
  <c r="BP236" i="1"/>
  <c r="BH236" i="1"/>
  <c r="BG236" i="1"/>
  <c r="AJ236" i="1"/>
  <c r="AF236" i="1"/>
  <c r="AD236" i="1" s="1"/>
  <c r="AE236" i="1"/>
  <c r="Z236" i="1"/>
  <c r="DI235" i="1"/>
  <c r="CZ235" i="1"/>
  <c r="CV235" i="1"/>
  <c r="CG235" i="1"/>
  <c r="BU235" i="1"/>
  <c r="BT235" i="1"/>
  <c r="BQ235" i="1"/>
  <c r="BH235" i="1"/>
  <c r="BG235" i="1"/>
  <c r="AJ235" i="1"/>
  <c r="AF235" i="1"/>
  <c r="AD235" i="1" s="1"/>
  <c r="AE235" i="1"/>
  <c r="Z235" i="1"/>
  <c r="DI234" i="1"/>
  <c r="CZ234" i="1"/>
  <c r="CV234" i="1"/>
  <c r="CG234" i="1"/>
  <c r="BU234" i="1"/>
  <c r="BT234" i="1"/>
  <c r="BQ234" i="1"/>
  <c r="BH234" i="1"/>
  <c r="BG234" i="1"/>
  <c r="AJ234" i="1"/>
  <c r="AF234" i="1"/>
  <c r="Z234" i="1"/>
  <c r="DI233" i="1"/>
  <c r="CZ233" i="1"/>
  <c r="CV233" i="1"/>
  <c r="CG233" i="1"/>
  <c r="BU233" i="1"/>
  <c r="BT233" i="1"/>
  <c r="BQ233" i="1"/>
  <c r="BP233" i="1"/>
  <c r="BH233" i="1"/>
  <c r="BG233" i="1"/>
  <c r="AJ233" i="1"/>
  <c r="AF233" i="1"/>
  <c r="AE233" i="1"/>
  <c r="AD233" i="1"/>
  <c r="Z233" i="1"/>
  <c r="DI232" i="1"/>
  <c r="CZ232" i="1"/>
  <c r="CV232" i="1"/>
  <c r="CG232" i="1"/>
  <c r="BU232" i="1"/>
  <c r="BT232" i="1"/>
  <c r="BQ232" i="1"/>
  <c r="BP232" i="1"/>
  <c r="BH232" i="1"/>
  <c r="BG232" i="1"/>
  <c r="AJ232" i="1"/>
  <c r="AF232" i="1"/>
  <c r="Z232" i="1"/>
  <c r="DI231" i="1"/>
  <c r="CZ231" i="1"/>
  <c r="CV231" i="1"/>
  <c r="CG231" i="1"/>
  <c r="BU231" i="1"/>
  <c r="BT231" i="1"/>
  <c r="BQ231" i="1"/>
  <c r="BH231" i="1"/>
  <c r="BG231" i="1"/>
  <c r="AJ231" i="1"/>
  <c r="AF231" i="1"/>
  <c r="Z231" i="1"/>
  <c r="DI230" i="1"/>
  <c r="CZ230" i="1"/>
  <c r="CV230" i="1"/>
  <c r="CG230" i="1"/>
  <c r="BU230" i="1"/>
  <c r="BT230" i="1"/>
  <c r="BQ230" i="1"/>
  <c r="BH230" i="1"/>
  <c r="BG230" i="1"/>
  <c r="AJ230" i="1"/>
  <c r="AF230" i="1"/>
  <c r="AE230" i="1" s="1"/>
  <c r="Z230" i="1"/>
  <c r="DI229" i="1"/>
  <c r="CZ229" i="1"/>
  <c r="CV229" i="1"/>
  <c r="CG229" i="1"/>
  <c r="BU229" i="1"/>
  <c r="BT229" i="1"/>
  <c r="BQ229" i="1"/>
  <c r="BH229" i="1"/>
  <c r="BG229" i="1"/>
  <c r="AJ229" i="1"/>
  <c r="AF229" i="1"/>
  <c r="AE229" i="1" s="1"/>
  <c r="AD229" i="1"/>
  <c r="Z229" i="1"/>
  <c r="DV228" i="1"/>
  <c r="DI228" i="1"/>
  <c r="CZ228" i="1"/>
  <c r="CV228" i="1"/>
  <c r="CG228" i="1"/>
  <c r="BU228" i="1"/>
  <c r="BT228" i="1"/>
  <c r="BQ228" i="1"/>
  <c r="BP228" i="1"/>
  <c r="BH228" i="1"/>
  <c r="BG228" i="1"/>
  <c r="AJ228" i="1"/>
  <c r="AF228" i="1"/>
  <c r="AD228" i="1" s="1"/>
  <c r="Z228" i="1"/>
  <c r="DI227" i="1"/>
  <c r="CZ227" i="1"/>
  <c r="CV227" i="1"/>
  <c r="CG227" i="1"/>
  <c r="BU227" i="1"/>
  <c r="BT227" i="1"/>
  <c r="BQ227" i="1"/>
  <c r="BH227" i="1"/>
  <c r="BG227" i="1"/>
  <c r="AJ227" i="1"/>
  <c r="AF227" i="1"/>
  <c r="AE227" i="1"/>
  <c r="AD227" i="1"/>
  <c r="Z227" i="1"/>
  <c r="DI226" i="1"/>
  <c r="CZ226" i="1"/>
  <c r="CV226" i="1"/>
  <c r="CG226" i="1"/>
  <c r="BU226" i="1"/>
  <c r="BT226" i="1"/>
  <c r="BQ226" i="1"/>
  <c r="BH226" i="1"/>
  <c r="BG226" i="1"/>
  <c r="AJ226" i="1"/>
  <c r="AF226" i="1"/>
  <c r="Z226" i="1"/>
  <c r="DI225" i="1"/>
  <c r="CZ225" i="1"/>
  <c r="CV225" i="1"/>
  <c r="CG225" i="1"/>
  <c r="BU225" i="1"/>
  <c r="BT225" i="1"/>
  <c r="BQ225" i="1"/>
  <c r="BH225" i="1"/>
  <c r="BG225" i="1"/>
  <c r="AJ225" i="1"/>
  <c r="AF225" i="1"/>
  <c r="Z225" i="1"/>
  <c r="DI224" i="1"/>
  <c r="CZ224" i="1"/>
  <c r="CV224" i="1"/>
  <c r="CG224" i="1"/>
  <c r="BU224" i="1"/>
  <c r="BT224" i="1"/>
  <c r="BQ224" i="1"/>
  <c r="BH224" i="1"/>
  <c r="BG224" i="1"/>
  <c r="AJ224" i="1"/>
  <c r="AF224" i="1"/>
  <c r="Z224" i="1"/>
  <c r="DI223" i="1"/>
  <c r="CZ223" i="1"/>
  <c r="CV223" i="1"/>
  <c r="CG223" i="1"/>
  <c r="BU223" i="1"/>
  <c r="BT223" i="1"/>
  <c r="BQ223" i="1"/>
  <c r="BH223" i="1"/>
  <c r="BG223" i="1"/>
  <c r="AJ223" i="1"/>
  <c r="AF223" i="1"/>
  <c r="Z223" i="1"/>
  <c r="DI222" i="1"/>
  <c r="CZ222" i="1"/>
  <c r="CV222" i="1"/>
  <c r="CG222" i="1"/>
  <c r="BU222" i="1"/>
  <c r="BT222" i="1"/>
  <c r="BQ222" i="1"/>
  <c r="BH222" i="1"/>
  <c r="BG222" i="1"/>
  <c r="AJ222" i="1"/>
  <c r="AF222" i="1"/>
  <c r="Z222" i="1"/>
  <c r="EF221" i="1"/>
  <c r="DW221" i="1"/>
  <c r="DI221" i="1"/>
  <c r="CZ221" i="1"/>
  <c r="CV221" i="1"/>
  <c r="CG221" i="1"/>
  <c r="BU221" i="1"/>
  <c r="BT221" i="1"/>
  <c r="BQ221" i="1"/>
  <c r="BP221" i="1"/>
  <c r="BH221" i="1"/>
  <c r="BG221" i="1"/>
  <c r="AJ221" i="1"/>
  <c r="AF221" i="1"/>
  <c r="Z221" i="1"/>
  <c r="DI220" i="1"/>
  <c r="CZ220" i="1"/>
  <c r="CV220" i="1"/>
  <c r="CG220" i="1"/>
  <c r="BU220" i="1"/>
  <c r="BT220" i="1"/>
  <c r="BQ220" i="1"/>
  <c r="BP220" i="1"/>
  <c r="BH220" i="1"/>
  <c r="BG220" i="1"/>
  <c r="AJ220" i="1"/>
  <c r="AF220" i="1"/>
  <c r="AE220" i="1"/>
  <c r="AD220" i="1"/>
  <c r="Z220" i="1"/>
  <c r="DS219" i="1"/>
  <c r="DI219" i="1"/>
  <c r="CZ219" i="1"/>
  <c r="CV219" i="1"/>
  <c r="CG219" i="1"/>
  <c r="BU219" i="1"/>
  <c r="BT219" i="1"/>
  <c r="BQ219" i="1"/>
  <c r="BH219" i="1"/>
  <c r="BG219" i="1"/>
  <c r="AJ219" i="1"/>
  <c r="AF219" i="1"/>
  <c r="Z219" i="1"/>
  <c r="DU218" i="1"/>
  <c r="DI218" i="1"/>
  <c r="CZ218" i="1"/>
  <c r="CV218" i="1"/>
  <c r="CG218" i="1"/>
  <c r="BU218" i="1"/>
  <c r="BT218" i="1"/>
  <c r="BQ218" i="1"/>
  <c r="BH218" i="1"/>
  <c r="BG218" i="1"/>
  <c r="AJ218" i="1"/>
  <c r="AF218" i="1"/>
  <c r="Z218" i="1"/>
  <c r="DI217" i="1"/>
  <c r="CZ217" i="1"/>
  <c r="CV217" i="1"/>
  <c r="CG217" i="1"/>
  <c r="BU217" i="1"/>
  <c r="BT217" i="1"/>
  <c r="BQ217" i="1"/>
  <c r="BH217" i="1"/>
  <c r="BG217" i="1"/>
  <c r="AJ217" i="1"/>
  <c r="AF217" i="1"/>
  <c r="Z217" i="1"/>
  <c r="DI216" i="1"/>
  <c r="CZ216" i="1"/>
  <c r="CV216" i="1"/>
  <c r="CG216" i="1"/>
  <c r="BU216" i="1"/>
  <c r="BT216" i="1"/>
  <c r="BQ216" i="1"/>
  <c r="BH216" i="1"/>
  <c r="BG216" i="1"/>
  <c r="AJ216" i="1"/>
  <c r="AF216" i="1"/>
  <c r="AE216" i="1"/>
  <c r="AD216" i="1"/>
  <c r="Z216" i="1"/>
  <c r="DI215" i="1"/>
  <c r="CZ215" i="1"/>
  <c r="CV215" i="1"/>
  <c r="CG215" i="1"/>
  <c r="BU215" i="1"/>
  <c r="BT215" i="1"/>
  <c r="BQ215" i="1"/>
  <c r="BH215" i="1"/>
  <c r="BG215" i="1"/>
  <c r="AJ215" i="1"/>
  <c r="AF215" i="1"/>
  <c r="Z215" i="1"/>
  <c r="DI214" i="1"/>
  <c r="CZ214" i="1"/>
  <c r="CV214" i="1"/>
  <c r="CG214" i="1"/>
  <c r="BU214" i="1"/>
  <c r="BT214" i="1"/>
  <c r="BQ214" i="1"/>
  <c r="BH214" i="1"/>
  <c r="BG214" i="1"/>
  <c r="AJ214" i="1"/>
  <c r="AF214" i="1"/>
  <c r="Z214" i="1"/>
  <c r="DI213" i="1"/>
  <c r="CZ213" i="1"/>
  <c r="CV213" i="1"/>
  <c r="CG213" i="1"/>
  <c r="BU213" i="1"/>
  <c r="BT213" i="1"/>
  <c r="BQ213" i="1"/>
  <c r="BH213" i="1"/>
  <c r="BG213" i="1"/>
  <c r="AJ213" i="1"/>
  <c r="AF213" i="1"/>
  <c r="AE213" i="1" s="1"/>
  <c r="AD213" i="1"/>
  <c r="Z213" i="1"/>
  <c r="DI212" i="1"/>
  <c r="CZ212" i="1"/>
  <c r="CV212" i="1"/>
  <c r="CG212" i="1"/>
  <c r="BU212" i="1"/>
  <c r="BT212" i="1"/>
  <c r="BQ212" i="1"/>
  <c r="BH212" i="1"/>
  <c r="BG212" i="1"/>
  <c r="AJ212" i="1"/>
  <c r="AF212" i="1"/>
  <c r="Z212" i="1"/>
  <c r="DW211" i="1"/>
  <c r="DI211" i="1"/>
  <c r="CZ211" i="1"/>
  <c r="CV211" i="1"/>
  <c r="CG211" i="1"/>
  <c r="BU211" i="1"/>
  <c r="BT211" i="1"/>
  <c r="BQ211" i="1"/>
  <c r="BH211" i="1"/>
  <c r="BG211" i="1"/>
  <c r="AJ211" i="1"/>
  <c r="AF211" i="1"/>
  <c r="Z211" i="1"/>
  <c r="DI210" i="1"/>
  <c r="CZ210" i="1"/>
  <c r="CV210" i="1"/>
  <c r="CG210" i="1"/>
  <c r="BU210" i="1"/>
  <c r="BT210" i="1"/>
  <c r="BQ210" i="1"/>
  <c r="BH210" i="1"/>
  <c r="BG210" i="1"/>
  <c r="AJ210" i="1"/>
  <c r="AF210" i="1"/>
  <c r="Z210" i="1"/>
  <c r="DI209" i="1"/>
  <c r="CZ209" i="1"/>
  <c r="CV209" i="1"/>
  <c r="CG209" i="1"/>
  <c r="BU209" i="1"/>
  <c r="BT209" i="1"/>
  <c r="BQ209" i="1"/>
  <c r="BH209" i="1"/>
  <c r="BG209" i="1"/>
  <c r="AJ209" i="1"/>
  <c r="AF209" i="1"/>
  <c r="AE209" i="1" s="1"/>
  <c r="AD209" i="1"/>
  <c r="Z209" i="1"/>
  <c r="DW208" i="1"/>
  <c r="DI208" i="1"/>
  <c r="CZ208" i="1"/>
  <c r="CV208" i="1"/>
  <c r="CG208" i="1"/>
  <c r="BU208" i="1"/>
  <c r="BT208" i="1"/>
  <c r="BQ208" i="1"/>
  <c r="BH208" i="1"/>
  <c r="BG208" i="1"/>
  <c r="AJ208" i="1"/>
  <c r="AF208" i="1"/>
  <c r="Z208" i="1"/>
  <c r="DI207" i="1"/>
  <c r="CZ207" i="1"/>
  <c r="CV207" i="1"/>
  <c r="CG207" i="1"/>
  <c r="BU207" i="1"/>
  <c r="BT207" i="1"/>
  <c r="BQ207" i="1"/>
  <c r="BH207" i="1"/>
  <c r="BG207" i="1"/>
  <c r="AJ207" i="1"/>
  <c r="AF207" i="1"/>
  <c r="Z207" i="1"/>
  <c r="DI206" i="1"/>
  <c r="CZ206" i="1"/>
  <c r="CV206" i="1"/>
  <c r="CG206" i="1"/>
  <c r="BU206" i="1"/>
  <c r="BT206" i="1"/>
  <c r="BQ206" i="1"/>
  <c r="BH206" i="1"/>
  <c r="BG206" i="1"/>
  <c r="AJ206" i="1"/>
  <c r="AF206" i="1"/>
  <c r="Z206" i="1"/>
  <c r="AF205" i="1"/>
  <c r="AE205" i="1" s="1"/>
  <c r="Z205" i="1"/>
  <c r="DV204" i="1"/>
  <c r="DI204" i="1"/>
  <c r="CZ204" i="1"/>
  <c r="CV204" i="1"/>
  <c r="CG204" i="1"/>
  <c r="BU204" i="1"/>
  <c r="BT204" i="1"/>
  <c r="BQ204" i="1"/>
  <c r="BP204" i="1"/>
  <c r="BH204" i="1"/>
  <c r="BG204" i="1"/>
  <c r="AJ204" i="1"/>
  <c r="AF204" i="1"/>
  <c r="AE204" i="1"/>
  <c r="AD204" i="1"/>
  <c r="Z204" i="1"/>
  <c r="DI203" i="1"/>
  <c r="CZ203" i="1"/>
  <c r="CV203" i="1"/>
  <c r="CG203" i="1"/>
  <c r="BU203" i="1"/>
  <c r="BT203" i="1"/>
  <c r="BQ203" i="1"/>
  <c r="BP203" i="1"/>
  <c r="BH203" i="1"/>
  <c r="BG203" i="1"/>
  <c r="AJ203" i="1"/>
  <c r="AF203" i="1"/>
  <c r="Z203" i="1"/>
  <c r="DI202" i="1"/>
  <c r="CZ202" i="1"/>
  <c r="CV202" i="1"/>
  <c r="CG202" i="1"/>
  <c r="BU202" i="1"/>
  <c r="BT202" i="1"/>
  <c r="BQ202" i="1"/>
  <c r="BH202" i="1"/>
  <c r="BG202" i="1"/>
  <c r="AJ202" i="1"/>
  <c r="AF202" i="1"/>
  <c r="Z202" i="1"/>
  <c r="DU201" i="1"/>
  <c r="DI201" i="1"/>
  <c r="CZ201" i="1"/>
  <c r="CV201" i="1"/>
  <c r="CG201" i="1"/>
  <c r="BU201" i="1"/>
  <c r="BT201" i="1"/>
  <c r="BQ201" i="1"/>
  <c r="BP201" i="1"/>
  <c r="BH201" i="1"/>
  <c r="BG201" i="1"/>
  <c r="AJ201" i="1"/>
  <c r="AF201" i="1"/>
  <c r="AD201" i="1" s="1"/>
  <c r="Z201" i="1"/>
  <c r="DI200" i="1"/>
  <c r="CZ200" i="1"/>
  <c r="CV200" i="1"/>
  <c r="CG200" i="1"/>
  <c r="BU200" i="1"/>
  <c r="BT200" i="1"/>
  <c r="BQ200" i="1"/>
  <c r="BH200" i="1"/>
  <c r="BG200" i="1"/>
  <c r="AJ200" i="1"/>
  <c r="AF200" i="1"/>
  <c r="Z200" i="1"/>
  <c r="DI199" i="1"/>
  <c r="CZ199" i="1"/>
  <c r="CV199" i="1"/>
  <c r="CG199" i="1"/>
  <c r="BU199" i="1"/>
  <c r="BT199" i="1"/>
  <c r="BQ199" i="1"/>
  <c r="BP199" i="1"/>
  <c r="BH199" i="1"/>
  <c r="BG199" i="1"/>
  <c r="AJ199" i="1"/>
  <c r="AF199" i="1"/>
  <c r="Z199" i="1"/>
  <c r="DI198" i="1"/>
  <c r="CZ198" i="1"/>
  <c r="CV198" i="1"/>
  <c r="CG198" i="1"/>
  <c r="BU198" i="1"/>
  <c r="BT198" i="1"/>
  <c r="BQ198" i="1"/>
  <c r="BH198" i="1"/>
  <c r="BG198" i="1"/>
  <c r="AJ198" i="1"/>
  <c r="AF198" i="1"/>
  <c r="Z198" i="1"/>
  <c r="DS197" i="1"/>
  <c r="DI197" i="1"/>
  <c r="CZ197" i="1"/>
  <c r="CV197" i="1"/>
  <c r="CG197" i="1"/>
  <c r="BU197" i="1"/>
  <c r="BT197" i="1"/>
  <c r="BQ197" i="1"/>
  <c r="BP197" i="1"/>
  <c r="BH197" i="1"/>
  <c r="BG197" i="1"/>
  <c r="AJ197" i="1"/>
  <c r="AF197" i="1"/>
  <c r="Z197" i="1"/>
  <c r="DI196" i="1"/>
  <c r="CZ196" i="1"/>
  <c r="CV196" i="1"/>
  <c r="CG196" i="1"/>
  <c r="BU196" i="1"/>
  <c r="BT196" i="1"/>
  <c r="BQ196" i="1"/>
  <c r="BP196" i="1"/>
  <c r="BH196" i="1"/>
  <c r="BG196" i="1"/>
  <c r="AJ196" i="1"/>
  <c r="AF196" i="1"/>
  <c r="Z196" i="1"/>
  <c r="DI195" i="1"/>
  <c r="CZ195" i="1"/>
  <c r="CV195" i="1"/>
  <c r="CG195" i="1"/>
  <c r="BU195" i="1"/>
  <c r="BT195" i="1"/>
  <c r="BQ195" i="1"/>
  <c r="BH195" i="1"/>
  <c r="BG195" i="1"/>
  <c r="AJ195" i="1"/>
  <c r="AF195" i="1"/>
  <c r="AD195" i="1" s="1"/>
  <c r="Z195" i="1"/>
  <c r="DI194" i="1"/>
  <c r="CZ194" i="1"/>
  <c r="CV194" i="1"/>
  <c r="CG194" i="1"/>
  <c r="BU194" i="1"/>
  <c r="BT194" i="1"/>
  <c r="BQ194" i="1"/>
  <c r="BP194" i="1"/>
  <c r="BH194" i="1"/>
  <c r="BG194" i="1"/>
  <c r="AJ194" i="1"/>
  <c r="AF194" i="1"/>
  <c r="Z194" i="1"/>
  <c r="DS193" i="1"/>
  <c r="DI193" i="1"/>
  <c r="CZ193" i="1"/>
  <c r="CV193" i="1"/>
  <c r="CG193" i="1"/>
  <c r="BU193" i="1"/>
  <c r="BT193" i="1"/>
  <c r="BQ193" i="1"/>
  <c r="BH193" i="1"/>
  <c r="BG193" i="1"/>
  <c r="AJ193" i="1"/>
  <c r="AF193" i="1"/>
  <c r="Z193" i="1"/>
  <c r="DI192" i="1"/>
  <c r="CZ192" i="1"/>
  <c r="CV192" i="1"/>
  <c r="CG192" i="1"/>
  <c r="BU192" i="1"/>
  <c r="BT192" i="1"/>
  <c r="BQ192" i="1"/>
  <c r="BH192" i="1"/>
  <c r="BG192" i="1"/>
  <c r="AJ192" i="1"/>
  <c r="AF192" i="1"/>
  <c r="Z192" i="1"/>
  <c r="DT191" i="1"/>
  <c r="DI191" i="1"/>
  <c r="CZ191" i="1"/>
  <c r="CV191" i="1"/>
  <c r="CG191" i="1"/>
  <c r="BU191" i="1"/>
  <c r="BT191" i="1"/>
  <c r="BQ191" i="1"/>
  <c r="BH191" i="1"/>
  <c r="BG191" i="1"/>
  <c r="AJ191" i="1"/>
  <c r="AF191" i="1"/>
  <c r="AD191" i="1" s="1"/>
  <c r="Z191" i="1"/>
  <c r="DR190" i="1"/>
  <c r="DI190" i="1"/>
  <c r="CZ190" i="1"/>
  <c r="CV190" i="1"/>
  <c r="CG190" i="1"/>
  <c r="BU190" i="1"/>
  <c r="BT190" i="1"/>
  <c r="BQ190" i="1"/>
  <c r="BP190" i="1"/>
  <c r="BH190" i="1"/>
  <c r="BG190" i="1"/>
  <c r="AJ190" i="1"/>
  <c r="AF190" i="1"/>
  <c r="Z190" i="1"/>
  <c r="DI189" i="1"/>
  <c r="CZ189" i="1"/>
  <c r="CV189" i="1"/>
  <c r="CG189" i="1"/>
  <c r="BU189" i="1"/>
  <c r="BT189" i="1"/>
  <c r="BQ189" i="1"/>
  <c r="BH189" i="1"/>
  <c r="BG189" i="1"/>
  <c r="AJ189" i="1"/>
  <c r="AF189" i="1"/>
  <c r="AE189" i="1" s="1"/>
  <c r="AD189" i="1"/>
  <c r="Z189" i="1"/>
  <c r="DI188" i="1"/>
  <c r="CZ188" i="1"/>
  <c r="CV188" i="1"/>
  <c r="CG188" i="1"/>
  <c r="BU188" i="1"/>
  <c r="BT188" i="1"/>
  <c r="BQ188" i="1"/>
  <c r="BP188" i="1"/>
  <c r="BH188" i="1"/>
  <c r="BG188" i="1"/>
  <c r="AJ188" i="1"/>
  <c r="AF188" i="1"/>
  <c r="AE188" i="1" s="1"/>
  <c r="Z188" i="1"/>
  <c r="DI187" i="1"/>
  <c r="CZ187" i="1"/>
  <c r="CV187" i="1"/>
  <c r="CG187" i="1"/>
  <c r="BU187" i="1"/>
  <c r="BT187" i="1"/>
  <c r="BQ187" i="1"/>
  <c r="BP187" i="1"/>
  <c r="BH187" i="1"/>
  <c r="BG187" i="1"/>
  <c r="AJ187" i="1"/>
  <c r="AF187" i="1"/>
  <c r="AD187" i="1" s="1"/>
  <c r="Z187" i="1"/>
  <c r="DI186" i="1"/>
  <c r="CZ186" i="1"/>
  <c r="CV186" i="1"/>
  <c r="CG186" i="1"/>
  <c r="BU186" i="1"/>
  <c r="BT186" i="1"/>
  <c r="BQ186" i="1"/>
  <c r="BH186" i="1"/>
  <c r="BG186" i="1"/>
  <c r="AJ186" i="1"/>
  <c r="AF186" i="1"/>
  <c r="AD186" i="1" s="1"/>
  <c r="Z186" i="1"/>
  <c r="AF185" i="1"/>
  <c r="Z185" i="1"/>
  <c r="DI184" i="1"/>
  <c r="CZ184" i="1"/>
  <c r="CV184" i="1"/>
  <c r="CG184" i="1"/>
  <c r="BU184" i="1"/>
  <c r="BT184" i="1"/>
  <c r="BQ184" i="1"/>
  <c r="BH184" i="1"/>
  <c r="BG184" i="1"/>
  <c r="AJ184" i="1"/>
  <c r="AF184" i="1"/>
  <c r="Z184" i="1"/>
  <c r="DU183" i="1"/>
  <c r="DT183" i="1"/>
  <c r="DI183" i="1"/>
  <c r="CZ183" i="1"/>
  <c r="CV183" i="1"/>
  <c r="CG183" i="1"/>
  <c r="BU183" i="1"/>
  <c r="BT183" i="1"/>
  <c r="BQ183" i="1"/>
  <c r="BP183" i="1"/>
  <c r="BH183" i="1"/>
  <c r="BG183" i="1"/>
  <c r="AJ183" i="1"/>
  <c r="AF183" i="1"/>
  <c r="Z183" i="1"/>
  <c r="DI182" i="1"/>
  <c r="CZ182" i="1"/>
  <c r="CV182" i="1"/>
  <c r="CG182" i="1"/>
  <c r="BU182" i="1"/>
  <c r="BT182" i="1"/>
  <c r="BQ182" i="1"/>
  <c r="BH182" i="1"/>
  <c r="BG182" i="1"/>
  <c r="AJ182" i="1"/>
  <c r="AF182" i="1"/>
  <c r="Z182" i="1"/>
  <c r="DI181" i="1"/>
  <c r="CZ181" i="1"/>
  <c r="CV181" i="1"/>
  <c r="CG181" i="1"/>
  <c r="BU181" i="1"/>
  <c r="BT181" i="1"/>
  <c r="BQ181" i="1"/>
  <c r="BH181" i="1"/>
  <c r="BG181" i="1"/>
  <c r="AJ181" i="1"/>
  <c r="AF181" i="1"/>
  <c r="Z181" i="1"/>
  <c r="B181" i="1"/>
  <c r="EF180" i="1"/>
  <c r="DI180" i="1"/>
  <c r="CZ180" i="1"/>
  <c r="CV180" i="1"/>
  <c r="CG180" i="1"/>
  <c r="BU180" i="1"/>
  <c r="BT180" i="1"/>
  <c r="BQ180" i="1"/>
  <c r="BH180" i="1"/>
  <c r="BG180" i="1"/>
  <c r="AJ180" i="1"/>
  <c r="AF180" i="1"/>
  <c r="AD180" i="1" s="1"/>
  <c r="Z180" i="1"/>
  <c r="DI179" i="1"/>
  <c r="CZ179" i="1"/>
  <c r="CV179" i="1"/>
  <c r="CG179" i="1"/>
  <c r="BU179" i="1"/>
  <c r="BT179" i="1"/>
  <c r="BQ179" i="1"/>
  <c r="BH179" i="1"/>
  <c r="BG179" i="1"/>
  <c r="AJ179" i="1"/>
  <c r="AF179" i="1"/>
  <c r="Z179" i="1"/>
  <c r="C179" i="1"/>
  <c r="DI178" i="1"/>
  <c r="CZ178" i="1"/>
  <c r="CV178" i="1"/>
  <c r="CG178" i="1"/>
  <c r="BU178" i="1"/>
  <c r="BT178" i="1"/>
  <c r="BQ178" i="1"/>
  <c r="BH178" i="1"/>
  <c r="BG178" i="1"/>
  <c r="AJ178" i="1"/>
  <c r="AF178" i="1"/>
  <c r="Z178" i="1"/>
  <c r="DI177" i="1"/>
  <c r="CZ177" i="1"/>
  <c r="CV177" i="1"/>
  <c r="CG177" i="1"/>
  <c r="BU177" i="1"/>
  <c r="BT177" i="1"/>
  <c r="BQ177" i="1"/>
  <c r="BH177" i="1"/>
  <c r="BG177" i="1"/>
  <c r="AJ177" i="1"/>
  <c r="AF177" i="1"/>
  <c r="AE177" i="1" s="1"/>
  <c r="AD177" i="1"/>
  <c r="Z177" i="1"/>
  <c r="DI176" i="1"/>
  <c r="CZ176" i="1"/>
  <c r="CV176" i="1"/>
  <c r="CG176" i="1"/>
  <c r="BU176" i="1"/>
  <c r="BT176" i="1"/>
  <c r="BQ176" i="1"/>
  <c r="BH176" i="1"/>
  <c r="BG176" i="1"/>
  <c r="AJ176" i="1"/>
  <c r="AF176" i="1"/>
  <c r="AE176" i="1" s="1"/>
  <c r="Z176" i="1"/>
  <c r="DI175" i="1"/>
  <c r="CZ175" i="1"/>
  <c r="CV175" i="1"/>
  <c r="CG175" i="1"/>
  <c r="BU175" i="1"/>
  <c r="BT175" i="1"/>
  <c r="BQ175" i="1"/>
  <c r="BH175" i="1"/>
  <c r="BG175" i="1"/>
  <c r="AJ175" i="1"/>
  <c r="AF175" i="1"/>
  <c r="Z175" i="1"/>
  <c r="DI174" i="1"/>
  <c r="CZ174" i="1"/>
  <c r="CV174" i="1"/>
  <c r="CG174" i="1"/>
  <c r="BU174" i="1"/>
  <c r="BT174" i="1"/>
  <c r="BQ174" i="1"/>
  <c r="BH174" i="1"/>
  <c r="BG174" i="1"/>
  <c r="AJ174" i="1"/>
  <c r="AF174" i="1"/>
  <c r="Z174" i="1"/>
  <c r="C174" i="1"/>
  <c r="B174" i="1"/>
  <c r="DT173" i="1"/>
  <c r="DI173" i="1"/>
  <c r="CZ173" i="1"/>
  <c r="CV173" i="1"/>
  <c r="CG173" i="1"/>
  <c r="BU173" i="1"/>
  <c r="BT173" i="1"/>
  <c r="BQ173" i="1"/>
  <c r="BH173" i="1"/>
  <c r="BG173" i="1"/>
  <c r="AJ173" i="1"/>
  <c r="AF173" i="1"/>
  <c r="AD173" i="1" s="1"/>
  <c r="AE173" i="1"/>
  <c r="Z173" i="1"/>
  <c r="DI172" i="1"/>
  <c r="CZ172" i="1"/>
  <c r="CV172" i="1"/>
  <c r="CG172" i="1"/>
  <c r="BU172" i="1"/>
  <c r="BT172" i="1"/>
  <c r="BQ172" i="1"/>
  <c r="BH172" i="1"/>
  <c r="BG172" i="1"/>
  <c r="AJ172" i="1"/>
  <c r="AF172" i="1"/>
  <c r="AE172" i="1" s="1"/>
  <c r="Z172" i="1"/>
  <c r="EI171" i="1"/>
  <c r="DI171" i="1"/>
  <c r="CZ171" i="1"/>
  <c r="CV171" i="1"/>
  <c r="CG171" i="1"/>
  <c r="BU171" i="1"/>
  <c r="BT171" i="1"/>
  <c r="BQ171" i="1"/>
  <c r="BH171" i="1"/>
  <c r="BG171" i="1"/>
  <c r="AJ171" i="1"/>
  <c r="AF171" i="1"/>
  <c r="Z171" i="1"/>
  <c r="EI170" i="1"/>
  <c r="DI170" i="1"/>
  <c r="CZ170" i="1"/>
  <c r="CV170" i="1"/>
  <c r="CG170" i="1"/>
  <c r="BU170" i="1"/>
  <c r="BT170" i="1"/>
  <c r="BQ170" i="1"/>
  <c r="BH170" i="1"/>
  <c r="BG170" i="1"/>
  <c r="AJ170" i="1"/>
  <c r="AF170" i="1"/>
  <c r="Z170" i="1"/>
  <c r="EI169" i="1"/>
  <c r="DX169" i="1"/>
  <c r="DV169" i="1"/>
  <c r="DR169" i="1"/>
  <c r="DI169" i="1"/>
  <c r="CZ169" i="1"/>
  <c r="CV169" i="1"/>
  <c r="CG169" i="1"/>
  <c r="BU169" i="1"/>
  <c r="BT169" i="1"/>
  <c r="BQ169" i="1"/>
  <c r="BP169" i="1"/>
  <c r="BH169" i="1"/>
  <c r="BG169" i="1"/>
  <c r="AJ169" i="1"/>
  <c r="AF169" i="1"/>
  <c r="AD169" i="1" s="1"/>
  <c r="Z169" i="1"/>
  <c r="EI168" i="1"/>
  <c r="DV168" i="1"/>
  <c r="DI168" i="1"/>
  <c r="CZ168" i="1"/>
  <c r="CV168" i="1"/>
  <c r="CG168" i="1"/>
  <c r="BU168" i="1"/>
  <c r="BT168" i="1"/>
  <c r="BQ168" i="1"/>
  <c r="BP168" i="1"/>
  <c r="BH168" i="1"/>
  <c r="BG168" i="1"/>
  <c r="AJ168" i="1"/>
  <c r="AF168" i="1"/>
  <c r="Z168" i="1"/>
  <c r="EI167" i="1"/>
  <c r="DI167" i="1"/>
  <c r="CZ167" i="1"/>
  <c r="CV167" i="1"/>
  <c r="CG167" i="1"/>
  <c r="BU167" i="1"/>
  <c r="BT167" i="1"/>
  <c r="BQ167" i="1"/>
  <c r="BP167" i="1"/>
  <c r="BH167" i="1"/>
  <c r="BG167" i="1"/>
  <c r="AJ167" i="1"/>
  <c r="AF167" i="1"/>
  <c r="AE167" i="1" s="1"/>
  <c r="Z167" i="1"/>
  <c r="EI166" i="1"/>
  <c r="DI166" i="1"/>
  <c r="CZ166" i="1"/>
  <c r="CV166" i="1"/>
  <c r="CG166" i="1"/>
  <c r="BU166" i="1"/>
  <c r="BT166" i="1"/>
  <c r="BQ166" i="1"/>
  <c r="BH166" i="1"/>
  <c r="BG166" i="1"/>
  <c r="AJ166" i="1"/>
  <c r="AF166" i="1"/>
  <c r="AD166" i="1" s="1"/>
  <c r="Z166" i="1"/>
  <c r="EI165" i="1"/>
  <c r="DI165" i="1"/>
  <c r="CZ165" i="1"/>
  <c r="CV165" i="1"/>
  <c r="CG165" i="1"/>
  <c r="BU165" i="1"/>
  <c r="BT165" i="1"/>
  <c r="BQ165" i="1"/>
  <c r="BH165" i="1"/>
  <c r="BG165" i="1"/>
  <c r="AJ165" i="1"/>
  <c r="AF165" i="1"/>
  <c r="Z165" i="1"/>
  <c r="EI164" i="1"/>
  <c r="DI164" i="1"/>
  <c r="CZ164" i="1"/>
  <c r="CV164" i="1"/>
  <c r="CG164" i="1"/>
  <c r="BU164" i="1"/>
  <c r="BT164" i="1"/>
  <c r="BQ164" i="1"/>
  <c r="BH164" i="1"/>
  <c r="BG164" i="1"/>
  <c r="AJ164" i="1"/>
  <c r="AF164" i="1"/>
  <c r="AE164" i="1" s="1"/>
  <c r="Z164" i="1"/>
  <c r="EI163" i="1"/>
  <c r="DI163" i="1"/>
  <c r="CZ163" i="1"/>
  <c r="CV163" i="1"/>
  <c r="CG163" i="1"/>
  <c r="BU163" i="1"/>
  <c r="BT163" i="1"/>
  <c r="BQ163" i="1"/>
  <c r="BP163" i="1"/>
  <c r="BH163" i="1"/>
  <c r="BG163" i="1"/>
  <c r="AJ163" i="1"/>
  <c r="AF163" i="1"/>
  <c r="AD163" i="1" s="1"/>
  <c r="AE163" i="1"/>
  <c r="Z163" i="1"/>
  <c r="EI162" i="1"/>
  <c r="DI162" i="1"/>
  <c r="CZ162" i="1"/>
  <c r="CV162" i="1"/>
  <c r="CG162" i="1"/>
  <c r="BU162" i="1"/>
  <c r="BT162" i="1"/>
  <c r="BQ162" i="1"/>
  <c r="BP162" i="1"/>
  <c r="BH162" i="1"/>
  <c r="BG162" i="1"/>
  <c r="AJ162" i="1"/>
  <c r="AF162" i="1"/>
  <c r="AD162" i="1" s="1"/>
  <c r="AE162" i="1"/>
  <c r="Z162" i="1"/>
  <c r="EI161" i="1"/>
  <c r="DI161" i="1"/>
  <c r="CZ161" i="1"/>
  <c r="CV161" i="1"/>
  <c r="CG161" i="1"/>
  <c r="BU161" i="1"/>
  <c r="BT161" i="1"/>
  <c r="BQ161" i="1"/>
  <c r="BH161" i="1"/>
  <c r="BG161" i="1"/>
  <c r="AJ161" i="1"/>
  <c r="AF161" i="1"/>
  <c r="AD161" i="1" s="1"/>
  <c r="Z161" i="1"/>
  <c r="EI160" i="1"/>
  <c r="DI160" i="1"/>
  <c r="CZ160" i="1"/>
  <c r="CV160" i="1"/>
  <c r="CG160" i="1"/>
  <c r="BU160" i="1"/>
  <c r="BT160" i="1"/>
  <c r="BQ160" i="1"/>
  <c r="BH160" i="1"/>
  <c r="BG160" i="1"/>
  <c r="AJ160" i="1"/>
  <c r="AF160" i="1"/>
  <c r="Z160" i="1"/>
  <c r="EI159" i="1"/>
  <c r="AF159" i="1"/>
  <c r="Z159" i="1"/>
  <c r="EI158" i="1"/>
  <c r="DI158" i="1"/>
  <c r="CZ158" i="1"/>
  <c r="CV158" i="1"/>
  <c r="CG158" i="1"/>
  <c r="BU158" i="1"/>
  <c r="BT158" i="1"/>
  <c r="BQ158" i="1"/>
  <c r="BH158" i="1"/>
  <c r="BG158" i="1"/>
  <c r="AJ158" i="1"/>
  <c r="AF158" i="1"/>
  <c r="AD158" i="1" s="1"/>
  <c r="AE158" i="1"/>
  <c r="Z158" i="1"/>
  <c r="EI157" i="1"/>
  <c r="DT157" i="1"/>
  <c r="DI157" i="1"/>
  <c r="CZ157" i="1"/>
  <c r="CV157" i="1"/>
  <c r="CG157" i="1"/>
  <c r="BU157" i="1"/>
  <c r="BT157" i="1"/>
  <c r="BQ157" i="1"/>
  <c r="BH157" i="1"/>
  <c r="BG157" i="1"/>
  <c r="AJ157" i="1"/>
  <c r="AF157" i="1"/>
  <c r="AE157" i="1" s="1"/>
  <c r="AD157" i="1"/>
  <c r="Z157" i="1"/>
  <c r="EI156" i="1"/>
  <c r="DI156" i="1"/>
  <c r="CZ156" i="1"/>
  <c r="CV156" i="1"/>
  <c r="CG156" i="1"/>
  <c r="BU156" i="1"/>
  <c r="BT156" i="1"/>
  <c r="BQ156" i="1"/>
  <c r="BP156" i="1"/>
  <c r="BH156" i="1"/>
  <c r="BG156" i="1"/>
  <c r="AJ156" i="1"/>
  <c r="AF156" i="1"/>
  <c r="Z156" i="1"/>
  <c r="EI155" i="1"/>
  <c r="DI155" i="1"/>
  <c r="CZ155" i="1"/>
  <c r="CV155" i="1"/>
  <c r="CG155" i="1"/>
  <c r="BU155" i="1"/>
  <c r="BT155" i="1"/>
  <c r="BQ155" i="1"/>
  <c r="BP155" i="1"/>
  <c r="BH155" i="1"/>
  <c r="BG155" i="1"/>
  <c r="AJ155" i="1"/>
  <c r="AF155" i="1"/>
  <c r="AE155" i="1" s="1"/>
  <c r="Z155" i="1"/>
  <c r="EI154" i="1"/>
  <c r="DT154" i="1"/>
  <c r="DI154" i="1"/>
  <c r="CZ154" i="1"/>
  <c r="CV154" i="1"/>
  <c r="CG154" i="1"/>
  <c r="BU154" i="1"/>
  <c r="BT154" i="1"/>
  <c r="BQ154" i="1"/>
  <c r="BP154" i="1"/>
  <c r="BH154" i="1"/>
  <c r="BG154" i="1"/>
  <c r="AJ154" i="1"/>
  <c r="AF154" i="1"/>
  <c r="AE154" i="1" s="1"/>
  <c r="Z154" i="1"/>
  <c r="EI153" i="1"/>
  <c r="DI153" i="1"/>
  <c r="CZ153" i="1"/>
  <c r="CV153" i="1"/>
  <c r="CG153" i="1"/>
  <c r="BU153" i="1"/>
  <c r="BT153" i="1"/>
  <c r="BQ153" i="1"/>
  <c r="BP153" i="1"/>
  <c r="BH153" i="1"/>
  <c r="BG153" i="1"/>
  <c r="AJ153" i="1"/>
  <c r="AF153" i="1"/>
  <c r="Z153" i="1"/>
  <c r="EI152" i="1"/>
  <c r="DI152" i="1"/>
  <c r="CZ152" i="1"/>
  <c r="CV152" i="1"/>
  <c r="CG152" i="1"/>
  <c r="BU152" i="1"/>
  <c r="BT152" i="1"/>
  <c r="BQ152" i="1"/>
  <c r="BH152" i="1"/>
  <c r="BG152" i="1"/>
  <c r="AJ152" i="1"/>
  <c r="AF152" i="1"/>
  <c r="AD152" i="1" s="1"/>
  <c r="Z152" i="1"/>
  <c r="EI151" i="1"/>
  <c r="DI151" i="1"/>
  <c r="CZ151" i="1"/>
  <c r="CV151" i="1"/>
  <c r="CG151" i="1"/>
  <c r="BU151" i="1"/>
  <c r="BT151" i="1"/>
  <c r="BQ151" i="1"/>
  <c r="BH151" i="1"/>
  <c r="BG151" i="1"/>
  <c r="AJ151" i="1"/>
  <c r="AF151" i="1"/>
  <c r="AE151" i="1" s="1"/>
  <c r="AD151" i="1"/>
  <c r="Z151" i="1"/>
  <c r="EI150" i="1"/>
  <c r="EF181" i="1" s="1"/>
  <c r="DI150" i="1"/>
  <c r="CZ150" i="1"/>
  <c r="CV150" i="1"/>
  <c r="CG150" i="1"/>
  <c r="BU150" i="1"/>
  <c r="BT150" i="1"/>
  <c r="BQ150" i="1"/>
  <c r="BH150" i="1"/>
  <c r="BG150" i="1"/>
  <c r="AJ150" i="1"/>
  <c r="AF150" i="1"/>
  <c r="AD150" i="1" s="1"/>
  <c r="Z150" i="1"/>
  <c r="DI149" i="1"/>
  <c r="CZ149" i="1"/>
  <c r="CV149" i="1"/>
  <c r="CG149" i="1"/>
  <c r="BU149" i="1"/>
  <c r="BT149" i="1"/>
  <c r="BQ149" i="1"/>
  <c r="BH149" i="1"/>
  <c r="BG149" i="1"/>
  <c r="AJ149" i="1"/>
  <c r="AF149" i="1"/>
  <c r="Z149" i="1"/>
  <c r="DY148" i="1"/>
  <c r="DI148" i="1"/>
  <c r="CZ148" i="1"/>
  <c r="CV148" i="1"/>
  <c r="CG148" i="1"/>
  <c r="BU148" i="1"/>
  <c r="BT148" i="1"/>
  <c r="BQ148" i="1"/>
  <c r="BP148" i="1"/>
  <c r="BH148" i="1"/>
  <c r="BG148" i="1"/>
  <c r="AJ148" i="1"/>
  <c r="AF148" i="1"/>
  <c r="AE148" i="1" s="1"/>
  <c r="AD148" i="1"/>
  <c r="Z148" i="1"/>
  <c r="DX147" i="1"/>
  <c r="DI147" i="1"/>
  <c r="CZ147" i="1"/>
  <c r="CV147" i="1"/>
  <c r="CG147" i="1"/>
  <c r="BU147" i="1"/>
  <c r="BT147" i="1"/>
  <c r="BQ147" i="1"/>
  <c r="BH147" i="1"/>
  <c r="BG147" i="1"/>
  <c r="AJ147" i="1"/>
  <c r="AF147" i="1"/>
  <c r="Z147" i="1"/>
  <c r="EF146" i="1"/>
  <c r="DI146" i="1"/>
  <c r="CZ146" i="1"/>
  <c r="CV146" i="1"/>
  <c r="CG146" i="1"/>
  <c r="BU146" i="1"/>
  <c r="BT146" i="1"/>
  <c r="BQ146" i="1"/>
  <c r="BH146" i="1"/>
  <c r="BG146" i="1"/>
  <c r="AJ146" i="1"/>
  <c r="AF146" i="1"/>
  <c r="Z146" i="1"/>
  <c r="EF145" i="1"/>
  <c r="DI145" i="1"/>
  <c r="CZ145" i="1"/>
  <c r="CV145" i="1"/>
  <c r="CG145" i="1"/>
  <c r="BU145" i="1"/>
  <c r="BT145" i="1"/>
  <c r="BQ145" i="1"/>
  <c r="BH145" i="1"/>
  <c r="BG145" i="1"/>
  <c r="AJ145" i="1"/>
  <c r="AF145" i="1"/>
  <c r="AE145" i="1" s="1"/>
  <c r="AD145" i="1"/>
  <c r="Z145" i="1"/>
  <c r="EF144" i="1"/>
  <c r="DI144" i="1"/>
  <c r="CZ144" i="1"/>
  <c r="CV144" i="1"/>
  <c r="CG144" i="1"/>
  <c r="BU144" i="1"/>
  <c r="BT144" i="1"/>
  <c r="BQ144" i="1"/>
  <c r="BH144" i="1"/>
  <c r="BG144" i="1"/>
  <c r="AJ144" i="1"/>
  <c r="AF144" i="1"/>
  <c r="Z144" i="1"/>
  <c r="DI143" i="1"/>
  <c r="CZ143" i="1"/>
  <c r="CV143" i="1"/>
  <c r="CG143" i="1"/>
  <c r="BU143" i="1"/>
  <c r="BT143" i="1"/>
  <c r="BQ143" i="1"/>
  <c r="BH143" i="1"/>
  <c r="BG143" i="1"/>
  <c r="AJ143" i="1"/>
  <c r="AF143" i="1"/>
  <c r="Z143" i="1"/>
  <c r="DI142" i="1"/>
  <c r="CZ142" i="1"/>
  <c r="CV142" i="1"/>
  <c r="CG142" i="1"/>
  <c r="BU142" i="1"/>
  <c r="BT142" i="1"/>
  <c r="BQ142" i="1"/>
  <c r="BH142" i="1"/>
  <c r="BG142" i="1"/>
  <c r="AJ142" i="1"/>
  <c r="AF142" i="1"/>
  <c r="Z142" i="1"/>
  <c r="DI141" i="1"/>
  <c r="CZ141" i="1"/>
  <c r="CV141" i="1"/>
  <c r="CG141" i="1"/>
  <c r="BU141" i="1"/>
  <c r="BT141" i="1"/>
  <c r="BQ141" i="1"/>
  <c r="BH141" i="1"/>
  <c r="BG141" i="1"/>
  <c r="AJ141" i="1"/>
  <c r="AF141" i="1"/>
  <c r="AE141" i="1" s="1"/>
  <c r="AD141" i="1"/>
  <c r="Z141" i="1"/>
  <c r="EF140" i="1"/>
  <c r="DI140" i="1"/>
  <c r="CZ140" i="1"/>
  <c r="CV140" i="1"/>
  <c r="CG140" i="1"/>
  <c r="BU140" i="1"/>
  <c r="BT140" i="1"/>
  <c r="BQ140" i="1"/>
  <c r="BH140" i="1"/>
  <c r="BG140" i="1"/>
  <c r="AJ140" i="1"/>
  <c r="AF140" i="1"/>
  <c r="Z140" i="1"/>
  <c r="DI139" i="1"/>
  <c r="CZ139" i="1"/>
  <c r="CV139" i="1"/>
  <c r="CG139" i="1"/>
  <c r="BU139" i="1"/>
  <c r="BT139" i="1"/>
  <c r="BQ139" i="1"/>
  <c r="BP139" i="1"/>
  <c r="BH139" i="1"/>
  <c r="BG139" i="1"/>
  <c r="AJ139" i="1"/>
  <c r="AF139" i="1"/>
  <c r="AD139" i="1" s="1"/>
  <c r="AE139" i="1"/>
  <c r="Z139" i="1"/>
  <c r="DI138" i="1"/>
  <c r="CZ138" i="1"/>
  <c r="CV138" i="1"/>
  <c r="CG138" i="1"/>
  <c r="BU138" i="1"/>
  <c r="BT138" i="1"/>
  <c r="BQ138" i="1"/>
  <c r="BP138" i="1"/>
  <c r="BH138" i="1"/>
  <c r="BG138" i="1"/>
  <c r="AJ138" i="1"/>
  <c r="AF138" i="1"/>
  <c r="AD138" i="1" s="1"/>
  <c r="AE138" i="1"/>
  <c r="Z138" i="1"/>
  <c r="DT137" i="1"/>
  <c r="DI137" i="1"/>
  <c r="CZ137" i="1"/>
  <c r="CV137" i="1"/>
  <c r="CG137" i="1"/>
  <c r="BU137" i="1"/>
  <c r="BT137" i="1"/>
  <c r="BQ137" i="1"/>
  <c r="BH137" i="1"/>
  <c r="BG137" i="1"/>
  <c r="AJ137" i="1"/>
  <c r="AF137" i="1"/>
  <c r="AE137" i="1" s="1"/>
  <c r="AD137" i="1"/>
  <c r="Z137" i="1"/>
  <c r="DI136" i="1"/>
  <c r="CZ136" i="1"/>
  <c r="CV136" i="1"/>
  <c r="CG136" i="1"/>
  <c r="BU136" i="1"/>
  <c r="BT136" i="1"/>
  <c r="BQ136" i="1"/>
  <c r="BH136" i="1"/>
  <c r="BG136" i="1"/>
  <c r="AJ136" i="1"/>
  <c r="AF136" i="1"/>
  <c r="Z136" i="1"/>
  <c r="DI135" i="1"/>
  <c r="CZ135" i="1"/>
  <c r="CV135" i="1"/>
  <c r="CG135" i="1"/>
  <c r="BU135" i="1"/>
  <c r="BT135" i="1"/>
  <c r="BQ135" i="1"/>
  <c r="BH135" i="1"/>
  <c r="BG135" i="1"/>
  <c r="AJ135" i="1"/>
  <c r="AF135" i="1"/>
  <c r="Z135" i="1"/>
  <c r="DX134" i="1"/>
  <c r="DI134" i="1"/>
  <c r="CZ134" i="1"/>
  <c r="CV134" i="1"/>
  <c r="CG134" i="1"/>
  <c r="BU134" i="1"/>
  <c r="BT134" i="1"/>
  <c r="BQ134" i="1"/>
  <c r="BH134" i="1"/>
  <c r="BG134" i="1"/>
  <c r="AJ134" i="1"/>
  <c r="AF134" i="1"/>
  <c r="AD134" i="1" s="1"/>
  <c r="AE134" i="1"/>
  <c r="Z134" i="1"/>
  <c r="DI133" i="1"/>
  <c r="CZ133" i="1"/>
  <c r="CV133" i="1"/>
  <c r="CG133" i="1"/>
  <c r="BU133" i="1"/>
  <c r="BT133" i="1"/>
  <c r="BQ133" i="1"/>
  <c r="BH133" i="1"/>
  <c r="BG133" i="1"/>
  <c r="AJ133" i="1"/>
  <c r="AF133" i="1"/>
  <c r="Z133" i="1"/>
  <c r="DV132" i="1"/>
  <c r="DU132" i="1"/>
  <c r="DI132" i="1"/>
  <c r="CZ132" i="1"/>
  <c r="CV132" i="1"/>
  <c r="CG132" i="1"/>
  <c r="BU132" i="1"/>
  <c r="BT132" i="1"/>
  <c r="BQ132" i="1"/>
  <c r="BH132" i="1"/>
  <c r="BG132" i="1"/>
  <c r="AJ132" i="1"/>
  <c r="AF132" i="1"/>
  <c r="Z132" i="1"/>
  <c r="DI131" i="1"/>
  <c r="CZ131" i="1"/>
  <c r="CV131" i="1"/>
  <c r="CG131" i="1"/>
  <c r="BU131" i="1"/>
  <c r="BT131" i="1"/>
  <c r="BQ131" i="1"/>
  <c r="BH131" i="1"/>
  <c r="BG131" i="1"/>
  <c r="AJ131" i="1"/>
  <c r="AF131" i="1"/>
  <c r="AE131" i="1" s="1"/>
  <c r="Z131" i="1"/>
  <c r="DS130" i="1"/>
  <c r="DI130" i="1"/>
  <c r="CZ130" i="1"/>
  <c r="CV130" i="1"/>
  <c r="CG130" i="1"/>
  <c r="BU130" i="1"/>
  <c r="BT130" i="1"/>
  <c r="BQ130" i="1"/>
  <c r="BH130" i="1"/>
  <c r="BG130" i="1"/>
  <c r="AJ130" i="1"/>
  <c r="AF130" i="1"/>
  <c r="AD130" i="1" s="1"/>
  <c r="Z130" i="1"/>
  <c r="EH129" i="1"/>
  <c r="DI129" i="1"/>
  <c r="CZ129" i="1"/>
  <c r="CV129" i="1"/>
  <c r="CG129" i="1"/>
  <c r="BU129" i="1"/>
  <c r="BT129" i="1"/>
  <c r="BQ129" i="1"/>
  <c r="BH129" i="1"/>
  <c r="BG129" i="1"/>
  <c r="AJ129" i="1"/>
  <c r="AF129" i="1"/>
  <c r="Z129" i="1"/>
  <c r="EH128" i="1"/>
  <c r="DS128" i="1"/>
  <c r="DI128" i="1"/>
  <c r="CZ128" i="1"/>
  <c r="CV128" i="1"/>
  <c r="CG128" i="1"/>
  <c r="BU128" i="1"/>
  <c r="BT128" i="1"/>
  <c r="BQ128" i="1"/>
  <c r="BH128" i="1"/>
  <c r="BG128" i="1"/>
  <c r="AJ128" i="1"/>
  <c r="AF128" i="1"/>
  <c r="Z128" i="1"/>
  <c r="DI127" i="1"/>
  <c r="CZ127" i="1"/>
  <c r="CV127" i="1"/>
  <c r="CG127" i="1"/>
  <c r="BU127" i="1"/>
  <c r="BT127" i="1"/>
  <c r="BQ127" i="1"/>
  <c r="BH127" i="1"/>
  <c r="BG127" i="1"/>
  <c r="AJ127" i="1"/>
  <c r="AF127" i="1"/>
  <c r="AE127" i="1"/>
  <c r="AD127" i="1"/>
  <c r="Z127" i="1"/>
  <c r="EF126" i="1"/>
  <c r="DS126" i="1"/>
  <c r="DI126" i="1"/>
  <c r="CZ126" i="1"/>
  <c r="CV126" i="1"/>
  <c r="CG126" i="1"/>
  <c r="BU126" i="1"/>
  <c r="BT126" i="1"/>
  <c r="BQ126" i="1"/>
  <c r="BH126" i="1"/>
  <c r="BG126" i="1"/>
  <c r="AJ126" i="1"/>
  <c r="AF126" i="1"/>
  <c r="AD126" i="1" s="1"/>
  <c r="AE126" i="1"/>
  <c r="Z126" i="1"/>
  <c r="EF125" i="1"/>
  <c r="DI125" i="1"/>
  <c r="CZ125" i="1"/>
  <c r="CV125" i="1"/>
  <c r="CG125" i="1"/>
  <c r="BU125" i="1"/>
  <c r="BT125" i="1"/>
  <c r="BQ125" i="1"/>
  <c r="BH125" i="1"/>
  <c r="BG125" i="1"/>
  <c r="AJ125" i="1"/>
  <c r="AF125" i="1"/>
  <c r="AE125" i="1" s="1"/>
  <c r="Z125" i="1"/>
  <c r="DU124" i="1"/>
  <c r="DI124" i="1"/>
  <c r="CZ124" i="1"/>
  <c r="CV124" i="1"/>
  <c r="CG124" i="1"/>
  <c r="BU124" i="1"/>
  <c r="BT124" i="1"/>
  <c r="BQ124" i="1"/>
  <c r="BH124" i="1"/>
  <c r="BG124" i="1"/>
  <c r="AJ124" i="1"/>
  <c r="AF124" i="1"/>
  <c r="Z124" i="1"/>
  <c r="DI123" i="1"/>
  <c r="CZ123" i="1"/>
  <c r="CV123" i="1"/>
  <c r="CG123" i="1"/>
  <c r="BU123" i="1"/>
  <c r="BT123" i="1"/>
  <c r="BQ123" i="1"/>
  <c r="BH123" i="1"/>
  <c r="BG123" i="1"/>
  <c r="AJ123" i="1"/>
  <c r="AF123" i="1"/>
  <c r="AE123" i="1" s="1"/>
  <c r="Z123" i="1"/>
  <c r="AF122" i="1"/>
  <c r="AE122" i="1" s="1"/>
  <c r="AD122" i="1"/>
  <c r="Z122" i="1"/>
  <c r="DI121" i="1"/>
  <c r="CZ121" i="1"/>
  <c r="CV121" i="1"/>
  <c r="CG121" i="1"/>
  <c r="BU121" i="1"/>
  <c r="BT121" i="1"/>
  <c r="BQ121" i="1"/>
  <c r="BH121" i="1"/>
  <c r="BG121" i="1"/>
  <c r="AJ121" i="1"/>
  <c r="AF121" i="1"/>
  <c r="AE121" i="1" s="1"/>
  <c r="Z121" i="1"/>
  <c r="DT120" i="1"/>
  <c r="DI120" i="1"/>
  <c r="CZ120" i="1"/>
  <c r="CV120" i="1"/>
  <c r="CG120" i="1"/>
  <c r="BU120" i="1"/>
  <c r="BT120" i="1"/>
  <c r="BQ120" i="1"/>
  <c r="BH120" i="1"/>
  <c r="BG120" i="1"/>
  <c r="AJ120" i="1"/>
  <c r="AF120" i="1"/>
  <c r="AE120" i="1" s="1"/>
  <c r="Z120" i="1"/>
  <c r="DU119" i="1"/>
  <c r="DI119" i="1"/>
  <c r="CZ119" i="1"/>
  <c r="CV119" i="1"/>
  <c r="CG119" i="1"/>
  <c r="BU119" i="1"/>
  <c r="BT119" i="1"/>
  <c r="BQ119" i="1"/>
  <c r="BP119" i="1"/>
  <c r="BH119" i="1"/>
  <c r="BG119" i="1"/>
  <c r="AJ119" i="1"/>
  <c r="AF119" i="1"/>
  <c r="AE119" i="1" s="1"/>
  <c r="Z119" i="1"/>
  <c r="DI118" i="1"/>
  <c r="CZ118" i="1"/>
  <c r="CV118" i="1"/>
  <c r="CG118" i="1"/>
  <c r="BU118" i="1"/>
  <c r="BT118" i="1"/>
  <c r="BQ118" i="1"/>
  <c r="BH118" i="1"/>
  <c r="BG118" i="1"/>
  <c r="AJ118" i="1"/>
  <c r="AF118" i="1"/>
  <c r="AE118" i="1" s="1"/>
  <c r="Z118" i="1"/>
  <c r="DI117" i="1"/>
  <c r="CZ117" i="1"/>
  <c r="CV117" i="1"/>
  <c r="CG117" i="1"/>
  <c r="BU117" i="1"/>
  <c r="BT117" i="1"/>
  <c r="BQ117" i="1"/>
  <c r="BP117" i="1"/>
  <c r="BH117" i="1"/>
  <c r="BG117" i="1"/>
  <c r="AJ117" i="1"/>
  <c r="AF117" i="1"/>
  <c r="AD117" i="1" s="1"/>
  <c r="AE117" i="1"/>
  <c r="Z117" i="1"/>
  <c r="DI116" i="1"/>
  <c r="CZ116" i="1"/>
  <c r="CV116" i="1"/>
  <c r="CG116" i="1"/>
  <c r="BU116" i="1"/>
  <c r="BT116" i="1"/>
  <c r="BQ116" i="1"/>
  <c r="BH116" i="1"/>
  <c r="BG116" i="1"/>
  <c r="AJ116" i="1"/>
  <c r="AF116" i="1"/>
  <c r="AE116" i="1" s="1"/>
  <c r="Z116" i="1"/>
  <c r="DI115" i="1"/>
  <c r="CZ115" i="1"/>
  <c r="CV115" i="1"/>
  <c r="CG115" i="1"/>
  <c r="BU115" i="1"/>
  <c r="BT115" i="1"/>
  <c r="BQ115" i="1"/>
  <c r="BH115" i="1"/>
  <c r="BG115" i="1"/>
  <c r="AJ115" i="1"/>
  <c r="AF115" i="1"/>
  <c r="Z115" i="1"/>
  <c r="DI114" i="1"/>
  <c r="CZ114" i="1"/>
  <c r="CV114" i="1"/>
  <c r="CG114" i="1"/>
  <c r="BU114" i="1"/>
  <c r="BT114" i="1"/>
  <c r="BQ114" i="1"/>
  <c r="BH114" i="1"/>
  <c r="BG114" i="1"/>
  <c r="AJ114" i="1"/>
  <c r="AF114" i="1"/>
  <c r="AE114" i="1" s="1"/>
  <c r="AD114" i="1"/>
  <c r="Z114" i="1"/>
  <c r="DI113" i="1"/>
  <c r="CZ113" i="1"/>
  <c r="CV113" i="1"/>
  <c r="CG113" i="1"/>
  <c r="BU113" i="1"/>
  <c r="BT113" i="1"/>
  <c r="BQ113" i="1"/>
  <c r="BH113" i="1"/>
  <c r="BG113" i="1"/>
  <c r="AJ113" i="1"/>
  <c r="AF113" i="1"/>
  <c r="AE113" i="1" s="1"/>
  <c r="Z113" i="1"/>
  <c r="DI112" i="1"/>
  <c r="CZ112" i="1"/>
  <c r="CV112" i="1"/>
  <c r="CG112" i="1"/>
  <c r="BU112" i="1"/>
  <c r="BT112" i="1"/>
  <c r="BQ112" i="1"/>
  <c r="BH112" i="1"/>
  <c r="BG112" i="1"/>
  <c r="AJ112" i="1"/>
  <c r="AF112" i="1"/>
  <c r="AE112" i="1" s="1"/>
  <c r="Z112" i="1"/>
  <c r="DI111" i="1"/>
  <c r="CZ111" i="1"/>
  <c r="CV111" i="1"/>
  <c r="CG111" i="1"/>
  <c r="BU111" i="1"/>
  <c r="BT111" i="1"/>
  <c r="BQ111" i="1"/>
  <c r="BP111" i="1"/>
  <c r="BH111" i="1"/>
  <c r="BG111" i="1"/>
  <c r="AJ111" i="1"/>
  <c r="AF111" i="1"/>
  <c r="AE111" i="1" s="1"/>
  <c r="Z111" i="1"/>
  <c r="DI110" i="1"/>
  <c r="CZ110" i="1"/>
  <c r="CV110" i="1"/>
  <c r="CG110" i="1"/>
  <c r="BU110" i="1"/>
  <c r="BT110" i="1"/>
  <c r="BQ110" i="1"/>
  <c r="BH110" i="1"/>
  <c r="BG110" i="1"/>
  <c r="AJ110" i="1"/>
  <c r="AF110" i="1"/>
  <c r="AD110" i="1" s="1"/>
  <c r="Z110" i="1"/>
  <c r="DI109" i="1"/>
  <c r="CZ109" i="1"/>
  <c r="CV109" i="1"/>
  <c r="CG109" i="1"/>
  <c r="BU109" i="1"/>
  <c r="BT109" i="1"/>
  <c r="BQ109" i="1"/>
  <c r="BH109" i="1"/>
  <c r="BG109" i="1"/>
  <c r="AJ109" i="1"/>
  <c r="AF109" i="1"/>
  <c r="AE109" i="1" s="1"/>
  <c r="Z109" i="1"/>
  <c r="DU108" i="1"/>
  <c r="DI108" i="1"/>
  <c r="CZ108" i="1"/>
  <c r="CV108" i="1"/>
  <c r="CG108" i="1"/>
  <c r="BU108" i="1"/>
  <c r="BT108" i="1"/>
  <c r="BQ108" i="1"/>
  <c r="BP108" i="1"/>
  <c r="BH108" i="1"/>
  <c r="BG108" i="1"/>
  <c r="AJ108" i="1"/>
  <c r="AF108" i="1"/>
  <c r="AE108" i="1" s="1"/>
  <c r="Z108" i="1"/>
  <c r="DI107" i="1"/>
  <c r="CZ107" i="1"/>
  <c r="CV107" i="1"/>
  <c r="CG107" i="1"/>
  <c r="BU107" i="1"/>
  <c r="BT107" i="1"/>
  <c r="BQ107" i="1"/>
  <c r="BP107" i="1"/>
  <c r="BH107" i="1"/>
  <c r="BG107" i="1"/>
  <c r="AJ107" i="1"/>
  <c r="AF107" i="1"/>
  <c r="AE107" i="1" s="1"/>
  <c r="AD107" i="1"/>
  <c r="Z107" i="1"/>
  <c r="DI106" i="1"/>
  <c r="CZ106" i="1"/>
  <c r="CV106" i="1"/>
  <c r="CG106" i="1"/>
  <c r="BU106" i="1"/>
  <c r="BT106" i="1"/>
  <c r="BQ106" i="1"/>
  <c r="BH106" i="1"/>
  <c r="BG106" i="1"/>
  <c r="AJ106" i="1"/>
  <c r="AF106" i="1"/>
  <c r="AE106" i="1" s="1"/>
  <c r="Z106" i="1"/>
  <c r="EB105" i="1"/>
  <c r="AF105" i="1"/>
  <c r="AE105" i="1" s="1"/>
  <c r="Z105" i="1"/>
  <c r="CZ104" i="1"/>
  <c r="CG104" i="1"/>
  <c r="BU104" i="1"/>
  <c r="BQ104" i="1"/>
  <c r="BH104" i="1"/>
  <c r="BG104" i="1"/>
  <c r="AF104" i="1"/>
  <c r="AE104" i="1" s="1"/>
  <c r="AD104" i="1"/>
  <c r="Z104" i="1"/>
  <c r="DI103" i="1"/>
  <c r="CZ103" i="1"/>
  <c r="CV103" i="1"/>
  <c r="CG103" i="1"/>
  <c r="BU103" i="1"/>
  <c r="BT103" i="1"/>
  <c r="BQ103" i="1"/>
  <c r="BH103" i="1"/>
  <c r="BG103" i="1"/>
  <c r="AJ103" i="1"/>
  <c r="AF103" i="1"/>
  <c r="AE103" i="1" s="1"/>
  <c r="Z103" i="1"/>
  <c r="DI102" i="1"/>
  <c r="CZ102" i="1"/>
  <c r="CV102" i="1"/>
  <c r="CG102" i="1"/>
  <c r="BU102" i="1"/>
  <c r="BT102" i="1"/>
  <c r="BQ102" i="1"/>
  <c r="BH102" i="1"/>
  <c r="BG102" i="1"/>
  <c r="AJ102" i="1"/>
  <c r="AF102" i="1"/>
  <c r="AE102" i="1" s="1"/>
  <c r="Z102" i="1"/>
  <c r="DI101" i="1"/>
  <c r="CZ101" i="1"/>
  <c r="CV101" i="1"/>
  <c r="CG101" i="1"/>
  <c r="BU101" i="1"/>
  <c r="BT101" i="1"/>
  <c r="BQ101" i="1"/>
  <c r="BH101" i="1"/>
  <c r="BG101" i="1"/>
  <c r="AJ101" i="1"/>
  <c r="AF101" i="1"/>
  <c r="AE101" i="1" s="1"/>
  <c r="Z101" i="1"/>
  <c r="DI100" i="1"/>
  <c r="CZ100" i="1"/>
  <c r="CV100" i="1"/>
  <c r="CG100" i="1"/>
  <c r="BU100" i="1"/>
  <c r="BT100" i="1"/>
  <c r="BQ100" i="1"/>
  <c r="BP100" i="1"/>
  <c r="BH100" i="1"/>
  <c r="BG100" i="1"/>
  <c r="AJ100" i="1"/>
  <c r="AF100" i="1"/>
  <c r="AE100" i="1" s="1"/>
  <c r="Z100" i="1"/>
  <c r="DI99" i="1"/>
  <c r="CZ99" i="1"/>
  <c r="CV99" i="1"/>
  <c r="CG99" i="1"/>
  <c r="BU99" i="1"/>
  <c r="BT99" i="1"/>
  <c r="BQ99" i="1"/>
  <c r="BP99" i="1"/>
  <c r="BH99" i="1"/>
  <c r="BG99" i="1"/>
  <c r="AJ99" i="1"/>
  <c r="AF99" i="1"/>
  <c r="AE99" i="1"/>
  <c r="AD99" i="1"/>
  <c r="Z99" i="1"/>
  <c r="BH98" i="1"/>
  <c r="AF98" i="1"/>
  <c r="Z98" i="1"/>
  <c r="DI97" i="1"/>
  <c r="CZ97" i="1"/>
  <c r="CV97" i="1"/>
  <c r="CG97" i="1"/>
  <c r="BU97" i="1"/>
  <c r="BT97" i="1"/>
  <c r="BQ97" i="1"/>
  <c r="BH97" i="1"/>
  <c r="BG97" i="1"/>
  <c r="AJ97" i="1"/>
  <c r="AF97" i="1"/>
  <c r="AE97" i="1" s="1"/>
  <c r="Z97" i="1"/>
  <c r="DI96" i="1"/>
  <c r="CZ96" i="1"/>
  <c r="CV96" i="1"/>
  <c r="CG96" i="1"/>
  <c r="BU96" i="1"/>
  <c r="BT96" i="1"/>
  <c r="BQ96" i="1"/>
  <c r="BH96" i="1"/>
  <c r="BG96" i="1"/>
  <c r="AJ96" i="1"/>
  <c r="AF96" i="1"/>
  <c r="AE96" i="1" s="1"/>
  <c r="Z96" i="1"/>
  <c r="DI95" i="1"/>
  <c r="CZ95" i="1"/>
  <c r="CV95" i="1"/>
  <c r="CG95" i="1"/>
  <c r="BU95" i="1"/>
  <c r="BT95" i="1"/>
  <c r="BQ95" i="1"/>
  <c r="BH95" i="1"/>
  <c r="BG95" i="1"/>
  <c r="AJ95" i="1"/>
  <c r="AF95" i="1"/>
  <c r="Z95" i="1"/>
  <c r="DI94" i="1"/>
  <c r="CZ94" i="1"/>
  <c r="CV94" i="1"/>
  <c r="CG94" i="1"/>
  <c r="BU94" i="1"/>
  <c r="BT94" i="1"/>
  <c r="BQ94" i="1"/>
  <c r="BH94" i="1"/>
  <c r="BG94" i="1"/>
  <c r="AJ94" i="1"/>
  <c r="AF94" i="1"/>
  <c r="AE94" i="1" s="1"/>
  <c r="Z94" i="1"/>
  <c r="AF93" i="1"/>
  <c r="AE93" i="1" s="1"/>
  <c r="Z93" i="1"/>
  <c r="DI92" i="1"/>
  <c r="CZ92" i="1"/>
  <c r="CV92" i="1"/>
  <c r="CG92" i="1"/>
  <c r="BU92" i="1"/>
  <c r="BT92" i="1"/>
  <c r="BQ92" i="1"/>
  <c r="BH92" i="1"/>
  <c r="BG92" i="1"/>
  <c r="AJ92" i="1"/>
  <c r="AF92" i="1"/>
  <c r="AE92" i="1" s="1"/>
  <c r="Z92" i="1"/>
  <c r="AF91" i="1"/>
  <c r="AE91" i="1" s="1"/>
  <c r="Z91" i="1"/>
  <c r="DJ90" i="1"/>
  <c r="DI90" i="1"/>
  <c r="DH90" i="1"/>
  <c r="DG90" i="1"/>
  <c r="DF90" i="1"/>
  <c r="DE90" i="1"/>
  <c r="DD90" i="1"/>
  <c r="DC90" i="1"/>
  <c r="DA90" i="1"/>
  <c r="CZ90" i="1"/>
  <c r="CX90" i="1"/>
  <c r="CV90" i="1"/>
  <c r="CU90" i="1"/>
  <c r="CT90" i="1"/>
  <c r="CS90" i="1"/>
  <c r="CR90" i="1"/>
  <c r="CQ90" i="1"/>
  <c r="CP90" i="1"/>
  <c r="CI90" i="1"/>
  <c r="CH90" i="1"/>
  <c r="CG90" i="1"/>
  <c r="BU90" i="1"/>
  <c r="BT90" i="1"/>
  <c r="BQ90" i="1"/>
  <c r="BJ90" i="1"/>
  <c r="BH90" i="1"/>
  <c r="BG90" i="1"/>
  <c r="BF90" i="1"/>
  <c r="BE90" i="1"/>
  <c r="BD90" i="1"/>
  <c r="BB90" i="1"/>
  <c r="BA90" i="1"/>
  <c r="AZ90" i="1"/>
  <c r="AY90" i="1"/>
  <c r="AW90" i="1"/>
  <c r="AV90" i="1"/>
  <c r="AU90" i="1"/>
  <c r="AT90" i="1"/>
  <c r="AS90" i="1"/>
  <c r="AR90" i="1"/>
  <c r="AQ90" i="1"/>
  <c r="AP90" i="1"/>
  <c r="AO90" i="1"/>
  <c r="AM90" i="1"/>
  <c r="AK90" i="1"/>
  <c r="AJ90" i="1"/>
  <c r="AF90" i="1"/>
  <c r="AE90" i="1" s="1"/>
  <c r="AD90" i="1"/>
  <c r="Z90" i="1"/>
  <c r="DI89" i="1"/>
  <c r="CZ89" i="1"/>
  <c r="CV89" i="1"/>
  <c r="CG89" i="1"/>
  <c r="BU89" i="1"/>
  <c r="BT89" i="1"/>
  <c r="BQ89" i="1"/>
  <c r="BH89" i="1"/>
  <c r="BG89" i="1"/>
  <c r="AJ89" i="1"/>
  <c r="AF89" i="1"/>
  <c r="AD89" i="1" s="1"/>
  <c r="Z89" i="1"/>
  <c r="AF88" i="1"/>
  <c r="AE88" i="1" s="1"/>
  <c r="Z88" i="1"/>
  <c r="DI87" i="1"/>
  <c r="CZ87" i="1"/>
  <c r="CV87" i="1"/>
  <c r="CG87" i="1"/>
  <c r="BU87" i="1"/>
  <c r="BT87" i="1"/>
  <c r="BQ87" i="1"/>
  <c r="BH87" i="1"/>
  <c r="BG87" i="1"/>
  <c r="AJ87" i="1"/>
  <c r="AF87" i="1"/>
  <c r="Z87" i="1"/>
  <c r="AF86" i="1"/>
  <c r="AE86" i="1" s="1"/>
  <c r="Z86" i="1"/>
  <c r="EG85" i="1"/>
  <c r="DI85" i="1"/>
  <c r="CZ85" i="1"/>
  <c r="CV85" i="1"/>
  <c r="CG85" i="1"/>
  <c r="BU85" i="1"/>
  <c r="BQ85" i="1"/>
  <c r="BH85" i="1"/>
  <c r="BG85" i="1"/>
  <c r="AJ85" i="1"/>
  <c r="AF85" i="1"/>
  <c r="Z85" i="1"/>
  <c r="AF84" i="1"/>
  <c r="AE84" i="1" s="1"/>
  <c r="Z84" i="1"/>
  <c r="DI83" i="1"/>
  <c r="DF83" i="1"/>
  <c r="CZ83" i="1"/>
  <c r="CV83" i="1"/>
  <c r="CI83" i="1"/>
  <c r="CG83" i="1"/>
  <c r="CF83" i="1"/>
  <c r="BU83" i="1"/>
  <c r="BT83" i="1"/>
  <c r="BQ83" i="1"/>
  <c r="BJ83" i="1"/>
  <c r="BH83" i="1"/>
  <c r="BG83" i="1"/>
  <c r="AY83" i="1"/>
  <c r="AM83" i="1"/>
  <c r="AJ83" i="1"/>
  <c r="AF83" i="1"/>
  <c r="AE83" i="1" s="1"/>
  <c r="Z83" i="1"/>
  <c r="Z82" i="1"/>
  <c r="EG81" i="1"/>
  <c r="DI81" i="1"/>
  <c r="CZ81" i="1"/>
  <c r="CV81" i="1"/>
  <c r="CG81" i="1"/>
  <c r="BU81" i="1"/>
  <c r="BQ81" i="1"/>
  <c r="BH81" i="1"/>
  <c r="BG81" i="1"/>
  <c r="AJ81" i="1"/>
  <c r="AF81" i="1"/>
  <c r="Z81" i="1"/>
  <c r="DI80" i="1"/>
  <c r="CZ80" i="1"/>
  <c r="CV80" i="1"/>
  <c r="CG80" i="1"/>
  <c r="BU80" i="1"/>
  <c r="BQ80" i="1"/>
  <c r="BH80" i="1"/>
  <c r="BG80" i="1"/>
  <c r="AJ80" i="1"/>
  <c r="AF80" i="1"/>
  <c r="AE80" i="1" s="1"/>
  <c r="Z80" i="1"/>
  <c r="DI79" i="1"/>
  <c r="CZ79" i="1"/>
  <c r="CV79" i="1"/>
  <c r="CG79" i="1"/>
  <c r="BU79" i="1"/>
  <c r="BQ79" i="1"/>
  <c r="BH79" i="1"/>
  <c r="BG79" i="1"/>
  <c r="AJ79" i="1"/>
  <c r="AF79" i="1"/>
  <c r="AE79" i="1" s="1"/>
  <c r="Z79" i="1"/>
  <c r="DI78" i="1"/>
  <c r="CZ78" i="1"/>
  <c r="CV78" i="1"/>
  <c r="CG78" i="1"/>
  <c r="BU78" i="1"/>
  <c r="BQ78" i="1"/>
  <c r="BH78" i="1"/>
  <c r="BG78" i="1"/>
  <c r="AJ78" i="1"/>
  <c r="AF78" i="1"/>
  <c r="AE78" i="1" s="1"/>
  <c r="Z78" i="1"/>
  <c r="DI77" i="1"/>
  <c r="CZ77" i="1"/>
  <c r="CV77" i="1"/>
  <c r="CG77" i="1"/>
  <c r="BU77" i="1"/>
  <c r="BT77" i="1"/>
  <c r="BQ77" i="1"/>
  <c r="BH77" i="1"/>
  <c r="BG77" i="1"/>
  <c r="AJ77" i="1"/>
  <c r="AF77" i="1"/>
  <c r="AE77" i="1" s="1"/>
  <c r="Z77" i="1"/>
  <c r="DI76" i="1"/>
  <c r="CZ76" i="1"/>
  <c r="CV76" i="1"/>
  <c r="CG76" i="1"/>
  <c r="BU76" i="1"/>
  <c r="BT76" i="1"/>
  <c r="BQ76" i="1"/>
  <c r="BH76" i="1"/>
  <c r="BG76" i="1"/>
  <c r="AJ76" i="1"/>
  <c r="AF76" i="1"/>
  <c r="AE76" i="1" s="1"/>
  <c r="Z76" i="1"/>
  <c r="DI75" i="1"/>
  <c r="CZ75" i="1"/>
  <c r="CV75" i="1"/>
  <c r="CG75" i="1"/>
  <c r="BU75" i="1"/>
  <c r="BT75" i="1"/>
  <c r="BQ75" i="1"/>
  <c r="BH75" i="1"/>
  <c r="BG75" i="1"/>
  <c r="AJ75" i="1"/>
  <c r="AF75" i="1"/>
  <c r="AE75" i="1" s="1"/>
  <c r="Z75" i="1"/>
  <c r="DI74" i="1"/>
  <c r="CZ74" i="1"/>
  <c r="CV74" i="1"/>
  <c r="CG74" i="1"/>
  <c r="BU74" i="1"/>
  <c r="BT74" i="1"/>
  <c r="BQ74" i="1"/>
  <c r="BH74" i="1"/>
  <c r="BG74" i="1"/>
  <c r="AJ74" i="1"/>
  <c r="AF74" i="1"/>
  <c r="AE74" i="1"/>
  <c r="AD74" i="1"/>
  <c r="Z74" i="1"/>
  <c r="DI73" i="1"/>
  <c r="CZ73" i="1"/>
  <c r="CV73" i="1"/>
  <c r="CG73" i="1"/>
  <c r="BU73" i="1"/>
  <c r="BT73" i="1"/>
  <c r="BQ73" i="1"/>
  <c r="BH73" i="1"/>
  <c r="BG73" i="1"/>
  <c r="AJ73" i="1"/>
  <c r="AF73" i="1"/>
  <c r="Z73" i="1"/>
  <c r="DI72" i="1"/>
  <c r="CZ72" i="1"/>
  <c r="CV72" i="1"/>
  <c r="CG72" i="1"/>
  <c r="BU72" i="1"/>
  <c r="BT72" i="1"/>
  <c r="BQ72" i="1"/>
  <c r="BH72" i="1"/>
  <c r="BG72" i="1"/>
  <c r="AJ72" i="1"/>
  <c r="AF72" i="1"/>
  <c r="AD72" i="1" s="1"/>
  <c r="Z72" i="1"/>
  <c r="DI71" i="1"/>
  <c r="CZ71" i="1"/>
  <c r="CV71" i="1"/>
  <c r="CG71" i="1"/>
  <c r="BU71" i="1"/>
  <c r="BT71" i="1"/>
  <c r="BQ71" i="1"/>
  <c r="BH71" i="1"/>
  <c r="BG71" i="1"/>
  <c r="AJ71" i="1"/>
  <c r="AF71" i="1"/>
  <c r="Z71" i="1"/>
  <c r="AF70" i="1"/>
  <c r="Z70" i="1"/>
  <c r="DI69" i="1"/>
  <c r="CZ69" i="1"/>
  <c r="CV69" i="1"/>
  <c r="CG69" i="1"/>
  <c r="BU69" i="1"/>
  <c r="BT69" i="1"/>
  <c r="BQ69" i="1"/>
  <c r="BG69" i="1"/>
  <c r="AJ69" i="1"/>
  <c r="AF69" i="1"/>
  <c r="AD69" i="1" s="1"/>
  <c r="AE69" i="1"/>
  <c r="DI68" i="1"/>
  <c r="CZ68" i="1"/>
  <c r="CV68" i="1"/>
  <c r="CG68" i="1"/>
  <c r="BU68" i="1"/>
  <c r="BT68" i="1"/>
  <c r="BQ68" i="1"/>
  <c r="BG68" i="1"/>
  <c r="AJ68" i="1"/>
  <c r="AF68" i="1"/>
  <c r="AD68" i="1" s="1"/>
  <c r="AE68" i="1"/>
  <c r="DI67" i="1"/>
  <c r="CZ67" i="1"/>
  <c r="CV67" i="1"/>
  <c r="CG67" i="1"/>
  <c r="BU67" i="1"/>
  <c r="BT67" i="1"/>
  <c r="BQ67" i="1"/>
  <c r="BG67" i="1"/>
  <c r="AJ67" i="1"/>
  <c r="AF67" i="1"/>
  <c r="AE67" i="1" s="1"/>
  <c r="AF66" i="1"/>
  <c r="AD66" i="1" s="1"/>
  <c r="AE66" i="1"/>
  <c r="DI65" i="1"/>
  <c r="CZ65" i="1"/>
  <c r="CG65" i="1"/>
  <c r="BU65" i="1"/>
  <c r="BQ65" i="1"/>
  <c r="BH65" i="1"/>
  <c r="BG65" i="1"/>
  <c r="AF65" i="1"/>
  <c r="AD65" i="1" s="1"/>
  <c r="AE65" i="1"/>
  <c r="Z65" i="1"/>
  <c r="DI64" i="1"/>
  <c r="CZ64" i="1"/>
  <c r="CV64" i="1"/>
  <c r="CG64" i="1"/>
  <c r="BU64" i="1"/>
  <c r="BQ64" i="1"/>
  <c r="BH64" i="1"/>
  <c r="BG64" i="1"/>
  <c r="AF64" i="1"/>
  <c r="AD64" i="1" s="1"/>
  <c r="AE64" i="1"/>
  <c r="Z64" i="1"/>
  <c r="DI63" i="1"/>
  <c r="CZ63" i="1"/>
  <c r="CV63" i="1"/>
  <c r="CG63" i="1"/>
  <c r="BU63" i="1"/>
  <c r="BQ63" i="1"/>
  <c r="BH63" i="1"/>
  <c r="BG63" i="1"/>
  <c r="AF63" i="1"/>
  <c r="AE63" i="1"/>
  <c r="AD63" i="1"/>
  <c r="Z63" i="1"/>
  <c r="DI62" i="1"/>
  <c r="DF62" i="1"/>
  <c r="DE62" i="1"/>
  <c r="DD62" i="1"/>
  <c r="CZ62" i="1"/>
  <c r="CY62" i="1"/>
  <c r="CW62" i="1"/>
  <c r="CG62" i="1"/>
  <c r="CF62" i="1"/>
  <c r="BU62" i="1"/>
  <c r="BQ62" i="1"/>
  <c r="BP62" i="1"/>
  <c r="BJ62" i="1"/>
  <c r="BI62" i="1"/>
  <c r="BH62" i="1"/>
  <c r="BG62" i="1"/>
  <c r="BE62" i="1"/>
  <c r="BC62" i="1"/>
  <c r="AZ62" i="1"/>
  <c r="AY62" i="1"/>
  <c r="AX62" i="1"/>
  <c r="AM62" i="1"/>
  <c r="AL62" i="1"/>
  <c r="AK62" i="1"/>
  <c r="AJ62" i="1"/>
  <c r="AF62" i="1"/>
  <c r="Z62" i="1"/>
  <c r="AF61" i="1"/>
  <c r="AD61" i="1" s="1"/>
  <c r="Z61" i="1"/>
  <c r="DI60" i="1"/>
  <c r="CZ60" i="1"/>
  <c r="CV60" i="1"/>
  <c r="CG60" i="1"/>
  <c r="BU60" i="1"/>
  <c r="BT60" i="1"/>
  <c r="BQ60" i="1"/>
  <c r="BP60" i="1"/>
  <c r="BH60" i="1"/>
  <c r="BG60" i="1"/>
  <c r="AJ60" i="1"/>
  <c r="AF60" i="1"/>
  <c r="AD60" i="1" s="1"/>
  <c r="AE60" i="1"/>
  <c r="Z60" i="1"/>
  <c r="DI59" i="1"/>
  <c r="CZ59" i="1"/>
  <c r="CV59" i="1"/>
  <c r="CG59" i="1"/>
  <c r="BU59" i="1"/>
  <c r="BT59" i="1"/>
  <c r="BQ59" i="1"/>
  <c r="BH59" i="1"/>
  <c r="BG59" i="1"/>
  <c r="AJ59" i="1"/>
  <c r="AF59" i="1"/>
  <c r="AE59" i="1" s="1"/>
  <c r="Z59" i="1"/>
  <c r="AF58" i="1"/>
  <c r="AE58" i="1" s="1"/>
  <c r="AD58" i="1"/>
  <c r="Z58" i="1"/>
  <c r="DI57" i="1"/>
  <c r="CZ57" i="1"/>
  <c r="CV57" i="1"/>
  <c r="CG57" i="1"/>
  <c r="BU57" i="1"/>
  <c r="BT57" i="1"/>
  <c r="BQ57" i="1"/>
  <c r="BH57" i="1"/>
  <c r="BG57" i="1"/>
  <c r="AJ57" i="1"/>
  <c r="AF57" i="1"/>
  <c r="Z57" i="1"/>
  <c r="DI56" i="1"/>
  <c r="CZ56" i="1"/>
  <c r="CV56" i="1"/>
  <c r="CG56" i="1"/>
  <c r="BU56" i="1"/>
  <c r="BT56" i="1"/>
  <c r="BQ56" i="1"/>
  <c r="BH56" i="1"/>
  <c r="BG56" i="1"/>
  <c r="AJ56" i="1"/>
  <c r="AF56" i="1"/>
  <c r="AD56" i="1" s="1"/>
  <c r="DI55" i="1"/>
  <c r="CZ55" i="1"/>
  <c r="CV55" i="1"/>
  <c r="CG55" i="1"/>
  <c r="BU55" i="1"/>
  <c r="BT55" i="1"/>
  <c r="BQ55" i="1"/>
  <c r="BH55" i="1"/>
  <c r="BG55" i="1"/>
  <c r="AJ55" i="1"/>
  <c r="AF55" i="1"/>
  <c r="AD55" i="1" s="1"/>
  <c r="AF54" i="1"/>
  <c r="Z54" i="1"/>
  <c r="DI53" i="1"/>
  <c r="CZ53" i="1"/>
  <c r="CV53" i="1"/>
  <c r="BU53" i="1"/>
  <c r="BT53" i="1"/>
  <c r="BQ53" i="1"/>
  <c r="BH53" i="1"/>
  <c r="BG53" i="1"/>
  <c r="AJ53" i="1"/>
  <c r="AF53" i="1"/>
  <c r="AE53" i="1" s="1"/>
  <c r="Z53" i="1"/>
  <c r="DI52" i="1"/>
  <c r="CZ52" i="1"/>
  <c r="CV52" i="1"/>
  <c r="BU52" i="1"/>
  <c r="BT52" i="1"/>
  <c r="BQ52" i="1"/>
  <c r="BH52" i="1"/>
  <c r="BG52" i="1"/>
  <c r="AJ52" i="1"/>
  <c r="AF52" i="1"/>
  <c r="Z52" i="1"/>
  <c r="DI51" i="1"/>
  <c r="CZ51" i="1"/>
  <c r="CV51" i="1"/>
  <c r="BU51" i="1"/>
  <c r="BT51" i="1"/>
  <c r="BQ51" i="1"/>
  <c r="BH51" i="1"/>
  <c r="BG51" i="1"/>
  <c r="AJ51" i="1"/>
  <c r="AF51" i="1"/>
  <c r="AE51" i="1"/>
  <c r="AD51" i="1"/>
  <c r="Z51" i="1"/>
  <c r="AF50" i="1"/>
  <c r="Z50" i="1"/>
  <c r="DI49" i="1"/>
  <c r="CZ49" i="1"/>
  <c r="CV49" i="1"/>
  <c r="BU49" i="1"/>
  <c r="BT49" i="1"/>
  <c r="BQ49" i="1"/>
  <c r="BP49" i="1"/>
  <c r="BH49" i="1"/>
  <c r="BG49" i="1"/>
  <c r="AJ49" i="1"/>
  <c r="AF49" i="1"/>
  <c r="AD49" i="1" s="1"/>
  <c r="Z49" i="1"/>
  <c r="DI48" i="1"/>
  <c r="CZ48" i="1"/>
  <c r="CV48" i="1"/>
  <c r="BV48" i="1"/>
  <c r="BU48" i="1"/>
  <c r="BT48" i="1"/>
  <c r="BQ48" i="1"/>
  <c r="BH48" i="1"/>
  <c r="BG48" i="1"/>
  <c r="AY48" i="1"/>
  <c r="AJ48" i="1"/>
  <c r="AF48" i="1"/>
  <c r="AE48" i="1" s="1"/>
  <c r="Z48" i="1"/>
  <c r="DI47" i="1"/>
  <c r="CZ47" i="1"/>
  <c r="CV47" i="1"/>
  <c r="BU47" i="1"/>
  <c r="BT47" i="1"/>
  <c r="BQ47" i="1"/>
  <c r="BH47" i="1"/>
  <c r="BG47" i="1"/>
  <c r="AJ47" i="1"/>
  <c r="AF47" i="1"/>
  <c r="AD47" i="1" s="1"/>
  <c r="AE47" i="1"/>
  <c r="Z47" i="1"/>
  <c r="AF46" i="1"/>
  <c r="AE46" i="1" s="1"/>
  <c r="Z46" i="1"/>
  <c r="DI45" i="1"/>
  <c r="CZ45" i="1"/>
  <c r="CV45" i="1"/>
  <c r="CG45" i="1"/>
  <c r="BU45" i="1"/>
  <c r="BT45" i="1"/>
  <c r="BQ45" i="1"/>
  <c r="BP45" i="1"/>
  <c r="BH45" i="1"/>
  <c r="BG45" i="1"/>
  <c r="AJ45" i="1"/>
  <c r="AF45" i="1"/>
  <c r="Z45" i="1"/>
  <c r="AF44" i="1"/>
  <c r="AE44" i="1" s="1"/>
  <c r="Z44" i="1"/>
  <c r="DI43" i="1"/>
  <c r="CZ43" i="1"/>
  <c r="CV43" i="1"/>
  <c r="CG43" i="1"/>
  <c r="BU43" i="1"/>
  <c r="BT43" i="1"/>
  <c r="BQ43" i="1"/>
  <c r="BH43" i="1"/>
  <c r="BG43" i="1"/>
  <c r="AJ43" i="1"/>
  <c r="AF43" i="1"/>
  <c r="AE43" i="1" s="1"/>
  <c r="Z43" i="1"/>
  <c r="DI42" i="1"/>
  <c r="CZ42" i="1"/>
  <c r="CV42" i="1"/>
  <c r="CG42" i="1"/>
  <c r="BU42" i="1"/>
  <c r="BT42" i="1"/>
  <c r="BQ42" i="1"/>
  <c r="BH42" i="1"/>
  <c r="BG42" i="1"/>
  <c r="AJ42" i="1"/>
  <c r="AF42" i="1"/>
  <c r="AE42" i="1" s="1"/>
  <c r="Z42" i="1"/>
  <c r="AF41" i="1"/>
  <c r="AD41" i="1" s="1"/>
  <c r="AE41" i="1"/>
  <c r="Z41" i="1"/>
  <c r="CZ40" i="1"/>
  <c r="CG40" i="1"/>
  <c r="BU40" i="1"/>
  <c r="BQ40" i="1"/>
  <c r="BH40" i="1"/>
  <c r="BG40" i="1"/>
  <c r="AF40" i="1"/>
  <c r="AE40" i="1" s="1"/>
  <c r="Z40" i="1"/>
  <c r="CZ39" i="1"/>
  <c r="CG39" i="1"/>
  <c r="BU39" i="1"/>
  <c r="BQ39" i="1"/>
  <c r="BH39" i="1"/>
  <c r="BG39" i="1"/>
  <c r="AF39" i="1"/>
  <c r="AE39" i="1" s="1"/>
  <c r="Z39" i="1"/>
  <c r="CZ38" i="1"/>
  <c r="CG38" i="1"/>
  <c r="BU38" i="1"/>
  <c r="BQ38" i="1"/>
  <c r="BH38" i="1"/>
  <c r="BG38" i="1"/>
  <c r="AF38" i="1"/>
  <c r="AE38" i="1" s="1"/>
  <c r="Z38" i="1"/>
  <c r="AF37" i="1"/>
  <c r="AD37" i="1" s="1"/>
  <c r="AE37" i="1"/>
  <c r="Z37" i="1"/>
  <c r="DI36" i="1"/>
  <c r="CZ36" i="1"/>
  <c r="CV36" i="1"/>
  <c r="CG36" i="1"/>
  <c r="BU36" i="1"/>
  <c r="BT36" i="1"/>
  <c r="BQ36" i="1"/>
  <c r="BP36" i="1"/>
  <c r="BH36" i="1"/>
  <c r="BG36" i="1"/>
  <c r="AJ36" i="1"/>
  <c r="AF36" i="1"/>
  <c r="AE36" i="1" s="1"/>
  <c r="Z36" i="1"/>
  <c r="DI35" i="1"/>
  <c r="CZ35" i="1"/>
  <c r="CV35" i="1"/>
  <c r="CG35" i="1"/>
  <c r="BU35" i="1"/>
  <c r="BT35" i="1"/>
  <c r="BQ35" i="1"/>
  <c r="BH35" i="1"/>
  <c r="BG35" i="1"/>
  <c r="AJ35" i="1"/>
  <c r="AF35" i="1"/>
  <c r="AE35" i="1" s="1"/>
  <c r="Z35" i="1"/>
  <c r="DI34" i="1"/>
  <c r="CZ34" i="1"/>
  <c r="CV34" i="1"/>
  <c r="CG34" i="1"/>
  <c r="BU34" i="1"/>
  <c r="BT34" i="1"/>
  <c r="BQ34" i="1"/>
  <c r="BH34" i="1"/>
  <c r="BG34" i="1"/>
  <c r="AJ34" i="1"/>
  <c r="AF34" i="1"/>
  <c r="AE34" i="1" s="1"/>
  <c r="Z34" i="1"/>
  <c r="AF33" i="1"/>
  <c r="AE33" i="1" s="1"/>
  <c r="Z33" i="1"/>
  <c r="DI32" i="1"/>
  <c r="CZ32" i="1"/>
  <c r="CV32" i="1"/>
  <c r="CG32" i="1"/>
  <c r="BU32" i="1"/>
  <c r="BT32" i="1"/>
  <c r="BQ32" i="1"/>
  <c r="BP32" i="1"/>
  <c r="BH32" i="1"/>
  <c r="BG32" i="1"/>
  <c r="AJ32" i="1"/>
  <c r="AF32" i="1"/>
  <c r="AE32" i="1" s="1"/>
  <c r="Z32" i="1"/>
  <c r="DI31" i="1"/>
  <c r="CZ31" i="1"/>
  <c r="CV31" i="1"/>
  <c r="CG31" i="1"/>
  <c r="BU31" i="1"/>
  <c r="BT31" i="1"/>
  <c r="BQ31" i="1"/>
  <c r="BH31" i="1"/>
  <c r="BG31" i="1"/>
  <c r="AJ31" i="1"/>
  <c r="AF31" i="1"/>
  <c r="AD31" i="1" s="1"/>
  <c r="Z31" i="1"/>
  <c r="DI30" i="1"/>
  <c r="CZ30" i="1"/>
  <c r="CV30" i="1"/>
  <c r="CG30" i="1"/>
  <c r="BU30" i="1"/>
  <c r="BT30" i="1"/>
  <c r="BQ30" i="1"/>
  <c r="BH30" i="1"/>
  <c r="BG30" i="1"/>
  <c r="AJ30" i="1"/>
  <c r="AF30" i="1"/>
  <c r="AE30" i="1" s="1"/>
  <c r="Z30" i="1"/>
  <c r="AF29" i="1"/>
  <c r="AE29" i="1" s="1"/>
  <c r="Z29" i="1"/>
  <c r="DI28" i="1"/>
  <c r="CZ28" i="1"/>
  <c r="CV28" i="1"/>
  <c r="CG28" i="1"/>
  <c r="BU28" i="1"/>
  <c r="BT28" i="1"/>
  <c r="BQ28" i="1"/>
  <c r="BP28" i="1"/>
  <c r="BH28" i="1"/>
  <c r="BG28" i="1"/>
  <c r="AJ28" i="1"/>
  <c r="AF28" i="1"/>
  <c r="AD28" i="1" s="1"/>
  <c r="Z28" i="1"/>
  <c r="DI27" i="1"/>
  <c r="CZ27" i="1"/>
  <c r="CV27" i="1"/>
  <c r="CG27" i="1"/>
  <c r="BU27" i="1"/>
  <c r="BT27" i="1"/>
  <c r="BQ27" i="1"/>
  <c r="BP27" i="1"/>
  <c r="BH27" i="1"/>
  <c r="BG27" i="1"/>
  <c r="AJ27" i="1"/>
  <c r="AF27" i="1"/>
  <c r="AD27" i="1" s="1"/>
  <c r="Z27" i="1"/>
  <c r="DI26" i="1"/>
  <c r="CZ26" i="1"/>
  <c r="CV26" i="1"/>
  <c r="CG26" i="1"/>
  <c r="BU26" i="1"/>
  <c r="BT26" i="1"/>
  <c r="BQ26" i="1"/>
  <c r="BH26" i="1"/>
  <c r="BG26" i="1"/>
  <c r="AJ26" i="1"/>
  <c r="AF26" i="1"/>
  <c r="AE26" i="1"/>
  <c r="AD26" i="1"/>
  <c r="Z26" i="1"/>
  <c r="AF25" i="1"/>
  <c r="AD25" i="1" s="1"/>
  <c r="AE25" i="1"/>
  <c r="Z25" i="1"/>
  <c r="DI24" i="1"/>
  <c r="CZ24" i="1"/>
  <c r="CV24" i="1"/>
  <c r="CG24" i="1"/>
  <c r="BU24" i="1"/>
  <c r="BT24" i="1"/>
  <c r="BQ24" i="1"/>
  <c r="BH24" i="1"/>
  <c r="BG24" i="1"/>
  <c r="AJ24" i="1"/>
  <c r="AF24" i="1"/>
  <c r="AE24" i="1" s="1"/>
  <c r="AD24" i="1"/>
  <c r="Z24" i="1"/>
  <c r="DI23" i="1"/>
  <c r="CZ23" i="1"/>
  <c r="CV23" i="1"/>
  <c r="CG23" i="1"/>
  <c r="BU23" i="1"/>
  <c r="BT23" i="1"/>
  <c r="BQ23" i="1"/>
  <c r="BH23" i="1"/>
  <c r="BG23" i="1"/>
  <c r="AJ23" i="1"/>
  <c r="AF23" i="1"/>
  <c r="AE23" i="1" s="1"/>
  <c r="Z23" i="1"/>
  <c r="DI22" i="1"/>
  <c r="CZ22" i="1"/>
  <c r="CV22" i="1"/>
  <c r="CG22" i="1"/>
  <c r="BU22" i="1"/>
  <c r="BT22" i="1"/>
  <c r="BQ22" i="1"/>
  <c r="BH22" i="1"/>
  <c r="BG22" i="1"/>
  <c r="AJ22" i="1"/>
  <c r="AF22" i="1"/>
  <c r="AE22" i="1" s="1"/>
  <c r="Z22" i="1"/>
  <c r="EF21" i="1"/>
  <c r="AF21" i="1"/>
  <c r="AD21" i="1" s="1"/>
  <c r="Z21" i="1"/>
  <c r="DI20" i="1"/>
  <c r="CZ20" i="1"/>
  <c r="CV20" i="1"/>
  <c r="CG20" i="1"/>
  <c r="BU20" i="1"/>
  <c r="BT20" i="1"/>
  <c r="BQ20" i="1"/>
  <c r="BH20" i="1"/>
  <c r="BG20" i="1"/>
  <c r="AJ20" i="1"/>
  <c r="AF20" i="1"/>
  <c r="AE20" i="1" s="1"/>
  <c r="Z20" i="1"/>
  <c r="DI19" i="1"/>
  <c r="CZ19" i="1"/>
  <c r="CV19" i="1"/>
  <c r="CG19" i="1"/>
  <c r="BU19" i="1"/>
  <c r="BT19" i="1"/>
  <c r="BQ19" i="1"/>
  <c r="BH19" i="1"/>
  <c r="BG19" i="1"/>
  <c r="AJ19" i="1"/>
  <c r="AF19" i="1"/>
  <c r="AE19" i="1" s="1"/>
  <c r="Z19" i="1"/>
  <c r="DI18" i="1"/>
  <c r="CZ18" i="1"/>
  <c r="CV18" i="1"/>
  <c r="CG18" i="1"/>
  <c r="BU18" i="1"/>
  <c r="BT18" i="1"/>
  <c r="BQ18" i="1"/>
  <c r="BH18" i="1"/>
  <c r="BG18" i="1"/>
  <c r="AJ18" i="1"/>
  <c r="AF18" i="1"/>
  <c r="AE18" i="1" s="1"/>
  <c r="Z18" i="1"/>
  <c r="DI17" i="1"/>
  <c r="CZ17" i="1"/>
  <c r="CV17" i="1"/>
  <c r="CG17" i="1"/>
  <c r="BU17" i="1"/>
  <c r="BT17" i="1"/>
  <c r="BQ17" i="1"/>
  <c r="BP17" i="1"/>
  <c r="BH17" i="1"/>
  <c r="BG17" i="1"/>
  <c r="AJ17" i="1"/>
  <c r="AF17" i="1"/>
  <c r="AE17" i="1" s="1"/>
  <c r="Z17" i="1"/>
  <c r="AF16" i="1"/>
  <c r="AE16" i="1" s="1"/>
  <c r="Z16" i="1"/>
  <c r="DI15" i="1"/>
  <c r="CZ15" i="1"/>
  <c r="CV15" i="1"/>
  <c r="CG15" i="1"/>
  <c r="BU15" i="1"/>
  <c r="BT15" i="1"/>
  <c r="BQ15" i="1"/>
  <c r="BP15" i="1"/>
  <c r="BH15" i="1"/>
  <c r="BG15" i="1"/>
  <c r="AJ15" i="1"/>
  <c r="AF15" i="1"/>
  <c r="AE15" i="1" s="1"/>
  <c r="Z15" i="1"/>
  <c r="X15" i="1"/>
  <c r="W15" i="1"/>
  <c r="DI14" i="1"/>
  <c r="CZ14" i="1"/>
  <c r="CV14" i="1"/>
  <c r="CG14" i="1"/>
  <c r="BT14" i="1"/>
  <c r="BH14" i="1"/>
  <c r="BG14" i="1"/>
  <c r="AJ14" i="1"/>
  <c r="AF14" i="1"/>
  <c r="AE14" i="1" s="1"/>
  <c r="Z14" i="1"/>
  <c r="X14" i="1"/>
  <c r="W14" i="1"/>
  <c r="DI13" i="1"/>
  <c r="CZ13" i="1"/>
  <c r="CV13" i="1"/>
  <c r="CG13" i="1"/>
  <c r="BU13" i="1"/>
  <c r="BT13" i="1"/>
  <c r="BQ13" i="1"/>
  <c r="BP13" i="1"/>
  <c r="BH13" i="1"/>
  <c r="BG13" i="1"/>
  <c r="AJ13" i="1"/>
  <c r="AF13" i="1"/>
  <c r="AE13" i="1" s="1"/>
  <c r="Z13" i="1"/>
  <c r="DI12" i="1"/>
  <c r="CZ12" i="1"/>
  <c r="CV12" i="1"/>
  <c r="CG12" i="1"/>
  <c r="BW12" i="1"/>
  <c r="BV12" i="1"/>
  <c r="BU12" i="1"/>
  <c r="BT12" i="1"/>
  <c r="BQ12" i="1"/>
  <c r="BH12" i="1"/>
  <c r="BG12" i="1"/>
  <c r="AY12" i="1"/>
  <c r="AJ12" i="1"/>
  <c r="AF12" i="1"/>
  <c r="AD12" i="1" s="1"/>
  <c r="Z12" i="1"/>
  <c r="DI11" i="1"/>
  <c r="CZ11" i="1"/>
  <c r="CV11" i="1"/>
  <c r="CG11" i="1"/>
  <c r="BU11" i="1"/>
  <c r="BT11" i="1"/>
  <c r="BQ11" i="1"/>
  <c r="BH11" i="1"/>
  <c r="BG11" i="1"/>
  <c r="AJ11" i="1"/>
  <c r="AF11" i="1"/>
  <c r="AE11" i="1" s="1"/>
  <c r="DI10" i="1"/>
  <c r="CZ10" i="1"/>
  <c r="CV10" i="1"/>
  <c r="CG10" i="1"/>
  <c r="BU10" i="1"/>
  <c r="BT10" i="1"/>
  <c r="BQ10" i="1"/>
  <c r="BH10" i="1"/>
  <c r="BG10" i="1"/>
  <c r="AJ10" i="1"/>
  <c r="AF10" i="1"/>
  <c r="AE10" i="1" s="1"/>
  <c r="DI9" i="1"/>
  <c r="CZ9" i="1"/>
  <c r="CV9" i="1"/>
  <c r="CG9" i="1"/>
  <c r="BU9" i="1"/>
  <c r="BT9" i="1"/>
  <c r="BQ9" i="1"/>
  <c r="BH9" i="1"/>
  <c r="BG9" i="1"/>
  <c r="AJ9" i="1"/>
  <c r="AF9" i="1"/>
  <c r="AE9" i="1" s="1"/>
  <c r="Z9" i="1"/>
  <c r="EM8" i="1"/>
  <c r="DI8" i="1"/>
  <c r="CZ8" i="1"/>
  <c r="CV8" i="1"/>
  <c r="CO8" i="1"/>
  <c r="CN8" i="1"/>
  <c r="CM8" i="1"/>
  <c r="CL8" i="1"/>
  <c r="CK8" i="1"/>
  <c r="CJ8" i="1"/>
  <c r="CG8" i="1"/>
  <c r="BW8" i="1"/>
  <c r="BU8" i="1"/>
  <c r="BT8" i="1"/>
  <c r="BQ8" i="1"/>
  <c r="BJ8" i="1"/>
  <c r="BH8" i="1"/>
  <c r="BG8" i="1"/>
  <c r="BF8" i="1"/>
  <c r="AM8" i="1"/>
  <c r="AL8" i="1"/>
  <c r="AJ8" i="1"/>
  <c r="AF8" i="1"/>
  <c r="AE8" i="1" s="1"/>
  <c r="DI7" i="1"/>
  <c r="DF7" i="1"/>
  <c r="CZ7" i="1"/>
  <c r="CV7" i="1"/>
  <c r="CI7" i="1"/>
  <c r="CG7" i="1"/>
  <c r="CF7" i="1"/>
  <c r="BU7" i="1"/>
  <c r="BT7" i="1"/>
  <c r="BQ7" i="1"/>
  <c r="BJ7" i="1"/>
  <c r="BH7" i="1"/>
  <c r="BG7" i="1"/>
  <c r="AY7" i="1"/>
  <c r="AM7" i="1"/>
  <c r="AJ7" i="1"/>
  <c r="AF7" i="1"/>
  <c r="AE7" i="1" s="1"/>
  <c r="Z7" i="1"/>
  <c r="DI6" i="1"/>
  <c r="CZ6" i="1"/>
  <c r="CV6" i="1"/>
  <c r="CG6" i="1"/>
  <c r="BU6" i="1"/>
  <c r="BT6" i="1"/>
  <c r="BQ6" i="1"/>
  <c r="BP6" i="1"/>
  <c r="BH6" i="1"/>
  <c r="BG6" i="1"/>
  <c r="AJ6" i="1"/>
  <c r="AF6" i="1"/>
  <c r="AE6" i="1" s="1"/>
  <c r="A6" i="1"/>
  <c r="A7" i="1" s="1"/>
  <c r="EM5" i="1"/>
  <c r="EM7" i="1" s="1"/>
  <c r="DI5" i="1"/>
  <c r="CZ5" i="1"/>
  <c r="CV5" i="1"/>
  <c r="CG5" i="1"/>
  <c r="BU5" i="1"/>
  <c r="BT5" i="1"/>
  <c r="BQ5" i="1"/>
  <c r="BH5" i="1"/>
  <c r="BG5" i="1"/>
  <c r="AJ5" i="1"/>
  <c r="AF5" i="1"/>
  <c r="AE5" i="1" s="1"/>
  <c r="A5" i="1"/>
  <c r="AH4" i="1"/>
  <c r="AG4" i="1"/>
  <c r="DJ2" i="1"/>
  <c r="DJ97" i="1" s="1"/>
  <c r="DI2" i="1"/>
  <c r="DF2" i="1"/>
  <c r="DF97" i="1" s="1"/>
  <c r="DE2" i="1"/>
  <c r="DE97" i="1" s="1"/>
  <c r="DB2" i="1"/>
  <c r="DB97" i="1" s="1"/>
  <c r="DA2" i="1"/>
  <c r="DA97" i="1" s="1"/>
  <c r="CX2" i="1"/>
  <c r="CX97" i="1" s="1"/>
  <c r="CW2" i="1"/>
  <c r="CT2" i="1"/>
  <c r="CS2" i="1"/>
  <c r="CP2" i="1"/>
  <c r="CO2" i="1"/>
  <c r="CL2" i="1"/>
  <c r="CK2" i="1"/>
  <c r="CH2" i="1"/>
  <c r="CH97" i="1" s="1"/>
  <c r="CG2" i="1"/>
  <c r="CD2" i="1"/>
  <c r="CD17" i="1" s="1"/>
  <c r="CC2" i="1"/>
  <c r="BZ2" i="1"/>
  <c r="BZ17" i="1" s="1"/>
  <c r="BY2" i="1"/>
  <c r="BV2" i="1"/>
  <c r="BU2" i="1"/>
  <c r="BR2" i="1"/>
  <c r="BR97" i="1" s="1"/>
  <c r="BQ2" i="1"/>
  <c r="BN2" i="1"/>
  <c r="BM2" i="1"/>
  <c r="BM97" i="1" s="1"/>
  <c r="BJ2" i="1"/>
  <c r="BJ97" i="1" s="1"/>
  <c r="BI2" i="1"/>
  <c r="BF2" i="1"/>
  <c r="BF97" i="1" s="1"/>
  <c r="BE2" i="1"/>
  <c r="BE97" i="1" s="1"/>
  <c r="BB2" i="1"/>
  <c r="BB97" i="1" s="1"/>
  <c r="BA2" i="1"/>
  <c r="BA97" i="1" s="1"/>
  <c r="AX2" i="1"/>
  <c r="AW2" i="1"/>
  <c r="AW97" i="1" s="1"/>
  <c r="AT2" i="1"/>
  <c r="AS2" i="1"/>
  <c r="AP2" i="1"/>
  <c r="AO2" i="1"/>
  <c r="AO97" i="1" s="1"/>
  <c r="AL2" i="1"/>
  <c r="AK2" i="1"/>
  <c r="AK97" i="1" s="1"/>
  <c r="EA1" i="1"/>
  <c r="DH1" i="1"/>
  <c r="DG1" i="1"/>
  <c r="DD1" i="1"/>
  <c r="DC1" i="1"/>
  <c r="CZ1" i="1"/>
  <c r="CY1" i="1"/>
  <c r="CV1" i="1"/>
  <c r="CU1" i="1"/>
  <c r="CR1" i="1"/>
  <c r="CQ1" i="1"/>
  <c r="CN1" i="1"/>
  <c r="CM1" i="1"/>
  <c r="CJ1" i="1"/>
  <c r="CI1" i="1"/>
  <c r="CF1" i="1"/>
  <c r="CE1" i="1"/>
  <c r="CB1" i="1"/>
  <c r="CA1" i="1"/>
  <c r="BX1" i="1"/>
  <c r="BW1" i="1"/>
  <c r="BT1" i="1"/>
  <c r="BS1" i="1"/>
  <c r="BP1" i="1"/>
  <c r="BO1" i="1"/>
  <c r="BL1" i="1"/>
  <c r="BK1" i="1"/>
  <c r="BH1" i="1"/>
  <c r="BG1" i="1"/>
  <c r="BD1" i="1"/>
  <c r="BC1" i="1"/>
  <c r="AZ1" i="1"/>
  <c r="AY1" i="1"/>
  <c r="AV1" i="1"/>
  <c r="AU1" i="1"/>
  <c r="AR1" i="1"/>
  <c r="AQ1" i="1"/>
  <c r="AM1" i="1"/>
  <c r="AJ1" i="1"/>
  <c r="AI1" i="1"/>
  <c r="AH1" i="1"/>
  <c r="AG1" i="1"/>
  <c r="DH2" i="1" s="1"/>
  <c r="Y1" i="1"/>
  <c r="X1" i="1"/>
  <c r="W1" i="1"/>
  <c r="V1" i="1"/>
  <c r="L1" i="1"/>
  <c r="E1" i="1"/>
  <c r="D1" i="1"/>
  <c r="B1" i="1"/>
  <c r="EF11" i="1"/>
  <c r="EF10" i="1"/>
  <c r="EF12" i="1" a="1"/>
  <c r="EJ18" i="1"/>
  <c r="EF13" i="1" a="1"/>
  <c r="AD184" i="1" l="1"/>
  <c r="AE184" i="1"/>
  <c r="AD221" i="1"/>
  <c r="AE221" i="1"/>
  <c r="AD242" i="1"/>
  <c r="AE242" i="1"/>
  <c r="AE263" i="1"/>
  <c r="AD263" i="1"/>
  <c r="AE280" i="1"/>
  <c r="AD280" i="1"/>
  <c r="AD313" i="1"/>
  <c r="AE313" i="1"/>
  <c r="AE343" i="1"/>
  <c r="AD343" i="1"/>
  <c r="AE397" i="1"/>
  <c r="AD397" i="1"/>
  <c r="AE431" i="1"/>
  <c r="AD431" i="1"/>
  <c r="AE528" i="1"/>
  <c r="AD528" i="1"/>
  <c r="AE535" i="1"/>
  <c r="AD535" i="1"/>
  <c r="AD619" i="1"/>
  <c r="AE619" i="1"/>
  <c r="AE780" i="1"/>
  <c r="AD780" i="1"/>
  <c r="AE208" i="1"/>
  <c r="AD208" i="1"/>
  <c r="AE251" i="1"/>
  <c r="AD251" i="1"/>
  <c r="AE380" i="1"/>
  <c r="AD380" i="1"/>
  <c r="AE452" i="1"/>
  <c r="AD452" i="1"/>
  <c r="AE467" i="1"/>
  <c r="AD467" i="1"/>
  <c r="AD493" i="1"/>
  <c r="AE493" i="1"/>
  <c r="AE502" i="1"/>
  <c r="AD502" i="1"/>
  <c r="AE624" i="1"/>
  <c r="AD624" i="1"/>
  <c r="AE12" i="1"/>
  <c r="AD13" i="1"/>
  <c r="AE27" i="1"/>
  <c r="AE61" i="1"/>
  <c r="AD75" i="1"/>
  <c r="AD109" i="1"/>
  <c r="AD116" i="1"/>
  <c r="AD119" i="1"/>
  <c r="AD131" i="1"/>
  <c r="AE179" i="1"/>
  <c r="AD179" i="1"/>
  <c r="AE180" i="1"/>
  <c r="AD196" i="1"/>
  <c r="AE196" i="1"/>
  <c r="AE201" i="1"/>
  <c r="AD205" i="1"/>
  <c r="AE258" i="1"/>
  <c r="AD258" i="1"/>
  <c r="AD275" i="1"/>
  <c r="AE275" i="1"/>
  <c r="AE306" i="1"/>
  <c r="AE320" i="1"/>
  <c r="AD320" i="1"/>
  <c r="AD330" i="1"/>
  <c r="AE373" i="1"/>
  <c r="AD373" i="1"/>
  <c r="AD394" i="1"/>
  <c r="AE394" i="1"/>
  <c r="AE404" i="1"/>
  <c r="AD404" i="1"/>
  <c r="AE423" i="1"/>
  <c r="AD423" i="1"/>
  <c r="AE510" i="1"/>
  <c r="AD510" i="1"/>
  <c r="AE532" i="1"/>
  <c r="AD532" i="1"/>
  <c r="AD565" i="1"/>
  <c r="AE565" i="1"/>
  <c r="AD645" i="1"/>
  <c r="AE645" i="1"/>
  <c r="AE655" i="1"/>
  <c r="AD655" i="1"/>
  <c r="AD723" i="1"/>
  <c r="AE723" i="1"/>
  <c r="AD764" i="1"/>
  <c r="AE764" i="1"/>
  <c r="AE156" i="1"/>
  <c r="AD156" i="1"/>
  <c r="AD193" i="1"/>
  <c r="AE193" i="1"/>
  <c r="AD234" i="1"/>
  <c r="AE234" i="1"/>
  <c r="AD470" i="1"/>
  <c r="AE470" i="1"/>
  <c r="AE586" i="1"/>
  <c r="AD586" i="1"/>
  <c r="AE654" i="1"/>
  <c r="AD654" i="1"/>
  <c r="AE733" i="1"/>
  <c r="AD733" i="1"/>
  <c r="AD133" i="1"/>
  <c r="AE133" i="1"/>
  <c r="AE153" i="1"/>
  <c r="AD153" i="1"/>
  <c r="AD181" i="1"/>
  <c r="AE181" i="1"/>
  <c r="AE190" i="1"/>
  <c r="AD190" i="1"/>
  <c r="AD215" i="1"/>
  <c r="AE215" i="1"/>
  <c r="AE240" i="1"/>
  <c r="AD240" i="1"/>
  <c r="AE384" i="1"/>
  <c r="AD384" i="1"/>
  <c r="AE548" i="1"/>
  <c r="AD548" i="1"/>
  <c r="AE674" i="1"/>
  <c r="AD674" i="1"/>
  <c r="AD695" i="1"/>
  <c r="AE695" i="1"/>
  <c r="AD777" i="1"/>
  <c r="AE777" i="1"/>
  <c r="AE794" i="1"/>
  <c r="AD794" i="1"/>
  <c r="AD15" i="1"/>
  <c r="AD23" i="1"/>
  <c r="AE31" i="1"/>
  <c r="AD34" i="1"/>
  <c r="AD42" i="1"/>
  <c r="AE56" i="1"/>
  <c r="AD59" i="1"/>
  <c r="AD67" i="1"/>
  <c r="AE72" i="1"/>
  <c r="AD79" i="1"/>
  <c r="AE89" i="1"/>
  <c r="AD100" i="1"/>
  <c r="AD108" i="1"/>
  <c r="AE110" i="1"/>
  <c r="AD121" i="1"/>
  <c r="AE144" i="1"/>
  <c r="AD144" i="1"/>
  <c r="AE150" i="1"/>
  <c r="AE152" i="1"/>
  <c r="AE161" i="1"/>
  <c r="AD164" i="1"/>
  <c r="AD172" i="1"/>
  <c r="AD211" i="1"/>
  <c r="AE211" i="1"/>
  <c r="AE226" i="1"/>
  <c r="AD226" i="1"/>
  <c r="AE237" i="1"/>
  <c r="AD237" i="1"/>
  <c r="AE245" i="1"/>
  <c r="AD245" i="1"/>
  <c r="AE272" i="1"/>
  <c r="AD272" i="1"/>
  <c r="AD274" i="1"/>
  <c r="AE297" i="1"/>
  <c r="AE495" i="1"/>
  <c r="AD495" i="1"/>
  <c r="AE573" i="1"/>
  <c r="AD573" i="1"/>
  <c r="AE601" i="1"/>
  <c r="AD601" i="1"/>
  <c r="AD616" i="1"/>
  <c r="AE616" i="1"/>
  <c r="AE629" i="1"/>
  <c r="AD629" i="1"/>
  <c r="AD688" i="1"/>
  <c r="AE688" i="1"/>
  <c r="AE716" i="1"/>
  <c r="AD716" i="1"/>
  <c r="AE728" i="1"/>
  <c r="AD728" i="1"/>
  <c r="AD738" i="1"/>
  <c r="AE738" i="1"/>
  <c r="AE186" i="1"/>
  <c r="AE195" i="1"/>
  <c r="AE228" i="1"/>
  <c r="AD230" i="1"/>
  <c r="AE305" i="1"/>
  <c r="AE307" i="1"/>
  <c r="AD345" i="1"/>
  <c r="AD385" i="1"/>
  <c r="AE389" i="1"/>
  <c r="AD401" i="1"/>
  <c r="AD411" i="1"/>
  <c r="AD445" i="1"/>
  <c r="AD458" i="1"/>
  <c r="AE481" i="1"/>
  <c r="AD501" i="1"/>
  <c r="AD534" i="1"/>
  <c r="AE566" i="1"/>
  <c r="AD579" i="1"/>
  <c r="AD618" i="1"/>
  <c r="AE622" i="1"/>
  <c r="AD640" i="1"/>
  <c r="AE644" i="1"/>
  <c r="AD647" i="1"/>
  <c r="AD658" i="1"/>
  <c r="AD673" i="1"/>
  <c r="AE732" i="1"/>
  <c r="AD758" i="1"/>
  <c r="AD786" i="1"/>
  <c r="AE453" i="1"/>
  <c r="AE494" i="1"/>
  <c r="AD554" i="1"/>
  <c r="AE572" i="1"/>
  <c r="AD575" i="1"/>
  <c r="AE576" i="1"/>
  <c r="AD578" i="1"/>
  <c r="AE590" i="1"/>
  <c r="AE598" i="1"/>
  <c r="AE605" i="1"/>
  <c r="AE612" i="1"/>
  <c r="AD614" i="1"/>
  <c r="AE637" i="1"/>
  <c r="AE650" i="1"/>
  <c r="AE653" i="1"/>
  <c r="AE679" i="1"/>
  <c r="AD693" i="1"/>
  <c r="AD702" i="1"/>
  <c r="AD704" i="1"/>
  <c r="AE711" i="1"/>
  <c r="AE715" i="1"/>
  <c r="AE730" i="1"/>
  <c r="AE745" i="1"/>
  <c r="AE760" i="1"/>
  <c r="AD796" i="1"/>
  <c r="AE71" i="1"/>
  <c r="AD71" i="1"/>
  <c r="AE85" i="1"/>
  <c r="AD85" i="1"/>
  <c r="AE98" i="1"/>
  <c r="AD98" i="1"/>
  <c r="AD140" i="1"/>
  <c r="AE140" i="1"/>
  <c r="AE174" i="1"/>
  <c r="AD174" i="1"/>
  <c r="AD183" i="1"/>
  <c r="AE183" i="1"/>
  <c r="AE200" i="1"/>
  <c r="AD200" i="1"/>
  <c r="AD217" i="1"/>
  <c r="AE217" i="1"/>
  <c r="AE289" i="1"/>
  <c r="AD289" i="1"/>
  <c r="AD419" i="1"/>
  <c r="AE419" i="1"/>
  <c r="AE512" i="1"/>
  <c r="AD512" i="1"/>
  <c r="AD621" i="1"/>
  <c r="AE621" i="1"/>
  <c r="AE21" i="1"/>
  <c r="AE55" i="1"/>
  <c r="AD62" i="1"/>
  <c r="AE62" i="1"/>
  <c r="AE124" i="1"/>
  <c r="AD124" i="1"/>
  <c r="AE129" i="1"/>
  <c r="AD129" i="1"/>
  <c r="AE136" i="1"/>
  <c r="AD136" i="1"/>
  <c r="AD178" i="1"/>
  <c r="AE178" i="1"/>
  <c r="AE194" i="1"/>
  <c r="AD194" i="1"/>
  <c r="AD207" i="1"/>
  <c r="AE207" i="1"/>
  <c r="AE212" i="1"/>
  <c r="AD212" i="1"/>
  <c r="AE222" i="1"/>
  <c r="AD222" i="1"/>
  <c r="AD266" i="1"/>
  <c r="AE266" i="1"/>
  <c r="AE282" i="1"/>
  <c r="AD282" i="1"/>
  <c r="AE284" i="1"/>
  <c r="AD284" i="1"/>
  <c r="AE350" i="1"/>
  <c r="AD350" i="1"/>
  <c r="AE364" i="1"/>
  <c r="AD364" i="1"/>
  <c r="AE490" i="1"/>
  <c r="AD490" i="1"/>
  <c r="AD543" i="1"/>
  <c r="AE543" i="1"/>
  <c r="AD668" i="1"/>
  <c r="AE668" i="1"/>
  <c r="AD7" i="1"/>
  <c r="AD17" i="1"/>
  <c r="AD29" i="1"/>
  <c r="AD30" i="1"/>
  <c r="AD70" i="1"/>
  <c r="AE70" i="1"/>
  <c r="AD73" i="1"/>
  <c r="AE73" i="1"/>
  <c r="AE87" i="1"/>
  <c r="AD87" i="1"/>
  <c r="AD132" i="1"/>
  <c r="AE132" i="1"/>
  <c r="AD143" i="1"/>
  <c r="AE143" i="1"/>
  <c r="AE165" i="1"/>
  <c r="AD165" i="1"/>
  <c r="AE225" i="1"/>
  <c r="AD225" i="1"/>
  <c r="AE267" i="1"/>
  <c r="AD267" i="1"/>
  <c r="AE277" i="1"/>
  <c r="AD277" i="1"/>
  <c r="AE287" i="1"/>
  <c r="AD287" i="1"/>
  <c r="AE318" i="1"/>
  <c r="AD318" i="1"/>
  <c r="AE340" i="1"/>
  <c r="AD340" i="1"/>
  <c r="AE416" i="1"/>
  <c r="AD416" i="1"/>
  <c r="AE417" i="1"/>
  <c r="AD417" i="1"/>
  <c r="AE440" i="1"/>
  <c r="AD440" i="1"/>
  <c r="AE444" i="1"/>
  <c r="AD444" i="1"/>
  <c r="AD699" i="1"/>
  <c r="AE699" i="1"/>
  <c r="AD238" i="1"/>
  <c r="AE238" i="1"/>
  <c r="AE405" i="1"/>
  <c r="AD405" i="1"/>
  <c r="AE424" i="1"/>
  <c r="AD424" i="1"/>
  <c r="AE497" i="1"/>
  <c r="AD497" i="1"/>
  <c r="AE507" i="1"/>
  <c r="AD507" i="1"/>
  <c r="AD16" i="1"/>
  <c r="AE28" i="1"/>
  <c r="AE45" i="1"/>
  <c r="AD45" i="1"/>
  <c r="AE49" i="1"/>
  <c r="AD57" i="1"/>
  <c r="AE57" i="1"/>
  <c r="AE81" i="1"/>
  <c r="AD81" i="1"/>
  <c r="AE95" i="1"/>
  <c r="AD95" i="1"/>
  <c r="AD115" i="1"/>
  <c r="AE115" i="1"/>
  <c r="AD128" i="1"/>
  <c r="AE128" i="1"/>
  <c r="AD250" i="1"/>
  <c r="AE250" i="1"/>
  <c r="AE361" i="1"/>
  <c r="AD361" i="1"/>
  <c r="AE363" i="1"/>
  <c r="AD363" i="1"/>
  <c r="AE393" i="1"/>
  <c r="AD393" i="1"/>
  <c r="AD414" i="1"/>
  <c r="AE414" i="1"/>
  <c r="AE564" i="1"/>
  <c r="AD564" i="1"/>
  <c r="AD366" i="1"/>
  <c r="AD367" i="1"/>
  <c r="AD421" i="1"/>
  <c r="AE421" i="1"/>
  <c r="AE429" i="1"/>
  <c r="AD429" i="1"/>
  <c r="AE432" i="1"/>
  <c r="AD432" i="1"/>
  <c r="AE488" i="1"/>
  <c r="AD488" i="1"/>
  <c r="AE530" i="1"/>
  <c r="AD530" i="1"/>
  <c r="AE571" i="1"/>
  <c r="AD571" i="1"/>
  <c r="AE593" i="1"/>
  <c r="AD593" i="1"/>
  <c r="AE660" i="1"/>
  <c r="AD660" i="1"/>
  <c r="AD667" i="1"/>
  <c r="AE667" i="1"/>
  <c r="AE713" i="1"/>
  <c r="AD713" i="1"/>
  <c r="AD737" i="1"/>
  <c r="AE737" i="1"/>
  <c r="AD33" i="1"/>
  <c r="AE166" i="1"/>
  <c r="AD167" i="1"/>
  <c r="AE169" i="1"/>
  <c r="AD176" i="1"/>
  <c r="AE187" i="1"/>
  <c r="AD188" i="1"/>
  <c r="AE191" i="1"/>
  <c r="AD392" i="1"/>
  <c r="AD418" i="1"/>
  <c r="AD420" i="1"/>
  <c r="AE436" i="1"/>
  <c r="AD436" i="1"/>
  <c r="AD460" i="1"/>
  <c r="AD466" i="1"/>
  <c r="AE466" i="1"/>
  <c r="AD468" i="1"/>
  <c r="AE468" i="1"/>
  <c r="AD471" i="1"/>
  <c r="AE483" i="1"/>
  <c r="AD483" i="1"/>
  <c r="AE506" i="1"/>
  <c r="AD506" i="1"/>
  <c r="AE520" i="1"/>
  <c r="AD520" i="1"/>
  <c r="AE527" i="1"/>
  <c r="AD527" i="1"/>
  <c r="AE550" i="1"/>
  <c r="AD550" i="1"/>
  <c r="AE611" i="1"/>
  <c r="AD611" i="1"/>
  <c r="AE661" i="1"/>
  <c r="AD661" i="1"/>
  <c r="AE664" i="1"/>
  <c r="AD664" i="1"/>
  <c r="AE687" i="1"/>
  <c r="AD687" i="1"/>
  <c r="AD396" i="1"/>
  <c r="AE396" i="1"/>
  <c r="AE408" i="1"/>
  <c r="AD408" i="1"/>
  <c r="AE409" i="1"/>
  <c r="AD409" i="1"/>
  <c r="AE426" i="1"/>
  <c r="AD426" i="1"/>
  <c r="AE430" i="1"/>
  <c r="AD430" i="1"/>
  <c r="AE442" i="1"/>
  <c r="AD442" i="1"/>
  <c r="AE511" i="1"/>
  <c r="AD511" i="1"/>
  <c r="AE531" i="1"/>
  <c r="AD531" i="1"/>
  <c r="AE537" i="1"/>
  <c r="AD537" i="1"/>
  <c r="AE581" i="1"/>
  <c r="AD581" i="1"/>
  <c r="AE634" i="1"/>
  <c r="AD634" i="1"/>
  <c r="AD666" i="1"/>
  <c r="AE666" i="1"/>
  <c r="AD677" i="1"/>
  <c r="AE677" i="1"/>
  <c r="AE681" i="1"/>
  <c r="AD681" i="1"/>
  <c r="AE759" i="1"/>
  <c r="AD759" i="1"/>
  <c r="AE763" i="1"/>
  <c r="AD763" i="1"/>
  <c r="AE480" i="1"/>
  <c r="AE542" i="1"/>
  <c r="AE555" i="1"/>
  <c r="AD570" i="1"/>
  <c r="AE620" i="1"/>
  <c r="AE649" i="1"/>
  <c r="AE651" i="1"/>
  <c r="AE657" i="1"/>
  <c r="AD663" i="1"/>
  <c r="AD669" i="1"/>
  <c r="AE670" i="1"/>
  <c r="AE672" i="1"/>
  <c r="AE675" i="1"/>
  <c r="AE676" i="1"/>
  <c r="AE678" i="1"/>
  <c r="AE682" i="1"/>
  <c r="AD682" i="1"/>
  <c r="AE686" i="1"/>
  <c r="AD686" i="1"/>
  <c r="AD725" i="1"/>
  <c r="AE725" i="1"/>
  <c r="AE746" i="1"/>
  <c r="AD746" i="1"/>
  <c r="AE768" i="1"/>
  <c r="AD768" i="1"/>
  <c r="AE798" i="1"/>
  <c r="AD798" i="1"/>
  <c r="AE684" i="1"/>
  <c r="AD684" i="1"/>
  <c r="AE703" i="1"/>
  <c r="AD703" i="1"/>
  <c r="AD708" i="1"/>
  <c r="AE708" i="1"/>
  <c r="AD731" i="1"/>
  <c r="AE731" i="1"/>
  <c r="AE781" i="1"/>
  <c r="AD781" i="1"/>
  <c r="AE791" i="1"/>
  <c r="AD791" i="1"/>
  <c r="AE766" i="1"/>
  <c r="AD766" i="1"/>
  <c r="AE772" i="1"/>
  <c r="AD772" i="1"/>
  <c r="AE774" i="1"/>
  <c r="AD774" i="1"/>
  <c r="AE698" i="1"/>
  <c r="AE719" i="1"/>
  <c r="AE722" i="1"/>
  <c r="AD734" i="1"/>
  <c r="AE739" i="1"/>
  <c r="AD741" i="1"/>
  <c r="AD765" i="1"/>
  <c r="AD771" i="1"/>
  <c r="AD775" i="1"/>
  <c r="AE776" i="1"/>
  <c r="AD778" i="1"/>
  <c r="AD789" i="1"/>
  <c r="AE795" i="1"/>
  <c r="EF13" i="1"/>
  <c r="EF12" i="1"/>
  <c r="EG10" i="1"/>
  <c r="EG11" i="1"/>
  <c r="A8" i="1"/>
  <c r="DH97" i="1"/>
  <c r="BY620" i="1"/>
  <c r="BY494" i="1"/>
  <c r="BY504" i="1"/>
  <c r="BY495" i="1"/>
  <c r="BY447" i="1"/>
  <c r="BY434" i="1"/>
  <c r="BY436" i="1"/>
  <c r="BY271" i="1"/>
  <c r="BY501" i="1"/>
  <c r="BY306" i="1"/>
  <c r="BY270" i="1"/>
  <c r="BY266" i="1"/>
  <c r="BY68" i="1"/>
  <c r="BY49" i="1"/>
  <c r="AD36" i="1"/>
  <c r="AD39" i="1"/>
  <c r="AD43" i="1"/>
  <c r="CC620" i="1"/>
  <c r="CC494" i="1"/>
  <c r="CC504" i="1"/>
  <c r="CC447" i="1"/>
  <c r="CC501" i="1"/>
  <c r="CC434" i="1"/>
  <c r="CC271" i="1"/>
  <c r="CC306" i="1"/>
  <c r="CC270" i="1"/>
  <c r="CC436" i="1"/>
  <c r="CC266" i="1"/>
  <c r="CC495" i="1"/>
  <c r="CC68" i="1"/>
  <c r="CC49" i="1"/>
  <c r="CC17" i="1"/>
  <c r="BY13" i="1"/>
  <c r="CC13" i="1"/>
  <c r="AD14" i="1"/>
  <c r="AD18" i="1"/>
  <c r="AD19" i="1"/>
  <c r="AD20" i="1"/>
  <c r="AD22" i="1"/>
  <c r="AD32" i="1"/>
  <c r="AD35" i="1"/>
  <c r="AD38" i="1"/>
  <c r="AD40" i="1"/>
  <c r="AD44" i="1"/>
  <c r="AD46" i="1"/>
  <c r="AD48" i="1"/>
  <c r="AE50" i="1"/>
  <c r="AD50" i="1"/>
  <c r="AS523" i="1"/>
  <c r="AS505" i="1"/>
  <c r="AS342" i="1"/>
  <c r="AS369" i="1"/>
  <c r="AS117" i="1"/>
  <c r="AS108" i="1"/>
  <c r="CS347" i="1"/>
  <c r="CS161" i="1"/>
  <c r="BY17" i="1"/>
  <c r="AE54" i="1"/>
  <c r="AD54" i="1"/>
  <c r="AT523" i="1"/>
  <c r="AT505" i="1"/>
  <c r="AT369" i="1"/>
  <c r="AT342" i="1"/>
  <c r="AT117" i="1"/>
  <c r="AT108" i="1"/>
  <c r="BZ620" i="1"/>
  <c r="BZ504" i="1"/>
  <c r="BZ501" i="1"/>
  <c r="BZ495" i="1"/>
  <c r="BZ494" i="1"/>
  <c r="BZ434" i="1"/>
  <c r="BZ436" i="1"/>
  <c r="BZ447" i="1"/>
  <c r="BZ306" i="1"/>
  <c r="BZ270" i="1"/>
  <c r="BZ271" i="1"/>
  <c r="BZ266" i="1"/>
  <c r="BZ68" i="1"/>
  <c r="BZ49" i="1"/>
  <c r="CD620" i="1"/>
  <c r="CD504" i="1"/>
  <c r="CD501" i="1"/>
  <c r="CD495" i="1"/>
  <c r="CD434" i="1"/>
  <c r="CD436" i="1"/>
  <c r="CD447" i="1"/>
  <c r="CD306" i="1"/>
  <c r="CD270" i="1"/>
  <c r="CD271" i="1"/>
  <c r="CD266" i="1"/>
  <c r="CD494" i="1"/>
  <c r="CD68" i="1"/>
  <c r="CD49" i="1"/>
  <c r="CT347" i="1"/>
  <c r="CT161" i="1"/>
  <c r="EM6" i="1"/>
  <c r="AK1" i="1"/>
  <c r="AO1" i="1"/>
  <c r="AS1" i="1"/>
  <c r="AW1" i="1"/>
  <c r="BA1" i="1"/>
  <c r="BE1" i="1"/>
  <c r="BI1" i="1"/>
  <c r="BM1" i="1"/>
  <c r="BQ1" i="1"/>
  <c r="BU1" i="1"/>
  <c r="BY1" i="1"/>
  <c r="CC1" i="1"/>
  <c r="CG1" i="1"/>
  <c r="CK1" i="1"/>
  <c r="CO1" i="1"/>
  <c r="CS1" i="1"/>
  <c r="CW1" i="1"/>
  <c r="DA1" i="1"/>
  <c r="DE1" i="1"/>
  <c r="DI1" i="1"/>
  <c r="AI2" i="1"/>
  <c r="AM2" i="1"/>
  <c r="AQ2" i="1"/>
  <c r="AU2" i="1"/>
  <c r="AY2" i="1"/>
  <c r="BC2" i="1"/>
  <c r="BG2" i="1"/>
  <c r="BK2" i="1"/>
  <c r="BK97" i="1" s="1"/>
  <c r="BO2" i="1"/>
  <c r="BS2" i="1"/>
  <c r="BW2" i="1"/>
  <c r="CA2" i="1"/>
  <c r="CE2" i="1"/>
  <c r="CI2" i="1"/>
  <c r="CM2" i="1"/>
  <c r="CQ2" i="1"/>
  <c r="CU2" i="1"/>
  <c r="CY2" i="1"/>
  <c r="DC2" i="1"/>
  <c r="DC97" i="1" s="1"/>
  <c r="DG2" i="1"/>
  <c r="AD5" i="1"/>
  <c r="AD6" i="1"/>
  <c r="AD8" i="1"/>
  <c r="AD9" i="1"/>
  <c r="AD10" i="1"/>
  <c r="AD11" i="1"/>
  <c r="DI98" i="1"/>
  <c r="DE98" i="1"/>
  <c r="DA98" i="1"/>
  <c r="CW98" i="1"/>
  <c r="CS98" i="1"/>
  <c r="CO98" i="1"/>
  <c r="CK98" i="1"/>
  <c r="CG98" i="1"/>
  <c r="CC98" i="1"/>
  <c r="BY98" i="1"/>
  <c r="BU98" i="1"/>
  <c r="BQ98" i="1"/>
  <c r="BM98" i="1"/>
  <c r="BI98" i="1"/>
  <c r="BE98" i="1"/>
  <c r="BA98" i="1"/>
  <c r="AW98" i="1"/>
  <c r="AS98" i="1"/>
  <c r="AO98" i="1"/>
  <c r="AK98" i="1"/>
  <c r="DH98" i="1"/>
  <c r="DD98" i="1"/>
  <c r="CZ98" i="1"/>
  <c r="CV98" i="1"/>
  <c r="CR98" i="1"/>
  <c r="CN98" i="1"/>
  <c r="CJ98" i="1"/>
  <c r="CF98" i="1"/>
  <c r="CB98" i="1"/>
  <c r="BX98" i="1"/>
  <c r="BT98" i="1"/>
  <c r="BT79" i="1" s="1"/>
  <c r="BP98" i="1"/>
  <c r="BL98" i="1"/>
  <c r="BD98" i="1"/>
  <c r="AZ98" i="1"/>
  <c r="AV98" i="1"/>
  <c r="AR98" i="1"/>
  <c r="AJ98" i="1"/>
  <c r="DG98" i="1"/>
  <c r="DC98" i="1"/>
  <c r="CY98" i="1"/>
  <c r="CU98" i="1"/>
  <c r="CQ98" i="1"/>
  <c r="CM98" i="1"/>
  <c r="CI98" i="1"/>
  <c r="CE98" i="1"/>
  <c r="CA98" i="1"/>
  <c r="BW98" i="1"/>
  <c r="BS98" i="1"/>
  <c r="BO98" i="1"/>
  <c r="BK98" i="1"/>
  <c r="BG98" i="1"/>
  <c r="BC98" i="1"/>
  <c r="AY98" i="1"/>
  <c r="AU98" i="1"/>
  <c r="AQ98" i="1"/>
  <c r="AM98" i="1"/>
  <c r="AI98" i="1"/>
  <c r="DJ98" i="1"/>
  <c r="DF98" i="1"/>
  <c r="DB98" i="1"/>
  <c r="CX98" i="1"/>
  <c r="CT98" i="1"/>
  <c r="CP98" i="1"/>
  <c r="CL98" i="1"/>
  <c r="CH98" i="1"/>
  <c r="CD98" i="1"/>
  <c r="BZ98" i="1"/>
  <c r="BV98" i="1"/>
  <c r="BR98" i="1"/>
  <c r="BN98" i="1"/>
  <c r="BJ98" i="1"/>
  <c r="BF98" i="1"/>
  <c r="BB98" i="1"/>
  <c r="AX98" i="1"/>
  <c r="AT98" i="1"/>
  <c r="AP98" i="1"/>
  <c r="AL98" i="1"/>
  <c r="AL1" i="1"/>
  <c r="AP1" i="1"/>
  <c r="AT1" i="1"/>
  <c r="AX1" i="1"/>
  <c r="BB1" i="1"/>
  <c r="BF1" i="1"/>
  <c r="BJ1" i="1"/>
  <c r="BN1" i="1"/>
  <c r="BR1" i="1"/>
  <c r="BV1" i="1"/>
  <c r="BZ1" i="1"/>
  <c r="CD1" i="1"/>
  <c r="CH1" i="1"/>
  <c r="CL1" i="1"/>
  <c r="CP1" i="1"/>
  <c r="CT1" i="1"/>
  <c r="CX1" i="1"/>
  <c r="DB1" i="1"/>
  <c r="DF1" i="1"/>
  <c r="DJ1" i="1"/>
  <c r="AJ2" i="1"/>
  <c r="AN2" i="1"/>
  <c r="AR2" i="1"/>
  <c r="AV2" i="1"/>
  <c r="AZ2" i="1"/>
  <c r="BD2" i="1"/>
  <c r="BH2" i="1"/>
  <c r="BL2" i="1"/>
  <c r="BP2" i="1"/>
  <c r="BT2" i="1"/>
  <c r="BX2" i="1"/>
  <c r="BX620" i="1" s="1"/>
  <c r="CB2" i="1"/>
  <c r="CF2" i="1"/>
  <c r="CJ2" i="1"/>
  <c r="CN2" i="1"/>
  <c r="CR2" i="1"/>
  <c r="CV2" i="1"/>
  <c r="CZ2" i="1"/>
  <c r="DD2" i="1"/>
  <c r="BZ13" i="1"/>
  <c r="CD13" i="1"/>
  <c r="AE52" i="1"/>
  <c r="AD52" i="1"/>
  <c r="AE135" i="1"/>
  <c r="AD135" i="1"/>
  <c r="AE146" i="1"/>
  <c r="AD146" i="1"/>
  <c r="AE147" i="1"/>
  <c r="AD147" i="1"/>
  <c r="EO185" i="1"/>
  <c r="EO184" i="1"/>
  <c r="EO183" i="1"/>
  <c r="EF182" i="1" s="1"/>
  <c r="EO182" i="1"/>
  <c r="EO181" i="1"/>
  <c r="EO180" i="1"/>
  <c r="AD53" i="1"/>
  <c r="AD76" i="1"/>
  <c r="AD78" i="1"/>
  <c r="AD84" i="1"/>
  <c r="AD86" i="1"/>
  <c r="AD88" i="1"/>
  <c r="AD91" i="1"/>
  <c r="AD92" i="1"/>
  <c r="AD102" i="1"/>
  <c r="AD105" i="1"/>
  <c r="AD111" i="1"/>
  <c r="AE149" i="1"/>
  <c r="AD149" i="1"/>
  <c r="AD77" i="1"/>
  <c r="AD80" i="1"/>
  <c r="AD83" i="1"/>
  <c r="AD93" i="1"/>
  <c r="AD94" i="1"/>
  <c r="AD96" i="1"/>
  <c r="AD97" i="1"/>
  <c r="AD101" i="1"/>
  <c r="AD103" i="1"/>
  <c r="AD106" i="1"/>
  <c r="AD112" i="1"/>
  <c r="AD113" i="1"/>
  <c r="AD118" i="1"/>
  <c r="AD120" i="1"/>
  <c r="AD123" i="1"/>
  <c r="AD125" i="1"/>
  <c r="AE142" i="1"/>
  <c r="AD142" i="1"/>
  <c r="AE159" i="1"/>
  <c r="AD159" i="1"/>
  <c r="AE160" i="1"/>
  <c r="AD160" i="1"/>
  <c r="AE185" i="1"/>
  <c r="AD185" i="1"/>
  <c r="AE192" i="1"/>
  <c r="AD192" i="1"/>
  <c r="AE203" i="1"/>
  <c r="AD203" i="1"/>
  <c r="AE130" i="1"/>
  <c r="AD154" i="1"/>
  <c r="AD155" i="1"/>
  <c r="AE168" i="1"/>
  <c r="AD168" i="1"/>
  <c r="AE175" i="1"/>
  <c r="AD175" i="1"/>
  <c r="AE182" i="1"/>
  <c r="AD182" i="1"/>
  <c r="AE197" i="1"/>
  <c r="AD197" i="1"/>
  <c r="AE206" i="1"/>
  <c r="AD206" i="1"/>
  <c r="AE210" i="1"/>
  <c r="AD210" i="1"/>
  <c r="AE214" i="1"/>
  <c r="AD214" i="1"/>
  <c r="AE223" i="1"/>
  <c r="AD223" i="1"/>
  <c r="AE232" i="1"/>
  <c r="AD232" i="1"/>
  <c r="AE170" i="1"/>
  <c r="AD170" i="1"/>
  <c r="AE171" i="1"/>
  <c r="AD171" i="1"/>
  <c r="AE198" i="1"/>
  <c r="AD198" i="1"/>
  <c r="AE219" i="1"/>
  <c r="AD219" i="1"/>
  <c r="AE231" i="1"/>
  <c r="AD231" i="1"/>
  <c r="AE239" i="1"/>
  <c r="AD239" i="1"/>
  <c r="AD247" i="1"/>
  <c r="AE247" i="1"/>
  <c r="AD254" i="1"/>
  <c r="AE254" i="1"/>
  <c r="AE199" i="1"/>
  <c r="AD199" i="1"/>
  <c r="AE202" i="1"/>
  <c r="AD202" i="1"/>
  <c r="AE218" i="1"/>
  <c r="AD218" i="1"/>
  <c r="AE224" i="1"/>
  <c r="AD224" i="1"/>
  <c r="AE243" i="1"/>
  <c r="AD243" i="1"/>
  <c r="AD248" i="1"/>
  <c r="AE248" i="1"/>
  <c r="AD255" i="1"/>
  <c r="AE255" i="1"/>
  <c r="AE278" i="1"/>
  <c r="AD278" i="1"/>
  <c r="AE281" i="1"/>
  <c r="AD281" i="1"/>
  <c r="AE300" i="1"/>
  <c r="AD300" i="1"/>
  <c r="AE321" i="1"/>
  <c r="AD321" i="1"/>
  <c r="AE333" i="1"/>
  <c r="AD333" i="1"/>
  <c r="AE354" i="1"/>
  <c r="AD354" i="1"/>
  <c r="AE386" i="1"/>
  <c r="AD386" i="1"/>
  <c r="AD249" i="1"/>
  <c r="AD252" i="1"/>
  <c r="AE265" i="1"/>
  <c r="AE271" i="1"/>
  <c r="AD271" i="1"/>
  <c r="AE273" i="1"/>
  <c r="AD273" i="1"/>
  <c r="AE285" i="1"/>
  <c r="AD285" i="1"/>
  <c r="AE288" i="1"/>
  <c r="AD288" i="1"/>
  <c r="AE303" i="1"/>
  <c r="AD303" i="1"/>
  <c r="AE331" i="1"/>
  <c r="AD331" i="1"/>
  <c r="AE334" i="1"/>
  <c r="AD334" i="1"/>
  <c r="AE358" i="1"/>
  <c r="AD358" i="1"/>
  <c r="AE360" i="1"/>
  <c r="AD360" i="1"/>
  <c r="AE368" i="1"/>
  <c r="AD368" i="1"/>
  <c r="AE371" i="1"/>
  <c r="AD371" i="1"/>
  <c r="AE375" i="1"/>
  <c r="AD375" i="1"/>
  <c r="AD387" i="1"/>
  <c r="AE387" i="1"/>
  <c r="AE455" i="1"/>
  <c r="AD455" i="1"/>
  <c r="AE461" i="1"/>
  <c r="AD461" i="1"/>
  <c r="AE539" i="1"/>
  <c r="AD539" i="1"/>
  <c r="AE261" i="1"/>
  <c r="AD261" i="1"/>
  <c r="AE276" i="1"/>
  <c r="AD276" i="1"/>
  <c r="AE292" i="1"/>
  <c r="AD292" i="1"/>
  <c r="AE308" i="1"/>
  <c r="AD308" i="1"/>
  <c r="AE317" i="1"/>
  <c r="AD317" i="1"/>
  <c r="AE326" i="1"/>
  <c r="AD326" i="1"/>
  <c r="AE328" i="1"/>
  <c r="AD328" i="1"/>
  <c r="AE338" i="1"/>
  <c r="AD338" i="1"/>
  <c r="AE339" i="1"/>
  <c r="AD339" i="1"/>
  <c r="AE344" i="1"/>
  <c r="AD344" i="1"/>
  <c r="AE353" i="1"/>
  <c r="AD353" i="1"/>
  <c r="AE369" i="1"/>
  <c r="AD369" i="1"/>
  <c r="AE374" i="1"/>
  <c r="AD374" i="1"/>
  <c r="AE425" i="1"/>
  <c r="AD425" i="1"/>
  <c r="AE469" i="1"/>
  <c r="AD469" i="1"/>
  <c r="AE260" i="1"/>
  <c r="AD260" i="1"/>
  <c r="AE290" i="1"/>
  <c r="AD290" i="1"/>
  <c r="AE295" i="1"/>
  <c r="AD295" i="1"/>
  <c r="AE311" i="1"/>
  <c r="AD311" i="1"/>
  <c r="AE332" i="1"/>
  <c r="AD332" i="1"/>
  <c r="AE341" i="1"/>
  <c r="AD341" i="1"/>
  <c r="AE342" i="1"/>
  <c r="AD342" i="1"/>
  <c r="AE365" i="1"/>
  <c r="AD365" i="1"/>
  <c r="AE379" i="1"/>
  <c r="AD379" i="1"/>
  <c r="AE454" i="1"/>
  <c r="AD454" i="1"/>
  <c r="AD268" i="1"/>
  <c r="AD269" i="1"/>
  <c r="AD270" i="1"/>
  <c r="AD279" i="1"/>
  <c r="AD286" i="1"/>
  <c r="AD291" i="1"/>
  <c r="AD293" i="1"/>
  <c r="AD296" i="1"/>
  <c r="AD298" i="1"/>
  <c r="AD302" i="1"/>
  <c r="AD304" i="1"/>
  <c r="AD310" i="1"/>
  <c r="AD312" i="1"/>
  <c r="AD314" i="1"/>
  <c r="AD315" i="1"/>
  <c r="AD319" i="1"/>
  <c r="AD323" i="1"/>
  <c r="AD324" i="1"/>
  <c r="AD327" i="1"/>
  <c r="AD335" i="1"/>
  <c r="AD336" i="1"/>
  <c r="AD346" i="1"/>
  <c r="AD347" i="1"/>
  <c r="AD348" i="1"/>
  <c r="AD349" i="1"/>
  <c r="AD351" i="1"/>
  <c r="AD352" i="1"/>
  <c r="AD355" i="1"/>
  <c r="AD356" i="1"/>
  <c r="AD372" i="1"/>
  <c r="AD376" i="1"/>
  <c r="AD377" i="1"/>
  <c r="AE402" i="1"/>
  <c r="AD402" i="1"/>
  <c r="AE406" i="1"/>
  <c r="AD406" i="1"/>
  <c r="AE410" i="1"/>
  <c r="AD410" i="1"/>
  <c r="AD395" i="1"/>
  <c r="AE413" i="1"/>
  <c r="AD413" i="1"/>
  <c r="AE433" i="1"/>
  <c r="AD433" i="1"/>
  <c r="AE399" i="1"/>
  <c r="AD399" i="1"/>
  <c r="AE400" i="1"/>
  <c r="AD400" i="1"/>
  <c r="AE427" i="1"/>
  <c r="AD427" i="1"/>
  <c r="AE428" i="1"/>
  <c r="AD428" i="1"/>
  <c r="AE437" i="1"/>
  <c r="AD437" i="1"/>
  <c r="AE459" i="1"/>
  <c r="AD459" i="1"/>
  <c r="AE485" i="1"/>
  <c r="AD485" i="1"/>
  <c r="AD487" i="1"/>
  <c r="AE487" i="1"/>
  <c r="AD492" i="1"/>
  <c r="AE492" i="1"/>
  <c r="AD434" i="1"/>
  <c r="AD435" i="1"/>
  <c r="AD438" i="1"/>
  <c r="AD439" i="1"/>
  <c r="AD441" i="1"/>
  <c r="AD443" i="1"/>
  <c r="AD449" i="1"/>
  <c r="AD451" i="1"/>
  <c r="AD456" i="1"/>
  <c r="AE462" i="1"/>
  <c r="AD462" i="1"/>
  <c r="AE464" i="1"/>
  <c r="AD464" i="1"/>
  <c r="AE474" i="1"/>
  <c r="AE475" i="1"/>
  <c r="AD475" i="1"/>
  <c r="AE482" i="1"/>
  <c r="AD482" i="1"/>
  <c r="AE484" i="1"/>
  <c r="AE489" i="1"/>
  <c r="AD489" i="1"/>
  <c r="AE491" i="1"/>
  <c r="AE498" i="1"/>
  <c r="AD498" i="1"/>
  <c r="AE524" i="1"/>
  <c r="AD524" i="1"/>
  <c r="AD541" i="1"/>
  <c r="AE541" i="1"/>
  <c r="AE560" i="1"/>
  <c r="AD560" i="1"/>
  <c r="AD639" i="1"/>
  <c r="AE639" i="1"/>
  <c r="AE465" i="1"/>
  <c r="AD465" i="1"/>
  <c r="AE472" i="1"/>
  <c r="AD472" i="1"/>
  <c r="AE477" i="1"/>
  <c r="AD477" i="1"/>
  <c r="AE500" i="1"/>
  <c r="AD500" i="1"/>
  <c r="AE519" i="1"/>
  <c r="AD519" i="1"/>
  <c r="AE521" i="1"/>
  <c r="AD521" i="1"/>
  <c r="AE529" i="1"/>
  <c r="AD529" i="1"/>
  <c r="AE463" i="1"/>
  <c r="AD463" i="1"/>
  <c r="AE517" i="1"/>
  <c r="AD517" i="1"/>
  <c r="AE522" i="1"/>
  <c r="AD522" i="1"/>
  <c r="AD615" i="1"/>
  <c r="AE615" i="1"/>
  <c r="AD496" i="1"/>
  <c r="AD504" i="1"/>
  <c r="AD505" i="1"/>
  <c r="AD508" i="1"/>
  <c r="AD514" i="1"/>
  <c r="AD516" i="1"/>
  <c r="AD518" i="1"/>
  <c r="AD523" i="1"/>
  <c r="AD525" i="1"/>
  <c r="AD526" i="1"/>
  <c r="AD533" i="1"/>
  <c r="AD538" i="1"/>
  <c r="AD540" i="1"/>
  <c r="AE551" i="1"/>
  <c r="AD551" i="1"/>
  <c r="AE563" i="1"/>
  <c r="AD563" i="1"/>
  <c r="AE569" i="1"/>
  <c r="AD569" i="1"/>
  <c r="AE596" i="1"/>
  <c r="AD596" i="1"/>
  <c r="AE633" i="1"/>
  <c r="AD633" i="1"/>
  <c r="AE546" i="1"/>
  <c r="AE549" i="1"/>
  <c r="AE559" i="1"/>
  <c r="AD559" i="1"/>
  <c r="AE561" i="1"/>
  <c r="AE562" i="1"/>
  <c r="AD562" i="1"/>
  <c r="AE574" i="1"/>
  <c r="AD574" i="1"/>
  <c r="AD580" i="1"/>
  <c r="AE580" i="1"/>
  <c r="AE671" i="1"/>
  <c r="AD671" i="1"/>
  <c r="AE689" i="1"/>
  <c r="AD689" i="1"/>
  <c r="AE547" i="1"/>
  <c r="AD547" i="1"/>
  <c r="AE553" i="1"/>
  <c r="AD553" i="1"/>
  <c r="AE558" i="1"/>
  <c r="AD558" i="1"/>
  <c r="AD630" i="1"/>
  <c r="AE630" i="1"/>
  <c r="AD641" i="1"/>
  <c r="AE641" i="1"/>
  <c r="AE642" i="1"/>
  <c r="AD642" i="1"/>
  <c r="AE656" i="1"/>
  <c r="AD656" i="1"/>
  <c r="AE583" i="1"/>
  <c r="AD583" i="1"/>
  <c r="AE588" i="1"/>
  <c r="AD588" i="1"/>
  <c r="AE607" i="1"/>
  <c r="AD607" i="1"/>
  <c r="AE610" i="1"/>
  <c r="AD610" i="1"/>
  <c r="AE626" i="1"/>
  <c r="AD626" i="1"/>
  <c r="AE631" i="1"/>
  <c r="AD631" i="1"/>
  <c r="AE636" i="1"/>
  <c r="AD636" i="1"/>
  <c r="AE683" i="1"/>
  <c r="AD683" i="1"/>
  <c r="AD685" i="1"/>
  <c r="AE685" i="1"/>
  <c r="AE577" i="1"/>
  <c r="AD577" i="1"/>
  <c r="AE584" i="1"/>
  <c r="AE592" i="1"/>
  <c r="AD592" i="1"/>
  <c r="AE597" i="1"/>
  <c r="AD597" i="1"/>
  <c r="AE600" i="1"/>
  <c r="AD600" i="1"/>
  <c r="AE603" i="1"/>
  <c r="AE609" i="1"/>
  <c r="AE627" i="1"/>
  <c r="AE628" i="1"/>
  <c r="AE635" i="1"/>
  <c r="AD635" i="1"/>
  <c r="AE643" i="1"/>
  <c r="AD643" i="1"/>
  <c r="AE721" i="1"/>
  <c r="AD721" i="1"/>
  <c r="AE582" i="1"/>
  <c r="AD582" i="1"/>
  <c r="AE585" i="1"/>
  <c r="AD585" i="1"/>
  <c r="AE589" i="1"/>
  <c r="AD589" i="1"/>
  <c r="AE591" i="1"/>
  <c r="AD591" i="1"/>
  <c r="AE599" i="1"/>
  <c r="AD599" i="1"/>
  <c r="AE662" i="1"/>
  <c r="AD662" i="1"/>
  <c r="AD680" i="1"/>
  <c r="AD690" i="1"/>
  <c r="AE690" i="1"/>
  <c r="AD724" i="1"/>
  <c r="AE724" i="1"/>
  <c r="AE714" i="1"/>
  <c r="AD714" i="1"/>
  <c r="AD756" i="1"/>
  <c r="AE756" i="1"/>
  <c r="AE697" i="1"/>
  <c r="AD697" i="1"/>
  <c r="AE705" i="1"/>
  <c r="AD705" i="1"/>
  <c r="AE720" i="1"/>
  <c r="AD720" i="1"/>
  <c r="AD769" i="1"/>
  <c r="AE769" i="1"/>
  <c r="AD692" i="1"/>
  <c r="AE706" i="1"/>
  <c r="AE710" i="1"/>
  <c r="AD710" i="1"/>
  <c r="AE696" i="1"/>
  <c r="AD696" i="1"/>
  <c r="AE707" i="1"/>
  <c r="AD707" i="1"/>
  <c r="AD709" i="1"/>
  <c r="AD712" i="1"/>
  <c r="AD717" i="1"/>
  <c r="AD718" i="1"/>
  <c r="AE726" i="1"/>
  <c r="AD726" i="1"/>
  <c r="AE729" i="1"/>
  <c r="AD729" i="1"/>
  <c r="AE744" i="1"/>
  <c r="AD744" i="1"/>
  <c r="AE753" i="1"/>
  <c r="AD753" i="1"/>
  <c r="AD740" i="1"/>
  <c r="AE740" i="1"/>
  <c r="AE748" i="1"/>
  <c r="AD748" i="1"/>
  <c r="AD762" i="1"/>
  <c r="AE762" i="1"/>
  <c r="AE750" i="1"/>
  <c r="AD750" i="1"/>
  <c r="AE792" i="1"/>
  <c r="AD792" i="1"/>
  <c r="AD742" i="1"/>
  <c r="AE747" i="1"/>
  <c r="AE755" i="1"/>
  <c r="AE770" i="1"/>
  <c r="AE785" i="1"/>
  <c r="AD785" i="1"/>
  <c r="AE757" i="1"/>
  <c r="AD757" i="1"/>
  <c r="AE773" i="1"/>
  <c r="AD773" i="1"/>
  <c r="AE784" i="1"/>
  <c r="AD784" i="1"/>
  <c r="AE783" i="1"/>
  <c r="AD783" i="1"/>
  <c r="AE787" i="1"/>
  <c r="AD787" i="1"/>
  <c r="AE790" i="1"/>
  <c r="AD790" i="1"/>
  <c r="AD782" i="1"/>
  <c r="AD788" i="1"/>
  <c r="AD799" i="1"/>
  <c r="AD797" i="1"/>
  <c r="CR161" i="1" l="1"/>
  <c r="CR347" i="1"/>
  <c r="AV523" i="1"/>
  <c r="AV505" i="1"/>
  <c r="AV342" i="1"/>
  <c r="AV369" i="1"/>
  <c r="AV117" i="1"/>
  <c r="AV108" i="1"/>
  <c r="AL102" i="1"/>
  <c r="AL79" i="1"/>
  <c r="CH102" i="1"/>
  <c r="CH79" i="1"/>
  <c r="AY102" i="1"/>
  <c r="AY79" i="1"/>
  <c r="CU102" i="1"/>
  <c r="CU79" i="1"/>
  <c r="BX102" i="1"/>
  <c r="BX79" i="1"/>
  <c r="DD102" i="1"/>
  <c r="DD79" i="1"/>
  <c r="BI79" i="1"/>
  <c r="BI102" i="1"/>
  <c r="CO79" i="1"/>
  <c r="CO102" i="1"/>
  <c r="DE79" i="1"/>
  <c r="DE102" i="1"/>
  <c r="CI97" i="1"/>
  <c r="DD97" i="1"/>
  <c r="AR523" i="1"/>
  <c r="AR505" i="1"/>
  <c r="AR342" i="1"/>
  <c r="AR369" i="1"/>
  <c r="AR117" i="1"/>
  <c r="AR108" i="1"/>
  <c r="AP102" i="1"/>
  <c r="AP79" i="1"/>
  <c r="BF102" i="1"/>
  <c r="BF79" i="1"/>
  <c r="BV102" i="1"/>
  <c r="BV79" i="1"/>
  <c r="CL102" i="1"/>
  <c r="CL79" i="1"/>
  <c r="DB102" i="1"/>
  <c r="DB79" i="1"/>
  <c r="AM102" i="1"/>
  <c r="AM79" i="1"/>
  <c r="BC102" i="1"/>
  <c r="BC79" i="1"/>
  <c r="BS102" i="1"/>
  <c r="BS79" i="1"/>
  <c r="CI102" i="1"/>
  <c r="CI79" i="1"/>
  <c r="CY102" i="1"/>
  <c r="CY79" i="1"/>
  <c r="AR102" i="1"/>
  <c r="AR79" i="1"/>
  <c r="BL102" i="1"/>
  <c r="BL79" i="1"/>
  <c r="CB102" i="1"/>
  <c r="CB79" i="1"/>
  <c r="CR102" i="1"/>
  <c r="CR79" i="1"/>
  <c r="DH102" i="1"/>
  <c r="DH79" i="1"/>
  <c r="AW79" i="1"/>
  <c r="AW102" i="1"/>
  <c r="BM79" i="1"/>
  <c r="BM102" i="1"/>
  <c r="CC79" i="1"/>
  <c r="CC102" i="1"/>
  <c r="CS79" i="1"/>
  <c r="CS102" i="1"/>
  <c r="CU347" i="1"/>
  <c r="CU161" i="1"/>
  <c r="CE620" i="1"/>
  <c r="CE504" i="1"/>
  <c r="CE501" i="1"/>
  <c r="CE495" i="1"/>
  <c r="CE494" i="1"/>
  <c r="CE434" i="1"/>
  <c r="CE436" i="1"/>
  <c r="CE447" i="1"/>
  <c r="CE306" i="1"/>
  <c r="CE270" i="1"/>
  <c r="CE271" i="1"/>
  <c r="CE266" i="1"/>
  <c r="CE68" i="1"/>
  <c r="CE17" i="1"/>
  <c r="CE13" i="1"/>
  <c r="CE49" i="1"/>
  <c r="AY97" i="1"/>
  <c r="CB620" i="1"/>
  <c r="CB501" i="1"/>
  <c r="CB495" i="1"/>
  <c r="CB494" i="1"/>
  <c r="CB436" i="1"/>
  <c r="CB504" i="1"/>
  <c r="CB447" i="1"/>
  <c r="CB271" i="1"/>
  <c r="CB266" i="1"/>
  <c r="CB434" i="1"/>
  <c r="CB270" i="1"/>
  <c r="CB306" i="1"/>
  <c r="CB68" i="1"/>
  <c r="CB17" i="1"/>
  <c r="CB13" i="1"/>
  <c r="CB49" i="1"/>
  <c r="BR102" i="1"/>
  <c r="BR79" i="1"/>
  <c r="CX102" i="1"/>
  <c r="CX79" i="1"/>
  <c r="BO102" i="1"/>
  <c r="BO79" i="1"/>
  <c r="CN102" i="1"/>
  <c r="CN79" i="1"/>
  <c r="BY79" i="1"/>
  <c r="BY102" i="1"/>
  <c r="EO165" i="1"/>
  <c r="EO161" i="1"/>
  <c r="EO171" i="1"/>
  <c r="EO169" i="1"/>
  <c r="EO167" i="1"/>
  <c r="EO170" i="1"/>
  <c r="EO164" i="1"/>
  <c r="EO158" i="1"/>
  <c r="EO154" i="1"/>
  <c r="EO153" i="1"/>
  <c r="EO152" i="1"/>
  <c r="EO150" i="1"/>
  <c r="EO159" i="1"/>
  <c r="EO168" i="1"/>
  <c r="EO166" i="1"/>
  <c r="EO162" i="1"/>
  <c r="EO157" i="1"/>
  <c r="EO156" i="1"/>
  <c r="EO155" i="1"/>
  <c r="EO151" i="1"/>
  <c r="EO163" i="1"/>
  <c r="EO160" i="1"/>
  <c r="BD97" i="1"/>
  <c r="AT102" i="1"/>
  <c r="AT79" i="1"/>
  <c r="BJ102" i="1"/>
  <c r="BJ79" i="1"/>
  <c r="BZ102" i="1"/>
  <c r="BZ79" i="1"/>
  <c r="CP102" i="1"/>
  <c r="CP79" i="1"/>
  <c r="DF102" i="1"/>
  <c r="DF79" i="1"/>
  <c r="AQ102" i="1"/>
  <c r="AQ79" i="1"/>
  <c r="BW102" i="1"/>
  <c r="BW79" i="1"/>
  <c r="CM102" i="1"/>
  <c r="CM79" i="1"/>
  <c r="DC102" i="1"/>
  <c r="DC79" i="1"/>
  <c r="AV102" i="1"/>
  <c r="AV79" i="1"/>
  <c r="BP102" i="1"/>
  <c r="BP79" i="1"/>
  <c r="CF102" i="1"/>
  <c r="CF79" i="1"/>
  <c r="AK79" i="1"/>
  <c r="AK102" i="1"/>
  <c r="BA79" i="1"/>
  <c r="BA102" i="1"/>
  <c r="CW79" i="1"/>
  <c r="CW102" i="1"/>
  <c r="DG97" i="1"/>
  <c r="CQ347" i="1"/>
  <c r="CQ161" i="1"/>
  <c r="CA620" i="1"/>
  <c r="CA504" i="1"/>
  <c r="CA501" i="1"/>
  <c r="CA495" i="1"/>
  <c r="CA494" i="1"/>
  <c r="CA434" i="1"/>
  <c r="CA436" i="1"/>
  <c r="CA447" i="1"/>
  <c r="CA306" i="1"/>
  <c r="CA270" i="1"/>
  <c r="CA271" i="1"/>
  <c r="CA266" i="1"/>
  <c r="CA68" i="1"/>
  <c r="CA49" i="1"/>
  <c r="CA13" i="1"/>
  <c r="CA17" i="1"/>
  <c r="AU523" i="1"/>
  <c r="AU505" i="1"/>
  <c r="AU342" i="1"/>
  <c r="AU369" i="1"/>
  <c r="AU108" i="1"/>
  <c r="AU117" i="1"/>
  <c r="BL97" i="1"/>
  <c r="BB102" i="1"/>
  <c r="BB79" i="1"/>
  <c r="AI102" i="1"/>
  <c r="AI79" i="1"/>
  <c r="CE102" i="1"/>
  <c r="CE79" i="1"/>
  <c r="BD102" i="1"/>
  <c r="BD79" i="1"/>
  <c r="AS79" i="1"/>
  <c r="AS102" i="1"/>
  <c r="AM97" i="1"/>
  <c r="CF97" i="1"/>
  <c r="AX102" i="1"/>
  <c r="AX79" i="1"/>
  <c r="BN102" i="1"/>
  <c r="BN79" i="1"/>
  <c r="CD102" i="1"/>
  <c r="CD79" i="1"/>
  <c r="CT102" i="1"/>
  <c r="CT79" i="1"/>
  <c r="DJ102" i="1"/>
  <c r="DJ79" i="1"/>
  <c r="AU102" i="1"/>
  <c r="AU79" i="1"/>
  <c r="BK102" i="1"/>
  <c r="BK79" i="1"/>
  <c r="CA102" i="1"/>
  <c r="CA79" i="1"/>
  <c r="CQ102" i="1"/>
  <c r="CQ79" i="1"/>
  <c r="DG102" i="1"/>
  <c r="DG79" i="1"/>
  <c r="AZ102" i="1"/>
  <c r="AZ79" i="1"/>
  <c r="CJ102" i="1"/>
  <c r="CJ79" i="1"/>
  <c r="AO79" i="1"/>
  <c r="AO102" i="1"/>
  <c r="BE79" i="1"/>
  <c r="BE102" i="1"/>
  <c r="CK79" i="1"/>
  <c r="CK102" i="1"/>
  <c r="DA79" i="1"/>
  <c r="DA102" i="1"/>
  <c r="BW97" i="1"/>
  <c r="AQ505" i="1"/>
  <c r="AQ523" i="1"/>
  <c r="AQ342" i="1"/>
  <c r="AQ369" i="1"/>
  <c r="AQ108" i="1"/>
  <c r="AQ117" i="1"/>
  <c r="A9" i="1"/>
  <c r="A10" i="1" l="1"/>
  <c r="A11" i="1" l="1"/>
  <c r="A12" i="1" l="1"/>
  <c r="A13" i="1" l="1"/>
  <c r="A14" i="1" l="1"/>
  <c r="A15" i="1" l="1"/>
  <c r="A16" i="1" l="1"/>
  <c r="A17" i="1" l="1"/>
  <c r="A18" i="1" l="1"/>
  <c r="A19" i="1" l="1"/>
  <c r="A20" i="1" l="1"/>
  <c r="A21" i="1" l="1"/>
  <c r="A22" i="1" l="1"/>
  <c r="A23" i="1" l="1"/>
  <c r="A24" i="1" l="1"/>
  <c r="A25" i="1" l="1"/>
  <c r="A26" i="1" l="1"/>
  <c r="A27" i="1" l="1"/>
  <c r="A28" i="1" l="1"/>
  <c r="A29" i="1" l="1"/>
  <c r="A30" i="1" l="1"/>
  <c r="A31" i="1" l="1"/>
  <c r="A32" i="1" l="1"/>
  <c r="A33" i="1" l="1"/>
  <c r="A34" i="1" l="1"/>
  <c r="A35" i="1" l="1"/>
  <c r="A36" i="1" l="1"/>
  <c r="A37" i="1" l="1"/>
  <c r="A38" i="1" l="1"/>
  <c r="A39" i="1" l="1"/>
  <c r="A40" i="1" l="1"/>
  <c r="A41" i="1" l="1"/>
  <c r="A42" i="1" l="1"/>
  <c r="A43" i="1" l="1"/>
  <c r="B179" i="1"/>
  <c r="EH345" i="1"/>
  <c r="AC42" i="1"/>
  <c r="EI266" i="1" l="1"/>
  <c r="AC5" i="1"/>
  <c r="AC7" i="1"/>
  <c r="EI265" i="1"/>
  <c r="AC6"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DY787" i="1"/>
  <c r="DY788" i="1"/>
  <c r="DQ568" i="1"/>
  <c r="DU577" i="1"/>
  <c r="DY579" i="1"/>
  <c r="EM4" i="1"/>
  <c r="DR531" i="1"/>
  <c r="DR535" i="1"/>
  <c r="AB42" i="1"/>
  <c r="AA42" i="1"/>
  <c r="AC43" i="1"/>
  <c r="A44" i="1"/>
  <c r="AA39" i="1" l="1"/>
  <c r="AB39" i="1"/>
  <c r="AB33" i="1"/>
  <c r="AA33" i="1"/>
  <c r="E33" i="1"/>
  <c r="AA29" i="1"/>
  <c r="AB29" i="1"/>
  <c r="AA25" i="1"/>
  <c r="AB25" i="1"/>
  <c r="AB21" i="1"/>
  <c r="AA21" i="1"/>
  <c r="AB17" i="1"/>
  <c r="AA17" i="1"/>
  <c r="AB13" i="1"/>
  <c r="AA13" i="1"/>
  <c r="AB9" i="1"/>
  <c r="AA9" i="1"/>
  <c r="E9" i="1"/>
  <c r="AB7" i="1"/>
  <c r="AA7" i="1"/>
  <c r="AA38" i="1"/>
  <c r="AB38" i="1"/>
  <c r="AB36" i="1"/>
  <c r="AA36" i="1"/>
  <c r="AA32" i="1"/>
  <c r="AB32" i="1"/>
  <c r="AB28" i="1"/>
  <c r="AA28" i="1"/>
  <c r="AA24" i="1"/>
  <c r="AB24" i="1"/>
  <c r="AA20" i="1"/>
  <c r="AB20" i="1"/>
  <c r="AB16" i="1"/>
  <c r="AA16" i="1"/>
  <c r="AB12" i="1"/>
  <c r="AA12" i="1"/>
  <c r="AB8" i="1"/>
  <c r="AA8" i="1"/>
  <c r="AA5" i="1"/>
  <c r="AB5" i="1"/>
  <c r="AG5" i="1"/>
  <c r="AG6" i="1" s="1"/>
  <c r="AG7" i="1" s="1"/>
  <c r="AG8" i="1" s="1"/>
  <c r="AG9" i="1" s="1"/>
  <c r="AG10" i="1" s="1"/>
  <c r="AG11" i="1" s="1"/>
  <c r="AG12" i="1" s="1"/>
  <c r="AG13" i="1" s="1"/>
  <c r="AG14" i="1" s="1"/>
  <c r="AG15" i="1" s="1"/>
  <c r="AG16" i="1" s="1"/>
  <c r="AG17" i="1" s="1"/>
  <c r="AG18" i="1" s="1"/>
  <c r="AG19" i="1" s="1"/>
  <c r="AG20" i="1" s="1"/>
  <c r="AG21" i="1" s="1"/>
  <c r="AG22" i="1" s="1"/>
  <c r="AG23" i="1" s="1"/>
  <c r="AG24" i="1" s="1"/>
  <c r="AG25" i="1" s="1"/>
  <c r="AG26" i="1" s="1"/>
  <c r="AG27" i="1" s="1"/>
  <c r="AG28" i="1" s="1"/>
  <c r="AG29" i="1" s="1"/>
  <c r="AG30" i="1" s="1"/>
  <c r="AG31" i="1" s="1"/>
  <c r="AG32" i="1" s="1"/>
  <c r="AG33" i="1" s="1"/>
  <c r="AG34" i="1" s="1"/>
  <c r="AG35" i="1" s="1"/>
  <c r="AG36" i="1" s="1"/>
  <c r="AG37" i="1" s="1"/>
  <c r="AG38" i="1" s="1"/>
  <c r="AG39" i="1" s="1"/>
  <c r="AG40" i="1" s="1"/>
  <c r="AG41" i="1" s="1"/>
  <c r="AG42" i="1" s="1"/>
  <c r="AG43" i="1" s="1"/>
  <c r="AA41" i="1"/>
  <c r="AB41" i="1"/>
  <c r="AA35" i="1"/>
  <c r="AB35" i="1"/>
  <c r="AB31" i="1"/>
  <c r="AA31" i="1"/>
  <c r="AA27" i="1"/>
  <c r="AB27" i="1"/>
  <c r="AB23" i="1"/>
  <c r="AA23" i="1"/>
  <c r="AB19" i="1"/>
  <c r="AA19" i="1"/>
  <c r="AA15" i="1"/>
  <c r="E15" i="1"/>
  <c r="AB15" i="1"/>
  <c r="AB11" i="1"/>
  <c r="AA11" i="1"/>
  <c r="EN266" i="1"/>
  <c r="EO266" i="1" s="1"/>
  <c r="EJ266" i="1"/>
  <c r="EL266" i="1"/>
  <c r="EK266" i="1"/>
  <c r="AA40" i="1"/>
  <c r="AB40" i="1"/>
  <c r="E40" i="1"/>
  <c r="AA37" i="1"/>
  <c r="AB37" i="1"/>
  <c r="AA34" i="1"/>
  <c r="AB34" i="1"/>
  <c r="AA30" i="1"/>
  <c r="AB30" i="1"/>
  <c r="AA26" i="1"/>
  <c r="AB26" i="1"/>
  <c r="AA22" i="1"/>
  <c r="AB22" i="1"/>
  <c r="AA18" i="1"/>
  <c r="AB18" i="1"/>
  <c r="E18" i="1"/>
  <c r="AA14" i="1"/>
  <c r="AB14" i="1"/>
  <c r="AB10" i="1"/>
  <c r="AA10" i="1"/>
  <c r="EL265" i="1"/>
  <c r="EF278" i="1"/>
  <c r="E25" i="1" s="1"/>
  <c r="EN265" i="1"/>
  <c r="EO265" i="1" s="1"/>
  <c r="EK265" i="1"/>
  <c r="EJ265" i="1"/>
  <c r="AL7" i="1"/>
  <c r="BS7" i="1"/>
  <c r="AZ83" i="1"/>
  <c r="CY7" i="1"/>
  <c r="CD7" i="1"/>
  <c r="BX7" i="1"/>
  <c r="CA7" i="1"/>
  <c r="DS392" i="1"/>
  <c r="DY653" i="1"/>
  <c r="DY597" i="1"/>
  <c r="DP768" i="1"/>
  <c r="AZ7" i="1"/>
  <c r="BY7" i="1"/>
  <c r="BI83" i="1"/>
  <c r="BF7" i="1"/>
  <c r="DD7" i="1"/>
  <c r="DD83" i="1"/>
  <c r="CE7" i="1"/>
  <c r="DY455" i="1"/>
  <c r="DV184" i="1"/>
  <c r="DX674" i="1"/>
  <c r="DR651" i="1"/>
  <c r="DR636" i="1"/>
  <c r="DP553" i="1"/>
  <c r="DR646" i="1"/>
  <c r="DT522" i="1"/>
  <c r="DR486" i="1"/>
  <c r="DR538" i="1"/>
  <c r="DP548" i="1"/>
  <c r="DR488" i="1"/>
  <c r="DR318" i="1"/>
  <c r="DR297" i="1"/>
  <c r="DR308" i="1"/>
  <c r="DR290" i="1"/>
  <c r="DR312" i="1"/>
  <c r="DR296" i="1"/>
  <c r="DR307" i="1"/>
  <c r="DR133" i="1"/>
  <c r="DR154" i="1"/>
  <c r="DR131" i="1"/>
  <c r="DP127" i="1"/>
  <c r="DR650" i="1"/>
  <c r="DR653" i="1"/>
  <c r="DP551" i="1"/>
  <c r="DU563" i="1"/>
  <c r="DU500" i="1"/>
  <c r="DQ474" i="1"/>
  <c r="DR489" i="1"/>
  <c r="DR436" i="1"/>
  <c r="DO468" i="1"/>
  <c r="DN317" i="1"/>
  <c r="DP434" i="1"/>
  <c r="DW304" i="1"/>
  <c r="DR288" i="1"/>
  <c r="DR309" i="1"/>
  <c r="DR291" i="1"/>
  <c r="DR294" i="1"/>
  <c r="DR228" i="1"/>
  <c r="DR313" i="1"/>
  <c r="DQ124" i="1"/>
  <c r="DR119" i="1"/>
  <c r="DR649" i="1"/>
  <c r="DR652" i="1"/>
  <c r="DP547" i="1"/>
  <c r="DP552" i="1"/>
  <c r="DR602" i="1"/>
  <c r="DQ485" i="1"/>
  <c r="DY395" i="1"/>
  <c r="DM455" i="1"/>
  <c r="DR316" i="1"/>
  <c r="DY390" i="1"/>
  <c r="DR303" i="1"/>
  <c r="DR537" i="1"/>
  <c r="DR305" i="1"/>
  <c r="DR376" i="1"/>
  <c r="DR178" i="1"/>
  <c r="DR224" i="1"/>
  <c r="DR287" i="1"/>
  <c r="DR113" i="1"/>
  <c r="DS720" i="1"/>
  <c r="DP550" i="1"/>
  <c r="DP549" i="1"/>
  <c r="DR292" i="1"/>
  <c r="DR156" i="1"/>
  <c r="DR384" i="1"/>
  <c r="DR648" i="1"/>
  <c r="DR492" i="1"/>
  <c r="DZ452" i="1"/>
  <c r="DR315" i="1"/>
  <c r="DR306" i="1"/>
  <c r="V14" i="1"/>
  <c r="DP472" i="1"/>
  <c r="DR375" i="1"/>
  <c r="DT561" i="1"/>
  <c r="DP546" i="1"/>
  <c r="DR301" i="1"/>
  <c r="DR298" i="1"/>
  <c r="DS134" i="1"/>
  <c r="DR647" i="1"/>
  <c r="DR106" i="1"/>
  <c r="BR7" i="1"/>
  <c r="BI7" i="1"/>
  <c r="CC7" i="1"/>
  <c r="DE83" i="1"/>
  <c r="BP7" i="1"/>
  <c r="BF83" i="1"/>
  <c r="AI7" i="1"/>
  <c r="DE7" i="1"/>
  <c r="DU167" i="1"/>
  <c r="DY435" i="1"/>
  <c r="DX652" i="1"/>
  <c r="DS497" i="1"/>
  <c r="DR360" i="1"/>
  <c r="V17" i="1"/>
  <c r="X7" i="1"/>
  <c r="V15" i="1"/>
  <c r="V7" i="1"/>
  <c r="X83" i="1"/>
  <c r="CB7" i="1"/>
  <c r="BN7" i="1"/>
  <c r="AL83" i="1"/>
  <c r="BM7" i="1"/>
  <c r="BZ7" i="1"/>
  <c r="CY83" i="1"/>
  <c r="BL7" i="1"/>
  <c r="AI83" i="1"/>
  <c r="DX174" i="1"/>
  <c r="DY456" i="1"/>
  <c r="DV648" i="1"/>
  <c r="A45" i="1"/>
  <c r="AC44" i="1"/>
  <c r="AB43" i="1"/>
  <c r="E43" i="1"/>
  <c r="AA43" i="1"/>
  <c r="EG127" i="1"/>
  <c r="E10" i="1" l="1"/>
  <c r="E37" i="1"/>
  <c r="E11" i="1"/>
  <c r="E12" i="1"/>
  <c r="E34" i="1"/>
  <c r="E19" i="1"/>
  <c r="E16" i="1"/>
  <c r="E17" i="1"/>
  <c r="E29" i="1"/>
  <c r="E39" i="1"/>
  <c r="E30" i="1"/>
  <c r="DW250" i="1" s="1"/>
  <c r="E36" i="1"/>
  <c r="E13" i="1"/>
  <c r="DU619" i="1"/>
  <c r="EI329" i="1"/>
  <c r="DT580" i="1"/>
  <c r="EI232" i="1"/>
  <c r="EI211" i="1"/>
  <c r="EI327" i="1"/>
  <c r="EI129" i="1"/>
  <c r="EI128" i="1"/>
  <c r="DX251" i="1"/>
  <c r="E6" i="1"/>
  <c r="E31" i="1"/>
  <c r="E20" i="1"/>
  <c r="E28" i="1"/>
  <c r="E38" i="1"/>
  <c r="E7" i="1"/>
  <c r="M7" i="1" s="1"/>
  <c r="EF279" i="1"/>
  <c r="E42" i="1"/>
  <c r="E14" i="1"/>
  <c r="E22" i="1"/>
  <c r="E26" i="1"/>
  <c r="EI315" i="1" s="1"/>
  <c r="E23" i="1"/>
  <c r="E27" i="1"/>
  <c r="E35" i="1"/>
  <c r="E41" i="1"/>
  <c r="E5" i="1"/>
  <c r="E8" i="1"/>
  <c r="E24" i="1"/>
  <c r="E32" i="1"/>
  <c r="E21" i="1"/>
  <c r="DZ528" i="1"/>
  <c r="DV433" i="1"/>
  <c r="DZ522" i="1"/>
  <c r="DW717" i="1"/>
  <c r="DU773" i="1"/>
  <c r="DS772" i="1"/>
  <c r="DR767" i="1"/>
  <c r="DU674" i="1"/>
  <c r="DS745" i="1"/>
  <c r="DX671" i="1"/>
  <c r="DW689" i="1"/>
  <c r="DY496" i="1"/>
  <c r="DV467" i="1"/>
  <c r="DX462" i="1"/>
  <c r="DU298" i="1"/>
  <c r="DW503" i="1"/>
  <c r="DZ464" i="1"/>
  <c r="DX458" i="1"/>
  <c r="DY268" i="1"/>
  <c r="DY471" i="1"/>
  <c r="DT452" i="1"/>
  <c r="DZ182" i="1"/>
  <c r="DR121" i="1"/>
  <c r="DV196" i="1"/>
  <c r="DX749" i="1"/>
  <c r="DS775" i="1"/>
  <c r="DY492" i="1"/>
  <c r="DW523" i="1"/>
  <c r="DX508" i="1"/>
  <c r="DW272" i="1"/>
  <c r="DV245" i="1"/>
  <c r="DS374" i="1"/>
  <c r="DV317" i="1"/>
  <c r="DS135" i="1"/>
  <c r="DT142" i="1"/>
  <c r="DT147" i="1"/>
  <c r="DU137" i="1"/>
  <c r="DT106" i="1"/>
  <c r="DY476" i="1"/>
  <c r="M43" i="1"/>
  <c r="L43" i="1"/>
  <c r="EI341" i="1"/>
  <c r="EI216" i="1"/>
  <c r="AA44" i="1"/>
  <c r="AB44" i="1"/>
  <c r="AG44" i="1"/>
  <c r="E44" i="1"/>
  <c r="AC45" i="1"/>
  <c r="A46" i="1"/>
  <c r="DV595" i="1"/>
  <c r="EI316" i="1" l="1"/>
  <c r="EL316" i="1" s="1"/>
  <c r="EI304" i="1"/>
  <c r="DY646" i="1"/>
  <c r="EI303" i="1"/>
  <c r="DZ485" i="1"/>
  <c r="DZ489" i="1"/>
  <c r="EK128" i="1"/>
  <c r="EJ128" i="1"/>
  <c r="EN128" i="1"/>
  <c r="EM128" i="1"/>
  <c r="EL128" i="1"/>
  <c r="EL232" i="1"/>
  <c r="EM232" i="1"/>
  <c r="EJ232" i="1"/>
  <c r="EK232" i="1"/>
  <c r="EN232" i="1"/>
  <c r="EO232" i="1" s="1"/>
  <c r="EM315" i="1"/>
  <c r="EL315" i="1"/>
  <c r="EJ315" i="1"/>
  <c r="EN315" i="1"/>
  <c r="EO315" i="1" s="1"/>
  <c r="EK315" i="1"/>
  <c r="DU200" i="1"/>
  <c r="DX201" i="1"/>
  <c r="EM316" i="1"/>
  <c r="EK316" i="1"/>
  <c r="EN316" i="1"/>
  <c r="EO316" i="1" s="1"/>
  <c r="EL129" i="1"/>
  <c r="EN129" i="1"/>
  <c r="EK129" i="1"/>
  <c r="EJ129" i="1"/>
  <c r="EM129" i="1"/>
  <c r="EL327" i="1"/>
  <c r="EK327" i="1"/>
  <c r="EJ327" i="1"/>
  <c r="EN327" i="1"/>
  <c r="EO327" i="1" s="1"/>
  <c r="EM327" i="1"/>
  <c r="EM329" i="1"/>
  <c r="EJ329" i="1"/>
  <c r="EL329" i="1"/>
  <c r="EN329" i="1"/>
  <c r="EO329" i="1" s="1"/>
  <c r="EK329" i="1"/>
  <c r="EH329" i="1"/>
  <c r="EK211" i="1"/>
  <c r="EL211" i="1"/>
  <c r="EJ211" i="1"/>
  <c r="EM211" i="1"/>
  <c r="EN211" i="1"/>
  <c r="EO211" i="1" s="1"/>
  <c r="DT537" i="1"/>
  <c r="EC121" i="1"/>
  <c r="EA121" i="1"/>
  <c r="DX574" i="1"/>
  <c r="DW618" i="1"/>
  <c r="DY589" i="1"/>
  <c r="DW595" i="1"/>
  <c r="AG45" i="1"/>
  <c r="E45" i="1"/>
  <c r="AB45" i="1"/>
  <c r="AA45" i="1"/>
  <c r="A47" i="1"/>
  <c r="AC46" i="1"/>
  <c r="EK216" i="1"/>
  <c r="EN216" i="1"/>
  <c r="EO216" i="1" s="1"/>
  <c r="EJ216" i="1"/>
  <c r="EM216" i="1"/>
  <c r="EL216" i="1"/>
  <c r="EL341" i="1"/>
  <c r="EH341" i="1"/>
  <c r="EK341" i="1"/>
  <c r="EN341" i="1"/>
  <c r="EO341" i="1" s="1"/>
  <c r="EJ341" i="1"/>
  <c r="EM341" i="1"/>
  <c r="DX240" i="1"/>
  <c r="DX244" i="1"/>
  <c r="EH316" i="1" l="1"/>
  <c r="EJ316" i="1"/>
  <c r="EM303" i="1"/>
  <c r="EJ303" i="1"/>
  <c r="EL303" i="1"/>
  <c r="EN303" i="1"/>
  <c r="EO303" i="1" s="1"/>
  <c r="EK303" i="1"/>
  <c r="EH303" i="1"/>
  <c r="DT659" i="1"/>
  <c r="DT323" i="1"/>
  <c r="EK304" i="1"/>
  <c r="EH304" i="1"/>
  <c r="EM304" i="1"/>
  <c r="EJ304" i="1"/>
  <c r="EL304" i="1"/>
  <c r="EN304" i="1"/>
  <c r="EO304" i="1" s="1"/>
  <c r="AA46" i="1"/>
  <c r="AB46" i="1"/>
  <c r="AG46" i="1"/>
  <c r="E46" i="1"/>
  <c r="AC47" i="1"/>
  <c r="A48" i="1"/>
  <c r="DT410" i="1"/>
  <c r="DY369" i="1" l="1"/>
  <c r="DX720" i="1"/>
  <c r="DS614" i="1"/>
  <c r="DV622" i="1"/>
  <c r="DV337" i="1"/>
  <c r="DW172" i="1"/>
  <c r="DU521" i="1"/>
  <c r="DY331" i="1"/>
  <c r="DV125" i="1"/>
  <c r="DY749" i="1"/>
  <c r="DS741" i="1"/>
  <c r="DW720" i="1"/>
  <c r="DS638" i="1"/>
  <c r="DT614" i="1"/>
  <c r="DT521" i="1"/>
  <c r="DT754" i="1"/>
  <c r="DW622" i="1"/>
  <c r="DY516" i="1"/>
  <c r="DW584" i="1"/>
  <c r="DW514" i="1"/>
  <c r="DW141" i="1"/>
  <c r="DW134" i="1"/>
  <c r="DU125" i="1"/>
  <c r="DT625" i="1"/>
  <c r="DU337" i="1"/>
  <c r="DV172" i="1"/>
  <c r="DY590" i="1"/>
  <c r="DY447" i="1"/>
  <c r="DQ312" i="1"/>
  <c r="DS238" i="1"/>
  <c r="DX148" i="1"/>
  <c r="DV488" i="1"/>
  <c r="DX331" i="1"/>
  <c r="DU701" i="1"/>
  <c r="DV700" i="1"/>
  <c r="DX699" i="1"/>
  <c r="DW702" i="1"/>
  <c r="DU384" i="1"/>
  <c r="DU385" i="1"/>
  <c r="BV14" i="1"/>
  <c r="BN14" i="1"/>
  <c r="CH14" i="1"/>
  <c r="BR14" i="1"/>
  <c r="BI14" i="1"/>
  <c r="CW14" i="1"/>
  <c r="AX14" i="1"/>
  <c r="BE14" i="1"/>
  <c r="BF14" i="1"/>
  <c r="DJ14" i="1"/>
  <c r="DB14" i="1"/>
  <c r="DF14" i="1"/>
  <c r="BQ14" i="1"/>
  <c r="DE14" i="1"/>
  <c r="BJ14" i="1"/>
  <c r="BM14" i="1"/>
  <c r="AW14" i="1"/>
  <c r="CX14" i="1"/>
  <c r="AK14" i="1"/>
  <c r="DA14" i="1"/>
  <c r="BA14" i="1"/>
  <c r="BU14" i="1"/>
  <c r="DH14" i="1"/>
  <c r="BB14" i="1"/>
  <c r="CY14" i="1"/>
  <c r="AZ14" i="1"/>
  <c r="DD14" i="1"/>
  <c r="AY14" i="1"/>
  <c r="CK14" i="1"/>
  <c r="CL14" i="1"/>
  <c r="AM14" i="1"/>
  <c r="BS14" i="1"/>
  <c r="BO14" i="1"/>
  <c r="CN14" i="1"/>
  <c r="BW14" i="1"/>
  <c r="CM14" i="1"/>
  <c r="BC14" i="1"/>
  <c r="AI14" i="1"/>
  <c r="CI14" i="1"/>
  <c r="CJ14" i="1"/>
  <c r="BD14" i="1"/>
  <c r="DG14" i="1"/>
  <c r="BP14" i="1"/>
  <c r="CO14" i="1"/>
  <c r="BL14" i="1"/>
  <c r="CF14" i="1"/>
  <c r="DC18" i="1"/>
  <c r="BJ18" i="1"/>
  <c r="BE18" i="1"/>
  <c r="AL18" i="1"/>
  <c r="CH18" i="1"/>
  <c r="BC18" i="1"/>
  <c r="DF18" i="1"/>
  <c r="AZ18" i="1"/>
  <c r="AI18" i="1"/>
  <c r="DE18" i="1"/>
  <c r="BF18" i="1"/>
  <c r="DV611" i="1"/>
  <c r="DU481" i="1"/>
  <c r="DU352" i="1"/>
  <c r="DW202" i="1"/>
  <c r="DX195" i="1"/>
  <c r="DU478" i="1"/>
  <c r="DX249" i="1"/>
  <c r="DU192" i="1"/>
  <c r="DV451" i="1"/>
  <c r="DT177" i="1"/>
  <c r="DT149" i="1"/>
  <c r="DW234" i="1"/>
  <c r="DV147" i="1"/>
  <c r="DU184" i="1"/>
  <c r="A49" i="1"/>
  <c r="AC48" i="1"/>
  <c r="E47" i="1"/>
  <c r="AG47" i="1"/>
  <c r="AA47" i="1"/>
  <c r="AB47" i="1"/>
  <c r="DY658" i="1" l="1"/>
  <c r="DT656" i="1"/>
  <c r="AA48" i="1"/>
  <c r="AB48" i="1"/>
  <c r="E48" i="1"/>
  <c r="AG48" i="1"/>
  <c r="A50" i="1"/>
  <c r="AC49" i="1"/>
  <c r="A51" i="1" l="1"/>
  <c r="AC50" i="1"/>
  <c r="AB49" i="1"/>
  <c r="E49" i="1"/>
  <c r="AA49" i="1"/>
  <c r="AG49" i="1"/>
  <c r="DW555" i="1" l="1"/>
  <c r="AN799" i="1"/>
  <c r="DH797" i="1"/>
  <c r="DD797" i="1"/>
  <c r="CR797" i="1"/>
  <c r="CN797" i="1"/>
  <c r="CJ797" i="1"/>
  <c r="CF797" i="1"/>
  <c r="CB797" i="1"/>
  <c r="BX797" i="1"/>
  <c r="BP797" i="1"/>
  <c r="BL797" i="1"/>
  <c r="BD797" i="1"/>
  <c r="AZ797" i="1"/>
  <c r="AV797" i="1"/>
  <c r="AR797" i="1"/>
  <c r="AN797" i="1"/>
  <c r="B797" i="1"/>
  <c r="AN795" i="1"/>
  <c r="AN785" i="1"/>
  <c r="AN783" i="1"/>
  <c r="AN764" i="1"/>
  <c r="AN758" i="1"/>
  <c r="AN753" i="1"/>
  <c r="AN752" i="1"/>
  <c r="AN749" i="1"/>
  <c r="AN740" i="1"/>
  <c r="AN738" i="1"/>
  <c r="AN730" i="1"/>
  <c r="AN727" i="1"/>
  <c r="AN724" i="1"/>
  <c r="AN723" i="1"/>
  <c r="AN716" i="1"/>
  <c r="AN707" i="1"/>
  <c r="AN700" i="1"/>
  <c r="AN688" i="1"/>
  <c r="DG797" i="1"/>
  <c r="DC797" i="1"/>
  <c r="CY797" i="1"/>
  <c r="CU797" i="1"/>
  <c r="CQ797" i="1"/>
  <c r="CM797" i="1"/>
  <c r="CI797" i="1"/>
  <c r="CE797" i="1"/>
  <c r="CA797" i="1"/>
  <c r="BW797" i="1"/>
  <c r="BS797" i="1"/>
  <c r="BO797" i="1"/>
  <c r="BK797" i="1"/>
  <c r="BC797" i="1"/>
  <c r="AY797" i="1"/>
  <c r="AU797" i="1"/>
  <c r="AQ797" i="1"/>
  <c r="AM797" i="1"/>
  <c r="AN791" i="1"/>
  <c r="AN788" i="1"/>
  <c r="AN774" i="1"/>
  <c r="AN772" i="1"/>
  <c r="AN770" i="1"/>
  <c r="AN769" i="1"/>
  <c r="AN768" i="1"/>
  <c r="AN763" i="1"/>
  <c r="AN755" i="1"/>
  <c r="AN737" i="1"/>
  <c r="AN731" i="1"/>
  <c r="AN725" i="1"/>
  <c r="AN713" i="1"/>
  <c r="AN708" i="1"/>
  <c r="AN703" i="1"/>
  <c r="AN699" i="1"/>
  <c r="DJ797" i="1"/>
  <c r="DF797" i="1"/>
  <c r="DB797" i="1"/>
  <c r="CX797" i="1"/>
  <c r="CT797" i="1"/>
  <c r="CP797" i="1"/>
  <c r="CL797" i="1"/>
  <c r="CH797" i="1"/>
  <c r="CD797" i="1"/>
  <c r="BZ797" i="1"/>
  <c r="BV797" i="1"/>
  <c r="BR797" i="1"/>
  <c r="BN797" i="1"/>
  <c r="BJ797" i="1"/>
  <c r="BF797" i="1"/>
  <c r="BB797" i="1"/>
  <c r="AX797" i="1"/>
  <c r="AT797" i="1"/>
  <c r="AP797" i="1"/>
  <c r="AL797" i="1"/>
  <c r="AN794" i="1"/>
  <c r="AN780" i="1"/>
  <c r="AN779" i="1"/>
  <c r="AN773" i="1"/>
  <c r="AN767" i="1"/>
  <c r="AN762" i="1"/>
  <c r="AN761" i="1"/>
  <c r="AN760" i="1"/>
  <c r="AN757" i="1"/>
  <c r="AN754" i="1"/>
  <c r="AN748" i="1"/>
  <c r="AN745" i="1"/>
  <c r="AN743" i="1"/>
  <c r="AN736" i="1"/>
  <c r="AN735" i="1"/>
  <c r="AN732" i="1"/>
  <c r="AN729" i="1"/>
  <c r="AN726" i="1"/>
  <c r="AN718" i="1"/>
  <c r="AN717" i="1"/>
  <c r="AN715" i="1"/>
  <c r="AN714" i="1"/>
  <c r="AN711" i="1"/>
  <c r="AN704" i="1"/>
  <c r="AN702" i="1"/>
  <c r="AN701" i="1"/>
  <c r="AN697" i="1"/>
  <c r="AN695" i="1"/>
  <c r="AN694" i="1"/>
  <c r="AN693" i="1"/>
  <c r="AN691" i="1"/>
  <c r="AN690" i="1"/>
  <c r="CW797" i="1"/>
  <c r="CK797" i="1"/>
  <c r="BI797" i="1"/>
  <c r="BA797" i="1"/>
  <c r="AK797" i="1"/>
  <c r="AN787" i="1"/>
  <c r="AN776" i="1"/>
  <c r="AN751" i="1"/>
  <c r="AN741" i="1"/>
  <c r="AN734" i="1"/>
  <c r="AN721" i="1"/>
  <c r="AN696" i="1"/>
  <c r="AN689" i="1"/>
  <c r="AN686" i="1"/>
  <c r="AN682" i="1"/>
  <c r="AN679" i="1"/>
  <c r="AN674" i="1"/>
  <c r="AN665" i="1"/>
  <c r="AN659" i="1"/>
  <c r="AN658" i="1"/>
  <c r="AN656" i="1"/>
  <c r="AN653" i="1"/>
  <c r="AN652" i="1"/>
  <c r="AN646" i="1"/>
  <c r="AN645" i="1"/>
  <c r="AN644" i="1"/>
  <c r="AN642" i="1"/>
  <c r="AN640" i="1"/>
  <c r="AN632" i="1"/>
  <c r="AN629" i="1"/>
  <c r="AN624" i="1"/>
  <c r="AN622" i="1"/>
  <c r="AN619" i="1"/>
  <c r="AN616" i="1"/>
  <c r="AN608" i="1"/>
  <c r="AN607" i="1"/>
  <c r="AN598" i="1"/>
  <c r="AN597" i="1"/>
  <c r="AN596" i="1"/>
  <c r="AN587" i="1"/>
  <c r="AN578" i="1"/>
  <c r="AN576" i="1"/>
  <c r="AN567" i="1"/>
  <c r="AN565" i="1"/>
  <c r="AN557" i="1"/>
  <c r="AN556" i="1"/>
  <c r="AN548" i="1"/>
  <c r="AN546" i="1"/>
  <c r="AN542" i="1"/>
  <c r="AN540" i="1"/>
  <c r="AN535" i="1"/>
  <c r="AN532" i="1"/>
  <c r="AN528" i="1"/>
  <c r="AN524" i="1"/>
  <c r="AN515" i="1"/>
  <c r="AN514" i="1"/>
  <c r="AN510" i="1"/>
  <c r="AN503" i="1"/>
  <c r="AN499" i="1"/>
  <c r="AN486" i="1"/>
  <c r="AN479" i="1"/>
  <c r="AN478" i="1"/>
  <c r="AN477" i="1"/>
  <c r="AN462" i="1"/>
  <c r="AN459" i="1"/>
  <c r="AN458" i="1"/>
  <c r="AN448" i="1"/>
  <c r="AN437" i="1"/>
  <c r="AN431" i="1"/>
  <c r="AN423" i="1"/>
  <c r="AN422" i="1"/>
  <c r="AN416" i="1"/>
  <c r="AN415" i="1"/>
  <c r="AN414" i="1"/>
  <c r="AN409" i="1"/>
  <c r="AN403" i="1"/>
  <c r="AN400" i="1"/>
  <c r="AN398" i="1"/>
  <c r="AN389" i="1"/>
  <c r="AN378" i="1"/>
  <c r="AN376" i="1"/>
  <c r="AN375" i="1"/>
  <c r="DE797" i="1"/>
  <c r="AW797" i="1"/>
  <c r="AN782" i="1"/>
  <c r="AN778" i="1"/>
  <c r="AN742" i="1"/>
  <c r="AN712" i="1"/>
  <c r="AN681" i="1"/>
  <c r="AN677" i="1"/>
  <c r="AN668" i="1"/>
  <c r="AN666" i="1"/>
  <c r="AN664" i="1"/>
  <c r="AN661" i="1"/>
  <c r="AN660" i="1"/>
  <c r="AN634" i="1"/>
  <c r="AN621" i="1"/>
  <c r="AN611" i="1"/>
  <c r="AN609" i="1"/>
  <c r="AN603" i="1"/>
  <c r="AN593" i="1"/>
  <c r="AN592" i="1"/>
  <c r="AN583" i="1"/>
  <c r="AN574" i="1"/>
  <c r="AN571" i="1"/>
  <c r="AN564" i="1"/>
  <c r="AN563" i="1"/>
  <c r="AN560" i="1"/>
  <c r="AN550" i="1"/>
  <c r="AN549" i="1"/>
  <c r="AN541" i="1"/>
  <c r="AN537" i="1"/>
  <c r="AN531" i="1"/>
  <c r="AN527" i="1"/>
  <c r="AN526" i="1"/>
  <c r="AN523" i="1"/>
  <c r="AN520" i="1"/>
  <c r="AN519" i="1"/>
  <c r="AN517" i="1"/>
  <c r="AN512" i="1"/>
  <c r="AN511" i="1"/>
  <c r="AN507" i="1"/>
  <c r="AN505" i="1"/>
  <c r="AN497" i="1"/>
  <c r="AN496" i="1"/>
  <c r="AN491" i="1"/>
  <c r="AN490" i="1"/>
  <c r="AN488" i="1"/>
  <c r="AN483" i="1"/>
  <c r="AN482" i="1"/>
  <c r="AN475" i="1"/>
  <c r="DA797" i="1"/>
  <c r="CS797" i="1"/>
  <c r="CC797" i="1"/>
  <c r="AS797" i="1"/>
  <c r="AN792" i="1"/>
  <c r="AN775" i="1"/>
  <c r="AN765" i="1"/>
  <c r="AN750" i="1"/>
  <c r="AN747" i="1"/>
  <c r="AN744" i="1"/>
  <c r="AN739" i="1"/>
  <c r="AN722" i="1"/>
  <c r="AN710" i="1"/>
  <c r="AN709" i="1"/>
  <c r="AN698" i="1"/>
  <c r="AN692" i="1"/>
  <c r="AN683" i="1"/>
  <c r="AN673" i="1"/>
  <c r="AN671" i="1"/>
  <c r="AN650" i="1"/>
  <c r="AN648" i="1"/>
  <c r="AN647" i="1"/>
  <c r="AN641" i="1"/>
  <c r="AN638" i="1"/>
  <c r="AN637" i="1"/>
  <c r="AN636" i="1"/>
  <c r="AN628" i="1"/>
  <c r="AN627" i="1"/>
  <c r="AN626" i="1"/>
  <c r="AN625" i="1"/>
  <c r="AN618" i="1"/>
  <c r="AN617" i="1"/>
  <c r="AN610" i="1"/>
  <c r="AN606" i="1"/>
  <c r="AN605" i="1"/>
  <c r="AN604" i="1"/>
  <c r="AN595" i="1"/>
  <c r="AN591" i="1"/>
  <c r="AN590" i="1"/>
  <c r="AN589" i="1"/>
  <c r="AN586" i="1"/>
  <c r="AN585" i="1"/>
  <c r="AN584" i="1"/>
  <c r="AN580" i="1"/>
  <c r="AN579" i="1"/>
  <c r="AN572" i="1"/>
  <c r="AN568" i="1"/>
  <c r="AN552" i="1"/>
  <c r="AN551" i="1"/>
  <c r="AN547" i="1"/>
  <c r="AN543" i="1"/>
  <c r="AN536" i="1"/>
  <c r="AN533" i="1"/>
  <c r="AN529" i="1"/>
  <c r="AN522" i="1"/>
  <c r="AN521" i="1"/>
  <c r="AN494" i="1"/>
  <c r="AN489" i="1"/>
  <c r="AN481" i="1"/>
  <c r="AN472" i="1"/>
  <c r="AN470" i="1"/>
  <c r="AN464" i="1"/>
  <c r="AN456" i="1"/>
  <c r="AN455" i="1"/>
  <c r="AN453" i="1"/>
  <c r="AN447" i="1"/>
  <c r="AN446" i="1"/>
  <c r="AN445" i="1"/>
  <c r="AN439" i="1"/>
  <c r="AN438" i="1"/>
  <c r="DZ429" i="1"/>
  <c r="AN428" i="1"/>
  <c r="AN410" i="1"/>
  <c r="AN408" i="1"/>
  <c r="AN402" i="1"/>
  <c r="AN397" i="1"/>
  <c r="AN391" i="1"/>
  <c r="AN385" i="1"/>
  <c r="AN384" i="1"/>
  <c r="AN383" i="1"/>
  <c r="BE797" i="1"/>
  <c r="AN655" i="1"/>
  <c r="AN651" i="1"/>
  <c r="AN614" i="1"/>
  <c r="AN602" i="1"/>
  <c r="AN582" i="1"/>
  <c r="AN570" i="1"/>
  <c r="AN559" i="1"/>
  <c r="AN553" i="1"/>
  <c r="AN544" i="1"/>
  <c r="AN534" i="1"/>
  <c r="AN516" i="1"/>
  <c r="AN508" i="1"/>
  <c r="AN502" i="1"/>
  <c r="AN498" i="1"/>
  <c r="AN495" i="1"/>
  <c r="AN487" i="1"/>
  <c r="AN480" i="1"/>
  <c r="AN467" i="1"/>
  <c r="AN465" i="1"/>
  <c r="AN461" i="1"/>
  <c r="AN457" i="1"/>
  <c r="AN450" i="1"/>
  <c r="AN443" i="1"/>
  <c r="AN434" i="1"/>
  <c r="AN432" i="1"/>
  <c r="AN429" i="1"/>
  <c r="AN421" i="1"/>
  <c r="AN413" i="1"/>
  <c r="AN411" i="1"/>
  <c r="AN404" i="1"/>
  <c r="AN390" i="1"/>
  <c r="AN373" i="1"/>
  <c r="AN370" i="1"/>
  <c r="AN369" i="1"/>
  <c r="AN367" i="1"/>
  <c r="AN362" i="1"/>
  <c r="AN354" i="1"/>
  <c r="AN349" i="1"/>
  <c r="AN347" i="1"/>
  <c r="AN342" i="1"/>
  <c r="AN341" i="1"/>
  <c r="AN338" i="1"/>
  <c r="AN337" i="1"/>
  <c r="AN335" i="1"/>
  <c r="AN326" i="1"/>
  <c r="AN322" i="1"/>
  <c r="AN314" i="1"/>
  <c r="AN313" i="1"/>
  <c r="AN307" i="1"/>
  <c r="AN306" i="1"/>
  <c r="AN305" i="1"/>
  <c r="AN304" i="1"/>
  <c r="AN299" i="1"/>
  <c r="AN291" i="1"/>
  <c r="AN275" i="1"/>
  <c r="AN255" i="1"/>
  <c r="AN254" i="1"/>
  <c r="AN246" i="1"/>
  <c r="AN243" i="1"/>
  <c r="AN242" i="1"/>
  <c r="AN241" i="1"/>
  <c r="AN240" i="1"/>
  <c r="AN235" i="1"/>
  <c r="AN232" i="1"/>
  <c r="AN229" i="1"/>
  <c r="AN228" i="1"/>
  <c r="AN223" i="1"/>
  <c r="AN219" i="1"/>
  <c r="AN211" i="1"/>
  <c r="AN206" i="1"/>
  <c r="AN199" i="1"/>
  <c r="AN196" i="1"/>
  <c r="AN193" i="1"/>
  <c r="AN192" i="1"/>
  <c r="AN186" i="1"/>
  <c r="AN184" i="1"/>
  <c r="AN181" i="1"/>
  <c r="AN180" i="1"/>
  <c r="AN177" i="1"/>
  <c r="AN175" i="1"/>
  <c r="AN170" i="1"/>
  <c r="AN164" i="1"/>
  <c r="AN163" i="1"/>
  <c r="AN162" i="1"/>
  <c r="AN158" i="1"/>
  <c r="AN155" i="1"/>
  <c r="AN154" i="1"/>
  <c r="AN151" i="1"/>
  <c r="AN150" i="1"/>
  <c r="AN146" i="1"/>
  <c r="AN142" i="1"/>
  <c r="AN139" i="1"/>
  <c r="AN138" i="1"/>
  <c r="AN133" i="1"/>
  <c r="AN126" i="1"/>
  <c r="AN123" i="1"/>
  <c r="AN121" i="1"/>
  <c r="AN117" i="1"/>
  <c r="AN110" i="1"/>
  <c r="AN108" i="1"/>
  <c r="AN103" i="1"/>
  <c r="AN100" i="1"/>
  <c r="AN96" i="1"/>
  <c r="AN94" i="1"/>
  <c r="AN90" i="1"/>
  <c r="AN89" i="1"/>
  <c r="AN78" i="1"/>
  <c r="AN64" i="1"/>
  <c r="AN63" i="1"/>
  <c r="AN60" i="1"/>
  <c r="AN55" i="1"/>
  <c r="AN49" i="1"/>
  <c r="AN48" i="1"/>
  <c r="AN47" i="1"/>
  <c r="AN36" i="1"/>
  <c r="BY797" i="1"/>
  <c r="BM797" i="1"/>
  <c r="AO797" i="1"/>
  <c r="AN771" i="1"/>
  <c r="AN669" i="1"/>
  <c r="AN657" i="1"/>
  <c r="AN643" i="1"/>
  <c r="AN631" i="1"/>
  <c r="AN630" i="1"/>
  <c r="AN623" i="1"/>
  <c r="AN573" i="1"/>
  <c r="AN561" i="1"/>
  <c r="AN555" i="1"/>
  <c r="AN538" i="1"/>
  <c r="AN509" i="1"/>
  <c r="AN504" i="1"/>
  <c r="AN500" i="1"/>
  <c r="AN444" i="1"/>
  <c r="AN440" i="1"/>
  <c r="AN424" i="1"/>
  <c r="AN419" i="1"/>
  <c r="AN405" i="1"/>
  <c r="AN393" i="1"/>
  <c r="AN379" i="1"/>
  <c r="AN377" i="1"/>
  <c r="AN365" i="1"/>
  <c r="AN364" i="1"/>
  <c r="AN361" i="1"/>
  <c r="AN353" i="1"/>
  <c r="AN350" i="1"/>
  <c r="AN348" i="1"/>
  <c r="AN346" i="1"/>
  <c r="AN344" i="1"/>
  <c r="AN340" i="1"/>
  <c r="AN339" i="1"/>
  <c r="AN334" i="1"/>
  <c r="AN327" i="1"/>
  <c r="AN324" i="1"/>
  <c r="AN321" i="1"/>
  <c r="AN318" i="1"/>
  <c r="AN312" i="1"/>
  <c r="AN298" i="1"/>
  <c r="AN295" i="1"/>
  <c r="AN293" i="1"/>
  <c r="AN289" i="1"/>
  <c r="AN287" i="1"/>
  <c r="AN284" i="1"/>
  <c r="AN281" i="1"/>
  <c r="AN277" i="1"/>
  <c r="AN276" i="1"/>
  <c r="AN273" i="1"/>
  <c r="AN270" i="1"/>
  <c r="AN267" i="1"/>
  <c r="AN266" i="1"/>
  <c r="AN252" i="1"/>
  <c r="AN249" i="1"/>
  <c r="AN238" i="1"/>
  <c r="AN231" i="1"/>
  <c r="AN225" i="1"/>
  <c r="AN222" i="1"/>
  <c r="AN217" i="1"/>
  <c r="AN214" i="1"/>
  <c r="AN212" i="1"/>
  <c r="AN207" i="1"/>
  <c r="AN200" i="1"/>
  <c r="AN197" i="1"/>
  <c r="AN194" i="1"/>
  <c r="AN183" i="1"/>
  <c r="AN178" i="1"/>
  <c r="AN174" i="1"/>
  <c r="AN165" i="1"/>
  <c r="AN143" i="1"/>
  <c r="AN140" i="1"/>
  <c r="AN136" i="1"/>
  <c r="AN132" i="1"/>
  <c r="AN129" i="1"/>
  <c r="AN128" i="1"/>
  <c r="AN124" i="1"/>
  <c r="AN118" i="1"/>
  <c r="AN115" i="1"/>
  <c r="AN111" i="1"/>
  <c r="AN102" i="1"/>
  <c r="AN95" i="1"/>
  <c r="AN87" i="1"/>
  <c r="AN85" i="1"/>
  <c r="AN81" i="1"/>
  <c r="AN77" i="1"/>
  <c r="AN73" i="1"/>
  <c r="AN71" i="1"/>
  <c r="AN57" i="1"/>
  <c r="AN45" i="1"/>
  <c r="AN40" i="1"/>
  <c r="AN35" i="1"/>
  <c r="AN32" i="1"/>
  <c r="AN720" i="1"/>
  <c r="AN719" i="1"/>
  <c r="AN678" i="1"/>
  <c r="AN672" i="1"/>
  <c r="AN649" i="1"/>
  <c r="AN639" i="1"/>
  <c r="AN633" i="1"/>
  <c r="AN620" i="1"/>
  <c r="AN600" i="1"/>
  <c r="AN588" i="1"/>
  <c r="AN577" i="1"/>
  <c r="AN575" i="1"/>
  <c r="AN485" i="1"/>
  <c r="AN474" i="1"/>
  <c r="AN471" i="1"/>
  <c r="AN463" i="1"/>
  <c r="AN460" i="1"/>
  <c r="AN451" i="1"/>
  <c r="AN442" i="1"/>
  <c r="AN435" i="1"/>
  <c r="AN433" i="1"/>
  <c r="AN430" i="1"/>
  <c r="AN426" i="1"/>
  <c r="AN420" i="1"/>
  <c r="AN418" i="1"/>
  <c r="AN412" i="1"/>
  <c r="AN396" i="1"/>
  <c r="AN394" i="1"/>
  <c r="AN392" i="1"/>
  <c r="AN386" i="1"/>
  <c r="AN382" i="1"/>
  <c r="AN380" i="1"/>
  <c r="AN360" i="1"/>
  <c r="AN358" i="1"/>
  <c r="AN355" i="1"/>
  <c r="AN352" i="1"/>
  <c r="AN345" i="1"/>
  <c r="AN332" i="1"/>
  <c r="AN330" i="1"/>
  <c r="AN317" i="1"/>
  <c r="AN315" i="1"/>
  <c r="AN311" i="1"/>
  <c r="AN308" i="1"/>
  <c r="AN303" i="1"/>
  <c r="AN300" i="1"/>
  <c r="AN296" i="1"/>
  <c r="AN294" i="1"/>
  <c r="AN290" i="1"/>
  <c r="AN285" i="1"/>
  <c r="AN283" i="1"/>
  <c r="AN278" i="1"/>
  <c r="AN271" i="1"/>
  <c r="AN268" i="1"/>
  <c r="AN261" i="1"/>
  <c r="AN253" i="1"/>
  <c r="AN250" i="1"/>
  <c r="AN247" i="1"/>
  <c r="AN236" i="1"/>
  <c r="AN230" i="1"/>
  <c r="AN226" i="1"/>
  <c r="AN215" i="1"/>
  <c r="AN213" i="1"/>
  <c r="AN210" i="1"/>
  <c r="AN204" i="1"/>
  <c r="AN203" i="1"/>
  <c r="AN201" i="1"/>
  <c r="AN198" i="1"/>
  <c r="AN195" i="1"/>
  <c r="AN191" i="1"/>
  <c r="AN188" i="1"/>
  <c r="AN187" i="1"/>
  <c r="AN179" i="1"/>
  <c r="AN176" i="1"/>
  <c r="AN171" i="1"/>
  <c r="AN169" i="1"/>
  <c r="AN167" i="1"/>
  <c r="AN166" i="1"/>
  <c r="AN157" i="1"/>
  <c r="AN149" i="1"/>
  <c r="AN148" i="1"/>
  <c r="AN147" i="1"/>
  <c r="AN144" i="1"/>
  <c r="AN141" i="1"/>
  <c r="AN134" i="1"/>
  <c r="AN130" i="1"/>
  <c r="AN119" i="1"/>
  <c r="AN116" i="1"/>
  <c r="AN113" i="1"/>
  <c r="AN106" i="1"/>
  <c r="AN101" i="1"/>
  <c r="AN98" i="1"/>
  <c r="AN83" i="1"/>
  <c r="AN76" i="1"/>
  <c r="AN74" i="1"/>
  <c r="AN69" i="1"/>
  <c r="AN68" i="1"/>
  <c r="AN67" i="1"/>
  <c r="AN62" i="1"/>
  <c r="AN756" i="1"/>
  <c r="AN676" i="1"/>
  <c r="AN425" i="1"/>
  <c r="AN406" i="1"/>
  <c r="AN401" i="1"/>
  <c r="AN388" i="1"/>
  <c r="AN357" i="1"/>
  <c r="AN333" i="1"/>
  <c r="AN329" i="1"/>
  <c r="AN328" i="1"/>
  <c r="AN301" i="1"/>
  <c r="AN269" i="1"/>
  <c r="AN265" i="1"/>
  <c r="AN245" i="1"/>
  <c r="AN224" i="1"/>
  <c r="AN221" i="1"/>
  <c r="AN218" i="1"/>
  <c r="AN131" i="1"/>
  <c r="AN109" i="1"/>
  <c r="AN104" i="1"/>
  <c r="AN99" i="1"/>
  <c r="AN72" i="1"/>
  <c r="AN39" i="1"/>
  <c r="AN27" i="1"/>
  <c r="AN24" i="1"/>
  <c r="AN22" i="1"/>
  <c r="AN15" i="1"/>
  <c r="AN12" i="1"/>
  <c r="AN7" i="1"/>
  <c r="AN6" i="1"/>
  <c r="AN789" i="1"/>
  <c r="AN670" i="1"/>
  <c r="AN601" i="1"/>
  <c r="AN449" i="1"/>
  <c r="AN436" i="1"/>
  <c r="AN309" i="1"/>
  <c r="AN279" i="1"/>
  <c r="AN264" i="1"/>
  <c r="AN263" i="1"/>
  <c r="AN262" i="1"/>
  <c r="AN244" i="1"/>
  <c r="AN208" i="1"/>
  <c r="AN190" i="1"/>
  <c r="AN172" i="1"/>
  <c r="AN127" i="1"/>
  <c r="AN125" i="1"/>
  <c r="AN56" i="1"/>
  <c r="AN18" i="1"/>
  <c r="AN706" i="1"/>
  <c r="AN685" i="1"/>
  <c r="AN684" i="1"/>
  <c r="AN613" i="1"/>
  <c r="AN501" i="1"/>
  <c r="AN466" i="1"/>
  <c r="AN452" i="1"/>
  <c r="AN371" i="1"/>
  <c r="AN359" i="1"/>
  <c r="AN251" i="1"/>
  <c r="AN202" i="1"/>
  <c r="AN173" i="1"/>
  <c r="AN161" i="1"/>
  <c r="AN160" i="1"/>
  <c r="AN156" i="1"/>
  <c r="AN135" i="1"/>
  <c r="AN112" i="1"/>
  <c r="AN92" i="1"/>
  <c r="AN65" i="1"/>
  <c r="AN53" i="1"/>
  <c r="AN52" i="1"/>
  <c r="AN51" i="1"/>
  <c r="AN43" i="1"/>
  <c r="AN38" i="1"/>
  <c r="AN34" i="1"/>
  <c r="AN30" i="1"/>
  <c r="AN28" i="1"/>
  <c r="AN20" i="1"/>
  <c r="AN17" i="1"/>
  <c r="AN8" i="1"/>
  <c r="CO797" i="1"/>
  <c r="AN280" i="1"/>
  <c r="AN234" i="1"/>
  <c r="AN227" i="1"/>
  <c r="AN220" i="1"/>
  <c r="AN209" i="1"/>
  <c r="AN145" i="1"/>
  <c r="AN114" i="1"/>
  <c r="AN75" i="1"/>
  <c r="AN663" i="1"/>
  <c r="AN615" i="1"/>
  <c r="AN492" i="1"/>
  <c r="AN476" i="1"/>
  <c r="AN469" i="1"/>
  <c r="AN468" i="1"/>
  <c r="AN441" i="1"/>
  <c r="AN395" i="1"/>
  <c r="AN331" i="1"/>
  <c r="AN323" i="1"/>
  <c r="AN320" i="1"/>
  <c r="AN316" i="1"/>
  <c r="AN297" i="1"/>
  <c r="AN292" i="1"/>
  <c r="AN288" i="1"/>
  <c r="AN282" i="1"/>
  <c r="AN272" i="1"/>
  <c r="AN259" i="1"/>
  <c r="AN258" i="1"/>
  <c r="AN257" i="1"/>
  <c r="AN256" i="1"/>
  <c r="AN237" i="1"/>
  <c r="AN233" i="1"/>
  <c r="AN216" i="1"/>
  <c r="AN189" i="1"/>
  <c r="AN182" i="1"/>
  <c r="AN153" i="1"/>
  <c r="AN152" i="1"/>
  <c r="AN120" i="1"/>
  <c r="AN107" i="1"/>
  <c r="AN97" i="1"/>
  <c r="AN80" i="1"/>
  <c r="AN79" i="1"/>
  <c r="AN59" i="1"/>
  <c r="AN42" i="1"/>
  <c r="AN31" i="1"/>
  <c r="AN26" i="1"/>
  <c r="AN23" i="1"/>
  <c r="AN19" i="1"/>
  <c r="AN14" i="1"/>
  <c r="AN13" i="1"/>
  <c r="AN11" i="1"/>
  <c r="AN10" i="1"/>
  <c r="AN9" i="1"/>
  <c r="AN374" i="1"/>
  <c r="AN168" i="1"/>
  <c r="AN137" i="1"/>
  <c r="AN5" i="1"/>
  <c r="DY576" i="1"/>
  <c r="DS469" i="1"/>
  <c r="DX567" i="1"/>
  <c r="DU732" i="1"/>
  <c r="DW335" i="1"/>
  <c r="DX684" i="1"/>
  <c r="DV190" i="1"/>
  <c r="DV297" i="1"/>
  <c r="DV475" i="1"/>
  <c r="DV194" i="1"/>
  <c r="AA50" i="1"/>
  <c r="AG50" i="1"/>
  <c r="AB50" i="1"/>
  <c r="E50" i="1"/>
  <c r="A52" i="1"/>
  <c r="AC51" i="1"/>
  <c r="AN1" i="1"/>
  <c r="AI797" i="1"/>
  <c r="DV498" i="1"/>
  <c r="DS779" i="1" l="1"/>
  <c r="DS727" i="1"/>
  <c r="DR751" i="1"/>
  <c r="DS780" i="1"/>
  <c r="DS778" i="1"/>
  <c r="DR752" i="1"/>
  <c r="DS690" i="1"/>
  <c r="DU676" i="1"/>
  <c r="DT607" i="1"/>
  <c r="DU651" i="1"/>
  <c r="DX630" i="1"/>
  <c r="DT605" i="1"/>
  <c r="DS707" i="1"/>
  <c r="DU679" i="1"/>
  <c r="DS673" i="1"/>
  <c r="DS671" i="1"/>
  <c r="DT603" i="1"/>
  <c r="DV601" i="1"/>
  <c r="DS471" i="1"/>
  <c r="DR418" i="1"/>
  <c r="DR358" i="1"/>
  <c r="DT179" i="1"/>
  <c r="DR359" i="1"/>
  <c r="DS174" i="1"/>
  <c r="DS457" i="1"/>
  <c r="DW444" i="1"/>
  <c r="DU424" i="1"/>
  <c r="DR678" i="1"/>
  <c r="DU696" i="1"/>
  <c r="DF75" i="1"/>
  <c r="CL75" i="1"/>
  <c r="BJ75" i="1"/>
  <c r="BE75" i="1"/>
  <c r="AL75" i="1"/>
  <c r="BF75" i="1"/>
  <c r="DE75" i="1"/>
  <c r="CO75" i="1"/>
  <c r="CK75" i="1"/>
  <c r="BC75" i="1"/>
  <c r="CM75" i="1"/>
  <c r="DC75" i="1"/>
  <c r="CN75" i="1"/>
  <c r="CJ75" i="1"/>
  <c r="AZ75" i="1"/>
  <c r="AI75" i="1"/>
  <c r="CH75" i="1"/>
  <c r="DR610" i="1"/>
  <c r="DT424" i="1"/>
  <c r="DS462" i="1"/>
  <c r="DT456" i="1"/>
  <c r="DT604" i="1"/>
  <c r="DR758" i="1"/>
  <c r="DS688" i="1"/>
  <c r="DS701" i="1"/>
  <c r="DV608" i="1"/>
  <c r="DS424" i="1"/>
  <c r="DS182" i="1"/>
  <c r="DS456" i="1"/>
  <c r="DS326" i="1"/>
  <c r="DT465" i="1"/>
  <c r="DR180" i="1"/>
  <c r="DT369" i="1"/>
  <c r="AB51" i="1"/>
  <c r="AA51" i="1"/>
  <c r="E51" i="1"/>
  <c r="AG51" i="1"/>
  <c r="A53" i="1"/>
  <c r="AC52" i="1"/>
  <c r="DV649" i="1"/>
  <c r="DV456" i="1" l="1"/>
  <c r="DU787" i="1"/>
  <c r="DU758" i="1"/>
  <c r="DT753" i="1"/>
  <c r="DX688" i="1"/>
  <c r="DX602" i="1"/>
  <c r="DW509" i="1"/>
  <c r="DW275" i="1"/>
  <c r="DU168" i="1"/>
  <c r="DX498" i="1"/>
  <c r="DT180" i="1"/>
  <c r="DT189" i="1"/>
  <c r="DT455" i="1"/>
  <c r="EC678" i="1"/>
  <c r="EA678" i="1"/>
  <c r="DW457" i="1"/>
  <c r="DT129" i="1"/>
  <c r="DS478" i="1"/>
  <c r="DV383" i="1"/>
  <c r="DW382" i="1"/>
  <c r="M51" i="1"/>
  <c r="EI344" i="1"/>
  <c r="EI347" i="1"/>
  <c r="EI346" i="1"/>
  <c r="EI345" i="1"/>
  <c r="EI343" i="1"/>
  <c r="AA52" i="1"/>
  <c r="AG52" i="1"/>
  <c r="E52" i="1"/>
  <c r="AB52" i="1"/>
  <c r="AC53" i="1"/>
  <c r="A54" i="1"/>
  <c r="DS656" i="1" l="1"/>
  <c r="DT632" i="1"/>
  <c r="DX497" i="1"/>
  <c r="DU404" i="1"/>
  <c r="DW212" i="1"/>
  <c r="DW486" i="1"/>
  <c r="DU177" i="1"/>
  <c r="DW120" i="1"/>
  <c r="DY317" i="1"/>
  <c r="DY218" i="1"/>
  <c r="DW209" i="1"/>
  <c r="DV288" i="1"/>
  <c r="DW112" i="1"/>
  <c r="AB53" i="1"/>
  <c r="AA53" i="1"/>
  <c r="E53" i="1"/>
  <c r="AG53" i="1"/>
  <c r="EM347" i="1"/>
  <c r="EL347" i="1"/>
  <c r="EK347" i="1"/>
  <c r="EN347" i="1"/>
  <c r="EO347" i="1" s="1"/>
  <c r="EJ347" i="1"/>
  <c r="EL343" i="1"/>
  <c r="EK343" i="1"/>
  <c r="EN343" i="1"/>
  <c r="EO343" i="1" s="1"/>
  <c r="EJ343" i="1"/>
  <c r="EM343" i="1"/>
  <c r="EM344" i="1"/>
  <c r="EL344" i="1"/>
  <c r="EK344" i="1"/>
  <c r="EJ344" i="1"/>
  <c r="EN344" i="1"/>
  <c r="EO344" i="1" s="1"/>
  <c r="EL345" i="1"/>
  <c r="EK345" i="1"/>
  <c r="EN345" i="1"/>
  <c r="EO345" i="1" s="1"/>
  <c r="EJ345" i="1"/>
  <c r="EM345" i="1"/>
  <c r="A55" i="1"/>
  <c r="AC54" i="1"/>
  <c r="EL346" i="1"/>
  <c r="EK346" i="1"/>
  <c r="EN346" i="1"/>
  <c r="EO346" i="1" s="1"/>
  <c r="EJ346" i="1"/>
  <c r="EM346" i="1"/>
  <c r="DY429" i="1"/>
  <c r="AA54" i="1" l="1"/>
  <c r="AG54" i="1"/>
  <c r="E54" i="1"/>
  <c r="AB54" i="1"/>
  <c r="A56" i="1"/>
  <c r="AC55" i="1"/>
  <c r="AG55" i="1" l="1"/>
  <c r="E55" i="1"/>
  <c r="AB55" i="1"/>
  <c r="AA55" i="1"/>
  <c r="A57" i="1"/>
  <c r="AC56" i="1"/>
  <c r="AG56" i="1" l="1"/>
  <c r="AB56" i="1"/>
  <c r="E56" i="1"/>
  <c r="AA56" i="1"/>
  <c r="EI214" i="1"/>
  <c r="A58" i="1"/>
  <c r="AC57" i="1"/>
  <c r="E57" i="1" l="1"/>
  <c r="AG57" i="1"/>
  <c r="AB57" i="1"/>
  <c r="AA57" i="1"/>
  <c r="AC58" i="1"/>
  <c r="A59" i="1"/>
  <c r="EM214" i="1"/>
  <c r="EL214" i="1"/>
  <c r="EK214" i="1"/>
  <c r="EN214" i="1"/>
  <c r="EO214" i="1" s="1"/>
  <c r="EJ214" i="1"/>
  <c r="A60" i="1" l="1"/>
  <c r="AC59" i="1"/>
  <c r="AG58" i="1"/>
  <c r="E58" i="1"/>
  <c r="AB58" i="1"/>
  <c r="AA58" i="1"/>
  <c r="AG59" i="1" l="1"/>
  <c r="AB59" i="1"/>
  <c r="AA59" i="1"/>
  <c r="E59" i="1"/>
  <c r="A61" i="1"/>
  <c r="AC60" i="1"/>
  <c r="AG60" i="1" l="1"/>
  <c r="AB60" i="1"/>
  <c r="AA60" i="1"/>
  <c r="E60" i="1"/>
  <c r="A62" i="1"/>
  <c r="AC61" i="1"/>
  <c r="AB61" i="1" l="1"/>
  <c r="AA61" i="1"/>
  <c r="AG61" i="1"/>
  <c r="E61" i="1"/>
  <c r="AC62" i="1"/>
  <c r="A63" i="1"/>
  <c r="A64" i="1" l="1"/>
  <c r="AC63" i="1"/>
  <c r="AG62" i="1"/>
  <c r="E62" i="1"/>
  <c r="AB62" i="1"/>
  <c r="AA62" i="1"/>
  <c r="AB63" i="1" l="1"/>
  <c r="AA63" i="1"/>
  <c r="E63" i="1"/>
  <c r="AG63" i="1"/>
  <c r="AC64" i="1"/>
  <c r="A65" i="1"/>
  <c r="A66" i="1" l="1"/>
  <c r="AC65" i="1"/>
  <c r="E64" i="1"/>
  <c r="AG64" i="1"/>
  <c r="AB64" i="1"/>
  <c r="AA64" i="1"/>
  <c r="AB65" i="1" l="1"/>
  <c r="AA65" i="1"/>
  <c r="E65" i="1"/>
  <c r="AG65" i="1"/>
  <c r="A67" i="1"/>
  <c r="AC66" i="1"/>
  <c r="DW245" i="1"/>
  <c r="E66" i="1" l="1"/>
  <c r="AG66" i="1"/>
  <c r="AB66" i="1"/>
  <c r="AA66" i="1"/>
  <c r="A68" i="1"/>
  <c r="AC67" i="1"/>
  <c r="AC68" i="1" l="1"/>
  <c r="A69" i="1"/>
  <c r="AB67" i="1"/>
  <c r="AA67" i="1"/>
  <c r="E67" i="1"/>
  <c r="AG67" i="1"/>
  <c r="AC69" i="1" l="1"/>
  <c r="A70" i="1"/>
  <c r="AG68" i="1"/>
  <c r="AB68" i="1"/>
  <c r="AA68" i="1"/>
  <c r="E68" i="1"/>
  <c r="M68" i="1" l="1"/>
  <c r="A71" i="1"/>
  <c r="AC70" i="1"/>
  <c r="AG69" i="1"/>
  <c r="AB69" i="1"/>
  <c r="E69" i="1"/>
  <c r="AA69" i="1"/>
  <c r="EH354" i="1" l="1"/>
  <c r="EI354" i="1"/>
  <c r="A72" i="1"/>
  <c r="AC71" i="1"/>
  <c r="AG70" i="1"/>
  <c r="E70" i="1"/>
  <c r="AB70" i="1"/>
  <c r="AA70" i="1"/>
  <c r="A73" i="1" l="1"/>
  <c r="AC72" i="1"/>
  <c r="EM354" i="1"/>
  <c r="EL354" i="1"/>
  <c r="EK354" i="1"/>
  <c r="EJ354" i="1"/>
  <c r="EN354" i="1"/>
  <c r="EO354" i="1" s="1"/>
  <c r="AG71" i="1"/>
  <c r="AB71" i="1"/>
  <c r="AA71" i="1"/>
  <c r="E71" i="1"/>
  <c r="G71" i="1" l="1"/>
  <c r="EI55" i="1"/>
  <c r="AG72" i="1"/>
  <c r="AB72" i="1"/>
  <c r="AA72" i="1"/>
  <c r="E72" i="1"/>
  <c r="A74" i="1"/>
  <c r="AC73" i="1"/>
  <c r="EL55" i="1" l="1"/>
  <c r="EK55" i="1"/>
  <c r="EN55" i="1"/>
  <c r="EJ55" i="1"/>
  <c r="EM55" i="1"/>
  <c r="E73" i="1"/>
  <c r="AG73" i="1"/>
  <c r="AB73" i="1"/>
  <c r="AA73" i="1"/>
  <c r="EI56" i="1"/>
  <c r="A75" i="1"/>
  <c r="AC74" i="1"/>
  <c r="E74" i="1" l="1"/>
  <c r="AG74" i="1"/>
  <c r="AB74" i="1"/>
  <c r="AA74" i="1"/>
  <c r="G73" i="1"/>
  <c r="EI57" i="1"/>
  <c r="AC75" i="1"/>
  <c r="A76" i="1"/>
  <c r="EM56" i="1"/>
  <c r="EL56" i="1"/>
  <c r="EK56" i="1"/>
  <c r="EJ56" i="1"/>
  <c r="EN56" i="1"/>
  <c r="A77" i="1" l="1"/>
  <c r="AC76" i="1"/>
  <c r="EM57" i="1"/>
  <c r="EL57" i="1"/>
  <c r="EK57" i="1"/>
  <c r="EN57" i="1"/>
  <c r="EJ57" i="1"/>
  <c r="AG75" i="1"/>
  <c r="E75" i="1"/>
  <c r="AB75" i="1"/>
  <c r="AA75" i="1"/>
  <c r="G74" i="1"/>
  <c r="EI72" i="1"/>
  <c r="EM72" i="1" l="1"/>
  <c r="EL72" i="1"/>
  <c r="EK72" i="1"/>
  <c r="EN72" i="1"/>
  <c r="EJ72" i="1"/>
  <c r="AB76" i="1"/>
  <c r="AA76" i="1"/>
  <c r="E76" i="1"/>
  <c r="AG76" i="1"/>
  <c r="A78" i="1"/>
  <c r="AC77" i="1"/>
  <c r="AA77" i="1" l="1"/>
  <c r="AG77" i="1"/>
  <c r="E77" i="1"/>
  <c r="AB77" i="1"/>
  <c r="A79" i="1"/>
  <c r="AC78" i="1"/>
  <c r="G76" i="1"/>
  <c r="EI81" i="1"/>
  <c r="EI82" i="1" l="1"/>
  <c r="AB78" i="1"/>
  <c r="AA78" i="1"/>
  <c r="E78" i="1"/>
  <c r="AG78" i="1"/>
  <c r="EL81" i="1"/>
  <c r="EK81" i="1"/>
  <c r="EN81" i="1"/>
  <c r="EJ81" i="1"/>
  <c r="EM81" i="1"/>
  <c r="AC79" i="1"/>
  <c r="A80" i="1"/>
  <c r="AC80" i="1" l="1"/>
  <c r="A81" i="1"/>
  <c r="EI80" i="1"/>
  <c r="AG79" i="1"/>
  <c r="AB79" i="1"/>
  <c r="AA79" i="1"/>
  <c r="E79" i="1"/>
  <c r="EK82" i="1"/>
  <c r="EN82" i="1"/>
  <c r="EJ82" i="1"/>
  <c r="EM82" i="1"/>
  <c r="EL82" i="1"/>
  <c r="EK80" i="1" l="1"/>
  <c r="EN80" i="1"/>
  <c r="EJ80" i="1"/>
  <c r="EM80" i="1"/>
  <c r="EL80" i="1"/>
  <c r="A82" i="1"/>
  <c r="A83" i="1" s="1"/>
  <c r="AC81" i="1"/>
  <c r="G79" i="1"/>
  <c r="EI85" i="1"/>
  <c r="AA80" i="1"/>
  <c r="AG80" i="1"/>
  <c r="E80" i="1"/>
  <c r="AB80" i="1"/>
  <c r="EL85" i="1" l="1"/>
  <c r="EK85" i="1"/>
  <c r="EN85" i="1"/>
  <c r="EJ85" i="1"/>
  <c r="EM85" i="1"/>
  <c r="EI87" i="1"/>
  <c r="AG81" i="1"/>
  <c r="AB81" i="1"/>
  <c r="AA81" i="1"/>
  <c r="E81" i="1"/>
  <c r="A84" i="1"/>
  <c r="AC83" i="1"/>
  <c r="AA83" i="1" l="1"/>
  <c r="AG83" i="1"/>
  <c r="E83" i="1"/>
  <c r="AB83" i="1"/>
  <c r="A85" i="1"/>
  <c r="AC84" i="1"/>
  <c r="EL87" i="1"/>
  <c r="EK87" i="1"/>
  <c r="EN87" i="1"/>
  <c r="EJ87" i="1"/>
  <c r="EM87" i="1"/>
  <c r="EI119" i="1"/>
  <c r="EL119" i="1" l="1"/>
  <c r="EK119" i="1"/>
  <c r="EN119" i="1"/>
  <c r="EJ119" i="1"/>
  <c r="EM119" i="1"/>
  <c r="M83" i="1"/>
  <c r="AB84" i="1"/>
  <c r="AA84" i="1"/>
  <c r="AG84" i="1"/>
  <c r="E84" i="1"/>
  <c r="A86" i="1"/>
  <c r="AC85" i="1"/>
  <c r="AG85" i="1" l="1"/>
  <c r="AB85" i="1"/>
  <c r="E85" i="1"/>
  <c r="AA85" i="1"/>
  <c r="A87" i="1"/>
  <c r="AC86" i="1"/>
  <c r="EI322" i="1" l="1"/>
  <c r="AB86" i="1"/>
  <c r="AA86" i="1"/>
  <c r="AG86" i="1"/>
  <c r="E86" i="1"/>
  <c r="A88" i="1"/>
  <c r="AC87" i="1"/>
  <c r="AG87" i="1" l="1"/>
  <c r="E87" i="1"/>
  <c r="AB87" i="1"/>
  <c r="AA87" i="1"/>
  <c r="A89" i="1"/>
  <c r="AC88" i="1"/>
  <c r="EM322" i="1"/>
  <c r="EL322" i="1"/>
  <c r="EH322" i="1"/>
  <c r="EK322" i="1"/>
  <c r="EN322" i="1"/>
  <c r="EO322" i="1" s="1"/>
  <c r="EJ322" i="1"/>
  <c r="AB88" i="1" l="1"/>
  <c r="AA88" i="1"/>
  <c r="AG88" i="1"/>
  <c r="E88" i="1"/>
  <c r="A90" i="1"/>
  <c r="AC89" i="1"/>
  <c r="AG89" i="1" l="1"/>
  <c r="E89" i="1"/>
  <c r="AB89" i="1"/>
  <c r="AA89" i="1"/>
  <c r="A91" i="1"/>
  <c r="AC90" i="1"/>
  <c r="AG90" i="1" l="1"/>
  <c r="E90" i="1"/>
  <c r="AB90" i="1"/>
  <c r="AA90" i="1"/>
  <c r="A92" i="1"/>
  <c r="AC91" i="1"/>
  <c r="AB91" i="1" l="1"/>
  <c r="AA91" i="1"/>
  <c r="AG91" i="1"/>
  <c r="E91" i="1"/>
  <c r="A93" i="1"/>
  <c r="AC92" i="1"/>
  <c r="AB92" i="1" l="1"/>
  <c r="AA92" i="1"/>
  <c r="E92" i="1"/>
  <c r="AG92" i="1"/>
  <c r="A94" i="1"/>
  <c r="AC93" i="1"/>
  <c r="AA93" i="1" l="1"/>
  <c r="AG93" i="1"/>
  <c r="E93" i="1"/>
  <c r="AB93" i="1"/>
  <c r="A95" i="1"/>
  <c r="AC94" i="1"/>
  <c r="AA94" i="1" l="1"/>
  <c r="E94" i="1"/>
  <c r="AG94" i="1"/>
  <c r="AB94" i="1"/>
  <c r="A96" i="1"/>
  <c r="AC95" i="1"/>
  <c r="AG95" i="1" l="1"/>
  <c r="E95" i="1"/>
  <c r="AB95" i="1"/>
  <c r="AA95" i="1"/>
  <c r="A97" i="1"/>
  <c r="AC96" i="1"/>
  <c r="AA96" i="1" l="1"/>
  <c r="E96" i="1"/>
  <c r="AG96" i="1"/>
  <c r="AB96" i="1"/>
  <c r="A98" i="1"/>
  <c r="AC97" i="1"/>
  <c r="AA97" i="1" l="1"/>
  <c r="E97" i="1"/>
  <c r="AG97" i="1"/>
  <c r="AB97" i="1"/>
  <c r="AC98" i="1"/>
  <c r="A99" i="1"/>
  <c r="A100" i="1" l="1"/>
  <c r="AC99" i="1"/>
  <c r="AG98" i="1"/>
  <c r="E98" i="1"/>
  <c r="AB98" i="1"/>
  <c r="AA98" i="1"/>
  <c r="AG99" i="1" l="1"/>
  <c r="AB99" i="1"/>
  <c r="E99" i="1"/>
  <c r="AA99" i="1"/>
  <c r="AC100" i="1"/>
  <c r="A101" i="1"/>
  <c r="DU673" i="1" l="1"/>
  <c r="DW435" i="1"/>
  <c r="DT344" i="1"/>
  <c r="DV174" i="1"/>
  <c r="DV457" i="1"/>
  <c r="A102" i="1"/>
  <c r="AC101" i="1"/>
  <c r="AG100" i="1"/>
  <c r="AB100" i="1"/>
  <c r="AA100" i="1"/>
  <c r="E100" i="1"/>
  <c r="AA101" i="1" l="1"/>
  <c r="AG101" i="1"/>
  <c r="E101" i="1"/>
  <c r="AB101" i="1"/>
  <c r="A103" i="1"/>
  <c r="AC102" i="1"/>
  <c r="A104" i="1" l="1"/>
  <c r="AC103" i="1"/>
  <c r="AB102" i="1"/>
  <c r="AA102" i="1"/>
  <c r="E102" i="1"/>
  <c r="AG102" i="1"/>
  <c r="AA103" i="1" l="1"/>
  <c r="E103" i="1"/>
  <c r="AG103" i="1"/>
  <c r="AB103" i="1"/>
  <c r="A105" i="1"/>
  <c r="AC104" i="1"/>
  <c r="AG104" i="1" l="1"/>
  <c r="AB104" i="1"/>
  <c r="E104" i="1"/>
  <c r="AA104" i="1"/>
  <c r="A106" i="1"/>
  <c r="AC105" i="1"/>
  <c r="AB105" i="1" l="1"/>
  <c r="AA105" i="1"/>
  <c r="AG105" i="1"/>
  <c r="E105" i="1"/>
  <c r="A107" i="1"/>
  <c r="AC106" i="1"/>
  <c r="DZ523" i="1" l="1"/>
  <c r="DU621" i="1"/>
  <c r="DX218" i="1"/>
  <c r="DU775" i="1"/>
  <c r="DW317" i="1"/>
  <c r="AA106" i="1"/>
  <c r="E106" i="1"/>
  <c r="AG106" i="1"/>
  <c r="AB106" i="1"/>
  <c r="AC107" i="1"/>
  <c r="A108" i="1"/>
  <c r="AC108" i="1" l="1"/>
  <c r="A109" i="1"/>
  <c r="AG107" i="1"/>
  <c r="AB107" i="1"/>
  <c r="E107" i="1"/>
  <c r="G107" i="1" s="1"/>
  <c r="AA107" i="1"/>
  <c r="AC109" i="1" l="1"/>
  <c r="A110" i="1"/>
  <c r="AG108" i="1"/>
  <c r="AB108" i="1"/>
  <c r="E108" i="1"/>
  <c r="G108" i="1" s="1"/>
  <c r="AA108" i="1"/>
  <c r="A111" i="1" l="1"/>
  <c r="AC110" i="1"/>
  <c r="AG109" i="1"/>
  <c r="AB109" i="1"/>
  <c r="E109" i="1"/>
  <c r="AA109" i="1"/>
  <c r="AG110" i="1" l="1"/>
  <c r="E110" i="1"/>
  <c r="AB110" i="1"/>
  <c r="AA110" i="1"/>
  <c r="A112" i="1"/>
  <c r="AC111" i="1"/>
  <c r="AB111" i="1" l="1"/>
  <c r="AA111" i="1"/>
  <c r="AG111" i="1"/>
  <c r="E111" i="1"/>
  <c r="A113" i="1"/>
  <c r="AC112" i="1"/>
  <c r="AA112" i="1" l="1"/>
  <c r="E112" i="1"/>
  <c r="AG112" i="1"/>
  <c r="AB112" i="1"/>
  <c r="EI45" i="1"/>
  <c r="EI194" i="1"/>
  <c r="EI47" i="1"/>
  <c r="EI44" i="1"/>
  <c r="EI46" i="1"/>
  <c r="EI43" i="1"/>
  <c r="EI48" i="1"/>
  <c r="A114" i="1"/>
  <c r="AC113" i="1"/>
  <c r="AA113" i="1" l="1"/>
  <c r="E113" i="1"/>
  <c r="AG113" i="1"/>
  <c r="AB113" i="1"/>
  <c r="A115" i="1"/>
  <c r="AC114" i="1"/>
  <c r="EM44" i="1"/>
  <c r="EN44" i="1"/>
  <c r="EL44" i="1"/>
  <c r="EJ44" i="1"/>
  <c r="EK44" i="1"/>
  <c r="EM48" i="1"/>
  <c r="EN48" i="1"/>
  <c r="EJ48" i="1"/>
  <c r="EL48" i="1"/>
  <c r="EK48" i="1"/>
  <c r="EN47" i="1"/>
  <c r="EJ47" i="1"/>
  <c r="EK47" i="1"/>
  <c r="EM47" i="1"/>
  <c r="EL47" i="1"/>
  <c r="EK43" i="1"/>
  <c r="EL43" i="1"/>
  <c r="EN43" i="1"/>
  <c r="EJ43" i="1"/>
  <c r="EM43" i="1"/>
  <c r="EL194" i="1"/>
  <c r="EK194" i="1"/>
  <c r="EN194" i="1"/>
  <c r="EO194" i="1" s="1"/>
  <c r="EJ194" i="1"/>
  <c r="EM194" i="1"/>
  <c r="EM46" i="1"/>
  <c r="EN46" i="1"/>
  <c r="EJ46" i="1"/>
  <c r="EL46" i="1"/>
  <c r="EK46" i="1"/>
  <c r="EK45" i="1"/>
  <c r="EL45" i="1"/>
  <c r="EN45" i="1"/>
  <c r="EJ45" i="1"/>
  <c r="EM45" i="1"/>
  <c r="AG114" i="1" l="1"/>
  <c r="AB114" i="1"/>
  <c r="E114" i="1"/>
  <c r="G114" i="1" s="1"/>
  <c r="AA114" i="1"/>
  <c r="EH302" i="1"/>
  <c r="EI302" i="1"/>
  <c r="A116" i="1"/>
  <c r="AC115" i="1"/>
  <c r="AB115" i="1" l="1"/>
  <c r="AA115" i="1"/>
  <c r="AG115" i="1"/>
  <c r="E115" i="1"/>
  <c r="A117" i="1"/>
  <c r="AC116" i="1"/>
  <c r="EM302" i="1"/>
  <c r="EL302" i="1"/>
  <c r="EK302" i="1"/>
  <c r="EJ302" i="1"/>
  <c r="EN302" i="1"/>
  <c r="EO302" i="1" s="1"/>
  <c r="AG116" i="1" l="1"/>
  <c r="E116" i="1"/>
  <c r="AB116" i="1"/>
  <c r="AA116" i="1"/>
  <c r="A118" i="1"/>
  <c r="AC117" i="1"/>
  <c r="AB117" i="1" l="1"/>
  <c r="E117" i="1"/>
  <c r="G117" i="1" s="1"/>
  <c r="AA117" i="1"/>
  <c r="AG117" i="1"/>
  <c r="AC118" i="1"/>
  <c r="A119" i="1"/>
  <c r="A120" i="1" l="1"/>
  <c r="AC119" i="1"/>
  <c r="AA118" i="1"/>
  <c r="E118" i="1"/>
  <c r="AG118" i="1"/>
  <c r="AB118" i="1"/>
  <c r="H118" i="1" l="1"/>
  <c r="G118" i="1"/>
  <c r="AG119" i="1"/>
  <c r="AB119" i="1"/>
  <c r="E119" i="1"/>
  <c r="G119" i="1" s="1"/>
  <c r="AA119" i="1"/>
  <c r="A121" i="1"/>
  <c r="AC120" i="1"/>
  <c r="AA120" i="1" l="1"/>
  <c r="AG120" i="1"/>
  <c r="AB120" i="1"/>
  <c r="E120" i="1"/>
  <c r="AC121" i="1"/>
  <c r="A122" i="1"/>
  <c r="AC122" i="1" l="1"/>
  <c r="A123" i="1"/>
  <c r="AG121" i="1"/>
  <c r="AB121" i="1"/>
  <c r="E121" i="1"/>
  <c r="G121" i="1" s="1"/>
  <c r="AA121" i="1"/>
  <c r="AC123" i="1" l="1"/>
  <c r="A124" i="1"/>
  <c r="AG122" i="1"/>
  <c r="E122" i="1"/>
  <c r="AB122" i="1"/>
  <c r="AA122" i="1"/>
  <c r="AC124" i="1" l="1"/>
  <c r="A125" i="1"/>
  <c r="AA123" i="1"/>
  <c r="AG123" i="1"/>
  <c r="E123" i="1"/>
  <c r="AB123" i="1"/>
  <c r="A126" i="1" l="1"/>
  <c r="AC125" i="1"/>
  <c r="AG124" i="1"/>
  <c r="AB124" i="1"/>
  <c r="E124" i="1"/>
  <c r="AA124" i="1"/>
  <c r="AA125" i="1" l="1"/>
  <c r="E125" i="1"/>
  <c r="AG125" i="1"/>
  <c r="AB125" i="1"/>
  <c r="A127" i="1"/>
  <c r="AC126" i="1"/>
  <c r="AB126" i="1" l="1"/>
  <c r="E126" i="1"/>
  <c r="AG126" i="1"/>
  <c r="AA126" i="1"/>
  <c r="A128" i="1"/>
  <c r="AC127" i="1"/>
  <c r="AC128" i="1" l="1"/>
  <c r="A129" i="1"/>
  <c r="AB127" i="1"/>
  <c r="AA127" i="1"/>
  <c r="E127" i="1"/>
  <c r="AG127" i="1"/>
  <c r="A130" i="1" l="1"/>
  <c r="AC129" i="1"/>
  <c r="E128" i="1"/>
  <c r="AG128" i="1"/>
  <c r="AB128" i="1"/>
  <c r="AA128" i="1"/>
  <c r="AA129" i="1" l="1"/>
  <c r="AG129" i="1"/>
  <c r="AB129" i="1"/>
  <c r="E129" i="1"/>
  <c r="AC130" i="1"/>
  <c r="A131" i="1"/>
  <c r="A132" i="1" l="1"/>
  <c r="AC131" i="1"/>
  <c r="AA130" i="1"/>
  <c r="E130" i="1"/>
  <c r="AG130" i="1"/>
  <c r="AB130" i="1"/>
  <c r="AA131" i="1" l="1"/>
  <c r="AG131" i="1"/>
  <c r="AB131" i="1"/>
  <c r="E131" i="1"/>
  <c r="A133" i="1"/>
  <c r="AC132" i="1"/>
  <c r="E132" i="1" l="1"/>
  <c r="AG132" i="1"/>
  <c r="AB132" i="1"/>
  <c r="AA132" i="1"/>
  <c r="AC133" i="1"/>
  <c r="A134" i="1"/>
  <c r="AC134" i="1" l="1"/>
  <c r="A135" i="1"/>
  <c r="AG133" i="1"/>
  <c r="AB133" i="1"/>
  <c r="E133" i="1"/>
  <c r="AA133" i="1"/>
  <c r="A136" i="1" l="1"/>
  <c r="AC135" i="1"/>
  <c r="E134" i="1"/>
  <c r="AG134" i="1"/>
  <c r="AB134" i="1"/>
  <c r="AA134" i="1"/>
  <c r="AA135" i="1" l="1"/>
  <c r="E135" i="1"/>
  <c r="AG135" i="1"/>
  <c r="AB135" i="1"/>
  <c r="AC136" i="1"/>
  <c r="A137" i="1"/>
  <c r="A138" i="1" l="1"/>
  <c r="AC137" i="1"/>
  <c r="AA136" i="1"/>
  <c r="AG136" i="1"/>
  <c r="AB136" i="1"/>
  <c r="E136" i="1"/>
  <c r="AA137" i="1" l="1"/>
  <c r="AG137" i="1"/>
  <c r="AB137" i="1"/>
  <c r="E137" i="1"/>
  <c r="A139" i="1"/>
  <c r="AC138" i="1"/>
  <c r="E138" i="1" l="1"/>
  <c r="AG138" i="1"/>
  <c r="AB138" i="1"/>
  <c r="AA138" i="1"/>
  <c r="A140" i="1"/>
  <c r="AC139" i="1"/>
  <c r="AG139" i="1" l="1"/>
  <c r="AB139" i="1"/>
  <c r="AA139" i="1"/>
  <c r="E139" i="1"/>
  <c r="A141" i="1"/>
  <c r="AC140" i="1"/>
  <c r="AB140" i="1" l="1"/>
  <c r="AG140" i="1"/>
  <c r="AA140" i="1"/>
  <c r="E140" i="1"/>
  <c r="AC141" i="1"/>
  <c r="A142" i="1"/>
  <c r="AA141" i="1" l="1"/>
  <c r="AG141" i="1"/>
  <c r="AB141" i="1"/>
  <c r="E141" i="1"/>
  <c r="AC142" i="1"/>
  <c r="A143" i="1"/>
  <c r="A144" i="1" l="1"/>
  <c r="AC143" i="1"/>
  <c r="AG142" i="1"/>
  <c r="E142" i="1"/>
  <c r="AA142" i="1"/>
  <c r="AB142" i="1"/>
  <c r="AB143" i="1" l="1"/>
  <c r="AG143" i="1"/>
  <c r="AA143" i="1"/>
  <c r="E143" i="1"/>
  <c r="A145" i="1"/>
  <c r="AC144" i="1"/>
  <c r="AB144" i="1" l="1"/>
  <c r="E144" i="1"/>
  <c r="AG144" i="1"/>
  <c r="AA144" i="1"/>
  <c r="A146" i="1"/>
  <c r="AC145" i="1"/>
  <c r="AA145" i="1" l="1"/>
  <c r="AG145" i="1"/>
  <c r="E145" i="1"/>
  <c r="G145" i="1" s="1"/>
  <c r="AB145" i="1"/>
  <c r="AC146" i="1"/>
  <c r="A147" i="1"/>
  <c r="AC147" i="1" l="1"/>
  <c r="A148" i="1"/>
  <c r="AA146" i="1"/>
  <c r="AG146" i="1"/>
  <c r="AB146" i="1"/>
  <c r="E146" i="1"/>
  <c r="A149" i="1" l="1"/>
  <c r="AC148" i="1"/>
  <c r="AG147" i="1"/>
  <c r="E147" i="1"/>
  <c r="AA147" i="1"/>
  <c r="AB147" i="1"/>
  <c r="A150" i="1" l="1"/>
  <c r="AC149" i="1"/>
  <c r="AG148" i="1"/>
  <c r="AA148" i="1"/>
  <c r="AB148" i="1"/>
  <c r="E148" i="1"/>
  <c r="AA149" i="1" l="1"/>
  <c r="AG149" i="1"/>
  <c r="AB149" i="1"/>
  <c r="E149" i="1"/>
  <c r="G149" i="1" s="1"/>
  <c r="A151" i="1"/>
  <c r="AC150" i="1"/>
  <c r="AB150" i="1" l="1"/>
  <c r="E150" i="1"/>
  <c r="AA150" i="1"/>
  <c r="AG150" i="1"/>
  <c r="AC151" i="1"/>
  <c r="A152" i="1"/>
  <c r="A153" i="1" l="1"/>
  <c r="AC152" i="1"/>
  <c r="AG151" i="1"/>
  <c r="E151" i="1"/>
  <c r="AA151" i="1"/>
  <c r="AB151" i="1"/>
  <c r="AB152" i="1" l="1"/>
  <c r="E152" i="1"/>
  <c r="AA152" i="1"/>
  <c r="AG152" i="1"/>
  <c r="A154" i="1"/>
  <c r="AC153" i="1"/>
  <c r="AB153" i="1" l="1"/>
  <c r="E153" i="1"/>
  <c r="G153" i="1" s="1"/>
  <c r="AG153" i="1"/>
  <c r="AA153" i="1"/>
  <c r="AC154" i="1"/>
  <c r="A155" i="1"/>
  <c r="A156" i="1" l="1"/>
  <c r="AC155" i="1"/>
  <c r="AG154" i="1"/>
  <c r="E154" i="1"/>
  <c r="AA154" i="1"/>
  <c r="AB154" i="1"/>
  <c r="AG155" i="1" l="1"/>
  <c r="E155" i="1"/>
  <c r="EI336" i="1" s="1"/>
  <c r="AA155" i="1"/>
  <c r="AB155" i="1"/>
  <c r="A157" i="1"/>
  <c r="AC156" i="1"/>
  <c r="AA156" i="1" l="1"/>
  <c r="AG156" i="1"/>
  <c r="E156" i="1"/>
  <c r="AB156" i="1"/>
  <c r="EM336" i="1"/>
  <c r="EL336" i="1"/>
  <c r="EH336" i="1"/>
  <c r="EK336" i="1"/>
  <c r="EN336" i="1"/>
  <c r="EO336" i="1" s="1"/>
  <c r="EJ336" i="1"/>
  <c r="A158" i="1"/>
  <c r="AC157" i="1"/>
  <c r="AB157" i="1" l="1"/>
  <c r="E157" i="1"/>
  <c r="AG157" i="1"/>
  <c r="AA157" i="1"/>
  <c r="AC158" i="1"/>
  <c r="A159" i="1"/>
  <c r="A160" i="1" l="1"/>
  <c r="AC159" i="1"/>
  <c r="AB158" i="1"/>
  <c r="E158" i="1"/>
  <c r="AG158" i="1"/>
  <c r="AA158" i="1"/>
  <c r="AG159" i="1" l="1"/>
  <c r="E159" i="1"/>
  <c r="AA159" i="1"/>
  <c r="AB159" i="1"/>
  <c r="A161" i="1"/>
  <c r="AC160" i="1"/>
  <c r="AA160" i="1" l="1"/>
  <c r="AG160" i="1"/>
  <c r="AB160" i="1"/>
  <c r="E160" i="1"/>
  <c r="G160" i="1" s="1"/>
  <c r="A162" i="1"/>
  <c r="AC161" i="1"/>
  <c r="AB161" i="1" l="1"/>
  <c r="AA161" i="1"/>
  <c r="E161" i="1"/>
  <c r="AG161" i="1"/>
  <c r="A163" i="1"/>
  <c r="AC162" i="1"/>
  <c r="AB162" i="1" l="1"/>
  <c r="E162" i="1"/>
  <c r="G162" i="1" s="1"/>
  <c r="AG162" i="1"/>
  <c r="AA162" i="1"/>
  <c r="AC163" i="1"/>
  <c r="A164" i="1"/>
  <c r="AC164" i="1" l="1"/>
  <c r="A165" i="1"/>
  <c r="AG163" i="1"/>
  <c r="E163" i="1"/>
  <c r="AB163" i="1"/>
  <c r="AA163" i="1"/>
  <c r="AC165" i="1" l="1"/>
  <c r="A166" i="1"/>
  <c r="AG164" i="1"/>
  <c r="AB164" i="1"/>
  <c r="E164" i="1"/>
  <c r="AA164" i="1"/>
  <c r="G164" i="1" l="1"/>
  <c r="EI236" i="1"/>
  <c r="EI209" i="1"/>
  <c r="EI331" i="1"/>
  <c r="AC166" i="1"/>
  <c r="A167" i="1"/>
  <c r="AG165" i="1"/>
  <c r="E165" i="1"/>
  <c r="AB165" i="1"/>
  <c r="AA165" i="1"/>
  <c r="EK331" i="1" l="1"/>
  <c r="EN331" i="1"/>
  <c r="EO331" i="1" s="1"/>
  <c r="EJ331" i="1"/>
  <c r="EM331" i="1"/>
  <c r="EL331" i="1"/>
  <c r="EK209" i="1"/>
  <c r="EN209" i="1"/>
  <c r="EO209" i="1" s="1"/>
  <c r="EJ209" i="1"/>
  <c r="EM209" i="1"/>
  <c r="EL209" i="1"/>
  <c r="EN236" i="1"/>
  <c r="EO236" i="1" s="1"/>
  <c r="EJ236" i="1"/>
  <c r="EM236" i="1"/>
  <c r="EL236" i="1"/>
  <c r="EK236" i="1"/>
  <c r="EI234" i="1"/>
  <c r="EI204" i="1"/>
  <c r="A168" i="1"/>
  <c r="AC167" i="1"/>
  <c r="AG166" i="1"/>
  <c r="AB166" i="1"/>
  <c r="E166" i="1"/>
  <c r="G166" i="1" s="1"/>
  <c r="AA166" i="1"/>
  <c r="EM234" i="1" l="1"/>
  <c r="EL234" i="1"/>
  <c r="EK234" i="1"/>
  <c r="EN234" i="1"/>
  <c r="EO234" i="1" s="1"/>
  <c r="EJ234" i="1"/>
  <c r="AB167" i="1"/>
  <c r="E167" i="1"/>
  <c r="G167" i="1" s="1"/>
  <c r="AA167" i="1"/>
  <c r="A169" i="1"/>
  <c r="AC168" i="1"/>
  <c r="EM204" i="1"/>
  <c r="EL204" i="1"/>
  <c r="EK204" i="1"/>
  <c r="EJ204" i="1"/>
  <c r="EN204" i="1"/>
  <c r="EO204" i="1" s="1"/>
  <c r="AA168" i="1" l="1"/>
  <c r="AG168" i="1"/>
  <c r="E168" i="1"/>
  <c r="G168" i="1" s="1"/>
  <c r="AB168" i="1"/>
  <c r="A170" i="1"/>
  <c r="AC169" i="1"/>
  <c r="AG169" i="1" l="1"/>
  <c r="E169" i="1"/>
  <c r="AB169" i="1"/>
  <c r="AA169" i="1"/>
  <c r="A171" i="1"/>
  <c r="AC170" i="1"/>
  <c r="AA170" i="1" l="1"/>
  <c r="AG170" i="1"/>
  <c r="AB170" i="1"/>
  <c r="E170" i="1"/>
  <c r="G170" i="1" s="1"/>
  <c r="A172" i="1"/>
  <c r="AC171" i="1"/>
  <c r="AA171" i="1" l="1"/>
  <c r="E171" i="1"/>
  <c r="AG171" i="1"/>
  <c r="AB171" i="1"/>
  <c r="AC172" i="1"/>
  <c r="A173" i="1"/>
  <c r="AC173" i="1" l="1"/>
  <c r="A174" i="1"/>
  <c r="AG172" i="1"/>
  <c r="AB172" i="1"/>
  <c r="AA172" i="1"/>
  <c r="E172" i="1"/>
  <c r="G172" i="1" l="1"/>
  <c r="A175" i="1"/>
  <c r="AC174" i="1"/>
  <c r="AG173" i="1"/>
  <c r="E173" i="1"/>
  <c r="EI307" i="1" s="1"/>
  <c r="AB173" i="1"/>
  <c r="AA173" i="1"/>
  <c r="A176" i="1" l="1"/>
  <c r="AC175" i="1"/>
  <c r="EK307" i="1"/>
  <c r="EN307" i="1"/>
  <c r="EO307" i="1" s="1"/>
  <c r="EJ307" i="1"/>
  <c r="EM307" i="1"/>
  <c r="EL307" i="1"/>
  <c r="EH307" i="1"/>
  <c r="AB174" i="1"/>
  <c r="AA174" i="1"/>
  <c r="AG174" i="1"/>
  <c r="E174" i="1"/>
  <c r="M174" i="1" l="1"/>
  <c r="G174" i="1"/>
  <c r="AA175" i="1"/>
  <c r="AG175" i="1"/>
  <c r="E175" i="1"/>
  <c r="G175" i="1" s="1"/>
  <c r="AB175" i="1"/>
  <c r="AC176" i="1"/>
  <c r="A177" i="1"/>
  <c r="DU617" i="1" l="1"/>
  <c r="DS615" i="1"/>
  <c r="DV621" i="1"/>
  <c r="DY486" i="1"/>
  <c r="DX565" i="1"/>
  <c r="DU226" i="1"/>
  <c r="DX423" i="1"/>
  <c r="DX378" i="1"/>
  <c r="DX222" i="1"/>
  <c r="DU146" i="1"/>
  <c r="AC177" i="1"/>
  <c r="A178" i="1"/>
  <c r="AG176" i="1"/>
  <c r="AB176" i="1"/>
  <c r="AA176" i="1"/>
  <c r="E176" i="1"/>
  <c r="M176" i="1" l="1"/>
  <c r="G176" i="1"/>
  <c r="AC178" i="1"/>
  <c r="A179" i="1"/>
  <c r="AG177" i="1"/>
  <c r="AB177" i="1"/>
  <c r="E177" i="1"/>
  <c r="G177" i="1" s="1"/>
  <c r="AA177" i="1"/>
  <c r="AC179" i="1" l="1"/>
  <c r="A180" i="1"/>
  <c r="AG178" i="1"/>
  <c r="E178" i="1"/>
  <c r="AB178" i="1"/>
  <c r="AA178" i="1"/>
  <c r="G178" i="1" l="1"/>
  <c r="AC180" i="1"/>
  <c r="A181" i="1"/>
  <c r="AG179" i="1"/>
  <c r="AB179" i="1"/>
  <c r="AA179" i="1"/>
  <c r="E179" i="1"/>
  <c r="G179" i="1" l="1"/>
  <c r="A182" i="1"/>
  <c r="AC181" i="1"/>
  <c r="AG180" i="1"/>
  <c r="AB180" i="1"/>
  <c r="E180" i="1"/>
  <c r="G180" i="1" s="1"/>
  <c r="AA180" i="1"/>
  <c r="AC182" i="1" l="1"/>
  <c r="A183" i="1"/>
  <c r="E181" i="1"/>
  <c r="AG181" i="1"/>
  <c r="AB181" i="1"/>
  <c r="AA181" i="1"/>
  <c r="AC183" i="1" l="1"/>
  <c r="A184" i="1"/>
  <c r="AA182" i="1"/>
  <c r="E182" i="1"/>
  <c r="AG182" i="1"/>
  <c r="AB182" i="1"/>
  <c r="AG183" i="1" l="1"/>
  <c r="AB183" i="1"/>
  <c r="E183" i="1"/>
  <c r="G183" i="1" s="1"/>
  <c r="AA183" i="1"/>
  <c r="M182" i="1"/>
  <c r="AC184" i="1"/>
  <c r="A185" i="1"/>
  <c r="AG184" i="1" l="1"/>
  <c r="AB184" i="1"/>
  <c r="E184" i="1"/>
  <c r="AA184" i="1"/>
  <c r="AC185" i="1"/>
  <c r="A186" i="1"/>
  <c r="M184" i="1" l="1"/>
  <c r="G184" i="1"/>
  <c r="AC186" i="1"/>
  <c r="A187" i="1"/>
  <c r="AA185" i="1"/>
  <c r="AG185" i="1"/>
  <c r="E185" i="1"/>
  <c r="AB185" i="1"/>
  <c r="AG186" i="1" l="1"/>
  <c r="AB186" i="1"/>
  <c r="E186" i="1"/>
  <c r="AA186" i="1"/>
  <c r="AC187" i="1"/>
  <c r="A188" i="1"/>
  <c r="G186" i="1" l="1"/>
  <c r="EI23" i="1"/>
  <c r="EI321" i="1"/>
  <c r="EI22" i="1"/>
  <c r="EI205" i="1"/>
  <c r="AC188" i="1"/>
  <c r="A189" i="1"/>
  <c r="AG187" i="1"/>
  <c r="AB187" i="1"/>
  <c r="E187" i="1"/>
  <c r="AA187" i="1"/>
  <c r="EN22" i="1" l="1"/>
  <c r="EJ22" i="1"/>
  <c r="EM22" i="1"/>
  <c r="EL22" i="1"/>
  <c r="EK22" i="1"/>
  <c r="AC189" i="1"/>
  <c r="A190" i="1"/>
  <c r="AG188" i="1"/>
  <c r="AB188" i="1"/>
  <c r="E188" i="1"/>
  <c r="G188" i="1" s="1"/>
  <c r="AA188" i="1"/>
  <c r="EL23" i="1"/>
  <c r="EK23" i="1"/>
  <c r="EM23" i="1"/>
  <c r="EN23" i="1"/>
  <c r="EJ23" i="1"/>
  <c r="EM321" i="1"/>
  <c r="EL321" i="1"/>
  <c r="EK321" i="1"/>
  <c r="EN321" i="1"/>
  <c r="EO321" i="1" s="1"/>
  <c r="EJ321" i="1"/>
  <c r="G187" i="1"/>
  <c r="EI20" i="1"/>
  <c r="EI208" i="1"/>
  <c r="EI332" i="1"/>
  <c r="EK205" i="1"/>
  <c r="EN205" i="1"/>
  <c r="EO205" i="1" s="1"/>
  <c r="EJ205" i="1"/>
  <c r="EM205" i="1"/>
  <c r="EL205" i="1"/>
  <c r="EN20" i="1" l="1"/>
  <c r="EJ20" i="1"/>
  <c r="EM20" i="1"/>
  <c r="EK20" i="1"/>
  <c r="EL20" i="1"/>
  <c r="A191" i="1"/>
  <c r="AC190" i="1"/>
  <c r="AG189" i="1"/>
  <c r="AB189" i="1"/>
  <c r="E189" i="1"/>
  <c r="AA189" i="1"/>
  <c r="EL208" i="1"/>
  <c r="EK208" i="1"/>
  <c r="EN208" i="1"/>
  <c r="EO208" i="1" s="1"/>
  <c r="EJ208" i="1"/>
  <c r="EM208" i="1"/>
  <c r="EL332" i="1"/>
  <c r="EK332" i="1"/>
  <c r="EN332" i="1"/>
  <c r="EO332" i="1" s="1"/>
  <c r="EJ332" i="1"/>
  <c r="EM332" i="1"/>
  <c r="G189" i="1" l="1"/>
  <c r="EI313" i="1"/>
  <c r="A192" i="1"/>
  <c r="AC191" i="1"/>
  <c r="AB190" i="1"/>
  <c r="E190" i="1"/>
  <c r="G190" i="1" s="1"/>
  <c r="AA190" i="1"/>
  <c r="AG190" i="1"/>
  <c r="EM313" i="1" l="1"/>
  <c r="EL313" i="1"/>
  <c r="EK313" i="1"/>
  <c r="EN313" i="1"/>
  <c r="EO313" i="1" s="1"/>
  <c r="EJ313" i="1"/>
  <c r="AG191" i="1"/>
  <c r="AB191" i="1"/>
  <c r="E191" i="1"/>
  <c r="AA191" i="1"/>
  <c r="A193" i="1"/>
  <c r="AC192" i="1"/>
  <c r="G191" i="1" l="1"/>
  <c r="EI197" i="1"/>
  <c r="A194" i="1"/>
  <c r="AC193" i="1"/>
  <c r="AA192" i="1"/>
  <c r="AG192" i="1"/>
  <c r="AB192" i="1"/>
  <c r="E192" i="1"/>
  <c r="G192" i="1" s="1"/>
  <c r="DX598" i="1" l="1"/>
  <c r="DW110" i="1"/>
  <c r="DU150" i="1"/>
  <c r="DS419" i="1"/>
  <c r="EL197" i="1"/>
  <c r="EK197" i="1"/>
  <c r="EN197" i="1"/>
  <c r="EO197" i="1" s="1"/>
  <c r="EJ197" i="1"/>
  <c r="EM197" i="1"/>
  <c r="AB193" i="1"/>
  <c r="E193" i="1"/>
  <c r="G193" i="1" s="1"/>
  <c r="AA193" i="1"/>
  <c r="AG193" i="1"/>
  <c r="A195" i="1"/>
  <c r="AC194" i="1"/>
  <c r="AC195" i="1" l="1"/>
  <c r="A196" i="1"/>
  <c r="AG194" i="1"/>
  <c r="AB194" i="1"/>
  <c r="E194" i="1"/>
  <c r="G194" i="1" s="1"/>
  <c r="AA194" i="1"/>
  <c r="A197" i="1" l="1"/>
  <c r="AC196" i="1"/>
  <c r="AG195" i="1"/>
  <c r="AB195" i="1"/>
  <c r="E195" i="1"/>
  <c r="AA195" i="1"/>
  <c r="AG196" i="1" l="1"/>
  <c r="AB196" i="1"/>
  <c r="E196" i="1"/>
  <c r="G196" i="1" s="1"/>
  <c r="AA196" i="1"/>
  <c r="G195" i="1"/>
  <c r="EI213" i="1"/>
  <c r="EI75" i="1"/>
  <c r="EI79" i="1"/>
  <c r="EI78" i="1"/>
  <c r="EI312" i="1"/>
  <c r="EI74" i="1"/>
  <c r="EI76" i="1"/>
  <c r="EI73" i="1"/>
  <c r="EI77" i="1"/>
  <c r="A198" i="1"/>
  <c r="AC197" i="1"/>
  <c r="A199" i="1" l="1"/>
  <c r="AC198" i="1"/>
  <c r="EN77" i="1"/>
  <c r="EJ77" i="1"/>
  <c r="EM77" i="1"/>
  <c r="EL77" i="1"/>
  <c r="EK77" i="1"/>
  <c r="EK312" i="1"/>
  <c r="EN312" i="1"/>
  <c r="EO312" i="1" s="1"/>
  <c r="EJ312" i="1"/>
  <c r="EM312" i="1"/>
  <c r="EL312" i="1"/>
  <c r="EH312" i="1"/>
  <c r="EK213" i="1"/>
  <c r="EN213" i="1"/>
  <c r="EO213" i="1" s="1"/>
  <c r="EJ213" i="1"/>
  <c r="EM213" i="1"/>
  <c r="EL213" i="1"/>
  <c r="EK75" i="1"/>
  <c r="EN75" i="1"/>
  <c r="EJ75" i="1"/>
  <c r="EM75" i="1"/>
  <c r="EL75" i="1"/>
  <c r="EM73" i="1"/>
  <c r="EL73" i="1"/>
  <c r="EK73" i="1"/>
  <c r="EN73" i="1"/>
  <c r="EJ73" i="1"/>
  <c r="EL78" i="1"/>
  <c r="EK78" i="1"/>
  <c r="EN78" i="1"/>
  <c r="EJ78" i="1"/>
  <c r="EM78" i="1"/>
  <c r="EM74" i="1"/>
  <c r="EL74" i="1"/>
  <c r="EK74" i="1"/>
  <c r="EN74" i="1"/>
  <c r="EJ74" i="1"/>
  <c r="AA197" i="1"/>
  <c r="AG197" i="1"/>
  <c r="E197" i="1"/>
  <c r="G197" i="1" s="1"/>
  <c r="AB197" i="1"/>
  <c r="EK76" i="1"/>
  <c r="EN76" i="1"/>
  <c r="EJ76" i="1"/>
  <c r="EM76" i="1"/>
  <c r="EL76" i="1"/>
  <c r="EK79" i="1"/>
  <c r="EN79" i="1"/>
  <c r="EJ79" i="1"/>
  <c r="EM79" i="1"/>
  <c r="EL79" i="1"/>
  <c r="AA198" i="1" l="1"/>
  <c r="AG198" i="1"/>
  <c r="E198" i="1"/>
  <c r="AB198" i="1"/>
  <c r="A200" i="1"/>
  <c r="AC199" i="1"/>
  <c r="G198" i="1" l="1"/>
  <c r="EI247" i="1"/>
  <c r="AA199" i="1"/>
  <c r="AG199" i="1"/>
  <c r="AB199" i="1"/>
  <c r="E199" i="1"/>
  <c r="G199" i="1" s="1"/>
  <c r="AC200" i="1"/>
  <c r="A201" i="1"/>
  <c r="AC201" i="1" l="1"/>
  <c r="A202" i="1"/>
  <c r="AG200" i="1"/>
  <c r="E200" i="1"/>
  <c r="AB200" i="1"/>
  <c r="AA200" i="1"/>
  <c r="EN247" i="1"/>
  <c r="EO247" i="1" s="1"/>
  <c r="EJ247" i="1"/>
  <c r="EM247" i="1"/>
  <c r="EL247" i="1"/>
  <c r="EK247" i="1"/>
  <c r="A203" i="1" l="1"/>
  <c r="AC202" i="1"/>
  <c r="AG201" i="1"/>
  <c r="E201" i="1"/>
  <c r="AB201" i="1"/>
  <c r="AA201" i="1"/>
  <c r="AA202" i="1" l="1"/>
  <c r="AG202" i="1"/>
  <c r="E202" i="1"/>
  <c r="AB202" i="1"/>
  <c r="A204" i="1"/>
  <c r="AC203" i="1"/>
  <c r="AA203" i="1" l="1"/>
  <c r="AG203" i="1"/>
  <c r="AB203" i="1"/>
  <c r="E203" i="1"/>
  <c r="G203" i="1" s="1"/>
  <c r="A205" i="1"/>
  <c r="AC204" i="1"/>
  <c r="AB204" i="1" l="1"/>
  <c r="E204" i="1"/>
  <c r="G204" i="1" s="1"/>
  <c r="AA204" i="1"/>
  <c r="AG204" i="1"/>
  <c r="AC205" i="1"/>
  <c r="A206" i="1"/>
  <c r="A207" i="1" l="1"/>
  <c r="AC206" i="1"/>
  <c r="AG205" i="1"/>
  <c r="E205" i="1"/>
  <c r="AB205" i="1"/>
  <c r="AA205" i="1"/>
  <c r="AA206" i="1" l="1"/>
  <c r="AG206" i="1"/>
  <c r="E206" i="1"/>
  <c r="EI24" i="1" s="1"/>
  <c r="AB206" i="1"/>
  <c r="A208" i="1"/>
  <c r="AC207" i="1"/>
  <c r="EL24" i="1" l="1"/>
  <c r="EM24" i="1"/>
  <c r="EK24" i="1"/>
  <c r="EN24" i="1"/>
  <c r="EJ24" i="1"/>
  <c r="AG207" i="1"/>
  <c r="E207" i="1"/>
  <c r="EI25" i="1" s="1"/>
  <c r="AB207" i="1"/>
  <c r="AA207" i="1"/>
  <c r="A209" i="1"/>
  <c r="AC208" i="1"/>
  <c r="EN25" i="1" l="1"/>
  <c r="EJ25" i="1"/>
  <c r="EK25" i="1"/>
  <c r="EM25" i="1"/>
  <c r="EL25" i="1"/>
  <c r="AG208" i="1"/>
  <c r="E208" i="1"/>
  <c r="EI26" i="1" s="1"/>
  <c r="AB208" i="1"/>
  <c r="AA208" i="1"/>
  <c r="A210" i="1"/>
  <c r="AC209" i="1"/>
  <c r="EM26" i="1" l="1"/>
  <c r="EJ26" i="1"/>
  <c r="EL26" i="1"/>
  <c r="EN26" i="1"/>
  <c r="EK26" i="1"/>
  <c r="AB209" i="1"/>
  <c r="AA209" i="1"/>
  <c r="AG209" i="1"/>
  <c r="E209" i="1"/>
  <c r="EI27" i="1" s="1"/>
  <c r="A211" i="1"/>
  <c r="AC210" i="1"/>
  <c r="AA210" i="1" l="1"/>
  <c r="AG210" i="1"/>
  <c r="E210" i="1"/>
  <c r="EI83" i="1" s="1"/>
  <c r="AB210" i="1"/>
  <c r="A212" i="1"/>
  <c r="AC211" i="1"/>
  <c r="EN27" i="1"/>
  <c r="EJ27" i="1"/>
  <c r="EM27" i="1"/>
  <c r="EK27" i="1"/>
  <c r="EL27" i="1"/>
  <c r="EL83" i="1" l="1"/>
  <c r="EK83" i="1"/>
  <c r="EN83" i="1"/>
  <c r="EJ83" i="1"/>
  <c r="EM83" i="1"/>
  <c r="AG211" i="1"/>
  <c r="E211" i="1"/>
  <c r="EI114" i="1" s="1"/>
  <c r="AB211" i="1"/>
  <c r="AA211" i="1"/>
  <c r="A213" i="1"/>
  <c r="AC212" i="1"/>
  <c r="EL114" i="1" l="1"/>
  <c r="EK114" i="1"/>
  <c r="EN114" i="1"/>
  <c r="EJ114" i="1"/>
  <c r="EM114" i="1"/>
  <c r="AG212" i="1"/>
  <c r="E212" i="1"/>
  <c r="EI115" i="1" s="1"/>
  <c r="AB212" i="1"/>
  <c r="AA212" i="1"/>
  <c r="A214" i="1"/>
  <c r="AC213" i="1"/>
  <c r="EN115" i="1" l="1"/>
  <c r="EJ115" i="1"/>
  <c r="EM115" i="1"/>
  <c r="EL115" i="1"/>
  <c r="EK115" i="1"/>
  <c r="AB213" i="1"/>
  <c r="AA213" i="1"/>
  <c r="AG213" i="1"/>
  <c r="E213" i="1"/>
  <c r="EI124" i="1" s="1"/>
  <c r="A215" i="1"/>
  <c r="AC214" i="1"/>
  <c r="AA214" i="1" l="1"/>
  <c r="AG214" i="1"/>
  <c r="E214" i="1"/>
  <c r="AB214" i="1"/>
  <c r="A216" i="1"/>
  <c r="AC215" i="1"/>
  <c r="EN124" i="1"/>
  <c r="EJ124" i="1"/>
  <c r="EM124" i="1"/>
  <c r="EL124" i="1"/>
  <c r="EK124" i="1"/>
  <c r="E215" i="1" l="1"/>
  <c r="AG215" i="1"/>
  <c r="AB215" i="1"/>
  <c r="AA215" i="1"/>
  <c r="A217" i="1"/>
  <c r="AC216" i="1"/>
  <c r="AB216" i="1" l="1"/>
  <c r="E216" i="1"/>
  <c r="G216" i="1" s="1"/>
  <c r="AA216" i="1"/>
  <c r="AG216" i="1"/>
  <c r="A218" i="1"/>
  <c r="AC217" i="1"/>
  <c r="AG217" i="1" l="1"/>
  <c r="AB217" i="1"/>
  <c r="E217" i="1"/>
  <c r="G217" i="1" s="1"/>
  <c r="AA217" i="1"/>
  <c r="AC218" i="1"/>
  <c r="A219" i="1"/>
  <c r="A220" i="1" l="1"/>
  <c r="AC219" i="1"/>
  <c r="AA218" i="1"/>
  <c r="E218" i="1"/>
  <c r="AG218" i="1"/>
  <c r="AB218" i="1"/>
  <c r="AA219" i="1" l="1"/>
  <c r="AG219" i="1"/>
  <c r="E219" i="1"/>
  <c r="AB219" i="1"/>
  <c r="A221" i="1"/>
  <c r="AC220" i="1"/>
  <c r="DX503" i="1" l="1"/>
  <c r="DU196" i="1"/>
  <c r="A222" i="1"/>
  <c r="AC221" i="1"/>
  <c r="AB220" i="1"/>
  <c r="AA220" i="1"/>
  <c r="AG220" i="1"/>
  <c r="E220" i="1"/>
  <c r="AG221" i="1" l="1"/>
  <c r="AB221" i="1"/>
  <c r="E221" i="1"/>
  <c r="AA221" i="1"/>
  <c r="EI330" i="1"/>
  <c r="EI210" i="1"/>
  <c r="A223" i="1"/>
  <c r="AC222" i="1"/>
  <c r="AG222" i="1" l="1"/>
  <c r="AB222" i="1"/>
  <c r="AA222" i="1"/>
  <c r="E222" i="1"/>
  <c r="A224" i="1"/>
  <c r="AC223" i="1"/>
  <c r="H221" i="1"/>
  <c r="G221" i="1"/>
  <c r="EN210" i="1"/>
  <c r="EO210" i="1" s="1"/>
  <c r="EJ210" i="1"/>
  <c r="EM210" i="1"/>
  <c r="EL210" i="1"/>
  <c r="EK210" i="1"/>
  <c r="EK330" i="1"/>
  <c r="EN330" i="1"/>
  <c r="EO330" i="1" s="1"/>
  <c r="EJ330" i="1"/>
  <c r="EM330" i="1"/>
  <c r="EL330" i="1"/>
  <c r="AA223" i="1" l="1"/>
  <c r="AG223" i="1"/>
  <c r="E223" i="1"/>
  <c r="AB223" i="1"/>
  <c r="A225" i="1"/>
  <c r="AC224" i="1"/>
  <c r="AA224" i="1" l="1"/>
  <c r="AG224" i="1"/>
  <c r="AB224" i="1"/>
  <c r="E224" i="1"/>
  <c r="G224" i="1" s="1"/>
  <c r="AC225" i="1"/>
  <c r="A226" i="1"/>
  <c r="A227" i="1" l="1"/>
  <c r="AC226" i="1"/>
  <c r="AG225" i="1"/>
  <c r="E225" i="1"/>
  <c r="AB225" i="1"/>
  <c r="AA225" i="1"/>
  <c r="AG226" i="1" l="1"/>
  <c r="AB226" i="1"/>
  <c r="E226" i="1"/>
  <c r="AA226" i="1"/>
  <c r="A228" i="1"/>
  <c r="AC227" i="1"/>
  <c r="AB227" i="1" l="1"/>
  <c r="AA227" i="1"/>
  <c r="E227" i="1"/>
  <c r="AG227" i="1"/>
  <c r="AC228" i="1"/>
  <c r="A229" i="1"/>
  <c r="AC229" i="1" l="1"/>
  <c r="A230" i="1"/>
  <c r="AB228" i="1"/>
  <c r="AA228" i="1"/>
  <c r="E228" i="1"/>
  <c r="AG228" i="1"/>
  <c r="G228" i="1" l="1"/>
  <c r="A231" i="1"/>
  <c r="AC230" i="1"/>
  <c r="AG229" i="1"/>
  <c r="AB229" i="1"/>
  <c r="AA229" i="1"/>
  <c r="E229" i="1"/>
  <c r="AC231" i="1" l="1"/>
  <c r="A232" i="1"/>
  <c r="AG230" i="1"/>
  <c r="AB230" i="1"/>
  <c r="E230" i="1"/>
  <c r="G230" i="1" s="1"/>
  <c r="AA230" i="1"/>
  <c r="DT751" i="1" l="1"/>
  <c r="DT747" i="1"/>
  <c r="DT768" i="1"/>
  <c r="DY750" i="1"/>
  <c r="DT672" i="1"/>
  <c r="DW461" i="1"/>
  <c r="DW458" i="1"/>
  <c r="DT420" i="1"/>
  <c r="DV757" i="1"/>
  <c r="DX750" i="1"/>
  <c r="DW460" i="1"/>
  <c r="DS166" i="1"/>
  <c r="DX232" i="1"/>
  <c r="DW196" i="1"/>
  <c r="DW138" i="1"/>
  <c r="DT108" i="1"/>
  <c r="DT638" i="1"/>
  <c r="DY563" i="1"/>
  <c r="DU747" i="1"/>
  <c r="DT214" i="1"/>
  <c r="DZ505" i="1"/>
  <c r="A233" i="1"/>
  <c r="AC232" i="1"/>
  <c r="AA231" i="1"/>
  <c r="AG231" i="1"/>
  <c r="E231" i="1"/>
  <c r="I231" i="1" s="1"/>
  <c r="AB231" i="1"/>
  <c r="DT220" i="1"/>
  <c r="AA232" i="1" l="1"/>
  <c r="AG232" i="1"/>
  <c r="E232" i="1"/>
  <c r="AB232" i="1"/>
  <c r="A234" i="1"/>
  <c r="AC233" i="1"/>
  <c r="DV479" i="1" l="1"/>
  <c r="DV490" i="1"/>
  <c r="DY474" i="1"/>
  <c r="DT469" i="1"/>
  <c r="DV242" i="1"/>
  <c r="DU117" i="1"/>
  <c r="DT200" i="1"/>
  <c r="DW468" i="1"/>
  <c r="AB233" i="1"/>
  <c r="AA233" i="1"/>
  <c r="E233" i="1"/>
  <c r="AG233" i="1"/>
  <c r="A235" i="1"/>
  <c r="AC234" i="1"/>
  <c r="AG234" i="1" l="1"/>
  <c r="E234" i="1"/>
  <c r="AB234" i="1"/>
  <c r="AA234" i="1"/>
  <c r="A236" i="1"/>
  <c r="AC235" i="1"/>
  <c r="AB235" i="1" l="1"/>
  <c r="E235" i="1"/>
  <c r="AA235" i="1"/>
  <c r="AG235" i="1"/>
  <c r="AC236" i="1"/>
  <c r="A237" i="1"/>
  <c r="DT775" i="1" l="1"/>
  <c r="DZ492" i="1"/>
  <c r="DY523" i="1"/>
  <c r="DU147" i="1"/>
  <c r="DU106" i="1"/>
  <c r="DU142" i="1"/>
  <c r="AC237" i="1"/>
  <c r="A238" i="1"/>
  <c r="AG236" i="1"/>
  <c r="AB236" i="1"/>
  <c r="E236" i="1"/>
  <c r="AA236" i="1"/>
  <c r="A239" i="1" l="1"/>
  <c r="AC238" i="1"/>
  <c r="AG237" i="1"/>
  <c r="AB237" i="1"/>
  <c r="E237" i="1"/>
  <c r="G237" i="1" s="1"/>
  <c r="AA237" i="1"/>
  <c r="AG238" i="1" l="1"/>
  <c r="E238" i="1"/>
  <c r="AB238" i="1"/>
  <c r="AA238" i="1"/>
  <c r="AC239" i="1"/>
  <c r="A240" i="1"/>
  <c r="A241" i="1" l="1"/>
  <c r="AC240" i="1"/>
  <c r="AA239" i="1"/>
  <c r="E239" i="1"/>
  <c r="AG239" i="1"/>
  <c r="AB239" i="1"/>
  <c r="AB240" i="1" l="1"/>
  <c r="E240" i="1"/>
  <c r="I240" i="1" s="1"/>
  <c r="AA240" i="1"/>
  <c r="AG240" i="1"/>
  <c r="A242" i="1"/>
  <c r="AC241" i="1"/>
  <c r="AA241" i="1" l="1"/>
  <c r="E241" i="1"/>
  <c r="I241" i="1" s="1"/>
  <c r="AB241" i="1"/>
  <c r="AG241" i="1"/>
  <c r="AC242" i="1"/>
  <c r="A243" i="1"/>
  <c r="AC243" i="1" l="1"/>
  <c r="A244" i="1"/>
  <c r="AG242" i="1"/>
  <c r="E242" i="1"/>
  <c r="I242" i="1" s="1"/>
  <c r="AB242" i="1"/>
  <c r="AA242" i="1"/>
  <c r="AC244" i="1" l="1"/>
  <c r="A245" i="1"/>
  <c r="AG243" i="1"/>
  <c r="E243" i="1"/>
  <c r="AB243" i="1"/>
  <c r="AA243" i="1"/>
  <c r="I246" i="1" l="1"/>
  <c r="I243" i="1"/>
  <c r="AC245" i="1"/>
  <c r="A246" i="1"/>
  <c r="AG244" i="1"/>
  <c r="E244" i="1"/>
  <c r="AA244" i="1"/>
  <c r="AB244" i="1"/>
  <c r="AG245" i="1" l="1"/>
  <c r="E245" i="1"/>
  <c r="AB245" i="1"/>
  <c r="AA245" i="1"/>
  <c r="AC246" i="1"/>
  <c r="A247" i="1"/>
  <c r="AC247" i="1" l="1"/>
  <c r="A248" i="1"/>
  <c r="AG246" i="1"/>
  <c r="E246" i="1"/>
  <c r="AB246" i="1"/>
  <c r="AA246" i="1"/>
  <c r="A249" i="1" l="1"/>
  <c r="AC248" i="1"/>
  <c r="E247" i="1"/>
  <c r="AG247" i="1"/>
  <c r="AB247" i="1"/>
  <c r="AA247" i="1"/>
  <c r="E248" i="1" l="1"/>
  <c r="AG248" i="1"/>
  <c r="AB248" i="1"/>
  <c r="AA248" i="1"/>
  <c r="A250" i="1"/>
  <c r="AC249" i="1"/>
  <c r="AA249" i="1" l="1"/>
  <c r="AG249" i="1"/>
  <c r="AB249" i="1"/>
  <c r="E249" i="1"/>
  <c r="G249" i="1" s="1"/>
  <c r="A251" i="1"/>
  <c r="AC250" i="1"/>
  <c r="E250" i="1" l="1"/>
  <c r="AA250" i="1"/>
  <c r="AG250" i="1"/>
  <c r="AB250" i="1"/>
  <c r="A252" i="1"/>
  <c r="AC251" i="1"/>
  <c r="AB251" i="1" l="1"/>
  <c r="AA251" i="1"/>
  <c r="AG251" i="1"/>
  <c r="E251" i="1"/>
  <c r="A253" i="1"/>
  <c r="AC252" i="1"/>
  <c r="G250" i="1"/>
  <c r="M250" i="1"/>
  <c r="H250" i="1"/>
  <c r="AA252" i="1" l="1"/>
  <c r="AG252" i="1"/>
  <c r="AB252" i="1"/>
  <c r="E252" i="1"/>
  <c r="AC253" i="1"/>
  <c r="A254" i="1"/>
  <c r="G251" i="1"/>
  <c r="H251" i="1"/>
  <c r="EI320" i="1"/>
  <c r="AC254" i="1" l="1"/>
  <c r="A255" i="1"/>
  <c r="EL320" i="1"/>
  <c r="EH320" i="1"/>
  <c r="EK320" i="1"/>
  <c r="EN320" i="1"/>
  <c r="EO320" i="1" s="1"/>
  <c r="EJ320" i="1"/>
  <c r="EM320" i="1"/>
  <c r="AA253" i="1"/>
  <c r="E253" i="1"/>
  <c r="G253" i="1" s="1"/>
  <c r="AG253" i="1"/>
  <c r="AB253" i="1"/>
  <c r="AC255" i="1" l="1"/>
  <c r="A256" i="1"/>
  <c r="AG254" i="1"/>
  <c r="AB254" i="1"/>
  <c r="E254" i="1"/>
  <c r="G254" i="1" s="1"/>
  <c r="AA254" i="1"/>
  <c r="A257" i="1" l="1"/>
  <c r="AC256" i="1"/>
  <c r="AG255" i="1"/>
  <c r="AB255" i="1"/>
  <c r="E255" i="1"/>
  <c r="G255" i="1" s="1"/>
  <c r="AA255" i="1"/>
  <c r="AB256" i="1" l="1"/>
  <c r="E256" i="1"/>
  <c r="G256" i="1" s="1"/>
  <c r="AA256" i="1"/>
  <c r="AG256" i="1"/>
  <c r="AC257" i="1"/>
  <c r="A258" i="1"/>
  <c r="AC258" i="1" l="1"/>
  <c r="A259" i="1"/>
  <c r="AG257" i="1"/>
  <c r="AA257" i="1"/>
  <c r="E257" i="1"/>
  <c r="AB257" i="1"/>
  <c r="H257" i="1" l="1"/>
  <c r="G257" i="1"/>
  <c r="AC259" i="1"/>
  <c r="A260" i="1"/>
  <c r="AG258" i="1"/>
  <c r="AB258" i="1"/>
  <c r="E258" i="1"/>
  <c r="G258" i="1" s="1"/>
  <c r="AA258" i="1"/>
  <c r="AG259" i="1" l="1"/>
  <c r="AB259" i="1"/>
  <c r="E259" i="1"/>
  <c r="G259" i="1" s="1"/>
  <c r="AA259" i="1"/>
  <c r="AC260" i="1"/>
  <c r="A261" i="1"/>
  <c r="A262" i="1" l="1"/>
  <c r="AC261" i="1"/>
  <c r="AA260" i="1"/>
  <c r="E260" i="1"/>
  <c r="AB260" i="1"/>
  <c r="AG260" i="1"/>
  <c r="AA261" i="1" l="1"/>
  <c r="AG261" i="1"/>
  <c r="E261" i="1"/>
  <c r="AB261" i="1"/>
  <c r="A263" i="1"/>
  <c r="AC262" i="1"/>
  <c r="DE299" i="1" l="1"/>
  <c r="CL299" i="1"/>
  <c r="CF299" i="1"/>
  <c r="BN299" i="1"/>
  <c r="AI299" i="1"/>
  <c r="DC299" i="1"/>
  <c r="CO299" i="1"/>
  <c r="CK299" i="1"/>
  <c r="BM299" i="1"/>
  <c r="AL299" i="1"/>
  <c r="CN299" i="1"/>
  <c r="CJ299" i="1"/>
  <c r="BL299" i="1"/>
  <c r="BF299" i="1"/>
  <c r="AK299" i="1"/>
  <c r="BI299" i="1"/>
  <c r="CY299" i="1"/>
  <c r="CM299" i="1"/>
  <c r="AX299" i="1"/>
  <c r="AB262" i="1"/>
  <c r="AA262" i="1"/>
  <c r="E262" i="1"/>
  <c r="AG262" i="1"/>
  <c r="A264" i="1"/>
  <c r="AC263" i="1"/>
  <c r="AB263" i="1" l="1"/>
  <c r="E263" i="1"/>
  <c r="G263" i="1" s="1"/>
  <c r="AA263" i="1"/>
  <c r="AG263" i="1"/>
  <c r="AC264" i="1"/>
  <c r="A265" i="1"/>
  <c r="AC265" i="1" l="1"/>
  <c r="A266" i="1"/>
  <c r="AB264" i="1"/>
  <c r="AA264" i="1"/>
  <c r="AG264" i="1"/>
  <c r="E264" i="1"/>
  <c r="A267" i="1" l="1"/>
  <c r="AC266" i="1"/>
  <c r="AG265" i="1"/>
  <c r="AA265" i="1"/>
  <c r="E265" i="1"/>
  <c r="G265" i="1" s="1"/>
  <c r="AB265" i="1"/>
  <c r="AG266" i="1" l="1"/>
  <c r="E266" i="1"/>
  <c r="G266" i="1" s="1"/>
  <c r="AB266" i="1"/>
  <c r="AA266" i="1"/>
  <c r="AC267" i="1"/>
  <c r="A268" i="1"/>
  <c r="A269" i="1" l="1"/>
  <c r="AC268" i="1"/>
  <c r="AG267" i="1"/>
  <c r="AB267" i="1"/>
  <c r="E267" i="1"/>
  <c r="G267" i="1" s="1"/>
  <c r="AA267" i="1"/>
  <c r="AB268" i="1" l="1"/>
  <c r="E268" i="1"/>
  <c r="G268" i="1" s="1"/>
  <c r="AA268" i="1"/>
  <c r="AG268" i="1"/>
  <c r="A270" i="1"/>
  <c r="AC269" i="1"/>
  <c r="AB269" i="1" l="1"/>
  <c r="E269" i="1"/>
  <c r="G269" i="1" s="1"/>
  <c r="AA269" i="1"/>
  <c r="AG269" i="1"/>
  <c r="A271" i="1"/>
  <c r="AC270" i="1"/>
  <c r="AB270" i="1" l="1"/>
  <c r="AA270" i="1"/>
  <c r="AG270" i="1"/>
  <c r="E270" i="1"/>
  <c r="A272" i="1"/>
  <c r="AC271" i="1"/>
  <c r="AA271" i="1" l="1"/>
  <c r="AG271" i="1"/>
  <c r="E271" i="1"/>
  <c r="AB271" i="1"/>
  <c r="AC272" i="1"/>
  <c r="A273" i="1"/>
  <c r="A274" i="1" l="1"/>
  <c r="AC273" i="1"/>
  <c r="AG272" i="1"/>
  <c r="AB272" i="1"/>
  <c r="E272" i="1"/>
  <c r="G272" i="1" s="1"/>
  <c r="AA272" i="1"/>
  <c r="AA273" i="1" l="1"/>
  <c r="AG273" i="1"/>
  <c r="E273" i="1"/>
  <c r="AB273" i="1"/>
  <c r="AC274" i="1"/>
  <c r="A275" i="1"/>
  <c r="AC275" i="1" l="1"/>
  <c r="A276" i="1"/>
  <c r="AG274" i="1"/>
  <c r="E274" i="1"/>
  <c r="AB274" i="1"/>
  <c r="AA274" i="1"/>
  <c r="AC276" i="1" l="1"/>
  <c r="A277" i="1"/>
  <c r="AG275" i="1"/>
  <c r="E275" i="1"/>
  <c r="AB275" i="1"/>
  <c r="AA275" i="1"/>
  <c r="A278" i="1" l="1"/>
  <c r="AC277" i="1"/>
  <c r="AA276" i="1"/>
  <c r="AG276" i="1"/>
  <c r="E276" i="1"/>
  <c r="AB276" i="1"/>
  <c r="AG277" i="1" l="1"/>
  <c r="AB277" i="1"/>
  <c r="E277" i="1"/>
  <c r="G277" i="1" s="1"/>
  <c r="AA277" i="1"/>
  <c r="A279" i="1"/>
  <c r="AC278" i="1"/>
  <c r="AA278" i="1" l="1"/>
  <c r="AG278" i="1"/>
  <c r="AB278" i="1"/>
  <c r="E278" i="1"/>
  <c r="AC279" i="1"/>
  <c r="A280" i="1"/>
  <c r="G278" i="1" l="1"/>
  <c r="EG86" i="1"/>
  <c r="EI86" i="1"/>
  <c r="AC280" i="1"/>
  <c r="A281" i="1"/>
  <c r="AB279" i="1"/>
  <c r="AA279" i="1"/>
  <c r="E279" i="1"/>
  <c r="AG279" i="1"/>
  <c r="EM86" i="1" l="1"/>
  <c r="EL86" i="1"/>
  <c r="EK86" i="1"/>
  <c r="EN86" i="1"/>
  <c r="EJ86" i="1"/>
  <c r="AG280" i="1"/>
  <c r="AB280" i="1"/>
  <c r="E280" i="1"/>
  <c r="G280" i="1" s="1"/>
  <c r="AA280" i="1"/>
  <c r="G279" i="1"/>
  <c r="M279" i="1"/>
  <c r="AC281" i="1"/>
  <c r="A282" i="1"/>
  <c r="AA281" i="1" l="1"/>
  <c r="AG281" i="1"/>
  <c r="E281" i="1"/>
  <c r="AB281" i="1"/>
  <c r="AC282" i="1"/>
  <c r="A283" i="1"/>
  <c r="AC283" i="1" l="1"/>
  <c r="A284" i="1"/>
  <c r="AG282" i="1"/>
  <c r="AB282" i="1"/>
  <c r="E282" i="1"/>
  <c r="G282" i="1" s="1"/>
  <c r="AA282" i="1"/>
  <c r="A285" i="1" l="1"/>
  <c r="AC284" i="1"/>
  <c r="AG283" i="1"/>
  <c r="AB283" i="1"/>
  <c r="E283" i="1"/>
  <c r="G283" i="1" s="1"/>
  <c r="AA283" i="1"/>
  <c r="AG284" i="1" l="1"/>
  <c r="E284" i="1"/>
  <c r="AB284" i="1"/>
  <c r="AA284" i="1"/>
  <c r="A286" i="1"/>
  <c r="AC285" i="1"/>
  <c r="AA285" i="1" l="1"/>
  <c r="AG285" i="1"/>
  <c r="E285" i="1"/>
  <c r="G285" i="1" s="1"/>
  <c r="AB285" i="1"/>
  <c r="A287" i="1"/>
  <c r="AC286" i="1"/>
  <c r="AB286" i="1" l="1"/>
  <c r="AA286" i="1"/>
  <c r="AG286" i="1"/>
  <c r="E286" i="1"/>
  <c r="AC287" i="1"/>
  <c r="A288" i="1"/>
  <c r="A289" i="1" l="1"/>
  <c r="AC288" i="1"/>
  <c r="AG287" i="1"/>
  <c r="E287" i="1"/>
  <c r="AB287" i="1"/>
  <c r="AA287" i="1"/>
  <c r="AA288" i="1" l="1"/>
  <c r="AG288" i="1"/>
  <c r="E288" i="1"/>
  <c r="AB288" i="1"/>
  <c r="AC289" i="1"/>
  <c r="A290" i="1"/>
  <c r="A291" i="1" l="1"/>
  <c r="AC290" i="1"/>
  <c r="AG289" i="1"/>
  <c r="E289" i="1"/>
  <c r="AB289" i="1"/>
  <c r="AA289" i="1"/>
  <c r="AA290" i="1" l="1"/>
  <c r="AG290" i="1"/>
  <c r="E290" i="1"/>
  <c r="AB290" i="1"/>
  <c r="A292" i="1"/>
  <c r="AC291" i="1"/>
  <c r="AB291" i="1" l="1"/>
  <c r="AA291" i="1"/>
  <c r="E291" i="1"/>
  <c r="AG291" i="1"/>
  <c r="A293" i="1"/>
  <c r="AC292" i="1"/>
  <c r="AA292" i="1" l="1"/>
  <c r="AG292" i="1"/>
  <c r="E292" i="1"/>
  <c r="G292" i="1" s="1"/>
  <c r="AB292" i="1"/>
  <c r="A294" i="1"/>
  <c r="AC293" i="1"/>
  <c r="DX335" i="1" l="1"/>
  <c r="AB293" i="1"/>
  <c r="E293" i="1"/>
  <c r="G293" i="1" s="1"/>
  <c r="AA293" i="1"/>
  <c r="AG293" i="1"/>
  <c r="A295" i="1"/>
  <c r="AC294" i="1"/>
  <c r="AG294" i="1" l="1"/>
  <c r="AB294" i="1"/>
  <c r="AA294" i="1"/>
  <c r="E294" i="1"/>
  <c r="A296" i="1"/>
  <c r="AC295" i="1"/>
  <c r="AA295" i="1" l="1"/>
  <c r="AG295" i="1"/>
  <c r="AB295" i="1"/>
  <c r="E295" i="1"/>
  <c r="I295" i="1" s="1"/>
  <c r="A297" i="1"/>
  <c r="AC296" i="1"/>
  <c r="A298" i="1" l="1"/>
  <c r="AC297" i="1"/>
  <c r="AB296" i="1"/>
  <c r="AA296" i="1"/>
  <c r="AG296" i="1"/>
  <c r="E296" i="1"/>
  <c r="AG297" i="1" l="1"/>
  <c r="AB297" i="1"/>
  <c r="E297" i="1"/>
  <c r="G297" i="1" s="1"/>
  <c r="AA297" i="1"/>
  <c r="A299" i="1"/>
  <c r="AC298" i="1"/>
  <c r="AB298" i="1" l="1"/>
  <c r="E298" i="1"/>
  <c r="G298" i="1" s="1"/>
  <c r="AA298" i="1"/>
  <c r="AG298" i="1"/>
  <c r="AC299" i="1"/>
  <c r="A300" i="1"/>
  <c r="AC300" i="1" l="1"/>
  <c r="A301" i="1"/>
  <c r="AG299" i="1"/>
  <c r="E299" i="1"/>
  <c r="EI116" i="1" s="1"/>
  <c r="AB299" i="1"/>
  <c r="AA299" i="1"/>
  <c r="EM116" i="1" l="1"/>
  <c r="EL116" i="1"/>
  <c r="EK116" i="1"/>
  <c r="EN116" i="1"/>
  <c r="EJ116" i="1"/>
  <c r="A302" i="1"/>
  <c r="AC301" i="1"/>
  <c r="AA300" i="1"/>
  <c r="AG300" i="1"/>
  <c r="E300" i="1"/>
  <c r="AB300" i="1"/>
  <c r="DU754" i="1" l="1"/>
  <c r="DR625" i="1"/>
  <c r="AG301" i="1"/>
  <c r="AB301" i="1"/>
  <c r="E301" i="1"/>
  <c r="G301" i="1" s="1"/>
  <c r="AA301" i="1"/>
  <c r="A303" i="1"/>
  <c r="AC302" i="1"/>
  <c r="DS342" i="1"/>
  <c r="AB302" i="1" l="1"/>
  <c r="AA302" i="1"/>
  <c r="AG302" i="1"/>
  <c r="E302" i="1"/>
  <c r="A304" i="1"/>
  <c r="AC303" i="1"/>
  <c r="AA303" i="1" l="1"/>
  <c r="E303" i="1"/>
  <c r="AG303" i="1"/>
  <c r="AB303" i="1"/>
  <c r="A305" i="1"/>
  <c r="AC304" i="1"/>
  <c r="AB304" i="1" l="1"/>
  <c r="E304" i="1"/>
  <c r="G304" i="1" s="1"/>
  <c r="AA304" i="1"/>
  <c r="AG304" i="1"/>
  <c r="AC305" i="1"/>
  <c r="A306" i="1"/>
  <c r="AG305" i="1" l="1"/>
  <c r="E305" i="1"/>
  <c r="AB305" i="1"/>
  <c r="AA305" i="1"/>
  <c r="AC306" i="1"/>
  <c r="A307" i="1"/>
  <c r="AC307" i="1" l="1"/>
  <c r="A308" i="1"/>
  <c r="AG306" i="1"/>
  <c r="E306" i="1"/>
  <c r="AB306" i="1"/>
  <c r="AA306" i="1"/>
  <c r="A309" i="1" l="1"/>
  <c r="AC308" i="1"/>
  <c r="AG307" i="1"/>
  <c r="AB307" i="1"/>
  <c r="E307" i="1"/>
  <c r="G307" i="1" s="1"/>
  <c r="AA307" i="1"/>
  <c r="AA308" i="1" l="1"/>
  <c r="AG308" i="1"/>
  <c r="E308" i="1"/>
  <c r="AB308" i="1"/>
  <c r="A310" i="1"/>
  <c r="AC309" i="1"/>
  <c r="AG309" i="1" l="1"/>
  <c r="E309" i="1"/>
  <c r="AB309" i="1"/>
  <c r="AA309" i="1"/>
  <c r="A311" i="1"/>
  <c r="AC310" i="1"/>
  <c r="DU151" i="1"/>
  <c r="DS663" i="1" l="1"/>
  <c r="DW233" i="1"/>
  <c r="DW241" i="1"/>
  <c r="AB310" i="1"/>
  <c r="AA310" i="1"/>
  <c r="AG310" i="1"/>
  <c r="E310" i="1"/>
  <c r="A312" i="1"/>
  <c r="AC311" i="1"/>
  <c r="AA311" i="1" l="1"/>
  <c r="E311" i="1"/>
  <c r="AG311" i="1"/>
  <c r="AB311" i="1"/>
  <c r="A313" i="1"/>
  <c r="AC312" i="1"/>
  <c r="AB312" i="1" l="1"/>
  <c r="AA312" i="1"/>
  <c r="AG312" i="1"/>
  <c r="E312" i="1"/>
  <c r="H311" i="1"/>
  <c r="G311" i="1"/>
  <c r="DX311" i="1"/>
  <c r="A314" i="1"/>
  <c r="AC313" i="1"/>
  <c r="A315" i="1" l="1"/>
  <c r="AC314" i="1"/>
  <c r="AG313" i="1"/>
  <c r="AB313" i="1"/>
  <c r="E313" i="1"/>
  <c r="G313" i="1" s="1"/>
  <c r="AA313" i="1"/>
  <c r="AB314" i="1" l="1"/>
  <c r="E314" i="1"/>
  <c r="G314" i="1" s="1"/>
  <c r="AA314" i="1"/>
  <c r="AG314" i="1"/>
  <c r="A316" i="1"/>
  <c r="AC315" i="1"/>
  <c r="AB315" i="1" l="1"/>
  <c r="E315" i="1"/>
  <c r="G315" i="1" s="1"/>
  <c r="AA315" i="1"/>
  <c r="AG315" i="1"/>
  <c r="AC316" i="1"/>
  <c r="A317" i="1"/>
  <c r="A318" i="1" l="1"/>
  <c r="AC317" i="1"/>
  <c r="AG316" i="1"/>
  <c r="E316" i="1"/>
  <c r="AB316" i="1"/>
  <c r="AA316" i="1"/>
  <c r="AA317" i="1" l="1"/>
  <c r="AG317" i="1"/>
  <c r="E317" i="1"/>
  <c r="AB317" i="1"/>
  <c r="A319" i="1"/>
  <c r="AC318" i="1"/>
  <c r="AG318" i="1" l="1"/>
  <c r="E318" i="1"/>
  <c r="AB318" i="1"/>
  <c r="AA318" i="1"/>
  <c r="A320" i="1"/>
  <c r="AC319" i="1"/>
  <c r="EI317" i="1" l="1"/>
  <c r="EI190" i="1"/>
  <c r="AB319" i="1"/>
  <c r="AA319" i="1"/>
  <c r="AG319" i="1"/>
  <c r="E319" i="1"/>
  <c r="A321" i="1"/>
  <c r="AC320" i="1"/>
  <c r="AG320" i="1" l="1"/>
  <c r="E320" i="1"/>
  <c r="AB320" i="1"/>
  <c r="AA320" i="1"/>
  <c r="A322" i="1"/>
  <c r="AC321" i="1"/>
  <c r="EK190" i="1"/>
  <c r="EN190" i="1"/>
  <c r="EO190" i="1" s="1"/>
  <c r="EJ190" i="1"/>
  <c r="EM190" i="1"/>
  <c r="EL190" i="1"/>
  <c r="EN317" i="1"/>
  <c r="EO317" i="1" s="1"/>
  <c r="EJ317" i="1"/>
  <c r="EM317" i="1"/>
  <c r="EL317" i="1"/>
  <c r="EK317" i="1"/>
  <c r="AA321" i="1" l="1"/>
  <c r="AG321" i="1"/>
  <c r="AB321" i="1"/>
  <c r="E321" i="1"/>
  <c r="G321" i="1" s="1"/>
  <c r="AC322" i="1"/>
  <c r="A323" i="1"/>
  <c r="A324" i="1" l="1"/>
  <c r="AC323" i="1"/>
  <c r="AG322" i="1"/>
  <c r="E322" i="1"/>
  <c r="AB322" i="1"/>
  <c r="AA322" i="1"/>
  <c r="EI42" i="1" l="1"/>
  <c r="EI240" i="1"/>
  <c r="EI41" i="1"/>
  <c r="EI40" i="1"/>
  <c r="AB323" i="1"/>
  <c r="E323" i="1"/>
  <c r="G323" i="1" s="1"/>
  <c r="AA323" i="1"/>
  <c r="AG323" i="1"/>
  <c r="A325" i="1"/>
  <c r="AC324" i="1"/>
  <c r="EN40" i="1" l="1"/>
  <c r="EJ40" i="1"/>
  <c r="EK40" i="1"/>
  <c r="EM40" i="1"/>
  <c r="EL40" i="1"/>
  <c r="EL41" i="1"/>
  <c r="EM41" i="1"/>
  <c r="EK41" i="1"/>
  <c r="EN41" i="1"/>
  <c r="EJ41" i="1"/>
  <c r="EL240" i="1"/>
  <c r="EN240" i="1"/>
  <c r="EO240" i="1" s="1"/>
  <c r="EM240" i="1"/>
  <c r="EK240" i="1"/>
  <c r="EJ240" i="1"/>
  <c r="AB324" i="1"/>
  <c r="E324" i="1"/>
  <c r="G324" i="1" s="1"/>
  <c r="AA324" i="1"/>
  <c r="AG324" i="1"/>
  <c r="AC325" i="1"/>
  <c r="A326" i="1"/>
  <c r="EL42" i="1"/>
  <c r="EK42" i="1"/>
  <c r="EM42" i="1"/>
  <c r="EN42" i="1"/>
  <c r="EJ42" i="1"/>
  <c r="AG325" i="1" l="1"/>
  <c r="E325" i="1"/>
  <c r="AB325" i="1"/>
  <c r="AA325" i="1"/>
  <c r="A327" i="1"/>
  <c r="AC326" i="1"/>
  <c r="AA326" i="1" l="1"/>
  <c r="AG326" i="1"/>
  <c r="E326" i="1"/>
  <c r="AB326" i="1"/>
  <c r="A328" i="1"/>
  <c r="AC327" i="1"/>
  <c r="AB327" i="1" l="1"/>
  <c r="AA327" i="1"/>
  <c r="AG327" i="1"/>
  <c r="E327" i="1"/>
  <c r="A329" i="1"/>
  <c r="AC328" i="1"/>
  <c r="AA328" i="1" l="1"/>
  <c r="E328" i="1"/>
  <c r="AG328" i="1"/>
  <c r="AB328" i="1"/>
  <c r="AC329" i="1"/>
  <c r="A330" i="1"/>
  <c r="AC330" i="1" l="1"/>
  <c r="A331" i="1"/>
  <c r="AG329" i="1"/>
  <c r="AB329" i="1"/>
  <c r="E329" i="1"/>
  <c r="G329" i="1" s="1"/>
  <c r="AA329" i="1"/>
  <c r="AC331" i="1" l="1"/>
  <c r="A332" i="1"/>
  <c r="AG330" i="1"/>
  <c r="E330" i="1"/>
  <c r="AB330" i="1"/>
  <c r="AA330" i="1"/>
  <c r="A333" i="1" l="1"/>
  <c r="AC332" i="1"/>
  <c r="AA331" i="1"/>
  <c r="AG331" i="1"/>
  <c r="E331" i="1"/>
  <c r="AB331" i="1"/>
  <c r="AA332" i="1" l="1"/>
  <c r="AG332" i="1"/>
  <c r="E332" i="1"/>
  <c r="AB332" i="1"/>
  <c r="A334" i="1"/>
  <c r="AC333" i="1"/>
  <c r="EI105" i="1" l="1"/>
  <c r="EI108" i="1"/>
  <c r="EI102" i="1"/>
  <c r="EI91" i="1"/>
  <c r="EI100" i="1"/>
  <c r="EI104" i="1"/>
  <c r="EI333" i="1"/>
  <c r="EI93" i="1"/>
  <c r="EI109" i="1"/>
  <c r="EI94" i="1"/>
  <c r="EI110" i="1"/>
  <c r="EI97" i="1"/>
  <c r="EI107" i="1"/>
  <c r="EI101" i="1"/>
  <c r="EI98" i="1"/>
  <c r="EI99" i="1"/>
  <c r="EI246" i="1"/>
  <c r="EI103" i="1"/>
  <c r="EI189" i="1"/>
  <c r="EI95" i="1"/>
  <c r="EI106" i="1"/>
  <c r="EI96" i="1"/>
  <c r="EI92" i="1"/>
  <c r="EI90" i="1"/>
  <c r="AA333" i="1"/>
  <c r="AG333" i="1"/>
  <c r="AB333" i="1"/>
  <c r="E333" i="1"/>
  <c r="AC334" i="1"/>
  <c r="A335" i="1"/>
  <c r="G333" i="1" l="1"/>
  <c r="EI318" i="1"/>
  <c r="EI191" i="1"/>
  <c r="EI111" i="1"/>
  <c r="EL90" i="1"/>
  <c r="EK90" i="1"/>
  <c r="EN90" i="1"/>
  <c r="EJ90" i="1"/>
  <c r="EM90" i="1"/>
  <c r="EM95" i="1"/>
  <c r="EL95" i="1"/>
  <c r="EK95" i="1"/>
  <c r="EN95" i="1"/>
  <c r="EJ95" i="1"/>
  <c r="EL99" i="1"/>
  <c r="EK99" i="1"/>
  <c r="EN99" i="1"/>
  <c r="EJ99" i="1"/>
  <c r="EM99" i="1"/>
  <c r="EM97" i="1"/>
  <c r="EL97" i="1"/>
  <c r="EK97" i="1"/>
  <c r="EN97" i="1"/>
  <c r="EJ97" i="1"/>
  <c r="EM93" i="1"/>
  <c r="EL93" i="1"/>
  <c r="EK93" i="1"/>
  <c r="EN93" i="1"/>
  <c r="EJ93" i="1"/>
  <c r="EN91" i="1"/>
  <c r="EJ91" i="1"/>
  <c r="EM91" i="1"/>
  <c r="EL91" i="1"/>
  <c r="EK91" i="1"/>
  <c r="EK92" i="1"/>
  <c r="EN92" i="1"/>
  <c r="EJ92" i="1"/>
  <c r="EM92" i="1"/>
  <c r="EL92" i="1"/>
  <c r="EM189" i="1"/>
  <c r="EL189" i="1"/>
  <c r="EK189" i="1"/>
  <c r="EN189" i="1"/>
  <c r="EO189" i="1" s="1"/>
  <c r="EJ189" i="1"/>
  <c r="EK98" i="1"/>
  <c r="EN98" i="1"/>
  <c r="EJ98" i="1"/>
  <c r="EM98" i="1"/>
  <c r="EL98" i="1"/>
  <c r="EL110" i="1"/>
  <c r="EK110" i="1"/>
  <c r="EN110" i="1"/>
  <c r="EJ110" i="1"/>
  <c r="EM110" i="1"/>
  <c r="EL333" i="1"/>
  <c r="EK333" i="1"/>
  <c r="EN333" i="1"/>
  <c r="EO333" i="1" s="1"/>
  <c r="EJ333" i="1"/>
  <c r="EM333" i="1"/>
  <c r="EN102" i="1"/>
  <c r="EJ102" i="1"/>
  <c r="EM102" i="1"/>
  <c r="EL102" i="1"/>
  <c r="EK102" i="1"/>
  <c r="A336" i="1"/>
  <c r="AC335" i="1"/>
  <c r="EN96" i="1"/>
  <c r="EJ96" i="1"/>
  <c r="EM96" i="1"/>
  <c r="EL96" i="1"/>
  <c r="EK96" i="1"/>
  <c r="EN103" i="1"/>
  <c r="EJ103" i="1"/>
  <c r="EM103" i="1"/>
  <c r="EL103" i="1"/>
  <c r="EK103" i="1"/>
  <c r="EN101" i="1"/>
  <c r="EJ101" i="1"/>
  <c r="EM101" i="1"/>
  <c r="EL101" i="1"/>
  <c r="EK101" i="1"/>
  <c r="EN94" i="1"/>
  <c r="EJ94" i="1"/>
  <c r="EM94" i="1"/>
  <c r="EL94" i="1"/>
  <c r="EK94" i="1"/>
  <c r="EL104" i="1"/>
  <c r="EK104" i="1"/>
  <c r="EN104" i="1"/>
  <c r="EJ104" i="1"/>
  <c r="EM104" i="1"/>
  <c r="EN108" i="1"/>
  <c r="EJ108" i="1"/>
  <c r="EM108" i="1"/>
  <c r="EL108" i="1"/>
  <c r="EK108" i="1"/>
  <c r="AA334" i="1"/>
  <c r="AG334" i="1"/>
  <c r="E334" i="1"/>
  <c r="G334" i="1" s="1"/>
  <c r="AB334" i="1"/>
  <c r="EN106" i="1"/>
  <c r="EJ106" i="1"/>
  <c r="EM106" i="1"/>
  <c r="EL106" i="1"/>
  <c r="EK106" i="1"/>
  <c r="EN246" i="1"/>
  <c r="EO246" i="1" s="1"/>
  <c r="EJ246" i="1"/>
  <c r="EM246" i="1"/>
  <c r="EL246" i="1"/>
  <c r="EK246" i="1"/>
  <c r="EN107" i="1"/>
  <c r="EJ107" i="1"/>
  <c r="EM107" i="1"/>
  <c r="EL107" i="1"/>
  <c r="EK107" i="1"/>
  <c r="EN109" i="1"/>
  <c r="EJ109" i="1"/>
  <c r="EM109" i="1"/>
  <c r="EL109" i="1"/>
  <c r="EK109" i="1"/>
  <c r="EK100" i="1"/>
  <c r="EN100" i="1"/>
  <c r="EJ100" i="1"/>
  <c r="EM100" i="1"/>
  <c r="EL100" i="1"/>
  <c r="EM105" i="1"/>
  <c r="EL105" i="1"/>
  <c r="EK105" i="1"/>
  <c r="EN105" i="1"/>
  <c r="EJ105" i="1"/>
  <c r="EM111" i="1" l="1"/>
  <c r="EL111" i="1"/>
  <c r="EK111" i="1"/>
  <c r="EN111" i="1"/>
  <c r="EJ111" i="1"/>
  <c r="EL191" i="1"/>
  <c r="EK191" i="1"/>
  <c r="EN191" i="1"/>
  <c r="EO191" i="1" s="1"/>
  <c r="EJ191" i="1"/>
  <c r="EM191" i="1"/>
  <c r="AB335" i="1"/>
  <c r="AA335" i="1"/>
  <c r="E335" i="1"/>
  <c r="AG335" i="1"/>
  <c r="EL318" i="1"/>
  <c r="EK318" i="1"/>
  <c r="EN318" i="1"/>
  <c r="EO318" i="1" s="1"/>
  <c r="EJ318" i="1"/>
  <c r="EM318" i="1"/>
  <c r="A337" i="1"/>
  <c r="AC336" i="1"/>
  <c r="AB336" i="1" l="1"/>
  <c r="AA336" i="1"/>
  <c r="AG336" i="1"/>
  <c r="E336" i="1"/>
  <c r="G335" i="1"/>
  <c r="EI238" i="1"/>
  <c r="EI229" i="1"/>
  <c r="EI198" i="1"/>
  <c r="A338" i="1"/>
  <c r="AC337" i="1"/>
  <c r="EL238" i="1" l="1"/>
  <c r="EK238" i="1"/>
  <c r="EN238" i="1"/>
  <c r="EO238" i="1" s="1"/>
  <c r="EJ238" i="1"/>
  <c r="EM238" i="1"/>
  <c r="AG337" i="1"/>
  <c r="E337" i="1"/>
  <c r="AB337" i="1"/>
  <c r="AA337" i="1"/>
  <c r="A339" i="1"/>
  <c r="AC338" i="1"/>
  <c r="EL198" i="1"/>
  <c r="EK198" i="1"/>
  <c r="EN198" i="1"/>
  <c r="EO198" i="1" s="1"/>
  <c r="EJ198" i="1"/>
  <c r="EM198" i="1"/>
  <c r="EN229" i="1"/>
  <c r="EO229" i="1" s="1"/>
  <c r="EJ229" i="1"/>
  <c r="EM229" i="1"/>
  <c r="EL229" i="1"/>
  <c r="EK229" i="1"/>
  <c r="AA338" i="1" l="1"/>
  <c r="AG338" i="1"/>
  <c r="E338" i="1"/>
  <c r="G338" i="1" s="1"/>
  <c r="AB338" i="1"/>
  <c r="AC339" i="1"/>
  <c r="A340" i="1"/>
  <c r="AC340" i="1" l="1"/>
  <c r="A341" i="1"/>
  <c r="AA339" i="1"/>
  <c r="AG339" i="1"/>
  <c r="E339" i="1"/>
  <c r="G339" i="1" s="1"/>
  <c r="AB339" i="1"/>
  <c r="A342" i="1" l="1"/>
  <c r="AC341" i="1"/>
  <c r="AG340" i="1"/>
  <c r="AB340" i="1"/>
  <c r="E340" i="1"/>
  <c r="G340" i="1" s="1"/>
  <c r="AA340" i="1"/>
  <c r="AA341" i="1" l="1"/>
  <c r="AG341" i="1"/>
  <c r="E341" i="1"/>
  <c r="AB341" i="1"/>
  <c r="A343" i="1"/>
  <c r="AC342" i="1"/>
  <c r="AA342" i="1" l="1"/>
  <c r="AG342" i="1"/>
  <c r="AB342" i="1"/>
  <c r="E342" i="1"/>
  <c r="G342" i="1" s="1"/>
  <c r="A344" i="1"/>
  <c r="AC343" i="1"/>
  <c r="AG343" i="1" l="1"/>
  <c r="E343" i="1"/>
  <c r="AB343" i="1"/>
  <c r="AA343" i="1"/>
  <c r="A345" i="1"/>
  <c r="AC344" i="1"/>
  <c r="AA344" i="1" l="1"/>
  <c r="AG344" i="1"/>
  <c r="E344" i="1"/>
  <c r="M344" i="1" s="1"/>
  <c r="AB344" i="1"/>
  <c r="A346" i="1"/>
  <c r="AC345" i="1"/>
  <c r="AG345" i="1" l="1"/>
  <c r="E345" i="1"/>
  <c r="AB345" i="1"/>
  <c r="AA345" i="1"/>
  <c r="A347" i="1"/>
  <c r="AC346" i="1"/>
  <c r="AB346" i="1" l="1"/>
  <c r="AA346" i="1"/>
  <c r="AG346" i="1"/>
  <c r="E346" i="1"/>
  <c r="A348" i="1"/>
  <c r="AC347" i="1"/>
  <c r="AB347" i="1" l="1"/>
  <c r="AA347" i="1"/>
  <c r="AG347" i="1"/>
  <c r="E347" i="1"/>
  <c r="A349" i="1"/>
  <c r="AC348" i="1"/>
  <c r="AB348" i="1" l="1"/>
  <c r="E348" i="1"/>
  <c r="G348" i="1" s="1"/>
  <c r="AA348" i="1"/>
  <c r="AG348" i="1"/>
  <c r="A350" i="1"/>
  <c r="AC349" i="1"/>
  <c r="AB349" i="1" l="1"/>
  <c r="E349" i="1"/>
  <c r="G349" i="1" s="1"/>
  <c r="AA349" i="1"/>
  <c r="AG349" i="1"/>
  <c r="A351" i="1"/>
  <c r="AC350" i="1"/>
  <c r="AG350" i="1" l="1"/>
  <c r="AB350" i="1"/>
  <c r="E350" i="1"/>
  <c r="G350" i="1" s="1"/>
  <c r="AA350" i="1"/>
  <c r="A352" i="1"/>
  <c r="AC351" i="1"/>
  <c r="AB351" i="1" l="1"/>
  <c r="AA351" i="1"/>
  <c r="AG351" i="1"/>
  <c r="E351" i="1"/>
  <c r="A353" i="1"/>
  <c r="AC352" i="1"/>
  <c r="AB352" i="1" l="1"/>
  <c r="E352" i="1"/>
  <c r="G352" i="1" s="1"/>
  <c r="AA352" i="1"/>
  <c r="AG352" i="1"/>
  <c r="AC353" i="1"/>
  <c r="A354" i="1"/>
  <c r="DX576" i="1" l="1"/>
  <c r="DU527" i="1"/>
  <c r="A355" i="1"/>
  <c r="AC354" i="1"/>
  <c r="AA353" i="1"/>
  <c r="AG353" i="1"/>
  <c r="E353" i="1"/>
  <c r="AB353" i="1"/>
  <c r="AA354" i="1" l="1"/>
  <c r="AG354" i="1"/>
  <c r="E354" i="1"/>
  <c r="AB354" i="1"/>
  <c r="A356" i="1"/>
  <c r="AC355" i="1"/>
  <c r="AB355" i="1" l="1"/>
  <c r="E355" i="1"/>
  <c r="G355" i="1" s="1"/>
  <c r="AA355" i="1"/>
  <c r="AG355" i="1"/>
  <c r="A357" i="1"/>
  <c r="AC356" i="1"/>
  <c r="AB356" i="1" l="1"/>
  <c r="AA356" i="1"/>
  <c r="AG356" i="1"/>
  <c r="E356" i="1"/>
  <c r="A358" i="1"/>
  <c r="AC357" i="1"/>
  <c r="AG357" i="1" l="1"/>
  <c r="E357" i="1"/>
  <c r="AB357" i="1"/>
  <c r="AA357" i="1"/>
  <c r="AC358" i="1"/>
  <c r="A359" i="1"/>
  <c r="A360" i="1" l="1"/>
  <c r="AC359" i="1"/>
  <c r="AA358" i="1"/>
  <c r="AG358" i="1"/>
  <c r="E358" i="1"/>
  <c r="M358" i="1" s="1"/>
  <c r="AB358" i="1"/>
  <c r="AG359" i="1" l="1"/>
  <c r="AB359" i="1"/>
  <c r="E359" i="1"/>
  <c r="G359" i="1" s="1"/>
  <c r="AA359" i="1"/>
  <c r="AC360" i="1"/>
  <c r="A361" i="1"/>
  <c r="AC361" i="1" l="1"/>
  <c r="A362" i="1"/>
  <c r="AA360" i="1"/>
  <c r="AG360" i="1"/>
  <c r="E360" i="1"/>
  <c r="AB360" i="1"/>
  <c r="AC362" i="1" l="1"/>
  <c r="A363" i="1"/>
  <c r="G360" i="1"/>
  <c r="EI60" i="1"/>
  <c r="EI334" i="1"/>
  <c r="EI62" i="1"/>
  <c r="EI64" i="1"/>
  <c r="EI63" i="1"/>
  <c r="EI61" i="1"/>
  <c r="EI58" i="1"/>
  <c r="EI59" i="1"/>
  <c r="AG361" i="1"/>
  <c r="AB361" i="1"/>
  <c r="AA361" i="1"/>
  <c r="E361" i="1"/>
  <c r="DQ391" i="1" l="1"/>
  <c r="DU394" i="1"/>
  <c r="DS391" i="1"/>
  <c r="DU396" i="1"/>
  <c r="DR391" i="1"/>
  <c r="DU393" i="1"/>
  <c r="EM63" i="1"/>
  <c r="EL63" i="1"/>
  <c r="EK63" i="1"/>
  <c r="EN63" i="1"/>
  <c r="EJ63" i="1"/>
  <c r="EL60" i="1"/>
  <c r="EK60" i="1"/>
  <c r="EN60" i="1"/>
  <c r="EJ60" i="1"/>
  <c r="EM60" i="1"/>
  <c r="M361" i="1"/>
  <c r="G361" i="1"/>
  <c r="EL59" i="1"/>
  <c r="EK59" i="1"/>
  <c r="EN59" i="1"/>
  <c r="EJ59" i="1"/>
  <c r="EM59" i="1"/>
  <c r="EK64" i="1"/>
  <c r="EN64" i="1"/>
  <c r="EJ64" i="1"/>
  <c r="EM64" i="1"/>
  <c r="EL64" i="1"/>
  <c r="EK58" i="1"/>
  <c r="EN58" i="1"/>
  <c r="EJ58" i="1"/>
  <c r="EM58" i="1"/>
  <c r="EL58" i="1"/>
  <c r="EN62" i="1"/>
  <c r="EJ62" i="1"/>
  <c r="EM62" i="1"/>
  <c r="EL62" i="1"/>
  <c r="EK62" i="1"/>
  <c r="AC363" i="1"/>
  <c r="A364" i="1"/>
  <c r="EN61" i="1"/>
  <c r="EJ61" i="1"/>
  <c r="EM61" i="1"/>
  <c r="EL61" i="1"/>
  <c r="EK61" i="1"/>
  <c r="EK334" i="1"/>
  <c r="EN334" i="1"/>
  <c r="EO334" i="1" s="1"/>
  <c r="EJ334" i="1"/>
  <c r="EM334" i="1"/>
  <c r="EL334" i="1"/>
  <c r="AG362" i="1"/>
  <c r="AB362" i="1"/>
  <c r="E362" i="1"/>
  <c r="AA362" i="1"/>
  <c r="G362" i="1" l="1"/>
  <c r="EI342" i="1"/>
  <c r="AC364" i="1"/>
  <c r="A365" i="1"/>
  <c r="AG363" i="1"/>
  <c r="E363" i="1"/>
  <c r="AB363" i="1"/>
  <c r="AA363" i="1"/>
  <c r="A366" i="1" l="1"/>
  <c r="AC365" i="1"/>
  <c r="AG364" i="1"/>
  <c r="E364" i="1"/>
  <c r="AB364" i="1"/>
  <c r="AA364" i="1"/>
  <c r="EN342" i="1"/>
  <c r="EO342" i="1" s="1"/>
  <c r="EJ342" i="1"/>
  <c r="EM342" i="1"/>
  <c r="EL342" i="1"/>
  <c r="EK342" i="1"/>
  <c r="DY398" i="1"/>
  <c r="AA365" i="1" l="1"/>
  <c r="AG365" i="1"/>
  <c r="E365" i="1"/>
  <c r="AB365" i="1"/>
  <c r="AC366" i="1"/>
  <c r="A367" i="1"/>
  <c r="AC367" i="1" l="1"/>
  <c r="A368" i="1"/>
  <c r="AG366" i="1"/>
  <c r="E366" i="1"/>
  <c r="AB366" i="1"/>
  <c r="AA366" i="1"/>
  <c r="A369" i="1" l="1"/>
  <c r="AC368" i="1"/>
  <c r="AG367" i="1"/>
  <c r="E367" i="1"/>
  <c r="AB367" i="1"/>
  <c r="AA367" i="1"/>
  <c r="AA368" i="1" l="1"/>
  <c r="AG368" i="1"/>
  <c r="E368" i="1"/>
  <c r="AB368" i="1"/>
  <c r="A370" i="1"/>
  <c r="AC369" i="1"/>
  <c r="AA369" i="1" l="1"/>
  <c r="AG369" i="1"/>
  <c r="E369" i="1"/>
  <c r="AB369" i="1"/>
  <c r="A371" i="1"/>
  <c r="AC370" i="1"/>
  <c r="DU785" i="1" l="1"/>
  <c r="DV679" i="1"/>
  <c r="DZ688" i="1"/>
  <c r="DS617" i="1"/>
  <c r="DW596" i="1"/>
  <c r="DW488" i="1"/>
  <c r="DW113" i="1"/>
  <c r="DW511" i="1"/>
  <c r="DU189" i="1"/>
  <c r="DT636" i="1"/>
  <c r="DW206" i="1"/>
  <c r="DX519" i="1"/>
  <c r="DY332" i="1"/>
  <c r="DX526" i="1"/>
  <c r="AG370" i="1"/>
  <c r="E370" i="1"/>
  <c r="AB370" i="1"/>
  <c r="AA370" i="1"/>
  <c r="A372" i="1"/>
  <c r="AC371" i="1"/>
  <c r="AA371" i="1" l="1"/>
  <c r="AG371" i="1"/>
  <c r="E371" i="1"/>
  <c r="G371" i="1" s="1"/>
  <c r="AB371" i="1"/>
  <c r="A373" i="1"/>
  <c r="AC372" i="1"/>
  <c r="AB372" i="1" l="1"/>
  <c r="AA372" i="1"/>
  <c r="AG372" i="1"/>
  <c r="E372" i="1"/>
  <c r="AC373" i="1"/>
  <c r="A374" i="1"/>
  <c r="AC374" i="1" l="1"/>
  <c r="A375" i="1"/>
  <c r="AG373" i="1"/>
  <c r="E373" i="1"/>
  <c r="AB373" i="1"/>
  <c r="AA373" i="1"/>
  <c r="A376" i="1" l="1"/>
  <c r="AC375" i="1"/>
  <c r="AA374" i="1"/>
  <c r="AG374" i="1"/>
  <c r="E374" i="1"/>
  <c r="AB374" i="1"/>
  <c r="AA375" i="1" l="1"/>
  <c r="AG375" i="1"/>
  <c r="E375" i="1"/>
  <c r="AB375" i="1"/>
  <c r="A377" i="1"/>
  <c r="AC376" i="1"/>
  <c r="AB376" i="1" l="1"/>
  <c r="AA376" i="1"/>
  <c r="AG376" i="1"/>
  <c r="E376" i="1"/>
  <c r="A378" i="1"/>
  <c r="AC377" i="1"/>
  <c r="AB377" i="1" l="1"/>
  <c r="E377" i="1"/>
  <c r="G377" i="1" s="1"/>
  <c r="AA377" i="1"/>
  <c r="AG377" i="1"/>
  <c r="A379" i="1"/>
  <c r="AC378" i="1"/>
  <c r="AG378" i="1" l="1"/>
  <c r="E378" i="1"/>
  <c r="AB378" i="1"/>
  <c r="AA378" i="1"/>
  <c r="A380" i="1"/>
  <c r="AC379" i="1"/>
  <c r="AA379" i="1" l="1"/>
  <c r="AG379" i="1"/>
  <c r="AB379" i="1"/>
  <c r="E379" i="1"/>
  <c r="G379" i="1" s="1"/>
  <c r="AC380" i="1"/>
  <c r="A381" i="1"/>
  <c r="AC381" i="1" l="1"/>
  <c r="A382" i="1"/>
  <c r="AG380" i="1"/>
  <c r="E380" i="1"/>
  <c r="AB380" i="1"/>
  <c r="AA380" i="1"/>
  <c r="AG381" i="1" l="1"/>
  <c r="E381" i="1"/>
  <c r="AB381" i="1"/>
  <c r="AA381" i="1"/>
  <c r="AC382" i="1"/>
  <c r="A383" i="1"/>
  <c r="AC383" i="1" l="1"/>
  <c r="A384" i="1"/>
  <c r="AG382" i="1"/>
  <c r="AB382" i="1"/>
  <c r="E382" i="1"/>
  <c r="G382" i="1" s="1"/>
  <c r="AA382" i="1"/>
  <c r="A385" i="1" l="1"/>
  <c r="AC384" i="1"/>
  <c r="AG383" i="1"/>
  <c r="AB383" i="1"/>
  <c r="AA383" i="1"/>
  <c r="E383" i="1"/>
  <c r="AB384" i="1" l="1"/>
  <c r="AA384" i="1"/>
  <c r="E384" i="1"/>
  <c r="AG384" i="1"/>
  <c r="EI328" i="1"/>
  <c r="EI233" i="1"/>
  <c r="EI212" i="1"/>
  <c r="AC385" i="1"/>
  <c r="A386" i="1"/>
  <c r="DT371" i="1" l="1"/>
  <c r="DP221" i="1"/>
  <c r="EN233" i="1"/>
  <c r="EO233" i="1" s="1"/>
  <c r="EJ233" i="1"/>
  <c r="EM233" i="1"/>
  <c r="EL233" i="1"/>
  <c r="EK233" i="1"/>
  <c r="EN328" i="1"/>
  <c r="EO328" i="1" s="1"/>
  <c r="EJ328" i="1"/>
  <c r="EM328" i="1"/>
  <c r="EL328" i="1"/>
  <c r="EK328" i="1"/>
  <c r="AC386" i="1"/>
  <c r="A387" i="1"/>
  <c r="AA385" i="1"/>
  <c r="E385" i="1"/>
  <c r="G385" i="1" s="1"/>
  <c r="AG385" i="1"/>
  <c r="AB385" i="1"/>
  <c r="EL212" i="1"/>
  <c r="EK212" i="1"/>
  <c r="EN212" i="1"/>
  <c r="EO212" i="1" s="1"/>
  <c r="EJ212" i="1"/>
  <c r="EM212" i="1"/>
  <c r="A388" i="1" l="1"/>
  <c r="AC387" i="1"/>
  <c r="AG386" i="1"/>
  <c r="E386" i="1"/>
  <c r="AB386" i="1"/>
  <c r="AA386" i="1"/>
  <c r="E387" i="1" l="1"/>
  <c r="AG387" i="1"/>
  <c r="AB387" i="1"/>
  <c r="AA387" i="1"/>
  <c r="AC388" i="1"/>
  <c r="A389" i="1"/>
  <c r="A390" i="1" l="1"/>
  <c r="AC389" i="1"/>
  <c r="AB388" i="1"/>
  <c r="E388" i="1"/>
  <c r="AG388" i="1"/>
  <c r="AA388" i="1"/>
  <c r="EI250" i="1" l="1"/>
  <c r="EI249" i="1"/>
  <c r="EI215" i="1"/>
  <c r="AB389" i="1"/>
  <c r="AG389" i="1"/>
  <c r="AA389" i="1"/>
  <c r="E389" i="1"/>
  <c r="A391" i="1"/>
  <c r="AC390" i="1"/>
  <c r="AB390" i="1" l="1"/>
  <c r="E390" i="1"/>
  <c r="J390" i="1" s="1"/>
  <c r="AG390" i="1"/>
  <c r="AA390" i="1"/>
  <c r="A392" i="1"/>
  <c r="AC391" i="1"/>
  <c r="EM215" i="1"/>
  <c r="EL215" i="1"/>
  <c r="EK215" i="1"/>
  <c r="EN215" i="1"/>
  <c r="EO215" i="1" s="1"/>
  <c r="EJ215" i="1"/>
  <c r="EM249" i="1"/>
  <c r="EL249" i="1"/>
  <c r="EK249" i="1"/>
  <c r="EJ249" i="1"/>
  <c r="EN249" i="1"/>
  <c r="EO249" i="1" s="1"/>
  <c r="EN250" i="1"/>
  <c r="EO250" i="1" s="1"/>
  <c r="EJ250" i="1"/>
  <c r="EK250" i="1"/>
  <c r="EM250" i="1"/>
  <c r="EL250" i="1"/>
  <c r="AA391" i="1" l="1"/>
  <c r="AG391" i="1"/>
  <c r="AB391" i="1"/>
  <c r="E391" i="1"/>
  <c r="A393" i="1"/>
  <c r="AC392" i="1"/>
  <c r="AB392" i="1" l="1"/>
  <c r="E392" i="1"/>
  <c r="AG392" i="1"/>
  <c r="AA392" i="1"/>
  <c r="AC393" i="1"/>
  <c r="A394" i="1"/>
  <c r="A395" i="1" l="1"/>
  <c r="AC394" i="1"/>
  <c r="J392" i="1"/>
  <c r="EH350" i="1"/>
  <c r="G392" i="1"/>
  <c r="EI350" i="1"/>
  <c r="AG393" i="1"/>
  <c r="AA393" i="1"/>
  <c r="E393" i="1"/>
  <c r="AB393" i="1"/>
  <c r="AB394" i="1" l="1"/>
  <c r="E394" i="1"/>
  <c r="AG394" i="1"/>
  <c r="AA394" i="1"/>
  <c r="EL350" i="1"/>
  <c r="EK350" i="1"/>
  <c r="EN350" i="1"/>
  <c r="EO350" i="1" s="1"/>
  <c r="EJ350" i="1"/>
  <c r="EM350" i="1"/>
  <c r="G393" i="1"/>
  <c r="J393" i="1"/>
  <c r="A396" i="1"/>
  <c r="AC395" i="1"/>
  <c r="DW610" i="1" l="1"/>
  <c r="DQ540" i="1"/>
  <c r="DU455" i="1"/>
  <c r="A397" i="1"/>
  <c r="AC396" i="1"/>
  <c r="J394" i="1"/>
  <c r="I394" i="1"/>
  <c r="AG395" i="1"/>
  <c r="AA395" i="1"/>
  <c r="AB395" i="1"/>
  <c r="E395" i="1"/>
  <c r="AB396" i="1" l="1"/>
  <c r="AG396" i="1"/>
  <c r="AA396" i="1"/>
  <c r="E396" i="1"/>
  <c r="A398" i="1"/>
  <c r="AC397" i="1"/>
  <c r="A399" i="1" l="1"/>
  <c r="AC398" i="1"/>
  <c r="J396" i="1"/>
  <c r="EH351" i="1"/>
  <c r="EI351" i="1"/>
  <c r="E397" i="1"/>
  <c r="AG397" i="1"/>
  <c r="AB397" i="1"/>
  <c r="AA397" i="1"/>
  <c r="AB398" i="1" l="1"/>
  <c r="AA398" i="1"/>
  <c r="AG398" i="1"/>
  <c r="E398" i="1"/>
  <c r="J398" i="1" s="1"/>
  <c r="EJ7" i="1" s="1"/>
  <c r="EM351" i="1"/>
  <c r="EL351" i="1"/>
  <c r="EK351" i="1"/>
  <c r="EN351" i="1"/>
  <c r="EO351" i="1" s="1"/>
  <c r="EJ351" i="1"/>
  <c r="A400" i="1"/>
  <c r="AC399" i="1"/>
  <c r="AA399" i="1" l="1"/>
  <c r="E399" i="1"/>
  <c r="AG399" i="1"/>
  <c r="AB399" i="1"/>
  <c r="A401" i="1"/>
  <c r="AC400" i="1"/>
  <c r="AA400" i="1" l="1"/>
  <c r="AG400" i="1"/>
  <c r="AB400" i="1"/>
  <c r="E400" i="1"/>
  <c r="A402" i="1"/>
  <c r="AC401" i="1"/>
  <c r="G400" i="1" l="1"/>
  <c r="EI199" i="1"/>
  <c r="EI230" i="1"/>
  <c r="AG401" i="1"/>
  <c r="E401" i="1"/>
  <c r="AB401" i="1"/>
  <c r="AA401" i="1"/>
  <c r="A403" i="1"/>
  <c r="AC402" i="1"/>
  <c r="A404" i="1" l="1"/>
  <c r="AC403" i="1"/>
  <c r="EL230" i="1"/>
  <c r="EG230" i="1"/>
  <c r="EK230" i="1"/>
  <c r="EN230" i="1"/>
  <c r="EO230" i="1" s="1"/>
  <c r="EJ230" i="1"/>
  <c r="EM230" i="1"/>
  <c r="EM199" i="1"/>
  <c r="EL199" i="1"/>
  <c r="EK199" i="1"/>
  <c r="EN199" i="1"/>
  <c r="EO199" i="1" s="1"/>
  <c r="EJ199" i="1"/>
  <c r="AA402" i="1"/>
  <c r="AG402" i="1"/>
  <c r="E402" i="1"/>
  <c r="G402" i="1" s="1"/>
  <c r="AB402" i="1"/>
  <c r="AB403" i="1" l="1"/>
  <c r="AA403" i="1"/>
  <c r="AG403" i="1"/>
  <c r="E403" i="1"/>
  <c r="AC404" i="1"/>
  <c r="A405" i="1"/>
  <c r="AC405" i="1" l="1"/>
  <c r="A406" i="1"/>
  <c r="AG404" i="1"/>
  <c r="AB404" i="1"/>
  <c r="AA404" i="1"/>
  <c r="E404" i="1"/>
  <c r="A407" i="1" l="1"/>
  <c r="AC406" i="1"/>
  <c r="AG405" i="1"/>
  <c r="E405" i="1"/>
  <c r="AB405" i="1"/>
  <c r="AA405" i="1"/>
  <c r="AA406" i="1" l="1"/>
  <c r="AG406" i="1"/>
  <c r="E406" i="1"/>
  <c r="AB406" i="1"/>
  <c r="AC407" i="1"/>
  <c r="A408" i="1"/>
  <c r="EF123" i="1"/>
  <c r="EI123" i="1" s="1"/>
  <c r="EH123" i="1"/>
  <c r="EK123" i="1" l="1"/>
  <c r="EN123" i="1"/>
  <c r="EJ123" i="1"/>
  <c r="EM123" i="1"/>
  <c r="EL123" i="1"/>
  <c r="EI121" i="1"/>
  <c r="EI122" i="1"/>
  <c r="EI120" i="1"/>
  <c r="AC408" i="1"/>
  <c r="A409" i="1"/>
  <c r="AG407" i="1"/>
  <c r="E407" i="1"/>
  <c r="AB407" i="1"/>
  <c r="AA407" i="1"/>
  <c r="EN120" i="1" l="1"/>
  <c r="EJ120" i="1"/>
  <c r="EM120" i="1"/>
  <c r="EL120" i="1"/>
  <c r="EK120" i="1"/>
  <c r="EK122" i="1"/>
  <c r="EN122" i="1"/>
  <c r="EJ122" i="1"/>
  <c r="EM122" i="1"/>
  <c r="EL122" i="1"/>
  <c r="EM121" i="1"/>
  <c r="EL121" i="1"/>
  <c r="EK121" i="1"/>
  <c r="EN121" i="1"/>
  <c r="EJ121" i="1"/>
  <c r="AC409" i="1"/>
  <c r="A410" i="1"/>
  <c r="AG408" i="1"/>
  <c r="AB408" i="1"/>
  <c r="AA408" i="1"/>
  <c r="E408" i="1"/>
  <c r="I408" i="1" l="1"/>
  <c r="G408" i="1"/>
  <c r="AG409" i="1"/>
  <c r="E409" i="1"/>
  <c r="AB409" i="1"/>
  <c r="AA409" i="1"/>
  <c r="AC410" i="1"/>
  <c r="A411" i="1"/>
  <c r="DX440" i="1"/>
  <c r="AC411" i="1" l="1"/>
  <c r="A412" i="1"/>
  <c r="I409" i="1"/>
  <c r="AA410" i="1"/>
  <c r="AG410" i="1"/>
  <c r="E410" i="1"/>
  <c r="AB410" i="1"/>
  <c r="A413" i="1" l="1"/>
  <c r="AC412" i="1"/>
  <c r="AG411" i="1"/>
  <c r="AB411" i="1"/>
  <c r="AA411" i="1"/>
  <c r="E411" i="1"/>
  <c r="AB412" i="1" l="1"/>
  <c r="E412" i="1"/>
  <c r="I412" i="1" s="1"/>
  <c r="AA412" i="1"/>
  <c r="AG412" i="1"/>
  <c r="I411" i="1"/>
  <c r="A414" i="1"/>
  <c r="AC413" i="1"/>
  <c r="AA413" i="1" l="1"/>
  <c r="AG413" i="1"/>
  <c r="E413" i="1"/>
  <c r="AB413" i="1"/>
  <c r="A415" i="1"/>
  <c r="AC414" i="1"/>
  <c r="I413" i="1" l="1"/>
  <c r="EI237" i="1"/>
  <c r="AB414" i="1"/>
  <c r="AA414" i="1"/>
  <c r="AG414" i="1"/>
  <c r="E414" i="1"/>
  <c r="AC415" i="1"/>
  <c r="A416" i="1"/>
  <c r="A417" i="1" l="1"/>
  <c r="AC416" i="1"/>
  <c r="AG415" i="1"/>
  <c r="AB415" i="1"/>
  <c r="E415" i="1"/>
  <c r="I415" i="1" s="1"/>
  <c r="AA415" i="1"/>
  <c r="EN237" i="1"/>
  <c r="EO237" i="1" s="1"/>
  <c r="EJ237" i="1"/>
  <c r="EM237" i="1"/>
  <c r="EL237" i="1"/>
  <c r="EK237" i="1"/>
  <c r="AG416" i="1" l="1"/>
  <c r="E416" i="1"/>
  <c r="EI311" i="1" s="1"/>
  <c r="AB416" i="1"/>
  <c r="AA416" i="1"/>
  <c r="AC417" i="1"/>
  <c r="A418" i="1"/>
  <c r="AC418" i="1" l="1"/>
  <c r="A419" i="1"/>
  <c r="EL311" i="1"/>
  <c r="EH311" i="1"/>
  <c r="EK311" i="1"/>
  <c r="EN311" i="1"/>
  <c r="EO311" i="1" s="1"/>
  <c r="EJ311" i="1"/>
  <c r="EM311" i="1"/>
  <c r="AG417" i="1"/>
  <c r="E417" i="1"/>
  <c r="AB417" i="1"/>
  <c r="AA417" i="1"/>
  <c r="DS625" i="1" l="1"/>
  <c r="DR614" i="1"/>
  <c r="DS125" i="1"/>
  <c r="DU622" i="1"/>
  <c r="DO464" i="1"/>
  <c r="A420" i="1"/>
  <c r="AC419" i="1"/>
  <c r="AG418" i="1"/>
  <c r="E418" i="1"/>
  <c r="AB418" i="1"/>
  <c r="AA418" i="1"/>
  <c r="AB419" i="1" l="1"/>
  <c r="AA419" i="1"/>
  <c r="E419" i="1"/>
  <c r="AG419" i="1"/>
  <c r="A421" i="1"/>
  <c r="AC420" i="1"/>
  <c r="G419" i="1" l="1"/>
  <c r="EG52" i="1"/>
  <c r="EG53" i="1"/>
  <c r="EI52" i="1"/>
  <c r="EI53" i="1"/>
  <c r="E420" i="1"/>
  <c r="AG420" i="1"/>
  <c r="AB420" i="1"/>
  <c r="AA420" i="1"/>
  <c r="A422" i="1"/>
  <c r="AC421" i="1"/>
  <c r="AB421" i="1" l="1"/>
  <c r="E421" i="1"/>
  <c r="G421" i="1" s="1"/>
  <c r="AA421" i="1"/>
  <c r="AG421" i="1"/>
  <c r="AC422" i="1"/>
  <c r="A423" i="1"/>
  <c r="EI68" i="1"/>
  <c r="EI66" i="1"/>
  <c r="EI67" i="1"/>
  <c r="EK53" i="1"/>
  <c r="EN53" i="1"/>
  <c r="EJ53" i="1"/>
  <c r="EM53" i="1"/>
  <c r="EL53" i="1"/>
  <c r="EN52" i="1"/>
  <c r="EJ52" i="1"/>
  <c r="EM52" i="1"/>
  <c r="EL52" i="1"/>
  <c r="EK52" i="1"/>
  <c r="EL67" i="1" l="1"/>
  <c r="EK67" i="1"/>
  <c r="EN67" i="1"/>
  <c r="EJ67" i="1"/>
  <c r="EM67" i="1"/>
  <c r="EL66" i="1"/>
  <c r="EK66" i="1"/>
  <c r="EN66" i="1"/>
  <c r="EJ66" i="1"/>
  <c r="EM66" i="1"/>
  <c r="EK68" i="1"/>
  <c r="EN68" i="1"/>
  <c r="EJ68" i="1"/>
  <c r="EM68" i="1"/>
  <c r="EL68" i="1"/>
  <c r="AC423" i="1"/>
  <c r="A424" i="1"/>
  <c r="AG422" i="1"/>
  <c r="AB422" i="1"/>
  <c r="E422" i="1"/>
  <c r="G422" i="1" s="1"/>
  <c r="AA422" i="1"/>
  <c r="AG423" i="1" l="1"/>
  <c r="E423" i="1"/>
  <c r="AB423" i="1"/>
  <c r="AA423" i="1"/>
  <c r="AC424" i="1"/>
  <c r="A425" i="1"/>
  <c r="A426" i="1" l="1"/>
  <c r="AC425" i="1"/>
  <c r="AG424" i="1"/>
  <c r="AB424" i="1"/>
  <c r="AA424" i="1"/>
  <c r="E424" i="1"/>
  <c r="AA425" i="1" l="1"/>
  <c r="AG425" i="1"/>
  <c r="E425" i="1"/>
  <c r="AB425" i="1"/>
  <c r="AC426" i="1"/>
  <c r="A427" i="1"/>
  <c r="A428" i="1" l="1"/>
  <c r="AC427" i="1"/>
  <c r="AG426" i="1"/>
  <c r="E426" i="1"/>
  <c r="AB426" i="1"/>
  <c r="AA426" i="1"/>
  <c r="AA427" i="1" l="1"/>
  <c r="AG427" i="1"/>
  <c r="E427" i="1"/>
  <c r="AB427" i="1"/>
  <c r="A429" i="1"/>
  <c r="AC428" i="1"/>
  <c r="AA428" i="1" l="1"/>
  <c r="AG428" i="1"/>
  <c r="AB428" i="1"/>
  <c r="E428" i="1"/>
  <c r="G428" i="1" s="1"/>
  <c r="AC429" i="1"/>
  <c r="A430" i="1"/>
  <c r="A431" i="1" l="1"/>
  <c r="AC430" i="1"/>
  <c r="AG429" i="1"/>
  <c r="E429" i="1"/>
  <c r="AB429" i="1"/>
  <c r="AA429" i="1"/>
  <c r="AG430" i="1" l="1"/>
  <c r="E430" i="1"/>
  <c r="AB430" i="1"/>
  <c r="AA430" i="1"/>
  <c r="AC431" i="1"/>
  <c r="A432" i="1"/>
  <c r="AC432" i="1" l="1"/>
  <c r="A433" i="1"/>
  <c r="AG431" i="1"/>
  <c r="AB431" i="1"/>
  <c r="AA431" i="1"/>
  <c r="E431" i="1"/>
  <c r="A434" i="1" l="1"/>
  <c r="AC433" i="1"/>
  <c r="AG432" i="1"/>
  <c r="AB432" i="1"/>
  <c r="E432" i="1"/>
  <c r="AA432" i="1"/>
  <c r="AA433" i="1" l="1"/>
  <c r="E433" i="1"/>
  <c r="AG433" i="1"/>
  <c r="AB433" i="1"/>
  <c r="G432" i="1"/>
  <c r="EI207" i="1"/>
  <c r="EI248" i="1"/>
  <c r="A435" i="1"/>
  <c r="AC434" i="1"/>
  <c r="AC435" i="1" l="1"/>
  <c r="A436" i="1"/>
  <c r="EL248" i="1"/>
  <c r="EJ248" i="1"/>
  <c r="EN248" i="1"/>
  <c r="EO248" i="1" s="1"/>
  <c r="EM248" i="1"/>
  <c r="EK248" i="1"/>
  <c r="EM207" i="1"/>
  <c r="EL207" i="1"/>
  <c r="EK207" i="1"/>
  <c r="EJ207" i="1"/>
  <c r="EN207" i="1"/>
  <c r="EO207" i="1" s="1"/>
  <c r="AB434" i="1"/>
  <c r="E434" i="1"/>
  <c r="G434" i="1" s="1"/>
  <c r="AA434" i="1"/>
  <c r="AG434" i="1"/>
  <c r="AC436" i="1" l="1"/>
  <c r="A437" i="1"/>
  <c r="AB435" i="1"/>
  <c r="AA435" i="1"/>
  <c r="E435" i="1"/>
  <c r="AG435" i="1"/>
  <c r="G435" i="1" l="1"/>
  <c r="M435" i="1"/>
  <c r="A438" i="1"/>
  <c r="AC437" i="1"/>
  <c r="AG436" i="1"/>
  <c r="AB436" i="1"/>
  <c r="AA436" i="1"/>
  <c r="E436" i="1"/>
  <c r="AA437" i="1" l="1"/>
  <c r="E437" i="1"/>
  <c r="AG437" i="1"/>
  <c r="AB437" i="1"/>
  <c r="EI309" i="1"/>
  <c r="A439" i="1"/>
  <c r="AC438" i="1"/>
  <c r="DU789" i="1" l="1"/>
  <c r="DX783" i="1"/>
  <c r="DV632" i="1"/>
  <c r="DT616" i="1"/>
  <c r="DW519" i="1"/>
  <c r="DX481" i="1"/>
  <c r="DW466" i="1"/>
  <c r="DP462" i="1"/>
  <c r="DV425" i="1"/>
  <c r="DT409" i="1"/>
  <c r="DY505" i="1"/>
  <c r="DV353" i="1"/>
  <c r="DX133" i="1"/>
  <c r="DW128" i="1"/>
  <c r="DT234" i="1"/>
  <c r="DV120" i="1"/>
  <c r="DV112" i="1"/>
  <c r="AC439" i="1"/>
  <c r="A440" i="1"/>
  <c r="EL309" i="1"/>
  <c r="EH309" i="1"/>
  <c r="EK309" i="1"/>
  <c r="EN309" i="1"/>
  <c r="EO309" i="1" s="1"/>
  <c r="EJ309" i="1"/>
  <c r="EM309" i="1"/>
  <c r="G437" i="1"/>
  <c r="AB438" i="1"/>
  <c r="AA438" i="1"/>
  <c r="E438" i="1"/>
  <c r="G438" i="1" s="1"/>
  <c r="AG438" i="1"/>
  <c r="AC440" i="1" l="1"/>
  <c r="A441" i="1"/>
  <c r="AB439" i="1"/>
  <c r="E439" i="1"/>
  <c r="G439" i="1" s="1"/>
  <c r="AA439" i="1"/>
  <c r="AG439" i="1"/>
  <c r="A442" i="1" l="1"/>
  <c r="AC441" i="1"/>
  <c r="AG440" i="1"/>
  <c r="AB440" i="1"/>
  <c r="E440" i="1"/>
  <c r="G440" i="1" s="1"/>
  <c r="AA440" i="1"/>
  <c r="AB441" i="1" l="1"/>
  <c r="AA441" i="1"/>
  <c r="E441" i="1"/>
  <c r="AG441" i="1"/>
  <c r="A443" i="1"/>
  <c r="AC442" i="1"/>
  <c r="G441" i="1" l="1"/>
  <c r="AG442" i="1"/>
  <c r="AB442" i="1"/>
  <c r="AA442" i="1"/>
  <c r="E442" i="1"/>
  <c r="A444" i="1"/>
  <c r="AC443" i="1"/>
  <c r="A445" i="1" l="1"/>
  <c r="AC444" i="1"/>
  <c r="AB443" i="1"/>
  <c r="AA443" i="1"/>
  <c r="E443" i="1"/>
  <c r="AG443" i="1"/>
  <c r="AG444" i="1" l="1"/>
  <c r="E444" i="1"/>
  <c r="AB444" i="1"/>
  <c r="AA444" i="1"/>
  <c r="G443" i="1"/>
  <c r="EH352" i="1"/>
  <c r="EI352" i="1"/>
  <c r="AC445" i="1"/>
  <c r="A446" i="1"/>
  <c r="DU490" i="1" l="1"/>
  <c r="AG445" i="1"/>
  <c r="AB445" i="1"/>
  <c r="AA445" i="1"/>
  <c r="E445" i="1"/>
  <c r="EK352" i="1"/>
  <c r="EN352" i="1"/>
  <c r="EO352" i="1" s="1"/>
  <c r="EJ352" i="1"/>
  <c r="EM352" i="1"/>
  <c r="EL352" i="1"/>
  <c r="AC446" i="1"/>
  <c r="A447" i="1"/>
  <c r="M445" i="1" l="1"/>
  <c r="G445" i="1"/>
  <c r="AC447" i="1"/>
  <c r="A448" i="1"/>
  <c r="AG446" i="1"/>
  <c r="AB446" i="1"/>
  <c r="E446" i="1"/>
  <c r="G446" i="1" s="1"/>
  <c r="AA446" i="1"/>
  <c r="AC448" i="1" l="1"/>
  <c r="A449" i="1"/>
  <c r="AG447" i="1"/>
  <c r="E447" i="1"/>
  <c r="AB447" i="1"/>
  <c r="AA447" i="1"/>
  <c r="DW671" i="1" l="1"/>
  <c r="DX268" i="1"/>
  <c r="DT187" i="1"/>
  <c r="A450" i="1"/>
  <c r="AC449" i="1"/>
  <c r="AG448" i="1"/>
  <c r="AB448" i="1"/>
  <c r="E448" i="1"/>
  <c r="G448" i="1" s="1"/>
  <c r="AA448" i="1"/>
  <c r="AB449" i="1" l="1"/>
  <c r="AA449" i="1"/>
  <c r="E449" i="1"/>
  <c r="AG449" i="1"/>
  <c r="A451" i="1"/>
  <c r="AC450" i="1"/>
  <c r="DQ767" i="1" l="1"/>
  <c r="DT479" i="1"/>
  <c r="DW570" i="1"/>
  <c r="E450" i="1"/>
  <c r="EI353" i="1" s="1"/>
  <c r="AG450" i="1"/>
  <c r="AB450" i="1"/>
  <c r="AA450" i="1"/>
  <c r="A452" i="1"/>
  <c r="AC451" i="1"/>
  <c r="AB451" i="1" l="1"/>
  <c r="E451" i="1"/>
  <c r="G451" i="1" s="1"/>
  <c r="AA451" i="1"/>
  <c r="AG451" i="1"/>
  <c r="EK353" i="1"/>
  <c r="EN353" i="1"/>
  <c r="EO353" i="1" s="1"/>
  <c r="EJ353" i="1"/>
  <c r="EM353" i="1"/>
  <c r="EL353" i="1"/>
  <c r="AC452" i="1"/>
  <c r="A453" i="1"/>
  <c r="AG452" i="1" l="1"/>
  <c r="AB452" i="1"/>
  <c r="AA452" i="1"/>
  <c r="E452" i="1"/>
  <c r="AC453" i="1"/>
  <c r="A454" i="1"/>
  <c r="M452" i="1" l="1"/>
  <c r="H452" i="1"/>
  <c r="G452" i="1"/>
  <c r="A455" i="1"/>
  <c r="AC454" i="1"/>
  <c r="AG453" i="1"/>
  <c r="E453" i="1"/>
  <c r="AB453" i="1"/>
  <c r="AA453" i="1"/>
  <c r="A456" i="1" l="1"/>
  <c r="AC455" i="1"/>
  <c r="AA454" i="1"/>
  <c r="AG454" i="1"/>
  <c r="E454" i="1"/>
  <c r="AB454" i="1"/>
  <c r="DS643" i="1"/>
  <c r="DS546" i="1" l="1"/>
  <c r="DS129" i="1"/>
  <c r="DV151" i="1"/>
  <c r="DW155" i="1"/>
  <c r="DV177" i="1"/>
  <c r="DU656" i="1"/>
  <c r="DY500" i="1"/>
  <c r="DX529" i="1"/>
  <c r="DV507" i="1"/>
  <c r="DU380" i="1"/>
  <c r="DV320" i="1"/>
  <c r="DY378" i="1"/>
  <c r="DX326" i="1"/>
  <c r="DX275" i="1"/>
  <c r="DV330" i="1"/>
  <c r="DV192" i="1"/>
  <c r="DV756" i="1"/>
  <c r="AA455" i="1"/>
  <c r="AG455" i="1"/>
  <c r="AB455" i="1"/>
  <c r="E455" i="1"/>
  <c r="A457" i="1"/>
  <c r="AC456" i="1"/>
  <c r="G455" i="1" l="1"/>
  <c r="EI239" i="1"/>
  <c r="EI241" i="1"/>
  <c r="EI206" i="1"/>
  <c r="EI231" i="1"/>
  <c r="AB456" i="1"/>
  <c r="E456" i="1"/>
  <c r="G456" i="1" s="1"/>
  <c r="AA456" i="1"/>
  <c r="AG456" i="1"/>
  <c r="AC457" i="1"/>
  <c r="A458" i="1"/>
  <c r="EN206" i="1" l="1"/>
  <c r="EO206" i="1" s="1"/>
  <c r="EJ206" i="1"/>
  <c r="EM206" i="1"/>
  <c r="EL206" i="1"/>
  <c r="EK206" i="1"/>
  <c r="A459" i="1"/>
  <c r="AC458" i="1"/>
  <c r="EN241" i="1"/>
  <c r="EO241" i="1" s="1"/>
  <c r="EJ241" i="1"/>
  <c r="EL241" i="1"/>
  <c r="EK241" i="1"/>
  <c r="EM241" i="1"/>
  <c r="AG457" i="1"/>
  <c r="AB457" i="1"/>
  <c r="AA457" i="1"/>
  <c r="E457" i="1"/>
  <c r="EM239" i="1"/>
  <c r="EJ239" i="1"/>
  <c r="EN239" i="1"/>
  <c r="EO239" i="1" s="1"/>
  <c r="EL239" i="1"/>
  <c r="EK239" i="1"/>
  <c r="EK231" i="1"/>
  <c r="EN231" i="1"/>
  <c r="EO231" i="1" s="1"/>
  <c r="EJ231" i="1"/>
  <c r="EM231" i="1"/>
  <c r="EL231" i="1"/>
  <c r="M457" i="1" l="1"/>
  <c r="G457" i="1"/>
  <c r="AB458" i="1"/>
  <c r="E458" i="1"/>
  <c r="G458" i="1" s="1"/>
  <c r="AG458" i="1"/>
  <c r="AG167" i="1" s="1"/>
  <c r="AA458" i="1"/>
  <c r="AC459" i="1"/>
  <c r="A460" i="1"/>
  <c r="A461" i="1" l="1"/>
  <c r="AC460" i="1"/>
  <c r="AG459" i="1"/>
  <c r="E459" i="1"/>
  <c r="AB459" i="1"/>
  <c r="AA459" i="1"/>
  <c r="G459" i="1" l="1"/>
  <c r="EI200" i="1"/>
  <c r="EI243" i="1"/>
  <c r="AB460" i="1"/>
  <c r="E460" i="1"/>
  <c r="AA460" i="1"/>
  <c r="AG460" i="1"/>
  <c r="A462" i="1"/>
  <c r="AC461" i="1"/>
  <c r="A463" i="1" l="1"/>
  <c r="AC462" i="1"/>
  <c r="EM243" i="1"/>
  <c r="EN243" i="1"/>
  <c r="EO243" i="1" s="1"/>
  <c r="EG243" i="1"/>
  <c r="EL243" i="1"/>
  <c r="EK243" i="1"/>
  <c r="EJ243" i="1"/>
  <c r="EN200" i="1"/>
  <c r="EO200" i="1" s="1"/>
  <c r="EJ200" i="1"/>
  <c r="EM200" i="1"/>
  <c r="EL200" i="1"/>
  <c r="EK200" i="1"/>
  <c r="AA461" i="1"/>
  <c r="E461" i="1"/>
  <c r="G461" i="1" s="1"/>
  <c r="AB461" i="1"/>
  <c r="AG461" i="1"/>
  <c r="G460" i="1"/>
  <c r="EI69" i="1"/>
  <c r="EI71" i="1"/>
  <c r="EI70" i="1"/>
  <c r="EI201" i="1"/>
  <c r="EI228" i="1"/>
  <c r="EK228" i="1" l="1"/>
  <c r="EN228" i="1"/>
  <c r="EO228" i="1" s="1"/>
  <c r="EJ228" i="1"/>
  <c r="EM228" i="1"/>
  <c r="EL228" i="1"/>
  <c r="EL71" i="1"/>
  <c r="EK71" i="1"/>
  <c r="EN71" i="1"/>
  <c r="EJ71" i="1"/>
  <c r="EM71" i="1"/>
  <c r="EN69" i="1"/>
  <c r="EJ69" i="1"/>
  <c r="EM69" i="1"/>
  <c r="EL69" i="1"/>
  <c r="EK69" i="1"/>
  <c r="EK201" i="1"/>
  <c r="EN201" i="1"/>
  <c r="EO201" i="1" s="1"/>
  <c r="EJ201" i="1"/>
  <c r="EM201" i="1"/>
  <c r="EL201" i="1"/>
  <c r="AA462" i="1"/>
  <c r="AB462" i="1"/>
  <c r="AG462" i="1"/>
  <c r="E462" i="1"/>
  <c r="EL70" i="1"/>
  <c r="EK70" i="1"/>
  <c r="EN70" i="1"/>
  <c r="EJ70" i="1"/>
  <c r="EM70" i="1"/>
  <c r="A464" i="1"/>
  <c r="AC463" i="1"/>
  <c r="AA463" i="1" l="1"/>
  <c r="E463" i="1"/>
  <c r="M463" i="1" s="1"/>
  <c r="AB463" i="1"/>
  <c r="AG463" i="1"/>
  <c r="A465" i="1"/>
  <c r="AC464" i="1"/>
  <c r="G462" i="1"/>
  <c r="EI192" i="1"/>
  <c r="EI84" i="1"/>
  <c r="EM192" i="1" l="1"/>
  <c r="EL192" i="1"/>
  <c r="EK192" i="1"/>
  <c r="EJ192" i="1"/>
  <c r="EN192" i="1"/>
  <c r="EO192" i="1" s="1"/>
  <c r="AA464" i="1"/>
  <c r="AB464" i="1"/>
  <c r="AG464" i="1"/>
  <c r="E464" i="1"/>
  <c r="G464" i="1" s="1"/>
  <c r="EN84" i="1"/>
  <c r="EJ84" i="1"/>
  <c r="EM84" i="1"/>
  <c r="EL84" i="1"/>
  <c r="EK84" i="1"/>
  <c r="A466" i="1"/>
  <c r="AC465" i="1"/>
  <c r="A467" i="1" l="1"/>
  <c r="AC466" i="1"/>
  <c r="AA465" i="1"/>
  <c r="AG465" i="1"/>
  <c r="E465" i="1"/>
  <c r="AB465" i="1"/>
  <c r="AG466" i="1" l="1"/>
  <c r="AB466" i="1"/>
  <c r="AA466" i="1"/>
  <c r="E466" i="1"/>
  <c r="G466" i="1" s="1"/>
  <c r="A468" i="1"/>
  <c r="AC467" i="1"/>
  <c r="AB467" i="1" l="1"/>
  <c r="E467" i="1"/>
  <c r="G467" i="1" s="1"/>
  <c r="AA467" i="1"/>
  <c r="AG467" i="1"/>
  <c r="A469" i="1"/>
  <c r="AC468" i="1"/>
  <c r="DR632" i="1" l="1"/>
  <c r="AG468" i="1"/>
  <c r="AB468" i="1"/>
  <c r="AA468" i="1"/>
  <c r="E468" i="1"/>
  <c r="G468" i="1" s="1"/>
  <c r="AC469" i="1"/>
  <c r="A470" i="1"/>
  <c r="A471" i="1" l="1"/>
  <c r="AC470" i="1"/>
  <c r="AA469" i="1"/>
  <c r="E469" i="1"/>
  <c r="AB469" i="1"/>
  <c r="AG469" i="1"/>
  <c r="G469" i="1" l="1"/>
  <c r="AG470" i="1"/>
  <c r="E470" i="1"/>
  <c r="AB470" i="1"/>
  <c r="AA470" i="1"/>
  <c r="A472" i="1"/>
  <c r="AC471" i="1"/>
  <c r="AB471" i="1" l="1"/>
  <c r="E471" i="1"/>
  <c r="G471" i="1" s="1"/>
  <c r="AA471" i="1"/>
  <c r="AG471" i="1"/>
  <c r="G470" i="1"/>
  <c r="EI244" i="1"/>
  <c r="EI196" i="1"/>
  <c r="A473" i="1"/>
  <c r="AC472" i="1"/>
  <c r="EM244" i="1" l="1"/>
  <c r="EJ244" i="1"/>
  <c r="EN244" i="1"/>
  <c r="EO244" i="1" s="1"/>
  <c r="EL244" i="1"/>
  <c r="EK244" i="1"/>
  <c r="AA472" i="1"/>
  <c r="AG472" i="1"/>
  <c r="E472" i="1"/>
  <c r="G472" i="1" s="1"/>
  <c r="AB472" i="1"/>
  <c r="AC473" i="1"/>
  <c r="A474" i="1"/>
  <c r="EL196" i="1"/>
  <c r="EK196" i="1"/>
  <c r="EN196" i="1"/>
  <c r="EO196" i="1" s="1"/>
  <c r="EJ196" i="1"/>
  <c r="EM196" i="1"/>
  <c r="A475" i="1" l="1"/>
  <c r="AC474" i="1"/>
  <c r="AG473" i="1"/>
  <c r="E473" i="1"/>
  <c r="AB473" i="1"/>
  <c r="AA473" i="1"/>
  <c r="AG474" i="1" l="1"/>
  <c r="E474" i="1"/>
  <c r="AA474" i="1"/>
  <c r="AB474" i="1"/>
  <c r="A476" i="1"/>
  <c r="AC475" i="1"/>
  <c r="AA475" i="1" l="1"/>
  <c r="AB475" i="1"/>
  <c r="AG475" i="1"/>
  <c r="E475" i="1"/>
  <c r="G475" i="1" s="1"/>
  <c r="A477" i="1"/>
  <c r="AC476" i="1"/>
  <c r="AB476" i="1" l="1"/>
  <c r="AA476" i="1"/>
  <c r="E476" i="1"/>
  <c r="AG476" i="1"/>
  <c r="AC477" i="1"/>
  <c r="A478" i="1"/>
  <c r="G476" i="1" l="1"/>
  <c r="AC478" i="1"/>
  <c r="A479" i="1"/>
  <c r="AA477" i="1"/>
  <c r="E477" i="1"/>
  <c r="AG477" i="1"/>
  <c r="AB477" i="1"/>
  <c r="AC479" i="1" l="1"/>
  <c r="A480" i="1"/>
  <c r="AG478" i="1"/>
  <c r="AB478" i="1"/>
  <c r="E478" i="1"/>
  <c r="G478" i="1" s="1"/>
  <c r="AA478" i="1"/>
  <c r="G477" i="1"/>
  <c r="AC480" i="1" l="1"/>
  <c r="A481" i="1"/>
  <c r="AG479" i="1"/>
  <c r="AB479" i="1"/>
  <c r="E479" i="1"/>
  <c r="G479" i="1" s="1"/>
  <c r="AA479" i="1"/>
  <c r="A482" i="1" l="1"/>
  <c r="AC481" i="1"/>
  <c r="AG480" i="1"/>
  <c r="E480" i="1"/>
  <c r="G480" i="1" s="1"/>
  <c r="AB480" i="1"/>
  <c r="AA480" i="1"/>
  <c r="AB481" i="1" l="1"/>
  <c r="AA481" i="1"/>
  <c r="E481" i="1"/>
  <c r="AG481" i="1"/>
  <c r="A483" i="1"/>
  <c r="AC482" i="1"/>
  <c r="G481" i="1" l="1"/>
  <c r="AA482" i="1"/>
  <c r="AB482" i="1"/>
  <c r="AG482" i="1"/>
  <c r="E482" i="1"/>
  <c r="AC483" i="1"/>
  <c r="A484" i="1"/>
  <c r="AC484" i="1" l="1"/>
  <c r="A485" i="1"/>
  <c r="AG483" i="1"/>
  <c r="AB483" i="1"/>
  <c r="E483" i="1"/>
  <c r="G483" i="1" s="1"/>
  <c r="AA483" i="1"/>
  <c r="A486" i="1" l="1"/>
  <c r="AC485" i="1"/>
  <c r="AG484" i="1"/>
  <c r="E484" i="1"/>
  <c r="AA484" i="1"/>
  <c r="AB484" i="1"/>
  <c r="AA485" i="1" l="1"/>
  <c r="AB485" i="1"/>
  <c r="AG485" i="1"/>
  <c r="E485" i="1"/>
  <c r="AC486" i="1"/>
  <c r="A487" i="1"/>
  <c r="A488" i="1" l="1"/>
  <c r="AC487" i="1"/>
  <c r="E486" i="1"/>
  <c r="AG486" i="1"/>
  <c r="AB486" i="1"/>
  <c r="AA486" i="1"/>
  <c r="AG487" i="1" l="1"/>
  <c r="E487" i="1"/>
  <c r="AB487" i="1"/>
  <c r="AA487" i="1"/>
  <c r="AC488" i="1"/>
  <c r="A489" i="1"/>
  <c r="AG488" i="1" l="1"/>
  <c r="E488" i="1"/>
  <c r="AB488" i="1"/>
  <c r="AA488" i="1"/>
  <c r="A490" i="1"/>
  <c r="AC489" i="1"/>
  <c r="AA489" i="1" l="1"/>
  <c r="AB489" i="1"/>
  <c r="AG489" i="1"/>
  <c r="E489" i="1"/>
  <c r="AC490" i="1"/>
  <c r="A491" i="1"/>
  <c r="AC491" i="1" l="1"/>
  <c r="A492" i="1"/>
  <c r="AG490" i="1"/>
  <c r="AB490" i="1"/>
  <c r="E490" i="1"/>
  <c r="G490" i="1" s="1"/>
  <c r="AA490" i="1"/>
  <c r="A493" i="1" l="1"/>
  <c r="AC492" i="1"/>
  <c r="AG491" i="1"/>
  <c r="AA491" i="1"/>
  <c r="E491" i="1"/>
  <c r="AB491" i="1"/>
  <c r="AG492" i="1" l="1"/>
  <c r="E492" i="1"/>
  <c r="AB492" i="1"/>
  <c r="AA492" i="1"/>
  <c r="AC493" i="1"/>
  <c r="A494" i="1"/>
  <c r="AC494" i="1" l="1"/>
  <c r="A495" i="1"/>
  <c r="AG493" i="1"/>
  <c r="E493" i="1"/>
  <c r="AB493" i="1"/>
  <c r="AA493" i="1"/>
  <c r="AC495" i="1" l="1"/>
  <c r="A496" i="1"/>
  <c r="AG494" i="1"/>
  <c r="AB494" i="1"/>
  <c r="E494" i="1"/>
  <c r="G494" i="1" s="1"/>
  <c r="AA494" i="1"/>
  <c r="A497" i="1" l="1"/>
  <c r="AC496" i="1"/>
  <c r="AG495" i="1"/>
  <c r="AB495" i="1"/>
  <c r="AA495" i="1"/>
  <c r="E495" i="1"/>
  <c r="AB496" i="1" l="1"/>
  <c r="E496" i="1"/>
  <c r="G496" i="1" s="1"/>
  <c r="AA496" i="1"/>
  <c r="AG496" i="1"/>
  <c r="AC497" i="1"/>
  <c r="A498" i="1"/>
  <c r="A499" i="1" l="1"/>
  <c r="AC498" i="1"/>
  <c r="AG497" i="1"/>
  <c r="AB497" i="1"/>
  <c r="AA497" i="1"/>
  <c r="E497" i="1"/>
  <c r="AA498" i="1" l="1"/>
  <c r="E498" i="1"/>
  <c r="AG498" i="1"/>
  <c r="AB498" i="1"/>
  <c r="G497" i="1"/>
  <c r="AC499" i="1"/>
  <c r="A500" i="1"/>
  <c r="AG499" i="1" l="1"/>
  <c r="AB499" i="1"/>
  <c r="E499" i="1"/>
  <c r="G499" i="1" s="1"/>
  <c r="AA499" i="1"/>
  <c r="A501" i="1"/>
  <c r="AC500" i="1"/>
  <c r="AA500" i="1" l="1"/>
  <c r="AG500" i="1"/>
  <c r="E500" i="1"/>
  <c r="AB500" i="1"/>
  <c r="AC501" i="1"/>
  <c r="A502" i="1"/>
  <c r="DU535" i="1"/>
  <c r="AC502" i="1" l="1"/>
  <c r="A503" i="1"/>
  <c r="AG501" i="1"/>
  <c r="E501" i="1"/>
  <c r="AB501" i="1"/>
  <c r="AA501" i="1"/>
  <c r="AC503" i="1" l="1"/>
  <c r="A504" i="1"/>
  <c r="AG502" i="1"/>
  <c r="AB502" i="1"/>
  <c r="E502" i="1"/>
  <c r="G502" i="1" s="1"/>
  <c r="AA502" i="1"/>
  <c r="A505" i="1" l="1"/>
  <c r="AC504" i="1"/>
  <c r="AG503" i="1"/>
  <c r="AB503" i="1"/>
  <c r="E503" i="1"/>
  <c r="AA503" i="1"/>
  <c r="AB504" i="1" l="1"/>
  <c r="E504" i="1"/>
  <c r="G504" i="1" s="1"/>
  <c r="AA504" i="1"/>
  <c r="AG504" i="1"/>
  <c r="G503" i="1"/>
  <c r="EI335" i="1"/>
  <c r="EI235" i="1"/>
  <c r="EI203" i="1"/>
  <c r="A506" i="1"/>
  <c r="AC505" i="1"/>
  <c r="EM203" i="1" l="1"/>
  <c r="EL203" i="1"/>
  <c r="EK203" i="1"/>
  <c r="EJ203" i="1"/>
  <c r="EN203" i="1"/>
  <c r="EO203" i="1" s="1"/>
  <c r="EL235" i="1"/>
  <c r="EK235" i="1"/>
  <c r="EN235" i="1"/>
  <c r="EO235" i="1" s="1"/>
  <c r="EJ235" i="1"/>
  <c r="EM235" i="1"/>
  <c r="EL335" i="1"/>
  <c r="EK335" i="1"/>
  <c r="EN335" i="1"/>
  <c r="EO335" i="1" s="1"/>
  <c r="EJ335" i="1"/>
  <c r="EM335" i="1"/>
  <c r="AB505" i="1"/>
  <c r="E505" i="1"/>
  <c r="AA505" i="1"/>
  <c r="AG505" i="1"/>
  <c r="AC506" i="1"/>
  <c r="A507" i="1"/>
  <c r="A508" i="1" l="1"/>
  <c r="AC507" i="1"/>
  <c r="AG506" i="1"/>
  <c r="E506" i="1"/>
  <c r="AB506" i="1"/>
  <c r="AA506" i="1"/>
  <c r="AG507" i="1" l="1"/>
  <c r="E507" i="1"/>
  <c r="AB507" i="1"/>
  <c r="AA507" i="1"/>
  <c r="A509" i="1"/>
  <c r="AC508" i="1"/>
  <c r="AB508" i="1" l="1"/>
  <c r="AA508" i="1"/>
  <c r="AG508" i="1"/>
  <c r="E508" i="1"/>
  <c r="AC509" i="1"/>
  <c r="A510" i="1"/>
  <c r="AC510" i="1" l="1"/>
  <c r="A511" i="1"/>
  <c r="AG509" i="1"/>
  <c r="E509" i="1"/>
  <c r="AB509" i="1"/>
  <c r="AA509" i="1"/>
  <c r="AC511" i="1" l="1"/>
  <c r="A512" i="1"/>
  <c r="AG510" i="1"/>
  <c r="E510" i="1"/>
  <c r="AB510" i="1"/>
  <c r="AA510" i="1"/>
  <c r="AG511" i="1" l="1"/>
  <c r="E511" i="1"/>
  <c r="AB511" i="1"/>
  <c r="AA511" i="1"/>
  <c r="AC512" i="1"/>
  <c r="A513" i="1"/>
  <c r="DT535" i="1" l="1"/>
  <c r="AC513" i="1"/>
  <c r="A514" i="1"/>
  <c r="AG512" i="1"/>
  <c r="E512" i="1"/>
  <c r="AB512" i="1"/>
  <c r="AA512" i="1"/>
  <c r="A515" i="1" l="1"/>
  <c r="AC514" i="1"/>
  <c r="AG513" i="1"/>
  <c r="E513" i="1"/>
  <c r="AB513" i="1"/>
  <c r="AA513" i="1"/>
  <c r="AB514" i="1" l="1"/>
  <c r="AA514" i="1"/>
  <c r="E514" i="1"/>
  <c r="AG514" i="1"/>
  <c r="A516" i="1"/>
  <c r="AC515" i="1"/>
  <c r="AG515" i="1" l="1"/>
  <c r="E515" i="1"/>
  <c r="AB515" i="1"/>
  <c r="AA515" i="1"/>
  <c r="A517" i="1"/>
  <c r="AC516" i="1"/>
  <c r="A518" i="1" l="1"/>
  <c r="AC517" i="1"/>
  <c r="AB516" i="1"/>
  <c r="AA516" i="1"/>
  <c r="E516" i="1"/>
  <c r="AG516" i="1"/>
  <c r="AA517" i="1" l="1"/>
  <c r="AG517" i="1"/>
  <c r="AB517" i="1"/>
  <c r="E517" i="1"/>
  <c r="A519" i="1"/>
  <c r="AC518" i="1"/>
  <c r="G517" i="1" l="1"/>
  <c r="AB518" i="1"/>
  <c r="AA518" i="1"/>
  <c r="AG518" i="1"/>
  <c r="E518" i="1"/>
  <c r="A520" i="1"/>
  <c r="AC519" i="1"/>
  <c r="AA519" i="1" l="1"/>
  <c r="E519" i="1"/>
  <c r="AG519" i="1"/>
  <c r="AB519" i="1"/>
  <c r="AC520" i="1"/>
  <c r="A521" i="1"/>
  <c r="DY783" i="1" l="1"/>
  <c r="DT735" i="1"/>
  <c r="DT627" i="1"/>
  <c r="DW210" i="1"/>
  <c r="DY296" i="1"/>
  <c r="A522" i="1"/>
  <c r="AC521" i="1"/>
  <c r="AG520" i="1"/>
  <c r="E520" i="1"/>
  <c r="AB520" i="1"/>
  <c r="AA520" i="1"/>
  <c r="AA521" i="1" l="1"/>
  <c r="AG521" i="1"/>
  <c r="E521" i="1"/>
  <c r="AB521" i="1"/>
  <c r="A523" i="1"/>
  <c r="AC522" i="1"/>
  <c r="AA522" i="1" l="1"/>
  <c r="E522" i="1"/>
  <c r="AG522" i="1"/>
  <c r="AB522" i="1"/>
  <c r="AC523" i="1"/>
  <c r="A524" i="1"/>
  <c r="A525" i="1" l="1"/>
  <c r="AC524" i="1"/>
  <c r="AB523" i="1"/>
  <c r="AA523" i="1"/>
  <c r="AG523" i="1"/>
  <c r="E523" i="1"/>
  <c r="AA524" i="1" l="1"/>
  <c r="AG524" i="1"/>
  <c r="E524" i="1"/>
  <c r="AB524" i="1"/>
  <c r="A526" i="1"/>
  <c r="AC525" i="1"/>
  <c r="AB525" i="1" l="1"/>
  <c r="AA525" i="1"/>
  <c r="E525" i="1"/>
  <c r="AG525" i="1"/>
  <c r="A527" i="1"/>
  <c r="AC526" i="1"/>
  <c r="AB526" i="1" l="1"/>
  <c r="E526" i="1"/>
  <c r="AA526" i="1"/>
  <c r="AG526" i="1"/>
  <c r="AC527" i="1"/>
  <c r="A528" i="1"/>
  <c r="A529" i="1" l="1"/>
  <c r="AC528" i="1"/>
  <c r="G526" i="1"/>
  <c r="EI308" i="1"/>
  <c r="AG527" i="1"/>
  <c r="AB527" i="1"/>
  <c r="E527" i="1"/>
  <c r="G527" i="1" s="1"/>
  <c r="AA527" i="1"/>
  <c r="EM308" i="1" l="1"/>
  <c r="EL308" i="1"/>
  <c r="EH308" i="1"/>
  <c r="EK308" i="1"/>
  <c r="EN308" i="1"/>
  <c r="EO308" i="1" s="1"/>
  <c r="EJ308" i="1"/>
  <c r="AG528" i="1"/>
  <c r="AB528" i="1"/>
  <c r="E528" i="1"/>
  <c r="G528" i="1" s="1"/>
  <c r="AA528" i="1"/>
  <c r="A530" i="1"/>
  <c r="AC529" i="1"/>
  <c r="AA529" i="1" l="1"/>
  <c r="AG529" i="1"/>
  <c r="E529" i="1"/>
  <c r="AB529" i="1"/>
  <c r="AC530" i="1"/>
  <c r="A531" i="1"/>
  <c r="AC531" i="1" l="1"/>
  <c r="A532" i="1"/>
  <c r="AG530" i="1"/>
  <c r="E530" i="1"/>
  <c r="AB530" i="1"/>
  <c r="AA530" i="1"/>
  <c r="A533" i="1" l="1"/>
  <c r="AC532" i="1"/>
  <c r="AG531" i="1"/>
  <c r="E531" i="1"/>
  <c r="AB531" i="1"/>
  <c r="AA531" i="1"/>
  <c r="AG532" i="1" l="1"/>
  <c r="E532" i="1"/>
  <c r="AB532" i="1"/>
  <c r="AA532" i="1"/>
  <c r="A534" i="1"/>
  <c r="AC533" i="1"/>
  <c r="AB533" i="1" l="1"/>
  <c r="E533" i="1"/>
  <c r="G533" i="1" s="1"/>
  <c r="AA533" i="1"/>
  <c r="AG533" i="1"/>
  <c r="EI319" i="1"/>
  <c r="AC534" i="1"/>
  <c r="A535" i="1"/>
  <c r="AC535" i="1" l="1"/>
  <c r="A536" i="1"/>
  <c r="AG534" i="1"/>
  <c r="E534" i="1"/>
  <c r="AB534" i="1"/>
  <c r="AA534" i="1"/>
  <c r="EM319" i="1"/>
  <c r="EL319" i="1"/>
  <c r="EK319" i="1"/>
  <c r="EN319" i="1"/>
  <c r="EO319" i="1" s="1"/>
  <c r="EJ319" i="1"/>
  <c r="A537" i="1" l="1"/>
  <c r="AC536" i="1"/>
  <c r="AG535" i="1"/>
  <c r="E535" i="1"/>
  <c r="AB535" i="1"/>
  <c r="AA535" i="1"/>
  <c r="AG536" i="1" l="1"/>
  <c r="E536" i="1"/>
  <c r="AB536" i="1"/>
  <c r="AA536" i="1"/>
  <c r="A538" i="1"/>
  <c r="AC537" i="1"/>
  <c r="AG537" i="1" l="1"/>
  <c r="E537" i="1"/>
  <c r="AB537" i="1"/>
  <c r="AA537" i="1"/>
  <c r="AC538" i="1"/>
  <c r="A539" i="1"/>
  <c r="A540" i="1" l="1"/>
  <c r="AC539" i="1"/>
  <c r="AB538" i="1"/>
  <c r="AA538" i="1"/>
  <c r="AG538" i="1"/>
  <c r="E538" i="1"/>
  <c r="AA539" i="1" l="1"/>
  <c r="AG539" i="1"/>
  <c r="E539" i="1"/>
  <c r="AB539" i="1"/>
  <c r="A541" i="1"/>
  <c r="AC540" i="1"/>
  <c r="AB540" i="1" l="1"/>
  <c r="AA540" i="1"/>
  <c r="AG540" i="1"/>
  <c r="E540" i="1"/>
  <c r="AC541" i="1"/>
  <c r="A542" i="1"/>
  <c r="A543" i="1" l="1"/>
  <c r="AC542" i="1"/>
  <c r="AG541" i="1"/>
  <c r="E541" i="1"/>
  <c r="AB541" i="1"/>
  <c r="AA541" i="1"/>
  <c r="AG542" i="1" l="1"/>
  <c r="E542" i="1"/>
  <c r="AA542" i="1"/>
  <c r="AB542" i="1"/>
  <c r="A544" i="1"/>
  <c r="AC543" i="1"/>
  <c r="E543" i="1" l="1"/>
  <c r="AG543" i="1"/>
  <c r="AB543" i="1"/>
  <c r="AA543" i="1"/>
  <c r="A545" i="1"/>
  <c r="AC544" i="1"/>
  <c r="AB544" i="1" l="1"/>
  <c r="AA544" i="1"/>
  <c r="AG544" i="1"/>
  <c r="E544" i="1"/>
  <c r="AC545" i="1"/>
  <c r="A546" i="1"/>
  <c r="AC546" i="1" l="1"/>
  <c r="A547" i="1"/>
  <c r="AG545" i="1"/>
  <c r="E545" i="1"/>
  <c r="AB545" i="1"/>
  <c r="AA545" i="1"/>
  <c r="AC547" i="1" l="1"/>
  <c r="A548" i="1"/>
  <c r="AG546" i="1"/>
  <c r="E546" i="1"/>
  <c r="AB546" i="1"/>
  <c r="AA546" i="1"/>
  <c r="AC548" i="1" l="1"/>
  <c r="A549" i="1"/>
  <c r="AA547" i="1"/>
  <c r="E547" i="1"/>
  <c r="AB547" i="1"/>
  <c r="AG547" i="1"/>
  <c r="A550" i="1" l="1"/>
  <c r="AC549" i="1"/>
  <c r="AG548" i="1"/>
  <c r="AB548" i="1"/>
  <c r="E548" i="1"/>
  <c r="AA548" i="1"/>
  <c r="AG549" i="1" l="1"/>
  <c r="E549" i="1"/>
  <c r="I549" i="1" s="1"/>
  <c r="AB549" i="1"/>
  <c r="AA549" i="1"/>
  <c r="G548" i="1"/>
  <c r="EI127" i="1"/>
  <c r="EI337" i="1"/>
  <c r="A551" i="1"/>
  <c r="AC550" i="1"/>
  <c r="EN127" i="1" l="1"/>
  <c r="EJ127" i="1"/>
  <c r="EK127" i="1"/>
  <c r="EM127" i="1"/>
  <c r="EL127" i="1"/>
  <c r="A552" i="1"/>
  <c r="AC551" i="1"/>
  <c r="EL337" i="1"/>
  <c r="EK337" i="1"/>
  <c r="EN337" i="1"/>
  <c r="EO337" i="1" s="1"/>
  <c r="EJ337" i="1"/>
  <c r="EM337" i="1"/>
  <c r="AB550" i="1"/>
  <c r="AA550" i="1"/>
  <c r="AG550" i="1"/>
  <c r="E550" i="1"/>
  <c r="AA551" i="1" l="1"/>
  <c r="AB551" i="1"/>
  <c r="AG551" i="1"/>
  <c r="E551" i="1"/>
  <c r="A553" i="1"/>
  <c r="AC552" i="1"/>
  <c r="AB552" i="1" l="1"/>
  <c r="AA552" i="1"/>
  <c r="AG552" i="1"/>
  <c r="E552" i="1"/>
  <c r="A554" i="1"/>
  <c r="AC553" i="1"/>
  <c r="AA553" i="1" l="1"/>
  <c r="E553" i="1"/>
  <c r="AB553" i="1"/>
  <c r="AG553" i="1"/>
  <c r="A555" i="1"/>
  <c r="AC554" i="1"/>
  <c r="AB554" i="1" l="1"/>
  <c r="AA554" i="1"/>
  <c r="AG554" i="1"/>
  <c r="E554" i="1"/>
  <c r="A556" i="1"/>
  <c r="AC555" i="1"/>
  <c r="E555" i="1" l="1"/>
  <c r="AG555" i="1"/>
  <c r="AB555" i="1"/>
  <c r="AA555" i="1"/>
  <c r="AC556" i="1"/>
  <c r="A557" i="1"/>
  <c r="A558" i="1" l="1"/>
  <c r="AC557" i="1"/>
  <c r="AG556" i="1"/>
  <c r="AB556" i="1"/>
  <c r="AA556" i="1"/>
  <c r="E556" i="1"/>
  <c r="AB557" i="1" l="1"/>
  <c r="AA557" i="1"/>
  <c r="AG557" i="1"/>
  <c r="E557" i="1"/>
  <c r="A559" i="1"/>
  <c r="AC558" i="1"/>
  <c r="A560" i="1" l="1"/>
  <c r="AC559" i="1"/>
  <c r="AA558" i="1"/>
  <c r="E558" i="1"/>
  <c r="AB558" i="1"/>
  <c r="AG558" i="1"/>
  <c r="AA559" i="1" l="1"/>
  <c r="AG559" i="1"/>
  <c r="E559" i="1"/>
  <c r="G559" i="1" s="1"/>
  <c r="AB559" i="1"/>
  <c r="AC560" i="1"/>
  <c r="A561" i="1"/>
  <c r="AC561" i="1" l="1"/>
  <c r="A562" i="1"/>
  <c r="AA560" i="1"/>
  <c r="AB560" i="1"/>
  <c r="AG560" i="1"/>
  <c r="E560" i="1"/>
  <c r="A563" i="1" l="1"/>
  <c r="AC562" i="1"/>
  <c r="AG561" i="1"/>
  <c r="E561" i="1"/>
  <c r="G561" i="1" s="1"/>
  <c r="AB561" i="1"/>
  <c r="AA561" i="1"/>
  <c r="AA562" i="1" l="1"/>
  <c r="AG562" i="1"/>
  <c r="E562" i="1"/>
  <c r="AB562" i="1"/>
  <c r="A564" i="1"/>
  <c r="AC563" i="1"/>
  <c r="AA563" i="1" l="1"/>
  <c r="AB563" i="1"/>
  <c r="AG563" i="1"/>
  <c r="E563" i="1"/>
  <c r="G563" i="1" s="1"/>
  <c r="A565" i="1"/>
  <c r="AC564" i="1"/>
  <c r="AB564" i="1" l="1"/>
  <c r="E564" i="1"/>
  <c r="G564" i="1" s="1"/>
  <c r="AA564" i="1"/>
  <c r="AG564" i="1"/>
  <c r="A566" i="1"/>
  <c r="AC565" i="1"/>
  <c r="AB565" i="1" l="1"/>
  <c r="E565" i="1"/>
  <c r="AG565" i="1"/>
  <c r="AA565" i="1"/>
  <c r="A567" i="1"/>
  <c r="AC566" i="1"/>
  <c r="AB566" i="1" l="1"/>
  <c r="AA566" i="1"/>
  <c r="AG566" i="1"/>
  <c r="E566" i="1"/>
  <c r="AC567" i="1"/>
  <c r="A568" i="1"/>
  <c r="AC568" i="1" l="1"/>
  <c r="A569" i="1"/>
  <c r="AB567" i="1"/>
  <c r="E567" i="1"/>
  <c r="G567" i="1" s="1"/>
  <c r="AG567" i="1"/>
  <c r="AA567" i="1"/>
  <c r="A570" i="1" l="1"/>
  <c r="AC569" i="1"/>
  <c r="AG568" i="1"/>
  <c r="E568" i="1"/>
  <c r="AB568" i="1"/>
  <c r="AA568" i="1"/>
  <c r="AA569" i="1" l="1"/>
  <c r="E569" i="1"/>
  <c r="AG569" i="1"/>
  <c r="AB569" i="1"/>
  <c r="AC570" i="1"/>
  <c r="A571" i="1"/>
  <c r="A572" i="1" l="1"/>
  <c r="AC571" i="1"/>
  <c r="AA570" i="1"/>
  <c r="E570" i="1"/>
  <c r="G570" i="1" s="1"/>
  <c r="AG570" i="1"/>
  <c r="AB570" i="1"/>
  <c r="AB571" i="1" l="1"/>
  <c r="AG571" i="1"/>
  <c r="E571" i="1"/>
  <c r="AA571" i="1"/>
  <c r="AC572" i="1"/>
  <c r="A573" i="1"/>
  <c r="G571" i="1" l="1"/>
  <c r="M571" i="1"/>
  <c r="A574" i="1"/>
  <c r="AC573" i="1"/>
  <c r="AG572" i="1"/>
  <c r="E572" i="1"/>
  <c r="G572" i="1" s="1"/>
  <c r="AB572" i="1"/>
  <c r="AA572" i="1"/>
  <c r="AG573" i="1" l="1"/>
  <c r="E573" i="1"/>
  <c r="AB573" i="1"/>
  <c r="AA573" i="1"/>
  <c r="A575" i="1"/>
  <c r="AC574" i="1"/>
  <c r="AA574" i="1" l="1"/>
  <c r="E574" i="1"/>
  <c r="G574" i="1" s="1"/>
  <c r="AG574" i="1"/>
  <c r="AB574" i="1"/>
  <c r="A576" i="1"/>
  <c r="AC575" i="1"/>
  <c r="AA575" i="1" l="1"/>
  <c r="E575" i="1"/>
  <c r="I575" i="1" s="1"/>
  <c r="AG575" i="1"/>
  <c r="AB575" i="1"/>
  <c r="AC576" i="1"/>
  <c r="A577" i="1"/>
  <c r="A578" i="1" l="1"/>
  <c r="AC577" i="1"/>
  <c r="AB576" i="1"/>
  <c r="E576" i="1"/>
  <c r="AG576" i="1"/>
  <c r="AA576" i="1"/>
  <c r="G576" i="1" l="1"/>
  <c r="EH358" i="1"/>
  <c r="EI358" i="1"/>
  <c r="EI245" i="1"/>
  <c r="AA577" i="1"/>
  <c r="AG577" i="1"/>
  <c r="E577" i="1"/>
  <c r="AB577" i="1"/>
  <c r="AC578" i="1"/>
  <c r="A579" i="1"/>
  <c r="EN245" i="1" l="1"/>
  <c r="EO245" i="1" s="1"/>
  <c r="EJ245" i="1"/>
  <c r="EL245" i="1"/>
  <c r="EK245" i="1"/>
  <c r="EM245" i="1"/>
  <c r="EK358" i="1"/>
  <c r="EN358" i="1"/>
  <c r="EO358" i="1" s="1"/>
  <c r="EJ358" i="1"/>
  <c r="EM358" i="1"/>
  <c r="EL358" i="1"/>
  <c r="AC579" i="1"/>
  <c r="A580" i="1"/>
  <c r="AG578" i="1"/>
  <c r="E578" i="1"/>
  <c r="AB578" i="1"/>
  <c r="AA578" i="1"/>
  <c r="A581" i="1" l="1"/>
  <c r="AC580" i="1"/>
  <c r="AG579" i="1"/>
  <c r="E579" i="1"/>
  <c r="AB579" i="1"/>
  <c r="AA579" i="1"/>
  <c r="AG580" i="1" l="1"/>
  <c r="E580" i="1"/>
  <c r="EI349" i="1" s="1"/>
  <c r="AB580" i="1"/>
  <c r="AA580" i="1"/>
  <c r="A582" i="1"/>
  <c r="AC581" i="1"/>
  <c r="EN349" i="1" l="1"/>
  <c r="EO349" i="1" s="1"/>
  <c r="EJ349" i="1"/>
  <c r="EM349" i="1"/>
  <c r="EL349" i="1"/>
  <c r="EK349" i="1"/>
  <c r="AB581" i="1"/>
  <c r="AA581" i="1"/>
  <c r="E581" i="1"/>
  <c r="AG581" i="1"/>
  <c r="A583" i="1"/>
  <c r="AC582" i="1"/>
  <c r="AA582" i="1" l="1"/>
  <c r="E582" i="1"/>
  <c r="AB582" i="1"/>
  <c r="AG582" i="1"/>
  <c r="A584" i="1"/>
  <c r="AC583" i="1"/>
  <c r="DY584" i="1" l="1"/>
  <c r="DZ583" i="1"/>
  <c r="AA583" i="1"/>
  <c r="E583" i="1"/>
  <c r="AB583" i="1"/>
  <c r="AG583" i="1"/>
  <c r="A585" i="1"/>
  <c r="AC584" i="1"/>
  <c r="AG584" i="1" l="1"/>
  <c r="AB584" i="1"/>
  <c r="E584" i="1"/>
  <c r="AA584" i="1"/>
  <c r="DZ584" i="1"/>
  <c r="M583" i="1"/>
  <c r="G583" i="1"/>
  <c r="A586" i="1"/>
  <c r="AC585" i="1"/>
  <c r="A587" i="1" l="1"/>
  <c r="AC586" i="1"/>
  <c r="M584" i="1"/>
  <c r="G584" i="1"/>
  <c r="AA585" i="1"/>
  <c r="E585" i="1"/>
  <c r="AB585" i="1"/>
  <c r="AG585" i="1"/>
  <c r="AB586" i="1" l="1"/>
  <c r="AA586" i="1"/>
  <c r="E586" i="1"/>
  <c r="AG586" i="1"/>
  <c r="AC587" i="1"/>
  <c r="A588" i="1"/>
  <c r="A589" i="1" l="1"/>
  <c r="AC588" i="1"/>
  <c r="AG587" i="1"/>
  <c r="AB587" i="1"/>
  <c r="AA587" i="1"/>
  <c r="E587" i="1"/>
  <c r="G587" i="1" s="1"/>
  <c r="G586" i="1"/>
  <c r="M586" i="1"/>
  <c r="AA588" i="1" l="1"/>
  <c r="AB588" i="1"/>
  <c r="AG588" i="1"/>
  <c r="E588" i="1"/>
  <c r="A590" i="1"/>
  <c r="AC589" i="1"/>
  <c r="DS641" i="1" l="1"/>
  <c r="DQ219" i="1"/>
  <c r="DW565" i="1"/>
  <c r="DU466" i="1"/>
  <c r="DW378" i="1"/>
  <c r="DW126" i="1"/>
  <c r="DY605" i="1"/>
  <c r="DY604" i="1"/>
  <c r="DY603" i="1"/>
  <c r="AA589" i="1"/>
  <c r="E589" i="1"/>
  <c r="G589" i="1" s="1"/>
  <c r="AB589" i="1"/>
  <c r="AG589" i="1"/>
  <c r="AC590" i="1"/>
  <c r="A591" i="1"/>
  <c r="AG590" i="1" l="1"/>
  <c r="E590" i="1"/>
  <c r="AB590" i="1"/>
  <c r="AA590" i="1"/>
  <c r="A592" i="1"/>
  <c r="AC591" i="1"/>
  <c r="AA591" i="1" l="1"/>
  <c r="E591" i="1"/>
  <c r="AB591" i="1"/>
  <c r="AG591" i="1"/>
  <c r="A593" i="1"/>
  <c r="AC592" i="1"/>
  <c r="DV468" i="1"/>
  <c r="DU128" i="1" l="1"/>
  <c r="DU288" i="1"/>
  <c r="DU157" i="1"/>
  <c r="DT663" i="1"/>
  <c r="DT624" i="1"/>
  <c r="DT629" i="1"/>
  <c r="DU632" i="1"/>
  <c r="DV241" i="1"/>
  <c r="DV233" i="1"/>
  <c r="DY312" i="1"/>
  <c r="DW139" i="1"/>
  <c r="DU693" i="1"/>
  <c r="AA592" i="1"/>
  <c r="E592" i="1"/>
  <c r="AG592" i="1"/>
  <c r="AB592" i="1"/>
  <c r="A594" i="1"/>
  <c r="AC593" i="1"/>
  <c r="DS624" i="1" l="1"/>
  <c r="DX568" i="1"/>
  <c r="DT217" i="1"/>
  <c r="DT216" i="1"/>
  <c r="DX317" i="1"/>
  <c r="DV234" i="1"/>
  <c r="DS373" i="1"/>
  <c r="AB593" i="1"/>
  <c r="AA593" i="1"/>
  <c r="E593" i="1"/>
  <c r="AG593" i="1"/>
  <c r="A595" i="1"/>
  <c r="AC594" i="1"/>
  <c r="A596" i="1" l="1"/>
  <c r="AC595" i="1"/>
  <c r="AB594" i="1"/>
  <c r="AA594" i="1"/>
  <c r="E594" i="1"/>
  <c r="AG594" i="1"/>
  <c r="AB595" i="1" l="1"/>
  <c r="E595" i="1"/>
  <c r="G595" i="1" s="1"/>
  <c r="AA595" i="1"/>
  <c r="AG595" i="1"/>
  <c r="A597" i="1"/>
  <c r="AC596" i="1"/>
  <c r="AA596" i="1" l="1"/>
  <c r="AB596" i="1"/>
  <c r="AG596" i="1"/>
  <c r="E596" i="1"/>
  <c r="A598" i="1"/>
  <c r="AC597" i="1"/>
  <c r="AA597" i="1" l="1"/>
  <c r="E597" i="1"/>
  <c r="AG597" i="1"/>
  <c r="AB597" i="1"/>
  <c r="AC598" i="1"/>
  <c r="A599" i="1"/>
  <c r="A600" i="1" l="1"/>
  <c r="AC599" i="1"/>
  <c r="M597" i="1"/>
  <c r="G597" i="1"/>
  <c r="AG598" i="1"/>
  <c r="AB598" i="1"/>
  <c r="E598" i="1"/>
  <c r="AA598" i="1"/>
  <c r="EI202" i="1" l="1"/>
  <c r="EI242" i="1"/>
  <c r="AA599" i="1"/>
  <c r="E599" i="1"/>
  <c r="AB599" i="1"/>
  <c r="AG599" i="1"/>
  <c r="A601" i="1"/>
  <c r="AC600" i="1"/>
  <c r="EL202" i="1" l="1"/>
  <c r="EK202" i="1"/>
  <c r="EN202" i="1"/>
  <c r="EO202" i="1" s="1"/>
  <c r="EJ202" i="1"/>
  <c r="EM202" i="1"/>
  <c r="AA600" i="1"/>
  <c r="AG600" i="1"/>
  <c r="E600" i="1"/>
  <c r="AB600" i="1"/>
  <c r="A602" i="1"/>
  <c r="AC601" i="1"/>
  <c r="EN242" i="1"/>
  <c r="EO242" i="1" s="1"/>
  <c r="EJ242" i="1"/>
  <c r="EM242" i="1"/>
  <c r="EL242" i="1"/>
  <c r="EK242" i="1"/>
  <c r="G600" i="1" l="1"/>
  <c r="CX600" i="1"/>
  <c r="AB601" i="1"/>
  <c r="E601" i="1"/>
  <c r="G601" i="1" s="1"/>
  <c r="AA601" i="1"/>
  <c r="AG601" i="1"/>
  <c r="AC602" i="1"/>
  <c r="A603" i="1"/>
  <c r="AC603" i="1" l="1"/>
  <c r="A604" i="1"/>
  <c r="AG602" i="1"/>
  <c r="AB602" i="1"/>
  <c r="E602" i="1"/>
  <c r="M602" i="1" s="1"/>
  <c r="AA602" i="1"/>
  <c r="DX520" i="1" l="1"/>
  <c r="DW485" i="1"/>
  <c r="DW520" i="1"/>
  <c r="DT404" i="1"/>
  <c r="DV110" i="1"/>
  <c r="DS405" i="1"/>
  <c r="DU491" i="1"/>
  <c r="DT132" i="1"/>
  <c r="DV714" i="1"/>
  <c r="DV693" i="1"/>
  <c r="DV652" i="1"/>
  <c r="DT620" i="1"/>
  <c r="DW598" i="1"/>
  <c r="DV537" i="1"/>
  <c r="DV520" i="1"/>
  <c r="DT643" i="1"/>
  <c r="DT491" i="1"/>
  <c r="DY498" i="1"/>
  <c r="DY485" i="1"/>
  <c r="DV665" i="1"/>
  <c r="DW330" i="1"/>
  <c r="DY222" i="1"/>
  <c r="DY526" i="1"/>
  <c r="DU429" i="1"/>
  <c r="DY275" i="1"/>
  <c r="DW229" i="1"/>
  <c r="DV141" i="1"/>
  <c r="DW132" i="1"/>
  <c r="DS123" i="1"/>
  <c r="DV460" i="1"/>
  <c r="DT150" i="1"/>
  <c r="DX110" i="1"/>
  <c r="DV646" i="1"/>
  <c r="DU375" i="1"/>
  <c r="DT135" i="1"/>
  <c r="A605" i="1"/>
  <c r="AC604" i="1"/>
  <c r="AG603" i="1"/>
  <c r="E603" i="1"/>
  <c r="G603" i="1" s="1"/>
  <c r="AB603" i="1"/>
  <c r="AA603" i="1"/>
  <c r="DX590" i="1" l="1"/>
  <c r="DV778" i="1"/>
  <c r="DX691" i="1"/>
  <c r="DZ592" i="1"/>
  <c r="DY489" i="1"/>
  <c r="DV584" i="1"/>
  <c r="DW439" i="1"/>
  <c r="DS354" i="1"/>
  <c r="DU345" i="1"/>
  <c r="DV458" i="1"/>
  <c r="AG604" i="1"/>
  <c r="E604" i="1"/>
  <c r="AB604" i="1"/>
  <c r="AA604" i="1"/>
  <c r="A606" i="1"/>
  <c r="AC605" i="1"/>
  <c r="AB605" i="1" l="1"/>
  <c r="E605" i="1"/>
  <c r="G605" i="1" s="1"/>
  <c r="AA605" i="1"/>
  <c r="AG605" i="1"/>
  <c r="AC606" i="1"/>
  <c r="A607" i="1"/>
  <c r="DV698" i="1"/>
  <c r="DX697" i="1" l="1"/>
  <c r="DT460" i="1"/>
  <c r="DW791" i="1"/>
  <c r="DU722" i="1"/>
  <c r="DU757" i="1"/>
  <c r="DU752" i="1"/>
  <c r="DS637" i="1"/>
  <c r="DU682" i="1"/>
  <c r="DU629" i="1"/>
  <c r="DS753" i="1"/>
  <c r="DU607" i="1"/>
  <c r="DX522" i="1"/>
  <c r="DZ591" i="1"/>
  <c r="DV227" i="1"/>
  <c r="DZ219" i="1"/>
  <c r="DX398" i="1"/>
  <c r="DW370" i="1"/>
  <c r="DY236" i="1"/>
  <c r="DY586" i="1"/>
  <c r="DX501" i="1"/>
  <c r="DV435" i="1"/>
  <c r="DX434" i="1"/>
  <c r="DR225" i="1"/>
  <c r="DU461" i="1"/>
  <c r="DW477" i="1"/>
  <c r="DW476" i="1"/>
  <c r="DR643" i="1"/>
  <c r="A608" i="1"/>
  <c r="AC607" i="1"/>
  <c r="AG606" i="1"/>
  <c r="E606" i="1"/>
  <c r="AB606" i="1"/>
  <c r="AA606" i="1"/>
  <c r="AA607" i="1" l="1"/>
  <c r="E607" i="1"/>
  <c r="AB607" i="1"/>
  <c r="AG607" i="1"/>
  <c r="AC608" i="1"/>
  <c r="A609" i="1"/>
  <c r="AC609" i="1" l="1"/>
  <c r="A610" i="1"/>
  <c r="G607" i="1"/>
  <c r="AG608" i="1"/>
  <c r="AB608" i="1"/>
  <c r="AA608" i="1"/>
  <c r="E608" i="1"/>
  <c r="DY649" i="1" l="1"/>
  <c r="DX456" i="1"/>
  <c r="DT478" i="1"/>
  <c r="DX474" i="1"/>
  <c r="DU472" i="1"/>
  <c r="A611" i="1"/>
  <c r="AC610" i="1"/>
  <c r="AG609" i="1"/>
  <c r="E609" i="1"/>
  <c r="G609" i="1" s="1"/>
  <c r="AB609" i="1"/>
  <c r="AA609" i="1"/>
  <c r="A612" i="1" l="1"/>
  <c r="AC611" i="1"/>
  <c r="AA610" i="1"/>
  <c r="AB610" i="1"/>
  <c r="E610" i="1"/>
  <c r="AG610" i="1"/>
  <c r="DV365" i="1" l="1"/>
  <c r="DY264" i="1"/>
  <c r="DX304" i="1"/>
  <c r="DP219" i="1"/>
  <c r="AB611" i="1"/>
  <c r="E611" i="1"/>
  <c r="G611" i="1" s="1"/>
  <c r="AA611" i="1"/>
  <c r="AG611" i="1"/>
  <c r="G610" i="1"/>
  <c r="AC612" i="1"/>
  <c r="A613" i="1"/>
  <c r="A614" i="1" l="1"/>
  <c r="AC613" i="1"/>
  <c r="E612" i="1"/>
  <c r="AG612" i="1"/>
  <c r="AB612" i="1"/>
  <c r="AA612" i="1"/>
  <c r="AB613" i="1" l="1"/>
  <c r="AA613" i="1"/>
  <c r="E613" i="1"/>
  <c r="AG613" i="1"/>
  <c r="AC614" i="1"/>
  <c r="A615" i="1"/>
  <c r="AC615" i="1" l="1"/>
  <c r="A616" i="1"/>
  <c r="AG614" i="1"/>
  <c r="AB614" i="1"/>
  <c r="E614" i="1"/>
  <c r="AA614" i="1"/>
  <c r="A617" i="1" l="1"/>
  <c r="AC616" i="1"/>
  <c r="E615" i="1"/>
  <c r="AG615" i="1"/>
  <c r="AB615" i="1"/>
  <c r="AA615" i="1"/>
  <c r="AB616" i="1" l="1"/>
  <c r="AA616" i="1"/>
  <c r="E616" i="1"/>
  <c r="AG616" i="1"/>
  <c r="AC617" i="1"/>
  <c r="A618" i="1"/>
  <c r="AC618" i="1" l="1"/>
  <c r="A619" i="1"/>
  <c r="AG617" i="1"/>
  <c r="AB617" i="1"/>
  <c r="AA617" i="1"/>
  <c r="E617" i="1"/>
  <c r="AG618" i="1" l="1"/>
  <c r="AB618" i="1"/>
  <c r="E618" i="1"/>
  <c r="AA618" i="1"/>
  <c r="EH355" i="1"/>
  <c r="EI355" i="1"/>
  <c r="A620" i="1"/>
  <c r="AC619" i="1"/>
  <c r="E619" i="1" l="1"/>
  <c r="EI356" i="1" s="1"/>
  <c r="AG619" i="1"/>
  <c r="AB619" i="1"/>
  <c r="AA619" i="1"/>
  <c r="AC620" i="1"/>
  <c r="A621" i="1"/>
  <c r="G618" i="1"/>
  <c r="EL355" i="1"/>
  <c r="EK355" i="1"/>
  <c r="EN355" i="1"/>
  <c r="EO355" i="1" s="1"/>
  <c r="EJ355" i="1"/>
  <c r="EM355" i="1"/>
  <c r="DV656" i="1" l="1"/>
  <c r="DX247" i="1"/>
  <c r="E620" i="1"/>
  <c r="AG620" i="1"/>
  <c r="AA620" i="1"/>
  <c r="AB620" i="1"/>
  <c r="A622" i="1"/>
  <c r="AC621" i="1"/>
  <c r="EN356" i="1"/>
  <c r="EO356" i="1" s="1"/>
  <c r="EJ356" i="1"/>
  <c r="EM356" i="1"/>
  <c r="EL356" i="1"/>
  <c r="EK356" i="1"/>
  <c r="AG621" i="1" l="1"/>
  <c r="AA621" i="1"/>
  <c r="E621" i="1"/>
  <c r="AB621" i="1"/>
  <c r="A623" i="1"/>
  <c r="AC622" i="1"/>
  <c r="EH357" i="1"/>
  <c r="EI357" i="1"/>
  <c r="EL357" i="1" l="1"/>
  <c r="EK357" i="1"/>
  <c r="EN357" i="1"/>
  <c r="EO357" i="1" s="1"/>
  <c r="EJ357" i="1"/>
  <c r="EM357" i="1"/>
  <c r="E622" i="1"/>
  <c r="AG622" i="1"/>
  <c r="AA622" i="1"/>
  <c r="AB622" i="1"/>
  <c r="AC623" i="1"/>
  <c r="A624" i="1"/>
  <c r="AG623" i="1" l="1"/>
  <c r="AB623" i="1"/>
  <c r="AA623" i="1"/>
  <c r="E623" i="1"/>
  <c r="A625" i="1"/>
  <c r="AC624" i="1"/>
  <c r="AB624" i="1" l="1"/>
  <c r="AA624" i="1"/>
  <c r="AG624" i="1"/>
  <c r="E624" i="1"/>
  <c r="AC625" i="1"/>
  <c r="A626" i="1"/>
  <c r="A627" i="1" l="1"/>
  <c r="AC626" i="1"/>
  <c r="E625" i="1"/>
  <c r="AG625" i="1"/>
  <c r="AB625" i="1"/>
  <c r="AA625" i="1"/>
  <c r="AA626" i="1" l="1"/>
  <c r="E626" i="1"/>
  <c r="AB626" i="1"/>
  <c r="AG626" i="1"/>
  <c r="AC627" i="1"/>
  <c r="A628" i="1"/>
  <c r="A629" i="1" l="1"/>
  <c r="AC628" i="1"/>
  <c r="AG627" i="1"/>
  <c r="E627" i="1"/>
  <c r="AB627" i="1"/>
  <c r="AA627" i="1"/>
  <c r="AG628" i="1" l="1"/>
  <c r="E628" i="1"/>
  <c r="AB628" i="1"/>
  <c r="AA628" i="1"/>
  <c r="AC629" i="1"/>
  <c r="A630" i="1"/>
  <c r="DU198" i="1" l="1"/>
  <c r="DW611" i="1"/>
  <c r="DR321" i="1"/>
  <c r="DX360" i="1"/>
  <c r="AG629" i="1"/>
  <c r="AB629" i="1"/>
  <c r="AA629" i="1"/>
  <c r="E629" i="1"/>
  <c r="AC630" i="1"/>
  <c r="A631" i="1"/>
  <c r="G628" i="1"/>
  <c r="EI252" i="1"/>
  <c r="A632" i="1" l="1"/>
  <c r="AC631" i="1"/>
  <c r="EL252" i="1"/>
  <c r="EK252" i="1"/>
  <c r="EJ252" i="1"/>
  <c r="EN252" i="1"/>
  <c r="EO252" i="1" s="1"/>
  <c r="EM252" i="1"/>
  <c r="AG630" i="1"/>
  <c r="E630" i="1"/>
  <c r="AB630" i="1"/>
  <c r="AA630" i="1"/>
  <c r="AA631" i="1" l="1"/>
  <c r="AB631" i="1"/>
  <c r="AG631" i="1"/>
  <c r="E631" i="1"/>
  <c r="A633" i="1"/>
  <c r="AC632" i="1"/>
  <c r="AB632" i="1" l="1"/>
  <c r="AA632" i="1"/>
  <c r="E632" i="1"/>
  <c r="AG632" i="1"/>
  <c r="AC633" i="1"/>
  <c r="A634" i="1"/>
  <c r="AC634" i="1" l="1"/>
  <c r="A635" i="1"/>
  <c r="AA633" i="1"/>
  <c r="AB633" i="1"/>
  <c r="E633" i="1"/>
  <c r="AG633" i="1"/>
  <c r="G633" i="1" l="1"/>
  <c r="A636" i="1"/>
  <c r="AC635" i="1"/>
  <c r="AB634" i="1"/>
  <c r="AA634" i="1"/>
  <c r="AG634" i="1"/>
  <c r="E634" i="1"/>
  <c r="AA635" i="1" l="1"/>
  <c r="AG635" i="1"/>
  <c r="E635" i="1"/>
  <c r="AB635" i="1"/>
  <c r="A637" i="1"/>
  <c r="AC636" i="1"/>
  <c r="AA636" i="1" l="1"/>
  <c r="AB636" i="1"/>
  <c r="AG636" i="1"/>
  <c r="E636" i="1"/>
  <c r="G636" i="1" s="1"/>
  <c r="A638" i="1"/>
  <c r="AC637" i="1"/>
  <c r="AG637" i="1" l="1"/>
  <c r="E637" i="1"/>
  <c r="AB637" i="1"/>
  <c r="AA637" i="1"/>
  <c r="AC638" i="1"/>
  <c r="A639" i="1"/>
  <c r="AC639" i="1" l="1"/>
  <c r="A640" i="1"/>
  <c r="AG638" i="1"/>
  <c r="AB638" i="1"/>
  <c r="AA638" i="1"/>
  <c r="E638" i="1"/>
  <c r="A641" i="1" l="1"/>
  <c r="AC640" i="1"/>
  <c r="AG639" i="1"/>
  <c r="E639" i="1"/>
  <c r="AB639" i="1"/>
  <c r="AA639" i="1"/>
  <c r="A642" i="1" l="1"/>
  <c r="AC641" i="1"/>
  <c r="G639" i="1"/>
  <c r="EI306" i="1"/>
  <c r="AB640" i="1"/>
  <c r="AA640" i="1"/>
  <c r="E640" i="1"/>
  <c r="AG640" i="1"/>
  <c r="EK306" i="1" l="1"/>
  <c r="EN306" i="1"/>
  <c r="EO306" i="1" s="1"/>
  <c r="EJ306" i="1"/>
  <c r="EM306" i="1"/>
  <c r="EH306" i="1"/>
  <c r="EL306" i="1"/>
  <c r="G640" i="1"/>
  <c r="E641" i="1"/>
  <c r="AG641" i="1"/>
  <c r="AB641" i="1"/>
  <c r="AA641" i="1"/>
  <c r="AC642" i="1"/>
  <c r="A643" i="1"/>
  <c r="A644" i="1" l="1"/>
  <c r="AC643" i="1"/>
  <c r="AA642" i="1"/>
  <c r="E642" i="1"/>
  <c r="AB642" i="1"/>
  <c r="AG642" i="1"/>
  <c r="AA643" i="1" l="1"/>
  <c r="AG643" i="1"/>
  <c r="E643" i="1"/>
  <c r="AB643" i="1"/>
  <c r="A645" i="1"/>
  <c r="AC644" i="1"/>
  <c r="AG644" i="1" l="1"/>
  <c r="E644" i="1"/>
  <c r="AA644" i="1"/>
  <c r="AB644" i="1"/>
  <c r="A646" i="1"/>
  <c r="AC645" i="1"/>
  <c r="G644" i="1" l="1"/>
  <c r="EI88" i="1"/>
  <c r="AB645" i="1"/>
  <c r="AA645" i="1"/>
  <c r="AG645" i="1"/>
  <c r="E645" i="1"/>
  <c r="A647" i="1"/>
  <c r="AC646" i="1"/>
  <c r="G645" i="1" l="1"/>
  <c r="AG646" i="1"/>
  <c r="E646" i="1"/>
  <c r="AB646" i="1"/>
  <c r="AA646" i="1"/>
  <c r="A648" i="1"/>
  <c r="AC647" i="1"/>
  <c r="EN88" i="1"/>
  <c r="EJ88" i="1"/>
  <c r="EM88" i="1"/>
  <c r="EL88" i="1"/>
  <c r="EK88" i="1"/>
  <c r="AB647" i="1" l="1"/>
  <c r="AA647" i="1"/>
  <c r="E647" i="1"/>
  <c r="AG647" i="1"/>
  <c r="AC648" i="1"/>
  <c r="A649" i="1"/>
  <c r="EI38" i="1" l="1"/>
  <c r="EI34" i="1"/>
  <c r="EI32" i="1"/>
  <c r="EI39" i="1"/>
  <c r="EI37" i="1"/>
  <c r="EI35" i="1"/>
  <c r="EI283" i="1"/>
  <c r="EI31" i="1"/>
  <c r="EI33" i="1"/>
  <c r="EI28" i="1"/>
  <c r="EI36" i="1"/>
  <c r="EI29" i="1"/>
  <c r="EI30" i="1"/>
  <c r="AC649" i="1"/>
  <c r="A650" i="1"/>
  <c r="AB648" i="1"/>
  <c r="E648" i="1"/>
  <c r="G648" i="1" s="1"/>
  <c r="AA648" i="1"/>
  <c r="AG648" i="1"/>
  <c r="EL29" i="1" l="1"/>
  <c r="EK29" i="1"/>
  <c r="EM29" i="1"/>
  <c r="EN29" i="1"/>
  <c r="EJ29" i="1"/>
  <c r="EL31" i="1"/>
  <c r="EK31" i="1"/>
  <c r="EM31" i="1"/>
  <c r="EN31" i="1"/>
  <c r="EJ31" i="1"/>
  <c r="EK39" i="1"/>
  <c r="EN39" i="1"/>
  <c r="EJ39" i="1"/>
  <c r="EL39" i="1"/>
  <c r="EM39" i="1"/>
  <c r="EN36" i="1"/>
  <c r="EJ36" i="1"/>
  <c r="EK36" i="1"/>
  <c r="EM36" i="1"/>
  <c r="EL36" i="1"/>
  <c r="EN283" i="1"/>
  <c r="EJ283" i="1"/>
  <c r="EQ283" i="1"/>
  <c r="ES283" i="1" s="1"/>
  <c r="EM283" i="1"/>
  <c r="EP283" i="1"/>
  <c r="ER283" i="1" s="1"/>
  <c r="EL283" i="1"/>
  <c r="EH283" i="1"/>
  <c r="EO283" i="1"/>
  <c r="EK283" i="1"/>
  <c r="EM32" i="1"/>
  <c r="EN32" i="1"/>
  <c r="EL32" i="1"/>
  <c r="EJ32" i="1"/>
  <c r="EK32" i="1"/>
  <c r="AC650" i="1"/>
  <c r="A651" i="1"/>
  <c r="AG649" i="1"/>
  <c r="E649" i="1"/>
  <c r="AB649" i="1"/>
  <c r="AA649" i="1"/>
  <c r="EN28" i="1"/>
  <c r="EJ28" i="1"/>
  <c r="EM28" i="1"/>
  <c r="EK28" i="1"/>
  <c r="EL28" i="1"/>
  <c r="EN35" i="1"/>
  <c r="EJ35" i="1"/>
  <c r="EK35" i="1"/>
  <c r="EM35" i="1"/>
  <c r="EL35" i="1"/>
  <c r="EM34" i="1"/>
  <c r="EN34" i="1"/>
  <c r="EL34" i="1"/>
  <c r="EJ34" i="1"/>
  <c r="EK34" i="1"/>
  <c r="EM30" i="1"/>
  <c r="EJ30" i="1"/>
  <c r="EL30" i="1"/>
  <c r="EN30" i="1"/>
  <c r="EK30" i="1"/>
  <c r="EK33" i="1"/>
  <c r="EL33" i="1"/>
  <c r="EN33" i="1"/>
  <c r="EJ33" i="1"/>
  <c r="EM33" i="1"/>
  <c r="EL37" i="1"/>
  <c r="EM37" i="1"/>
  <c r="EK37" i="1"/>
  <c r="EN37" i="1"/>
  <c r="EJ37" i="1"/>
  <c r="EN38" i="1"/>
  <c r="EJ38" i="1"/>
  <c r="EK38" i="1"/>
  <c r="EM38" i="1"/>
  <c r="EL38" i="1"/>
  <c r="AG650" i="1" l="1"/>
  <c r="E650" i="1"/>
  <c r="AA650" i="1"/>
  <c r="AB650" i="1"/>
  <c r="EI348" i="1"/>
  <c r="A652" i="1"/>
  <c r="AC651" i="1"/>
  <c r="AG651" i="1" l="1"/>
  <c r="E651" i="1"/>
  <c r="DU410" i="1" s="1"/>
  <c r="AA651" i="1"/>
  <c r="AB651" i="1"/>
  <c r="A653" i="1"/>
  <c r="AC652" i="1"/>
  <c r="EM348" i="1"/>
  <c r="EL348" i="1"/>
  <c r="EK348" i="1"/>
  <c r="EN348" i="1"/>
  <c r="EO348" i="1" s="1"/>
  <c r="EJ348" i="1"/>
  <c r="AB652" i="1" l="1"/>
  <c r="E652" i="1"/>
  <c r="G652" i="1" s="1"/>
  <c r="AA652" i="1"/>
  <c r="AG652" i="1"/>
  <c r="A654" i="1"/>
  <c r="AC653" i="1"/>
  <c r="AB653" i="1" l="1"/>
  <c r="AA653" i="1"/>
  <c r="E653" i="1"/>
  <c r="G653" i="1" s="1"/>
  <c r="AG653" i="1"/>
  <c r="A655" i="1"/>
  <c r="AC654" i="1"/>
  <c r="AB654" i="1" l="1"/>
  <c r="E654" i="1"/>
  <c r="AG654" i="1"/>
  <c r="AA654" i="1"/>
  <c r="AC655" i="1"/>
  <c r="A656" i="1"/>
  <c r="AC656" i="1" l="1"/>
  <c r="A657" i="1"/>
  <c r="AB655" i="1"/>
  <c r="E655" i="1"/>
  <c r="AG655" i="1"/>
  <c r="AA655" i="1"/>
  <c r="I655" i="1" l="1"/>
  <c r="EJ6" i="1" s="1"/>
  <c r="EG51" i="1"/>
  <c r="EG50" i="1"/>
  <c r="EG49" i="1"/>
  <c r="EI49" i="1"/>
  <c r="EI50" i="1"/>
  <c r="EI51" i="1"/>
  <c r="A658" i="1"/>
  <c r="AC657" i="1"/>
  <c r="AA656" i="1"/>
  <c r="E656" i="1"/>
  <c r="AB656" i="1"/>
  <c r="AG656" i="1"/>
  <c r="AA657" i="1" l="1"/>
  <c r="E657" i="1"/>
  <c r="AG657" i="1"/>
  <c r="AB657" i="1"/>
  <c r="AC658" i="1"/>
  <c r="A659" i="1"/>
  <c r="EL51" i="1"/>
  <c r="EK51" i="1"/>
  <c r="EN51" i="1"/>
  <c r="EJ51" i="1"/>
  <c r="EM51" i="1"/>
  <c r="EL50" i="1"/>
  <c r="EK50" i="1"/>
  <c r="EN50" i="1"/>
  <c r="EM50" i="1"/>
  <c r="EJ50" i="1"/>
  <c r="EK49" i="1"/>
  <c r="EN49" i="1"/>
  <c r="EJ49" i="1"/>
  <c r="EL49" i="1"/>
  <c r="EM49" i="1"/>
  <c r="A660" i="1" l="1"/>
  <c r="AC659" i="1"/>
  <c r="AB658" i="1"/>
  <c r="AG658" i="1"/>
  <c r="AA658" i="1"/>
  <c r="E658" i="1"/>
  <c r="AB659" i="1" l="1"/>
  <c r="E659" i="1"/>
  <c r="G659" i="1" s="1"/>
  <c r="AA659" i="1"/>
  <c r="AG659" i="1"/>
  <c r="AC660" i="1"/>
  <c r="A661" i="1"/>
  <c r="AC661" i="1" l="1"/>
  <c r="A662" i="1"/>
  <c r="AG660" i="1"/>
  <c r="AA660" i="1"/>
  <c r="E660" i="1"/>
  <c r="AB660" i="1"/>
  <c r="AC662" i="1" l="1"/>
  <c r="A663" i="1"/>
  <c r="G660" i="1"/>
  <c r="EG117" i="1"/>
  <c r="EG118" i="1"/>
  <c r="EI117" i="1"/>
  <c r="EI326" i="1"/>
  <c r="EI118" i="1"/>
  <c r="AB661" i="1"/>
  <c r="E661" i="1"/>
  <c r="G661" i="1" s="1"/>
  <c r="AG661" i="1"/>
  <c r="AA661" i="1"/>
  <c r="EK118" i="1" l="1"/>
  <c r="EN118" i="1"/>
  <c r="EJ118" i="1"/>
  <c r="EM118" i="1"/>
  <c r="EL118" i="1"/>
  <c r="EL326" i="1"/>
  <c r="EK326" i="1"/>
  <c r="EN326" i="1"/>
  <c r="EO326" i="1" s="1"/>
  <c r="EJ326" i="1"/>
  <c r="EM326" i="1"/>
  <c r="EM117" i="1"/>
  <c r="EL117" i="1"/>
  <c r="EK117" i="1"/>
  <c r="EN117" i="1"/>
  <c r="EJ117" i="1"/>
  <c r="AC663" i="1"/>
  <c r="A664" i="1"/>
  <c r="AA662" i="1"/>
  <c r="AG662" i="1"/>
  <c r="E662" i="1"/>
  <c r="AB662" i="1"/>
  <c r="AA663" i="1" l="1"/>
  <c r="AG663" i="1"/>
  <c r="E663" i="1"/>
  <c r="AB663" i="1"/>
  <c r="A665" i="1"/>
  <c r="AC664" i="1"/>
  <c r="AG664" i="1" l="1"/>
  <c r="E664" i="1"/>
  <c r="AA664" i="1"/>
  <c r="AB664" i="1"/>
  <c r="A666" i="1"/>
  <c r="AC665" i="1"/>
  <c r="AB665" i="1" l="1"/>
  <c r="E665" i="1"/>
  <c r="AA665" i="1"/>
  <c r="AG665" i="1"/>
  <c r="A667" i="1"/>
  <c r="AC666" i="1"/>
  <c r="AB666" i="1" l="1"/>
  <c r="E666" i="1"/>
  <c r="G666" i="1" s="1"/>
  <c r="AG666" i="1"/>
  <c r="AA666" i="1"/>
  <c r="A668" i="1"/>
  <c r="AC667" i="1"/>
  <c r="AB667" i="1" l="1"/>
  <c r="E667" i="1"/>
  <c r="AG667" i="1"/>
  <c r="AA667" i="1"/>
  <c r="A669" i="1"/>
  <c r="AC668" i="1"/>
  <c r="AB668" i="1" l="1"/>
  <c r="E668" i="1"/>
  <c r="AA668" i="1"/>
  <c r="AG668" i="1"/>
  <c r="A670" i="1"/>
  <c r="AC669" i="1"/>
  <c r="AG669" i="1" l="1"/>
  <c r="E669" i="1"/>
  <c r="AA669" i="1"/>
  <c r="AB669" i="1"/>
  <c r="AC670" i="1"/>
  <c r="A671" i="1"/>
  <c r="AC671" i="1" l="1"/>
  <c r="A672" i="1"/>
  <c r="AB670" i="1"/>
  <c r="E670" i="1"/>
  <c r="AG670" i="1"/>
  <c r="AA670" i="1"/>
  <c r="G670" i="1" l="1"/>
  <c r="M670" i="1"/>
  <c r="A673" i="1"/>
  <c r="AC672" i="1"/>
  <c r="AG671" i="1"/>
  <c r="AA671" i="1"/>
  <c r="E671" i="1"/>
  <c r="AB671" i="1"/>
  <c r="E672" i="1" l="1"/>
  <c r="AB672" i="1"/>
  <c r="AG672" i="1"/>
  <c r="AA672" i="1"/>
  <c r="M671" i="1"/>
  <c r="G671" i="1"/>
  <c r="A674" i="1"/>
  <c r="AC673" i="1"/>
  <c r="A675" i="1" l="1"/>
  <c r="AC674" i="1"/>
  <c r="AB673" i="1"/>
  <c r="AG673" i="1"/>
  <c r="E673" i="1"/>
  <c r="AA673" i="1"/>
  <c r="G672" i="1"/>
  <c r="EI89" i="1"/>
  <c r="EM89" i="1" l="1"/>
  <c r="EL89" i="1"/>
  <c r="EK89" i="1"/>
  <c r="EN89" i="1"/>
  <c r="EJ89" i="1"/>
  <c r="AA674" i="1"/>
  <c r="AG674" i="1"/>
  <c r="AB674" i="1"/>
  <c r="E674" i="1"/>
  <c r="G673" i="1"/>
  <c r="M673" i="1"/>
  <c r="A676" i="1"/>
  <c r="AC675" i="1"/>
  <c r="A677" i="1" l="1"/>
  <c r="AC676" i="1"/>
  <c r="AB675" i="1"/>
  <c r="AG675" i="1"/>
  <c r="AA675" i="1"/>
  <c r="E675" i="1"/>
  <c r="G674" i="1"/>
  <c r="M674" i="1"/>
  <c r="H674" i="1"/>
  <c r="EJ5" i="1" s="1"/>
  <c r="AB676" i="1" l="1"/>
  <c r="AG676" i="1"/>
  <c r="AA676" i="1"/>
  <c r="E676" i="1"/>
  <c r="AC677" i="1"/>
  <c r="A678" i="1"/>
  <c r="A679" i="1" l="1"/>
  <c r="AC678" i="1"/>
  <c r="AB677" i="1"/>
  <c r="E677" i="1"/>
  <c r="AA677" i="1"/>
  <c r="AG677" i="1"/>
  <c r="AB678" i="1" l="1"/>
  <c r="E678" i="1"/>
  <c r="G678" i="1" s="1"/>
  <c r="AG678" i="1"/>
  <c r="AA678" i="1"/>
  <c r="A680" i="1"/>
  <c r="AC679" i="1"/>
  <c r="AB679" i="1" l="1"/>
  <c r="E679" i="1"/>
  <c r="AG679" i="1"/>
  <c r="AA679" i="1"/>
  <c r="A681" i="1"/>
  <c r="AC680" i="1"/>
  <c r="AA680" i="1" l="1"/>
  <c r="AG680" i="1"/>
  <c r="E680" i="1"/>
  <c r="AB680" i="1"/>
  <c r="AC681" i="1"/>
  <c r="A682" i="1"/>
  <c r="A683" i="1" l="1"/>
  <c r="AC682" i="1"/>
  <c r="AA681" i="1"/>
  <c r="AG681" i="1"/>
  <c r="AB681" i="1"/>
  <c r="E681" i="1"/>
  <c r="G681" i="1" s="1"/>
  <c r="AA682" i="1" l="1"/>
  <c r="E682" i="1"/>
  <c r="AG682" i="1"/>
  <c r="AB682" i="1"/>
  <c r="A684" i="1"/>
  <c r="AC683" i="1"/>
  <c r="DU721" i="1" l="1"/>
  <c r="AA683" i="1"/>
  <c r="AG683" i="1"/>
  <c r="E683" i="1"/>
  <c r="AB683" i="1"/>
  <c r="A685" i="1"/>
  <c r="AC684" i="1"/>
  <c r="AB684" i="1" l="1"/>
  <c r="E684" i="1"/>
  <c r="G684" i="1" s="1"/>
  <c r="AA684" i="1"/>
  <c r="AG684" i="1"/>
  <c r="A686" i="1"/>
  <c r="AC685" i="1"/>
  <c r="G683" i="1"/>
  <c r="EI195" i="1"/>
  <c r="EI65" i="1"/>
  <c r="DY509" i="1"/>
  <c r="EK195" i="1" l="1"/>
  <c r="EN195" i="1"/>
  <c r="EO195" i="1" s="1"/>
  <c r="EJ195" i="1"/>
  <c r="EM195" i="1"/>
  <c r="EL195" i="1"/>
  <c r="E685" i="1"/>
  <c r="AG685" i="1"/>
  <c r="AB685" i="1"/>
  <c r="AA685" i="1"/>
  <c r="EM65" i="1"/>
  <c r="EL65" i="1"/>
  <c r="EK65" i="1"/>
  <c r="EJ65" i="1"/>
  <c r="EN65" i="1"/>
  <c r="A687" i="1"/>
  <c r="AC686" i="1"/>
  <c r="AA686" i="1" l="1"/>
  <c r="AG686" i="1"/>
  <c r="AB686" i="1"/>
  <c r="E686" i="1"/>
  <c r="G686" i="1" s="1"/>
  <c r="A688" i="1"/>
  <c r="AC687" i="1"/>
  <c r="DZ504" i="1" l="1"/>
  <c r="DW301" i="1"/>
  <c r="DX145" i="1"/>
  <c r="DV217" i="1"/>
  <c r="DT225" i="1"/>
  <c r="DT727" i="1"/>
  <c r="DT724" i="1"/>
  <c r="AB687" i="1"/>
  <c r="AA687" i="1"/>
  <c r="E687" i="1"/>
  <c r="AG687" i="1"/>
  <c r="A689" i="1"/>
  <c r="AC688" i="1"/>
  <c r="E688" i="1" l="1"/>
  <c r="AG688" i="1"/>
  <c r="AB688" i="1"/>
  <c r="AA688" i="1"/>
  <c r="AC689" i="1"/>
  <c r="A690" i="1"/>
  <c r="DU760" i="1" l="1"/>
  <c r="DW757" i="1"/>
  <c r="DS739" i="1"/>
  <c r="DV633" i="1"/>
  <c r="DS627" i="1"/>
  <c r="DU604" i="1"/>
  <c r="DZ510" i="1"/>
  <c r="DZ495" i="1"/>
  <c r="DV550" i="1"/>
  <c r="DU542" i="1"/>
  <c r="DV532" i="1"/>
  <c r="DY499" i="1"/>
  <c r="DW507" i="1"/>
  <c r="DY501" i="1"/>
  <c r="DY434" i="1"/>
  <c r="DT411" i="1"/>
  <c r="DV294" i="1"/>
  <c r="DY276" i="1"/>
  <c r="DW398" i="1"/>
  <c r="DT346" i="1"/>
  <c r="DT238" i="1"/>
  <c r="DW215" i="1"/>
  <c r="DZ447" i="1"/>
  <c r="DV223" i="1"/>
  <c r="DX126" i="1"/>
  <c r="DW213" i="1"/>
  <c r="DW722" i="1"/>
  <c r="DT641" i="1"/>
  <c r="DX138" i="1"/>
  <c r="DV682" i="1"/>
  <c r="DV472" i="1"/>
  <c r="DY127" i="1"/>
  <c r="DZ697" i="1"/>
  <c r="DV524" i="1"/>
  <c r="DV163" i="1"/>
  <c r="DV681" i="1"/>
  <c r="DW145" i="1"/>
  <c r="AC690" i="1"/>
  <c r="A691" i="1"/>
  <c r="AG689" i="1"/>
  <c r="E689" i="1"/>
  <c r="AB689" i="1"/>
  <c r="AA689" i="1"/>
  <c r="DW721" i="1" l="1"/>
  <c r="DZ658" i="1"/>
  <c r="DQ663" i="1"/>
  <c r="DY610" i="1"/>
  <c r="DR615" i="1"/>
  <c r="DW347" i="1"/>
  <c r="DY241" i="1"/>
  <c r="DZ229" i="1"/>
  <c r="DW217" i="1"/>
  <c r="DW216" i="1"/>
  <c r="DX230" i="1"/>
  <c r="DW223" i="1"/>
  <c r="DU403" i="1"/>
  <c r="DY107" i="1"/>
  <c r="DZ317" i="1"/>
  <c r="DY272" i="1"/>
  <c r="DY271" i="1"/>
  <c r="DY160" i="1"/>
  <c r="A692" i="1"/>
  <c r="AC691" i="1"/>
  <c r="AG690" i="1"/>
  <c r="AB690" i="1"/>
  <c r="E690" i="1"/>
  <c r="G690" i="1" s="1"/>
  <c r="AA690" i="1"/>
  <c r="AG691" i="1" l="1"/>
  <c r="AB691" i="1"/>
  <c r="E691" i="1"/>
  <c r="G691" i="1" s="1"/>
  <c r="AA691" i="1"/>
  <c r="A693" i="1"/>
  <c r="AC692" i="1"/>
  <c r="AA692" i="1" l="1"/>
  <c r="AB692" i="1"/>
  <c r="E692" i="1"/>
  <c r="AG692" i="1"/>
  <c r="A694" i="1"/>
  <c r="AC693" i="1"/>
  <c r="EI54" i="1" l="1"/>
  <c r="AA693" i="1"/>
  <c r="AG693" i="1"/>
  <c r="AB693" i="1"/>
  <c r="E693" i="1"/>
  <c r="AC694" i="1"/>
  <c r="A695" i="1"/>
  <c r="DT787" i="1" l="1"/>
  <c r="DV669" i="1"/>
  <c r="DZ334" i="1"/>
  <c r="DX771" i="1"/>
  <c r="DW157" i="1"/>
  <c r="EM54" i="1"/>
  <c r="EL54" i="1"/>
  <c r="EK54" i="1"/>
  <c r="EN54" i="1"/>
  <c r="EJ54" i="1"/>
  <c r="AC695" i="1"/>
  <c r="A696" i="1"/>
  <c r="AB694" i="1"/>
  <c r="AG694" i="1"/>
  <c r="E694" i="1"/>
  <c r="AA694" i="1"/>
  <c r="AC696" i="1" l="1"/>
  <c r="A697" i="1"/>
  <c r="E695" i="1"/>
  <c r="AG695" i="1"/>
  <c r="AB695" i="1"/>
  <c r="AA695" i="1"/>
  <c r="A698" i="1" l="1"/>
  <c r="AC697" i="1"/>
  <c r="AA696" i="1"/>
  <c r="E696" i="1"/>
  <c r="AB696" i="1"/>
  <c r="AG696" i="1"/>
  <c r="AC698" i="1" l="1"/>
  <c r="A699" i="1"/>
  <c r="AA697" i="1"/>
  <c r="AB697" i="1"/>
  <c r="AG697" i="1"/>
  <c r="E697" i="1"/>
  <c r="A700" i="1" l="1"/>
  <c r="AC699" i="1"/>
  <c r="AG698" i="1"/>
  <c r="E698" i="1"/>
  <c r="AB698" i="1"/>
  <c r="AA698" i="1"/>
  <c r="AG699" i="1" l="1"/>
  <c r="E699" i="1"/>
  <c r="AB699" i="1"/>
  <c r="AA699" i="1"/>
  <c r="A701" i="1"/>
  <c r="AC700" i="1"/>
  <c r="AB700" i="1" l="1"/>
  <c r="E700" i="1"/>
  <c r="G700" i="1" s="1"/>
  <c r="AA700" i="1"/>
  <c r="AG700" i="1"/>
  <c r="G699" i="1"/>
  <c r="A702" i="1"/>
  <c r="AC701" i="1"/>
  <c r="Z56" i="1" l="1"/>
  <c r="Z55" i="1"/>
  <c r="AG701" i="1"/>
  <c r="AB701" i="1"/>
  <c r="AA701" i="1"/>
  <c r="E701" i="1"/>
  <c r="A703" i="1"/>
  <c r="AC702" i="1"/>
  <c r="DS681" i="1" l="1"/>
  <c r="DS653" i="1"/>
  <c r="DY634" i="1"/>
  <c r="DS679" i="1"/>
  <c r="DS652" i="1"/>
  <c r="DY616" i="1"/>
  <c r="DT606" i="1"/>
  <c r="DR691" i="1"/>
  <c r="DR483" i="1"/>
  <c r="DU591" i="1"/>
  <c r="DS465" i="1"/>
  <c r="DR172" i="1"/>
  <c r="DS486" i="1"/>
  <c r="DR416" i="1"/>
  <c r="DR326" i="1"/>
  <c r="DR175" i="1"/>
  <c r="DR148" i="1"/>
  <c r="DQ756" i="1"/>
  <c r="DR671" i="1"/>
  <c r="DR669" i="1"/>
  <c r="DR672" i="1"/>
  <c r="DS668" i="1"/>
  <c r="DY626" i="1"/>
  <c r="DT489" i="1"/>
  <c r="DR444" i="1"/>
  <c r="DS305" i="1"/>
  <c r="DR369" i="1"/>
  <c r="DS360" i="1"/>
  <c r="DR342" i="1"/>
  <c r="DR328" i="1"/>
  <c r="DS307" i="1"/>
  <c r="DU261" i="1"/>
  <c r="DR199" i="1"/>
  <c r="DR448" i="1"/>
  <c r="DR161" i="1"/>
  <c r="DR160" i="1"/>
  <c r="DS119" i="1"/>
  <c r="DR186" i="1"/>
  <c r="DR674" i="1"/>
  <c r="DR168" i="1"/>
  <c r="DS156" i="1"/>
  <c r="DR722" i="1"/>
  <c r="DR716" i="1"/>
  <c r="DS648" i="1"/>
  <c r="DT596" i="1"/>
  <c r="DW623" i="1"/>
  <c r="DR339" i="1"/>
  <c r="DR213" i="1"/>
  <c r="DR655" i="1"/>
  <c r="DW279" i="1"/>
  <c r="DR212" i="1"/>
  <c r="DR211" i="1"/>
  <c r="DR210" i="1"/>
  <c r="DR209" i="1"/>
  <c r="DR464" i="1"/>
  <c r="DR350" i="1"/>
  <c r="DR208" i="1"/>
  <c r="DR207" i="1"/>
  <c r="DR206" i="1"/>
  <c r="DR183" i="1"/>
  <c r="DR145" i="1"/>
  <c r="Z8" i="1"/>
  <c r="DR459" i="1"/>
  <c r="DR174" i="1"/>
  <c r="DR221" i="1"/>
  <c r="DQ748" i="1"/>
  <c r="DQ758" i="1"/>
  <c r="DQ755" i="1"/>
  <c r="DR725" i="1"/>
  <c r="DR689" i="1"/>
  <c r="DR710" i="1"/>
  <c r="DR699" i="1"/>
  <c r="DS646" i="1"/>
  <c r="DY663" i="1"/>
  <c r="DU598" i="1"/>
  <c r="DU240" i="1"/>
  <c r="DR466" i="1"/>
  <c r="DR335" i="1"/>
  <c r="DR204" i="1"/>
  <c r="DR171" i="1"/>
  <c r="DR462" i="1"/>
  <c r="DV424" i="1"/>
  <c r="DR383" i="1"/>
  <c r="DR348" i="1"/>
  <c r="DW246" i="1"/>
  <c r="DR414" i="1"/>
  <c r="DR181" i="1"/>
  <c r="DR456" i="1"/>
  <c r="DS318" i="1"/>
  <c r="DS131" i="1"/>
  <c r="DO455" i="1"/>
  <c r="DR724" i="1"/>
  <c r="DS723" i="1"/>
  <c r="DR727" i="1"/>
  <c r="DR720" i="1"/>
  <c r="DR719" i="1"/>
  <c r="DR718" i="1"/>
  <c r="DQ772" i="1"/>
  <c r="DS708" i="1"/>
  <c r="DR707" i="1"/>
  <c r="DR706" i="1"/>
  <c r="DR686" i="1"/>
  <c r="DR673" i="1"/>
  <c r="DQ774" i="1"/>
  <c r="DR644" i="1"/>
  <c r="DW625" i="1"/>
  <c r="DR604" i="1"/>
  <c r="DR713" i="1"/>
  <c r="DW665" i="1"/>
  <c r="DS603" i="1"/>
  <c r="DU601" i="1"/>
  <c r="DS605" i="1"/>
  <c r="DQ602" i="1"/>
  <c r="DR533" i="1"/>
  <c r="DR521" i="1"/>
  <c r="DR380" i="1"/>
  <c r="DR361" i="1"/>
  <c r="DV284" i="1"/>
  <c r="DW252" i="1"/>
  <c r="DR403" i="1"/>
  <c r="DR385" i="1"/>
  <c r="DS283" i="1"/>
  <c r="DP527" i="1"/>
  <c r="DY388" i="1"/>
  <c r="DR382" i="1"/>
  <c r="DV253" i="1"/>
  <c r="DR445" i="1"/>
  <c r="DR176" i="1"/>
  <c r="DQ773" i="1"/>
  <c r="DU735" i="1"/>
  <c r="DR423" i="1"/>
  <c r="DP461" i="1"/>
  <c r="DQ769" i="1"/>
  <c r="DQ749" i="1"/>
  <c r="DR730" i="1"/>
  <c r="DR683" i="1"/>
  <c r="DQ752" i="1"/>
  <c r="DR642" i="1"/>
  <c r="DR480" i="1"/>
  <c r="DQ610" i="1"/>
  <c r="DR485" i="1"/>
  <c r="DR349" i="1"/>
  <c r="DR347" i="1"/>
  <c r="DV259" i="1"/>
  <c r="DR187" i="1"/>
  <c r="DR332" i="1"/>
  <c r="DU270" i="1"/>
  <c r="DR198" i="1"/>
  <c r="Z10" i="1"/>
  <c r="DR311" i="1"/>
  <c r="DR218" i="1"/>
  <c r="DR157" i="1"/>
  <c r="DR152" i="1"/>
  <c r="DR149" i="1"/>
  <c r="DR132" i="1"/>
  <c r="DR107" i="1"/>
  <c r="DU420" i="1"/>
  <c r="DR150" i="1"/>
  <c r="DQ754" i="1"/>
  <c r="DR704" i="1"/>
  <c r="DR700" i="1"/>
  <c r="DS697" i="1"/>
  <c r="DR693" i="1"/>
  <c r="DS647" i="1"/>
  <c r="DR645" i="1"/>
  <c r="DX618" i="1"/>
  <c r="DS698" i="1"/>
  <c r="DR696" i="1"/>
  <c r="DR688" i="1"/>
  <c r="DR695" i="1"/>
  <c r="DU511" i="1"/>
  <c r="DR701" i="1"/>
  <c r="DR694" i="1"/>
  <c r="DU597" i="1"/>
  <c r="DS509" i="1"/>
  <c r="DW502" i="1"/>
  <c r="DR703" i="1"/>
  <c r="DP507" i="1"/>
  <c r="DO510" i="1"/>
  <c r="DW494" i="1"/>
  <c r="DR222" i="1"/>
  <c r="DT497" i="1"/>
  <c r="DR463" i="1"/>
  <c r="DR692" i="1"/>
  <c r="DR471" i="1"/>
  <c r="DR453" i="1"/>
  <c r="DY391" i="1"/>
  <c r="DR182" i="1"/>
  <c r="DR702" i="1"/>
  <c r="DR109" i="1"/>
  <c r="DZ450" i="1"/>
  <c r="DR110" i="1"/>
  <c r="M110" i="1"/>
  <c r="DQ750" i="1"/>
  <c r="DT739" i="1"/>
  <c r="DR715" i="1"/>
  <c r="DR717" i="1"/>
  <c r="DR714" i="1"/>
  <c r="DR712" i="1"/>
  <c r="M11" i="1"/>
  <c r="DQ751" i="1"/>
  <c r="DT741" i="1"/>
  <c r="DU734" i="1"/>
  <c r="DR726" i="1"/>
  <c r="DR721" i="1"/>
  <c r="DS651" i="1"/>
  <c r="DY621" i="1"/>
  <c r="DR690" i="1"/>
  <c r="DY631" i="1"/>
  <c r="DX614" i="1"/>
  <c r="DQ768" i="1"/>
  <c r="DR711" i="1"/>
  <c r="DY619" i="1"/>
  <c r="DW617" i="1"/>
  <c r="DW615" i="1"/>
  <c r="DT609" i="1"/>
  <c r="DP587" i="1"/>
  <c r="DP583" i="1"/>
  <c r="DQ544" i="1"/>
  <c r="DR512" i="1"/>
  <c r="DQ529" i="1"/>
  <c r="DY514" i="1"/>
  <c r="DU499" i="1"/>
  <c r="DV586" i="1"/>
  <c r="DN584" i="1"/>
  <c r="DQ582" i="1"/>
  <c r="DV556" i="1"/>
  <c r="DQ546" i="1"/>
  <c r="DT517" i="1"/>
  <c r="DR709" i="1"/>
  <c r="DR458" i="1"/>
  <c r="DR441" i="1"/>
  <c r="DR340" i="1"/>
  <c r="DR331" i="1"/>
  <c r="DV277" i="1"/>
  <c r="DY392" i="1"/>
  <c r="DS228" i="1"/>
  <c r="DR189" i="1"/>
  <c r="DR439" i="1"/>
  <c r="DR435" i="1"/>
  <c r="DR327" i="1"/>
  <c r="DS320" i="1"/>
  <c r="DV266" i="1"/>
  <c r="DR230" i="1"/>
  <c r="DR457" i="1"/>
  <c r="DX395" i="1"/>
  <c r="DR179" i="1"/>
  <c r="DR139" i="1"/>
  <c r="DQ125" i="1"/>
  <c r="DS113" i="1"/>
  <c r="Z69" i="1"/>
  <c r="Z6" i="1"/>
  <c r="DV585" i="1"/>
  <c r="DV500" i="1"/>
  <c r="DR344" i="1"/>
  <c r="DR163" i="1"/>
  <c r="DR155" i="1"/>
  <c r="Z67" i="1"/>
  <c r="Z11" i="1"/>
  <c r="Z5" i="1"/>
  <c r="DR229" i="1"/>
  <c r="DR162" i="1"/>
  <c r="DY141" i="1"/>
  <c r="DR138" i="1"/>
  <c r="DR140" i="1"/>
  <c r="DY517" i="1"/>
  <c r="DQ776" i="1"/>
  <c r="DR670" i="1"/>
  <c r="DY627" i="1"/>
  <c r="DW620" i="1"/>
  <c r="DR685" i="1"/>
  <c r="DR640" i="1"/>
  <c r="DV600" i="1"/>
  <c r="DV575" i="1"/>
  <c r="DU571" i="1"/>
  <c r="DQ476" i="1"/>
  <c r="DT588" i="1"/>
  <c r="DU515" i="1"/>
  <c r="DR477" i="1"/>
  <c r="DY633" i="1"/>
  <c r="DU526" i="1"/>
  <c r="DR451" i="1"/>
  <c r="DU244" i="1"/>
  <c r="DR236" i="1"/>
  <c r="DP501" i="1"/>
  <c r="DR475" i="1"/>
  <c r="DR437" i="1"/>
  <c r="DX390" i="1"/>
  <c r="DR377" i="1"/>
  <c r="DS312" i="1"/>
  <c r="DR217" i="1"/>
  <c r="DR216" i="1"/>
  <c r="DR357" i="1"/>
  <c r="DR352" i="1"/>
  <c r="DR136" i="1"/>
  <c r="DT268" i="1"/>
  <c r="AB702" i="1"/>
  <c r="AA702" i="1"/>
  <c r="E702" i="1"/>
  <c r="AG702" i="1"/>
  <c r="A704" i="1"/>
  <c r="AC703" i="1"/>
  <c r="EG315" i="1"/>
  <c r="DW613" i="1" l="1"/>
  <c r="DY630" i="1"/>
  <c r="DY666" i="1"/>
  <c r="DZ443" i="1"/>
  <c r="DY389" i="1"/>
  <c r="Z630" i="1"/>
  <c r="DZ430" i="1"/>
  <c r="AL56" i="1"/>
  <c r="BC56" i="1"/>
  <c r="BI56" i="1"/>
  <c r="AX56" i="1"/>
  <c r="AB6" i="1"/>
  <c r="AA6" i="1"/>
  <c r="EC342" i="1"/>
  <c r="EA342" i="1"/>
  <c r="AC704" i="1"/>
  <c r="A705" i="1"/>
  <c r="G702" i="1"/>
  <c r="AB703" i="1"/>
  <c r="E703" i="1"/>
  <c r="G703" i="1" s="1"/>
  <c r="AA703" i="1"/>
  <c r="AG703" i="1"/>
  <c r="DX507" i="1" l="1"/>
  <c r="DT396" i="1"/>
  <c r="DX330" i="1"/>
  <c r="DV149" i="1"/>
  <c r="DT123" i="1"/>
  <c r="A706" i="1"/>
  <c r="AC705" i="1"/>
  <c r="AB704" i="1"/>
  <c r="AA704" i="1"/>
  <c r="AG704" i="1"/>
  <c r="E704" i="1"/>
  <c r="DT788" i="1" l="1"/>
  <c r="DR768" i="1"/>
  <c r="DZ529" i="1"/>
  <c r="DV469" i="1"/>
  <c r="DW533" i="1"/>
  <c r="DZ468" i="1"/>
  <c r="DS517" i="1"/>
  <c r="DV459" i="1"/>
  <c r="DS452" i="1"/>
  <c r="DY439" i="1"/>
  <c r="DY436" i="1"/>
  <c r="DS429" i="1"/>
  <c r="DX181" i="1"/>
  <c r="DY174" i="1"/>
  <c r="DZ500" i="1"/>
  <c r="DY460" i="1"/>
  <c r="DZ458" i="1"/>
  <c r="DY457" i="1"/>
  <c r="DZ455" i="1"/>
  <c r="DY445" i="1"/>
  <c r="DU443" i="1"/>
  <c r="DV442" i="1"/>
  <c r="DU418" i="1"/>
  <c r="DZ335" i="1"/>
  <c r="DU324" i="1"/>
  <c r="DO312" i="1"/>
  <c r="DY527" i="1"/>
  <c r="DZ502" i="1"/>
  <c r="DY472" i="1"/>
  <c r="DY470" i="1"/>
  <c r="DY467" i="1"/>
  <c r="DY461" i="1"/>
  <c r="DY333" i="1"/>
  <c r="DX441" i="1"/>
  <c r="DV450" i="1"/>
  <c r="DY279" i="1"/>
  <c r="DW180" i="1"/>
  <c r="DZ160" i="1"/>
  <c r="DW292" i="1"/>
  <c r="DT463" i="1"/>
  <c r="DQ462" i="1"/>
  <c r="DV379" i="1"/>
  <c r="DW179" i="1"/>
  <c r="DQ464" i="1"/>
  <c r="DY283" i="1"/>
  <c r="EI126" i="1"/>
  <c r="EI323" i="1"/>
  <c r="EI125" i="1"/>
  <c r="AA705" i="1"/>
  <c r="AB705" i="1"/>
  <c r="AG705" i="1"/>
  <c r="E705" i="1"/>
  <c r="A707" i="1"/>
  <c r="AC706" i="1"/>
  <c r="DY250" i="1" l="1"/>
  <c r="EG284" i="1"/>
  <c r="EC469" i="1"/>
  <c r="EA469" i="1"/>
  <c r="AG706" i="1"/>
  <c r="E706" i="1"/>
  <c r="AB706" i="1"/>
  <c r="AA706" i="1"/>
  <c r="EL126" i="1"/>
  <c r="EG126" i="1"/>
  <c r="EM126" i="1"/>
  <c r="EN126" i="1"/>
  <c r="EK126" i="1"/>
  <c r="EJ126" i="1"/>
  <c r="A708" i="1"/>
  <c r="AC707" i="1"/>
  <c r="EM125" i="1"/>
  <c r="EL125" i="1"/>
  <c r="EG125" i="1"/>
  <c r="EK125" i="1"/>
  <c r="EN125" i="1"/>
  <c r="EJ125" i="1"/>
  <c r="EM323" i="1"/>
  <c r="EL323" i="1"/>
  <c r="EK323" i="1"/>
  <c r="EN323" i="1"/>
  <c r="EO323" i="1" s="1"/>
  <c r="EJ323" i="1"/>
  <c r="DR165" i="1" l="1"/>
  <c r="DX282" i="1"/>
  <c r="DR775" i="1"/>
  <c r="DW749" i="1"/>
  <c r="DS736" i="1"/>
  <c r="DU624" i="1"/>
  <c r="DT152" i="1"/>
  <c r="DW331" i="1"/>
  <c r="A709" i="1"/>
  <c r="AC708" i="1"/>
  <c r="AA707" i="1"/>
  <c r="E707" i="1"/>
  <c r="M707" i="1" s="1"/>
  <c r="AB707" i="1"/>
  <c r="AG707" i="1"/>
  <c r="EI21" i="1"/>
  <c r="EI310" i="1"/>
  <c r="DW792" i="1"/>
  <c r="EM310" i="1" l="1"/>
  <c r="EL310" i="1"/>
  <c r="EK310" i="1"/>
  <c r="EN310" i="1"/>
  <c r="EO310" i="1" s="1"/>
  <c r="EJ310" i="1"/>
  <c r="AG708" i="1"/>
  <c r="E708" i="1"/>
  <c r="AB708" i="1"/>
  <c r="AA708" i="1"/>
  <c r="EN21" i="1"/>
  <c r="EJ21" i="1"/>
  <c r="EK21" i="1"/>
  <c r="EM21" i="1"/>
  <c r="EL21" i="1"/>
  <c r="EG21" i="1"/>
  <c r="A710" i="1"/>
  <c r="AC709" i="1"/>
  <c r="AB709" i="1" l="1"/>
  <c r="E709" i="1"/>
  <c r="AA709" i="1"/>
  <c r="AG709" i="1"/>
  <c r="A711" i="1"/>
  <c r="AC710" i="1"/>
  <c r="AA710" i="1" l="1"/>
  <c r="AG710" i="1"/>
  <c r="E710" i="1"/>
  <c r="EI305" i="1" s="1"/>
  <c r="AB710" i="1"/>
  <c r="G709" i="1"/>
  <c r="EI338" i="1"/>
  <c r="A712" i="1"/>
  <c r="AC711" i="1"/>
  <c r="EM305" i="1" l="1"/>
  <c r="EL305" i="1"/>
  <c r="EH305" i="1"/>
  <c r="EK305" i="1"/>
  <c r="EN305" i="1"/>
  <c r="EO305" i="1" s="1"/>
  <c r="EJ305" i="1"/>
  <c r="EL338" i="1"/>
  <c r="EK338" i="1"/>
  <c r="EN338" i="1"/>
  <c r="EO338" i="1" s="1"/>
  <c r="EJ338" i="1"/>
  <c r="EM338" i="1"/>
  <c r="AG711" i="1"/>
  <c r="E711" i="1"/>
  <c r="AB711" i="1"/>
  <c r="AA711" i="1"/>
  <c r="A713" i="1"/>
  <c r="AC712" i="1"/>
  <c r="AB712" i="1" l="1"/>
  <c r="AA712" i="1"/>
  <c r="AG712" i="1"/>
  <c r="E712" i="1"/>
  <c r="AC713" i="1"/>
  <c r="A714" i="1"/>
  <c r="A715" i="1" l="1"/>
  <c r="AC714" i="1"/>
  <c r="AG713" i="1"/>
  <c r="AB713" i="1"/>
  <c r="E713" i="1"/>
  <c r="G713" i="1" s="1"/>
  <c r="AA713" i="1"/>
  <c r="AA714" i="1" l="1"/>
  <c r="E714" i="1"/>
  <c r="AG714" i="1"/>
  <c r="AB714" i="1"/>
  <c r="AC715" i="1"/>
  <c r="A716" i="1"/>
  <c r="A717" i="1" l="1"/>
  <c r="AC716" i="1"/>
  <c r="G714" i="1"/>
  <c r="AG715" i="1"/>
  <c r="E715" i="1"/>
  <c r="AB715" i="1"/>
  <c r="AA715" i="1"/>
  <c r="EI339" i="1" l="1"/>
  <c r="EI217" i="1"/>
  <c r="EI251" i="1"/>
  <c r="AG716" i="1"/>
  <c r="AB716" i="1"/>
  <c r="E716" i="1"/>
  <c r="G716" i="1" s="1"/>
  <c r="AA716" i="1"/>
  <c r="A718" i="1"/>
  <c r="AC717" i="1"/>
  <c r="EK251" i="1" l="1"/>
  <c r="EN251" i="1"/>
  <c r="EO251" i="1" s="1"/>
  <c r="EM251" i="1"/>
  <c r="EL251" i="1"/>
  <c r="EJ251" i="1"/>
  <c r="EF260" i="1"/>
  <c r="EF261" i="1" s="1"/>
  <c r="AC718" i="1"/>
  <c r="A719" i="1"/>
  <c r="EM217" i="1"/>
  <c r="EL217" i="1"/>
  <c r="EK217" i="1"/>
  <c r="EN217" i="1"/>
  <c r="EO217" i="1" s="1"/>
  <c r="EJ217" i="1"/>
  <c r="AB717" i="1"/>
  <c r="E717" i="1"/>
  <c r="G717" i="1" s="1"/>
  <c r="AA717" i="1"/>
  <c r="AG717" i="1"/>
  <c r="EK339" i="1"/>
  <c r="EN339" i="1"/>
  <c r="EO339" i="1" s="1"/>
  <c r="EJ339" i="1"/>
  <c r="EM339" i="1"/>
  <c r="EL339" i="1"/>
  <c r="AB718" i="1" l="1"/>
  <c r="AA718" i="1"/>
  <c r="AG718" i="1"/>
  <c r="E718" i="1"/>
  <c r="AC719" i="1"/>
  <c r="A720" i="1"/>
  <c r="EI113" i="1" l="1"/>
  <c r="EI112" i="1"/>
  <c r="AC720" i="1"/>
  <c r="A721" i="1"/>
  <c r="AG719" i="1"/>
  <c r="AB719" i="1"/>
  <c r="E719" i="1"/>
  <c r="G719" i="1" s="1"/>
  <c r="AA719" i="1"/>
  <c r="A722" i="1" l="1"/>
  <c r="AC721" i="1"/>
  <c r="AA720" i="1"/>
  <c r="AG720" i="1"/>
  <c r="E720" i="1"/>
  <c r="AB720" i="1"/>
  <c r="EN112" i="1"/>
  <c r="EJ112" i="1"/>
  <c r="EM112" i="1"/>
  <c r="EL112" i="1"/>
  <c r="EK112" i="1"/>
  <c r="EF141" i="1"/>
  <c r="EN113" i="1"/>
  <c r="EJ113" i="1"/>
  <c r="EM113" i="1"/>
  <c r="EL113" i="1"/>
  <c r="EK113" i="1"/>
  <c r="EO141" i="1" l="1"/>
  <c r="EO142" i="1"/>
  <c r="EO144" i="1"/>
  <c r="EO143" i="1"/>
  <c r="EF142" i="1" s="1"/>
  <c r="EO140" i="1"/>
  <c r="EO145" i="1"/>
  <c r="AA721" i="1"/>
  <c r="AG721" i="1"/>
  <c r="E721" i="1"/>
  <c r="AB721" i="1"/>
  <c r="G720" i="1"/>
  <c r="A723" i="1"/>
  <c r="AC722" i="1"/>
  <c r="AG722" i="1" l="1"/>
  <c r="AB722" i="1"/>
  <c r="E722" i="1"/>
  <c r="G722" i="1" s="1"/>
  <c r="AA722" i="1"/>
  <c r="EO128" i="1"/>
  <c r="EO129" i="1"/>
  <c r="EO127" i="1"/>
  <c r="EO123" i="1"/>
  <c r="EO122" i="1"/>
  <c r="EO118" i="1"/>
  <c r="EO100" i="1"/>
  <c r="EO98" i="1"/>
  <c r="EO92" i="1"/>
  <c r="EO82" i="1"/>
  <c r="EO80" i="1"/>
  <c r="EO79" i="1"/>
  <c r="EO76" i="1"/>
  <c r="EO75" i="1"/>
  <c r="EO68" i="1"/>
  <c r="EO64" i="1"/>
  <c r="EO58" i="1"/>
  <c r="EO53" i="1"/>
  <c r="EO119" i="1"/>
  <c r="EO114" i="1"/>
  <c r="EO110" i="1"/>
  <c r="EO104" i="1"/>
  <c r="EO99" i="1"/>
  <c r="EO90" i="1"/>
  <c r="EO87" i="1"/>
  <c r="EO85" i="1"/>
  <c r="EO83" i="1"/>
  <c r="EO81" i="1"/>
  <c r="EO78" i="1"/>
  <c r="EO71" i="1"/>
  <c r="EO70" i="1"/>
  <c r="EO67" i="1"/>
  <c r="EO66" i="1"/>
  <c r="EO60" i="1"/>
  <c r="EO59" i="1"/>
  <c r="EO55" i="1"/>
  <c r="EO51" i="1"/>
  <c r="EO49" i="1"/>
  <c r="EO125" i="1"/>
  <c r="EO121" i="1"/>
  <c r="EO117" i="1"/>
  <c r="EO116" i="1"/>
  <c r="EO111" i="1"/>
  <c r="EO105" i="1"/>
  <c r="EO97" i="1"/>
  <c r="EO95" i="1"/>
  <c r="EO93" i="1"/>
  <c r="EO89" i="1"/>
  <c r="EO86" i="1"/>
  <c r="EO74" i="1"/>
  <c r="EO73" i="1"/>
  <c r="EO72" i="1"/>
  <c r="EO65" i="1"/>
  <c r="EO63" i="1"/>
  <c r="EO57" i="1"/>
  <c r="EO56" i="1"/>
  <c r="EO54" i="1"/>
  <c r="EO50" i="1"/>
  <c r="EO126" i="1"/>
  <c r="EO124" i="1"/>
  <c r="EO120" i="1"/>
  <c r="EO115" i="1"/>
  <c r="EO113" i="1"/>
  <c r="EO112" i="1"/>
  <c r="EO109" i="1"/>
  <c r="EO108" i="1"/>
  <c r="EO107" i="1"/>
  <c r="EO106" i="1"/>
  <c r="EO103" i="1"/>
  <c r="EO102" i="1"/>
  <c r="EO101" i="1"/>
  <c r="EO96" i="1"/>
  <c r="EO94" i="1"/>
  <c r="EO91" i="1"/>
  <c r="EO88" i="1"/>
  <c r="EO84" i="1"/>
  <c r="EO77" i="1"/>
  <c r="EO69" i="1"/>
  <c r="EO52" i="1"/>
  <c r="EO45" i="1"/>
  <c r="EO43" i="1"/>
  <c r="EO39" i="1"/>
  <c r="EO33" i="1"/>
  <c r="EO47" i="1"/>
  <c r="EO28" i="1"/>
  <c r="EO22" i="1"/>
  <c r="EO20" i="1"/>
  <c r="EO42" i="1"/>
  <c r="EO41" i="1"/>
  <c r="EO37" i="1"/>
  <c r="EO31" i="1"/>
  <c r="EO29" i="1"/>
  <c r="EO24" i="1"/>
  <c r="EO23" i="1"/>
  <c r="EO62" i="1"/>
  <c r="EO61" i="1"/>
  <c r="EO40" i="1"/>
  <c r="EO38" i="1"/>
  <c r="EO36" i="1"/>
  <c r="EO35" i="1"/>
  <c r="EO27" i="1"/>
  <c r="EO25" i="1"/>
  <c r="EO21" i="1"/>
  <c r="EO48" i="1"/>
  <c r="EO46" i="1"/>
  <c r="EO44" i="1"/>
  <c r="EO34" i="1"/>
  <c r="EO32" i="1"/>
  <c r="EO30" i="1"/>
  <c r="EO26" i="1"/>
  <c r="AC723" i="1"/>
  <c r="A724" i="1"/>
  <c r="AG723" i="1" l="1"/>
  <c r="E723" i="1"/>
  <c r="AB723" i="1"/>
  <c r="AA723" i="1"/>
  <c r="AC724" i="1"/>
  <c r="A725" i="1"/>
  <c r="A726" i="1" l="1"/>
  <c r="AC725" i="1"/>
  <c r="G723" i="1"/>
  <c r="EI314" i="1"/>
  <c r="EI193" i="1"/>
  <c r="AG724" i="1"/>
  <c r="E724" i="1"/>
  <c r="AB724" i="1"/>
  <c r="AA724" i="1"/>
  <c r="EM314" i="1" l="1"/>
  <c r="EL314" i="1"/>
  <c r="EK314" i="1"/>
  <c r="EN314" i="1"/>
  <c r="EO314" i="1" s="1"/>
  <c r="EJ314" i="1"/>
  <c r="AG725" i="1"/>
  <c r="AB725" i="1"/>
  <c r="AA725" i="1"/>
  <c r="E725" i="1"/>
  <c r="EN193" i="1"/>
  <c r="EO193" i="1" s="1"/>
  <c r="EF223" i="1" s="1"/>
  <c r="EF224" i="1" s="1"/>
  <c r="EJ193" i="1"/>
  <c r="EM193" i="1"/>
  <c r="EL193" i="1"/>
  <c r="EK193" i="1"/>
  <c r="EF222" i="1"/>
  <c r="A727" i="1"/>
  <c r="AC726" i="1"/>
  <c r="AA726" i="1" l="1"/>
  <c r="E726" i="1"/>
  <c r="AG726" i="1"/>
  <c r="AB726" i="1"/>
  <c r="G725" i="1"/>
  <c r="EI340" i="1"/>
  <c r="DV290" i="1"/>
  <c r="AC727" i="1"/>
  <c r="A728" i="1"/>
  <c r="EK340" i="1" l="1"/>
  <c r="EN340" i="1"/>
  <c r="EO340" i="1" s="1"/>
  <c r="EJ340" i="1"/>
  <c r="EM340" i="1"/>
  <c r="EL340" i="1"/>
  <c r="AG727" i="1"/>
  <c r="E727" i="1"/>
  <c r="AB727" i="1"/>
  <c r="AA727" i="1"/>
  <c r="AC728" i="1"/>
  <c r="A729" i="1"/>
  <c r="A730" i="1" l="1"/>
  <c r="AC729" i="1"/>
  <c r="AG728" i="1"/>
  <c r="E728" i="1"/>
  <c r="AB728" i="1"/>
  <c r="AA728" i="1"/>
  <c r="AA729" i="1" l="1"/>
  <c r="E729" i="1"/>
  <c r="AG729" i="1"/>
  <c r="AB729" i="1"/>
  <c r="A731" i="1"/>
  <c r="AC730" i="1"/>
  <c r="AG730" i="1" l="1"/>
  <c r="AB730" i="1"/>
  <c r="AA730" i="1"/>
  <c r="E730" i="1"/>
  <c r="G729" i="1"/>
  <c r="EI284" i="1"/>
  <c r="AC731" i="1"/>
  <c r="A732" i="1"/>
  <c r="EP284" i="1" l="1"/>
  <c r="ER284" i="1" s="1"/>
  <c r="EL284" i="1"/>
  <c r="EH284" i="1"/>
  <c r="EO284" i="1"/>
  <c r="EK284" i="1"/>
  <c r="EN284" i="1"/>
  <c r="EJ284" i="1"/>
  <c r="EQ284" i="1"/>
  <c r="ES284" i="1" s="1"/>
  <c r="EM284" i="1"/>
  <c r="EF296" i="1"/>
  <c r="EI324" i="1"/>
  <c r="A733" i="1"/>
  <c r="AC732" i="1"/>
  <c r="E731" i="1"/>
  <c r="AG731" i="1"/>
  <c r="AB731" i="1"/>
  <c r="AA731" i="1"/>
  <c r="AG732" i="1" l="1"/>
  <c r="AB732" i="1"/>
  <c r="E732" i="1"/>
  <c r="G732" i="1" s="1"/>
  <c r="AA732" i="1"/>
  <c r="EJ15" i="1"/>
  <c r="EI325" i="1"/>
  <c r="A734" i="1"/>
  <c r="AC733" i="1"/>
  <c r="EH298" i="1"/>
  <c r="EH297" i="1"/>
  <c r="EM324" i="1"/>
  <c r="EL324" i="1"/>
  <c r="EK324" i="1"/>
  <c r="EJ324" i="1"/>
  <c r="EN324" i="1"/>
  <c r="EO324" i="1" s="1"/>
  <c r="EK325" i="1" l="1"/>
  <c r="EN325" i="1"/>
  <c r="EO325" i="1" s="1"/>
  <c r="EJ325" i="1"/>
  <c r="EM325" i="1"/>
  <c r="EL325" i="1"/>
  <c r="EF298" i="1"/>
  <c r="EG298" i="1"/>
  <c r="EF297" i="1"/>
  <c r="EG297" i="1"/>
  <c r="EF362" i="1"/>
  <c r="EF363" i="1" s="1"/>
  <c r="AB733" i="1"/>
  <c r="AA733" i="1"/>
  <c r="AG733" i="1"/>
  <c r="E733" i="1"/>
  <c r="A735" i="1"/>
  <c r="AC734" i="1"/>
  <c r="AB734" i="1" l="1"/>
  <c r="E734" i="1"/>
  <c r="AA734" i="1"/>
  <c r="AG734" i="1"/>
  <c r="A736" i="1"/>
  <c r="AC735" i="1"/>
  <c r="AB735" i="1" l="1"/>
  <c r="E735" i="1"/>
  <c r="AA735" i="1"/>
  <c r="AG735" i="1"/>
  <c r="G734" i="1"/>
  <c r="A737" i="1"/>
  <c r="AC736" i="1"/>
  <c r="A738" i="1" l="1"/>
  <c r="AC737" i="1"/>
  <c r="G735" i="1"/>
  <c r="AG736" i="1"/>
  <c r="AB736" i="1"/>
  <c r="E736" i="1"/>
  <c r="AA736" i="1"/>
  <c r="E737" i="1" l="1"/>
  <c r="AG737" i="1"/>
  <c r="AB737" i="1"/>
  <c r="AA737" i="1"/>
  <c r="A739" i="1"/>
  <c r="AC738" i="1"/>
  <c r="AC739" i="1" l="1"/>
  <c r="A740" i="1"/>
  <c r="G737" i="1"/>
  <c r="E738" i="1"/>
  <c r="AG738" i="1"/>
  <c r="AB738" i="1"/>
  <c r="AA738" i="1"/>
  <c r="G738" i="1" l="1"/>
  <c r="AC740" i="1"/>
  <c r="A741" i="1"/>
  <c r="AG739" i="1"/>
  <c r="E739" i="1"/>
  <c r="AB739" i="1"/>
  <c r="AA739" i="1"/>
  <c r="E740" i="1" l="1"/>
  <c r="AG740" i="1"/>
  <c r="AB740" i="1"/>
  <c r="AA740" i="1"/>
  <c r="AC741" i="1"/>
  <c r="A742" i="1"/>
  <c r="A743" i="1" l="1"/>
  <c r="AC742" i="1"/>
  <c r="AA741" i="1"/>
  <c r="E741" i="1"/>
  <c r="AG741" i="1"/>
  <c r="AB741" i="1"/>
  <c r="G740" i="1"/>
  <c r="AA742" i="1" l="1"/>
  <c r="E742" i="1"/>
  <c r="AB742" i="1"/>
  <c r="AG742" i="1"/>
  <c r="AC743" i="1"/>
  <c r="A744" i="1"/>
  <c r="AG743" i="1" l="1"/>
  <c r="E743" i="1"/>
  <c r="AA743" i="1"/>
  <c r="AB743" i="1"/>
  <c r="G742" i="1"/>
  <c r="AC744" i="1"/>
  <c r="A745" i="1"/>
  <c r="AG744" i="1" l="1"/>
  <c r="E744" i="1"/>
  <c r="AB744" i="1"/>
  <c r="AA744" i="1"/>
  <c r="AC745" i="1"/>
  <c r="A746" i="1"/>
  <c r="AC746" i="1" l="1"/>
  <c r="A747" i="1"/>
  <c r="AB745" i="1"/>
  <c r="AG745" i="1"/>
  <c r="E745" i="1"/>
  <c r="AA745" i="1"/>
  <c r="G745" i="1" l="1"/>
  <c r="AC747" i="1"/>
  <c r="A748" i="1"/>
  <c r="AG746" i="1"/>
  <c r="E746" i="1"/>
  <c r="AB746" i="1"/>
  <c r="AA746" i="1"/>
  <c r="AA747" i="1" l="1"/>
  <c r="E747" i="1"/>
  <c r="AB747" i="1"/>
  <c r="AG747" i="1"/>
  <c r="AC748" i="1"/>
  <c r="A749" i="1"/>
  <c r="AC749" i="1" l="1"/>
  <c r="A750" i="1"/>
  <c r="AG748" i="1"/>
  <c r="AB748" i="1"/>
  <c r="E748" i="1"/>
  <c r="AA748" i="1"/>
  <c r="A751" i="1" l="1"/>
  <c r="AC750" i="1"/>
  <c r="G748" i="1"/>
  <c r="AG749" i="1"/>
  <c r="AB749" i="1"/>
  <c r="E749" i="1"/>
  <c r="AA749" i="1"/>
  <c r="AA750" i="1" l="1"/>
  <c r="E750" i="1"/>
  <c r="AB750" i="1"/>
  <c r="AG750" i="1"/>
  <c r="AC751" i="1"/>
  <c r="A752" i="1"/>
  <c r="AC752" i="1" l="1"/>
  <c r="A753" i="1"/>
  <c r="AG751" i="1"/>
  <c r="AB751" i="1"/>
  <c r="AA751" i="1"/>
  <c r="E751" i="1"/>
  <c r="A754" i="1" l="1"/>
  <c r="AC753" i="1"/>
  <c r="M751" i="1"/>
  <c r="G751" i="1"/>
  <c r="AB752" i="1"/>
  <c r="E752" i="1"/>
  <c r="AA752" i="1"/>
  <c r="AG752" i="1"/>
  <c r="AA753" i="1" l="1"/>
  <c r="AB753" i="1"/>
  <c r="E753" i="1"/>
  <c r="AG753" i="1"/>
  <c r="AC754" i="1"/>
  <c r="A755" i="1"/>
  <c r="AC755" i="1" l="1"/>
  <c r="A756" i="1"/>
  <c r="AG754" i="1"/>
  <c r="AB754" i="1"/>
  <c r="AA754" i="1"/>
  <c r="E754" i="1"/>
  <c r="M754" i="1" l="1"/>
  <c r="EJ8" i="1" s="1"/>
  <c r="A757" i="1"/>
  <c r="AC756" i="1"/>
  <c r="AG755" i="1"/>
  <c r="E755" i="1"/>
  <c r="AB755" i="1"/>
  <c r="AA755" i="1"/>
  <c r="DY254" i="1"/>
  <c r="A758" i="1" l="1"/>
  <c r="AC757" i="1"/>
  <c r="DZ671" i="1"/>
  <c r="DU660" i="1"/>
  <c r="DW674" i="1"/>
  <c r="DW673" i="1"/>
  <c r="DT544" i="1"/>
  <c r="DU543" i="1"/>
  <c r="DZ527" i="1"/>
  <c r="DT403" i="1"/>
  <c r="DV385" i="1"/>
  <c r="DW379" i="1"/>
  <c r="DV344" i="1"/>
  <c r="DY229" i="1"/>
  <c r="DV361" i="1"/>
  <c r="DX250" i="1"/>
  <c r="DU136" i="1"/>
  <c r="DW184" i="1"/>
  <c r="EJ9" i="1"/>
  <c r="AG756" i="1"/>
  <c r="E756" i="1"/>
  <c r="AB756" i="1"/>
  <c r="AA756" i="1"/>
  <c r="DU711" i="1" l="1"/>
  <c r="DV583" i="1"/>
  <c r="DQ771" i="1"/>
  <c r="DS769" i="1"/>
  <c r="DU756" i="1"/>
  <c r="DW783" i="1"/>
  <c r="DV711" i="1"/>
  <c r="DT584" i="1"/>
  <c r="DU524" i="1"/>
  <c r="DY522" i="1"/>
  <c r="DT637" i="1"/>
  <c r="DW583" i="1"/>
  <c r="DW526" i="1"/>
  <c r="DW481" i="1"/>
  <c r="DV470" i="1"/>
  <c r="DU550" i="1"/>
  <c r="DU460" i="1"/>
  <c r="DY291" i="1"/>
  <c r="DU287" i="1"/>
  <c r="DX485" i="1"/>
  <c r="DV465" i="1"/>
  <c r="DW332" i="1"/>
  <c r="DU301" i="1"/>
  <c r="DS225" i="1"/>
  <c r="DW207" i="1"/>
  <c r="DW517" i="1"/>
  <c r="DU482" i="1"/>
  <c r="DX318" i="1"/>
  <c r="DX276" i="1"/>
  <c r="DV154" i="1"/>
  <c r="DS116" i="1"/>
  <c r="DV113" i="1"/>
  <c r="DW443" i="1"/>
  <c r="DX296" i="1"/>
  <c r="DS180" i="1"/>
  <c r="DU155" i="1"/>
  <c r="DV215" i="1"/>
  <c r="AA757" i="1"/>
  <c r="E757" i="1"/>
  <c r="AB757" i="1"/>
  <c r="AG757" i="1"/>
  <c r="A759" i="1"/>
  <c r="AC758" i="1"/>
  <c r="EA783" i="1" l="1"/>
  <c r="EC783" i="1"/>
  <c r="EA225" i="1"/>
  <c r="EC225" i="1"/>
  <c r="A760" i="1"/>
  <c r="AC759" i="1"/>
  <c r="AG758" i="1"/>
  <c r="AB758" i="1"/>
  <c r="E758" i="1"/>
  <c r="AA758" i="1"/>
  <c r="DS616" i="1" l="1"/>
  <c r="DU234" i="1"/>
  <c r="DY133" i="1"/>
  <c r="DX466" i="1"/>
  <c r="DW425" i="1"/>
  <c r="DU409" i="1"/>
  <c r="AB759" i="1"/>
  <c r="AA759" i="1"/>
  <c r="AG759" i="1"/>
  <c r="E759" i="1"/>
  <c r="AC760" i="1"/>
  <c r="A761" i="1"/>
  <c r="A762" i="1" l="1"/>
  <c r="AC761" i="1"/>
  <c r="E760" i="1"/>
  <c r="AG760" i="1"/>
  <c r="AB760" i="1"/>
  <c r="AA760" i="1"/>
  <c r="DU765" i="1" l="1"/>
  <c r="DU763" i="1"/>
  <c r="DU761" i="1"/>
  <c r="DU764" i="1"/>
  <c r="DU762" i="1"/>
  <c r="AB761" i="1"/>
  <c r="AA761" i="1"/>
  <c r="E761" i="1"/>
  <c r="AG761" i="1"/>
  <c r="AC762" i="1"/>
  <c r="A763" i="1"/>
  <c r="DY252" i="1" l="1"/>
  <c r="DY251" i="1"/>
  <c r="A764" i="1"/>
  <c r="AC763" i="1"/>
  <c r="E762" i="1"/>
  <c r="AG762" i="1"/>
  <c r="AB762" i="1"/>
  <c r="AA762" i="1"/>
  <c r="AB763" i="1" l="1"/>
  <c r="AA763" i="1"/>
  <c r="AG763" i="1"/>
  <c r="E763" i="1"/>
  <c r="AC764" i="1"/>
  <c r="A765" i="1"/>
  <c r="E764" i="1" l="1"/>
  <c r="AG764" i="1"/>
  <c r="AB764" i="1"/>
  <c r="AA764" i="1"/>
  <c r="A766" i="1"/>
  <c r="AC765" i="1"/>
  <c r="AB765" i="1" l="1"/>
  <c r="AA765" i="1"/>
  <c r="AG765" i="1"/>
  <c r="E765" i="1"/>
  <c r="AC766" i="1"/>
  <c r="A767" i="1"/>
  <c r="DV651" i="1"/>
  <c r="DW456" i="1" l="1"/>
  <c r="DX471" i="1"/>
  <c r="DX464" i="1"/>
  <c r="DW756" i="1"/>
  <c r="DS768" i="1"/>
  <c r="DT760" i="1"/>
  <c r="DR772" i="1"/>
  <c r="DV752" i="1"/>
  <c r="DV704" i="1"/>
  <c r="DW685" i="1"/>
  <c r="DT666" i="1"/>
  <c r="DU596" i="1"/>
  <c r="DT639" i="1"/>
  <c r="DW631" i="1"/>
  <c r="DX609" i="1"/>
  <c r="DU603" i="1"/>
  <c r="DY602" i="1"/>
  <c r="DY504" i="1"/>
  <c r="DX575" i="1"/>
  <c r="DS629" i="1"/>
  <c r="DT613" i="1"/>
  <c r="DW512" i="1"/>
  <c r="DV295" i="1"/>
  <c r="DU440" i="1"/>
  <c r="DV333" i="1"/>
  <c r="DV171" i="1"/>
  <c r="DV436" i="1"/>
  <c r="DX202" i="1"/>
  <c r="DX305" i="1"/>
  <c r="DY182" i="1"/>
  <c r="DR354" i="1"/>
  <c r="DX156" i="1"/>
  <c r="DS346" i="1"/>
  <c r="DW160" i="1"/>
  <c r="DU467" i="1"/>
  <c r="DW647" i="1"/>
  <c r="DX477" i="1"/>
  <c r="DX480" i="1"/>
  <c r="DX649" i="1"/>
  <c r="A768" i="1"/>
  <c r="AC767" i="1"/>
  <c r="AG766" i="1"/>
  <c r="E766" i="1"/>
  <c r="AB766" i="1"/>
  <c r="AA766" i="1"/>
  <c r="EA354" i="1" l="1"/>
  <c r="EC354" i="1"/>
  <c r="DY791" i="1"/>
  <c r="DY789" i="1"/>
  <c r="DY785" i="1"/>
  <c r="DQ744" i="1"/>
  <c r="DQ740" i="1"/>
  <c r="DQ736" i="1"/>
  <c r="DT720" i="1"/>
  <c r="DQ775" i="1"/>
  <c r="DR756" i="1"/>
  <c r="DQ753" i="1"/>
  <c r="DQ745" i="1"/>
  <c r="DQ741" i="1"/>
  <c r="DQ737" i="1"/>
  <c r="DQ735" i="1"/>
  <c r="DR729" i="1"/>
  <c r="DS726" i="1"/>
  <c r="DR774" i="1"/>
  <c r="DQ770" i="1"/>
  <c r="DQ743" i="1"/>
  <c r="DQ742" i="1"/>
  <c r="DQ738" i="1"/>
  <c r="DQ734" i="1"/>
  <c r="DR731" i="1"/>
  <c r="DS716" i="1"/>
  <c r="DR769" i="1"/>
  <c r="DR749" i="1"/>
  <c r="DS685" i="1"/>
  <c r="DT679" i="1"/>
  <c r="DT652" i="1"/>
  <c r="DS650" i="1"/>
  <c r="DS644" i="1"/>
  <c r="DR641" i="1"/>
  <c r="DX633" i="1"/>
  <c r="DV623" i="1"/>
  <c r="DQ757" i="1"/>
  <c r="DS724" i="1"/>
  <c r="DS714" i="1"/>
  <c r="DS711" i="1"/>
  <c r="DS710" i="1"/>
  <c r="DS699" i="1"/>
  <c r="DT698" i="1"/>
  <c r="DT668" i="1"/>
  <c r="DX665" i="1"/>
  <c r="DR660" i="1"/>
  <c r="DR658" i="1"/>
  <c r="DS649" i="1"/>
  <c r="DT646" i="1"/>
  <c r="DR639" i="1"/>
  <c r="DR638" i="1"/>
  <c r="DR637" i="1"/>
  <c r="DX627" i="1"/>
  <c r="DY622" i="1"/>
  <c r="DX621" i="1"/>
  <c r="DV620" i="1"/>
  <c r="DV613" i="1"/>
  <c r="DQ739" i="1"/>
  <c r="DS730" i="1"/>
  <c r="DS702" i="1"/>
  <c r="DS695" i="1"/>
  <c r="DS694" i="1"/>
  <c r="DT676" i="1"/>
  <c r="DR657" i="1"/>
  <c r="DS655" i="1"/>
  <c r="DX631" i="1"/>
  <c r="EC631" i="1" s="1"/>
  <c r="DY628" i="1"/>
  <c r="DV625" i="1"/>
  <c r="DW624" i="1"/>
  <c r="DX616" i="1"/>
  <c r="DW614" i="1"/>
  <c r="DV598" i="1"/>
  <c r="DS686" i="1"/>
  <c r="DT647" i="1"/>
  <c r="DY632" i="1"/>
  <c r="DV617" i="1"/>
  <c r="DS604" i="1"/>
  <c r="DU588" i="1"/>
  <c r="DX579" i="1"/>
  <c r="DV573" i="1"/>
  <c r="DQ541" i="1"/>
  <c r="DS532" i="1"/>
  <c r="DU522" i="1"/>
  <c r="DV516" i="1"/>
  <c r="DW498" i="1"/>
  <c r="DS485" i="1"/>
  <c r="DT708" i="1"/>
  <c r="DS645" i="1"/>
  <c r="DV615" i="1"/>
  <c r="DU608" i="1"/>
  <c r="DV591" i="1"/>
  <c r="DU590" i="1"/>
  <c r="DW586" i="1"/>
  <c r="DO584" i="1"/>
  <c r="DR582" i="1"/>
  <c r="DW556" i="1"/>
  <c r="DQ553" i="1"/>
  <c r="DQ543" i="1"/>
  <c r="DQ542" i="1"/>
  <c r="DS533" i="1"/>
  <c r="DT524" i="1"/>
  <c r="DT523" i="1"/>
  <c r="DS521" i="1"/>
  <c r="DU520" i="1"/>
  <c r="DU517" i="1"/>
  <c r="DS706" i="1"/>
  <c r="DS704" i="1"/>
  <c r="DT697" i="1"/>
  <c r="DW629" i="1"/>
  <c r="DX619" i="1"/>
  <c r="DW585" i="1"/>
  <c r="DW560" i="1"/>
  <c r="DQ550" i="1"/>
  <c r="DS538" i="1"/>
  <c r="DR534" i="1"/>
  <c r="DQ527" i="1"/>
  <c r="DU519" i="1"/>
  <c r="DT514" i="1"/>
  <c r="DU497" i="1"/>
  <c r="DS492" i="1"/>
  <c r="DT486" i="1"/>
  <c r="DQ472" i="1"/>
  <c r="DQ470" i="1"/>
  <c r="DQ468" i="1"/>
  <c r="DX592" i="1"/>
  <c r="DS568" i="1"/>
  <c r="DS466" i="1"/>
  <c r="DY450" i="1"/>
  <c r="DT436" i="1"/>
  <c r="DR434" i="1"/>
  <c r="DR426" i="1"/>
  <c r="DR410" i="1"/>
  <c r="DR406" i="1"/>
  <c r="DR405" i="1"/>
  <c r="DR401" i="1"/>
  <c r="DW395" i="1"/>
  <c r="DS369" i="1"/>
  <c r="DS347" i="1"/>
  <c r="DR346" i="1"/>
  <c r="DR341" i="1"/>
  <c r="DR314" i="1"/>
  <c r="DT307" i="1"/>
  <c r="DS296" i="1"/>
  <c r="DS294" i="1"/>
  <c r="DS288" i="1"/>
  <c r="DW282" i="1"/>
  <c r="DV261" i="1"/>
  <c r="DU246" i="1"/>
  <c r="DR231" i="1"/>
  <c r="DR226" i="1"/>
  <c r="DS212" i="1"/>
  <c r="DS211" i="1"/>
  <c r="DS210" i="1"/>
  <c r="DS209" i="1"/>
  <c r="DR184" i="1"/>
  <c r="DR177" i="1"/>
  <c r="DR173" i="1"/>
  <c r="DS171" i="1"/>
  <c r="DT653" i="1"/>
  <c r="DQ583" i="1"/>
  <c r="DS537" i="1"/>
  <c r="DS512" i="1"/>
  <c r="DS489" i="1"/>
  <c r="DS464" i="1"/>
  <c r="DS453" i="1"/>
  <c r="DR402" i="1"/>
  <c r="DX389" i="1"/>
  <c r="DS383" i="1"/>
  <c r="DS376" i="1"/>
  <c r="DS375" i="1"/>
  <c r="DR353" i="1"/>
  <c r="DS350" i="1"/>
  <c r="DS332" i="1"/>
  <c r="DS316" i="1"/>
  <c r="DT312" i="1"/>
  <c r="DS300" i="1"/>
  <c r="DR289" i="1"/>
  <c r="DX262" i="1"/>
  <c r="DR234" i="1"/>
  <c r="DR233" i="1"/>
  <c r="DS208" i="1"/>
  <c r="DS207" i="1"/>
  <c r="DS206" i="1"/>
  <c r="DR202" i="1"/>
  <c r="DS181" i="1"/>
  <c r="DS179" i="1"/>
  <c r="DS693" i="1"/>
  <c r="DV511" i="1"/>
  <c r="DS447" i="1"/>
  <c r="DR431" i="1"/>
  <c r="DR424" i="1"/>
  <c r="DR420" i="1"/>
  <c r="DR419" i="1"/>
  <c r="DS416" i="1"/>
  <c r="DR409" i="1"/>
  <c r="DR367" i="1"/>
  <c r="DS357" i="1"/>
  <c r="DR345" i="1"/>
  <c r="DS344" i="1"/>
  <c r="DR337" i="1"/>
  <c r="DR330" i="1"/>
  <c r="DU328" i="1"/>
  <c r="DO317" i="1"/>
  <c r="DS311" i="1"/>
  <c r="DS291" i="1"/>
  <c r="DS287" i="1"/>
  <c r="DS229" i="1"/>
  <c r="DS218" i="1"/>
  <c r="DR411" i="1"/>
  <c r="DR404" i="1"/>
  <c r="DS340" i="1"/>
  <c r="DR295" i="1"/>
  <c r="DW284" i="1"/>
  <c r="DR215" i="1"/>
  <c r="DS165" i="1"/>
  <c r="DS163" i="1"/>
  <c r="DS157" i="1"/>
  <c r="DS155" i="1"/>
  <c r="DS154" i="1"/>
  <c r="DS152" i="1"/>
  <c r="DS149" i="1"/>
  <c r="DR146" i="1"/>
  <c r="DS145" i="1"/>
  <c r="DR142" i="1"/>
  <c r="DR141" i="1"/>
  <c r="DR134" i="1"/>
  <c r="DS132" i="1"/>
  <c r="DR128" i="1"/>
  <c r="DQ127" i="1"/>
  <c r="DS106" i="1"/>
  <c r="DR126" i="1"/>
  <c r="DR124" i="1"/>
  <c r="DT113" i="1"/>
  <c r="DV571" i="1"/>
  <c r="DS565" i="1"/>
  <c r="DS441" i="1"/>
  <c r="DX388" i="1"/>
  <c r="DS386" i="1"/>
  <c r="DU247" i="1"/>
  <c r="DS236" i="1"/>
  <c r="DS222" i="1"/>
  <c r="DR153" i="1"/>
  <c r="DR151" i="1"/>
  <c r="DS148" i="1"/>
  <c r="DR147" i="1"/>
  <c r="DS138" i="1"/>
  <c r="DR135" i="1"/>
  <c r="DS133" i="1"/>
  <c r="DT131" i="1"/>
  <c r="DR123" i="1"/>
  <c r="DY396" i="1"/>
  <c r="DW249" i="1"/>
  <c r="DR125" i="1"/>
  <c r="DR112" i="1"/>
  <c r="DQ587" i="1"/>
  <c r="DS458" i="1"/>
  <c r="DS322" i="1"/>
  <c r="DS308" i="1"/>
  <c r="DT305" i="1"/>
  <c r="DS276" i="1"/>
  <c r="DT275" i="1"/>
  <c r="DW265" i="1"/>
  <c r="DR223" i="1"/>
  <c r="DR195" i="1"/>
  <c r="DT156" i="1"/>
  <c r="DS150" i="1"/>
  <c r="DS140" i="1"/>
  <c r="DS136" i="1"/>
  <c r="DS110" i="1"/>
  <c r="DS380" i="1"/>
  <c r="DS213" i="1"/>
  <c r="DS172" i="1"/>
  <c r="DT161" i="1"/>
  <c r="DR158" i="1"/>
  <c r="DR144" i="1"/>
  <c r="DS139" i="1"/>
  <c r="DR130" i="1"/>
  <c r="A769" i="1"/>
  <c r="AC768" i="1"/>
  <c r="AG767" i="1"/>
  <c r="E767" i="1"/>
  <c r="AB767" i="1"/>
  <c r="AA767" i="1"/>
  <c r="DU412" i="1"/>
  <c r="DW588" i="1"/>
  <c r="DS582" i="1" l="1"/>
  <c r="DR587" i="1"/>
  <c r="DX494" i="1"/>
  <c r="DV588" i="1"/>
  <c r="DY335" i="1"/>
  <c r="DX333" i="1"/>
  <c r="EA161" i="1"/>
  <c r="EC161" i="1"/>
  <c r="EC357" i="1"/>
  <c r="EA357" i="1"/>
  <c r="EC537" i="1"/>
  <c r="EA537" i="1"/>
  <c r="EA724" i="1"/>
  <c r="EC724" i="1"/>
  <c r="EC744" i="1"/>
  <c r="EA744" i="1"/>
  <c r="DV751" i="1"/>
  <c r="DU745" i="1"/>
  <c r="DT742" i="1"/>
  <c r="DQ398" i="1"/>
  <c r="DT348" i="1"/>
  <c r="DV339" i="1"/>
  <c r="DX199" i="1"/>
  <c r="DY195" i="1"/>
  <c r="DV167" i="1"/>
  <c r="DV189" i="1"/>
  <c r="DU224" i="1"/>
  <c r="DV216" i="1"/>
  <c r="DU237" i="1"/>
  <c r="DX204" i="1"/>
  <c r="DX192" i="1"/>
  <c r="DS718" i="1"/>
  <c r="DS713" i="1"/>
  <c r="DS715" i="1"/>
  <c r="DP584" i="1"/>
  <c r="DR529" i="1"/>
  <c r="DU589" i="1"/>
  <c r="DX588" i="1"/>
  <c r="DS587" i="1"/>
  <c r="DR583" i="1"/>
  <c r="DS162" i="1"/>
  <c r="DX596" i="1"/>
  <c r="DY607" i="1"/>
  <c r="DX597" i="1"/>
  <c r="EC158" i="1"/>
  <c r="EA158" i="1"/>
  <c r="EA308" i="1"/>
  <c r="EC308" i="1"/>
  <c r="EC123" i="1"/>
  <c r="EA123" i="1"/>
  <c r="EC262" i="1"/>
  <c r="EA262" i="1"/>
  <c r="EA249" i="1"/>
  <c r="EC249" i="1"/>
  <c r="EA152" i="1"/>
  <c r="EC152" i="1"/>
  <c r="EA406" i="1"/>
  <c r="EC406" i="1"/>
  <c r="EA695" i="1"/>
  <c r="EC695" i="1"/>
  <c r="DY611" i="1"/>
  <c r="DY609" i="1"/>
  <c r="DY561" i="1"/>
  <c r="DY559" i="1"/>
  <c r="DY567" i="1"/>
  <c r="EA132" i="1"/>
  <c r="EC132" i="1"/>
  <c r="EA424" i="1"/>
  <c r="EC424" i="1"/>
  <c r="EA693" i="1"/>
  <c r="EC693" i="1"/>
  <c r="EC649" i="1"/>
  <c r="EA649" i="1"/>
  <c r="EC736" i="1"/>
  <c r="EA736" i="1"/>
  <c r="EA631" i="1"/>
  <c r="AB768" i="1"/>
  <c r="AA768" i="1"/>
  <c r="AG768" i="1"/>
  <c r="E768" i="1"/>
  <c r="AC769" i="1"/>
  <c r="A770" i="1"/>
  <c r="DV683" i="1" l="1"/>
  <c r="DR616" i="1"/>
  <c r="DX610" i="1"/>
  <c r="DY564" i="1"/>
  <c r="DT186" i="1"/>
  <c r="A771" i="1"/>
  <c r="AC770" i="1"/>
  <c r="AG769" i="1"/>
  <c r="AB769" i="1"/>
  <c r="AA769" i="1"/>
  <c r="E769" i="1"/>
  <c r="DT648" i="1" l="1"/>
  <c r="DV699" i="1"/>
  <c r="DT476" i="1"/>
  <c r="DS117" i="1"/>
  <c r="DU228" i="1"/>
  <c r="DS757" i="1"/>
  <c r="DT461" i="1"/>
  <c r="DT718" i="1"/>
  <c r="DS535" i="1"/>
  <c r="DS531" i="1"/>
  <c r="DS422" i="1"/>
  <c r="DX443" i="1"/>
  <c r="DR422" i="1"/>
  <c r="DS314" i="1"/>
  <c r="AG770" i="1"/>
  <c r="E770" i="1"/>
  <c r="AA770" i="1"/>
  <c r="AB770" i="1"/>
  <c r="A772" i="1"/>
  <c r="AC771" i="1"/>
  <c r="DW621" i="1"/>
  <c r="DU245" i="1"/>
  <c r="EC422" i="1" l="1"/>
  <c r="DV787" i="1"/>
  <c r="DT791" i="1"/>
  <c r="DU627" i="1"/>
  <c r="DS550" i="1"/>
  <c r="DZ520" i="1"/>
  <c r="DV486" i="1"/>
  <c r="DV668" i="1"/>
  <c r="DW602" i="1"/>
  <c r="DZ521" i="1"/>
  <c r="DX495" i="1"/>
  <c r="DV434" i="1"/>
  <c r="DU320" i="1"/>
  <c r="DV276" i="1"/>
  <c r="DV492" i="1"/>
  <c r="DU433" i="1"/>
  <c r="DT290" i="1"/>
  <c r="DT223" i="1"/>
  <c r="DX258" i="1"/>
  <c r="DV208" i="1"/>
  <c r="DU435" i="1"/>
  <c r="DT289" i="1"/>
  <c r="DV127" i="1"/>
  <c r="DW148" i="1"/>
  <c r="DV134" i="1"/>
  <c r="DW686" i="1"/>
  <c r="DU685" i="1"/>
  <c r="DU416" i="1"/>
  <c r="DU414" i="1"/>
  <c r="DR413" i="1"/>
  <c r="DR412" i="1"/>
  <c r="DS415" i="1"/>
  <c r="DV244" i="1"/>
  <c r="DV240" i="1"/>
  <c r="DU327" i="1"/>
  <c r="DS408" i="1"/>
  <c r="DY394" i="1"/>
  <c r="DV243" i="1"/>
  <c r="DW770" i="1"/>
  <c r="DV772" i="1"/>
  <c r="DV791" i="1"/>
  <c r="DY641" i="1"/>
  <c r="DY642" i="1"/>
  <c r="DV574" i="1"/>
  <c r="DV510" i="1"/>
  <c r="DS536" i="1"/>
  <c r="DU398" i="1"/>
  <c r="DW305" i="1"/>
  <c r="DU230" i="1"/>
  <c r="DU258" i="1"/>
  <c r="DU227" i="1"/>
  <c r="DY219" i="1"/>
  <c r="DW181" i="1"/>
  <c r="DS682" i="1"/>
  <c r="DU370" i="1"/>
  <c r="DW236" i="1"/>
  <c r="DW495" i="1"/>
  <c r="DU365" i="1"/>
  <c r="DU194" i="1"/>
  <c r="DU138" i="1"/>
  <c r="DX264" i="1"/>
  <c r="DT774" i="1"/>
  <c r="DU755" i="1"/>
  <c r="DY520" i="1"/>
  <c r="DX517" i="1"/>
  <c r="DV471" i="1"/>
  <c r="DV236" i="1"/>
  <c r="DU509" i="1"/>
  <c r="DU441" i="1"/>
  <c r="DV305" i="1"/>
  <c r="DS309" i="1"/>
  <c r="DU233" i="1"/>
  <c r="DT437" i="1"/>
  <c r="DR371" i="1"/>
  <c r="DW156" i="1"/>
  <c r="DU694" i="1"/>
  <c r="DX642" i="1"/>
  <c r="DT365" i="1"/>
  <c r="DT227" i="1"/>
  <c r="DX219" i="1"/>
  <c r="DV181" i="1"/>
  <c r="DX792" i="1"/>
  <c r="DT474" i="1"/>
  <c r="DV616" i="1"/>
  <c r="DY643" i="1"/>
  <c r="DU639" i="1"/>
  <c r="DT481" i="1"/>
  <c r="DU626" i="1"/>
  <c r="DU317" i="1"/>
  <c r="DU235" i="1"/>
  <c r="DV202" i="1"/>
  <c r="DT425" i="1"/>
  <c r="DT112" i="1"/>
  <c r="DV129" i="1"/>
  <c r="DV133" i="1"/>
  <c r="DT128" i="1"/>
  <c r="DT151" i="1"/>
  <c r="DV124" i="1"/>
  <c r="DY281" i="1"/>
  <c r="DV474" i="1"/>
  <c r="DU195" i="1"/>
  <c r="DT309" i="1"/>
  <c r="DU561" i="1"/>
  <c r="DQ501" i="1"/>
  <c r="DR425" i="1"/>
  <c r="DT375" i="1"/>
  <c r="DR235" i="1"/>
  <c r="DP317" i="1"/>
  <c r="DR374" i="1"/>
  <c r="DS423" i="1"/>
  <c r="DS124" i="1"/>
  <c r="DT694" i="1"/>
  <c r="DS642" i="1"/>
  <c r="DQ461" i="1"/>
  <c r="DS299" i="1"/>
  <c r="DT218" i="1"/>
  <c r="DT770" i="1"/>
  <c r="DQ510" i="1"/>
  <c r="DR304" i="1"/>
  <c r="DV528" i="1"/>
  <c r="DR370" i="1"/>
  <c r="DS221" i="1"/>
  <c r="DS195" i="1"/>
  <c r="DR194" i="1"/>
  <c r="DS107" i="1"/>
  <c r="DY792" i="1"/>
  <c r="DW501" i="1"/>
  <c r="DW218" i="1"/>
  <c r="DR398" i="1"/>
  <c r="DS412" i="1"/>
  <c r="DU242" i="1"/>
  <c r="DR501" i="1"/>
  <c r="DY494" i="1"/>
  <c r="DP510" i="1"/>
  <c r="DQ317" i="1"/>
  <c r="DS289" i="1"/>
  <c r="DR227" i="1"/>
  <c r="DR219" i="1"/>
  <c r="DT326" i="1"/>
  <c r="DT291" i="1"/>
  <c r="DV206" i="1"/>
  <c r="DS235" i="1"/>
  <c r="DT296" i="1"/>
  <c r="DU770" i="1"/>
  <c r="DT642" i="1"/>
  <c r="DR510" i="1"/>
  <c r="DU474" i="1"/>
  <c r="DS304" i="1"/>
  <c r="DW264" i="1"/>
  <c r="DT181" i="1"/>
  <c r="DS365" i="1"/>
  <c r="DS194" i="1"/>
  <c r="DT219" i="1"/>
  <c r="DS227" i="1"/>
  <c r="DT107" i="1"/>
  <c r="EC245" i="1"/>
  <c r="EA245" i="1"/>
  <c r="DS747" i="1"/>
  <c r="DU232" i="1"/>
  <c r="DV453" i="1"/>
  <c r="DT721" i="1"/>
  <c r="DX782" i="1"/>
  <c r="DU703" i="1"/>
  <c r="DW688" i="1"/>
  <c r="DW642" i="1"/>
  <c r="DT722" i="1"/>
  <c r="DU697" i="1"/>
  <c r="DU658" i="1"/>
  <c r="DX641" i="1"/>
  <c r="DV568" i="1"/>
  <c r="DV565" i="1"/>
  <c r="DV508" i="1"/>
  <c r="DW505" i="1"/>
  <c r="DV509" i="1"/>
  <c r="DX577" i="1"/>
  <c r="DZ524" i="1"/>
  <c r="DT370" i="1"/>
  <c r="DV318" i="1"/>
  <c r="DW499" i="1"/>
  <c r="DS472" i="1"/>
  <c r="DU434" i="1"/>
  <c r="DT317" i="1"/>
  <c r="DW307" i="1"/>
  <c r="DY261" i="1"/>
  <c r="DT215" i="1"/>
  <c r="DV209" i="1"/>
  <c r="DV522" i="1"/>
  <c r="DV464" i="1"/>
  <c r="DT433" i="1"/>
  <c r="DU294" i="1"/>
  <c r="DV283" i="1"/>
  <c r="DT231" i="1"/>
  <c r="DT226" i="1"/>
  <c r="DT353" i="1"/>
  <c r="DW222" i="1"/>
  <c r="DU126" i="1"/>
  <c r="DV627" i="1"/>
  <c r="DV449" i="1"/>
  <c r="DU300" i="1"/>
  <c r="DU160" i="1"/>
  <c r="DT127" i="1"/>
  <c r="DS109" i="1"/>
  <c r="DW219" i="1"/>
  <c r="DR120" i="1"/>
  <c r="DU749" i="1"/>
  <c r="DR741" i="1"/>
  <c r="DS754" i="1"/>
  <c r="DV720" i="1"/>
  <c r="DW638" i="1"/>
  <c r="DU614" i="1"/>
  <c r="DV708" i="1"/>
  <c r="DX622" i="1"/>
  <c r="DU625" i="1"/>
  <c r="DV514" i="1"/>
  <c r="DV489" i="1"/>
  <c r="DS584" i="1"/>
  <c r="DV582" i="1"/>
  <c r="DU512" i="1"/>
  <c r="DT543" i="1"/>
  <c r="DR540" i="1"/>
  <c r="DX516" i="1"/>
  <c r="DU583" i="1"/>
  <c r="DY521" i="1"/>
  <c r="DU447" i="1"/>
  <c r="DT337" i="1"/>
  <c r="DR238" i="1"/>
  <c r="DU488" i="1"/>
  <c r="DU172" i="1"/>
  <c r="DT331" i="1"/>
  <c r="DV139" i="1"/>
  <c r="DY125" i="1"/>
  <c r="DW590" i="1"/>
  <c r="DU141" i="1"/>
  <c r="DV148" i="1"/>
  <c r="DU134" i="1"/>
  <c r="DU776" i="1"/>
  <c r="DW768" i="1"/>
  <c r="DS731" i="1"/>
  <c r="DR761" i="1"/>
  <c r="DT730" i="1"/>
  <c r="DR764" i="1"/>
  <c r="DR762" i="1"/>
  <c r="DY665" i="1"/>
  <c r="DT712" i="1"/>
  <c r="DT709" i="1"/>
  <c r="DV690" i="1"/>
  <c r="DX664" i="1"/>
  <c r="DW663" i="1"/>
  <c r="DV647" i="1"/>
  <c r="DR765" i="1"/>
  <c r="DR763" i="1"/>
  <c r="DR760" i="1"/>
  <c r="DT689" i="1"/>
  <c r="DV666" i="1"/>
  <c r="DT533" i="1"/>
  <c r="DS732" i="1"/>
  <c r="DW579" i="1"/>
  <c r="DV567" i="1"/>
  <c r="DX573" i="1"/>
  <c r="DU557" i="1"/>
  <c r="DS463" i="1"/>
  <c r="DU457" i="1"/>
  <c r="DT382" i="1"/>
  <c r="DV251" i="1"/>
  <c r="DS204" i="1"/>
  <c r="DS191" i="1"/>
  <c r="DS187" i="1"/>
  <c r="DV268" i="1"/>
  <c r="DW182" i="1"/>
  <c r="DS176" i="1"/>
  <c r="DW559" i="1"/>
  <c r="DR400" i="1"/>
  <c r="DV360" i="1"/>
  <c r="DW240" i="1"/>
  <c r="DS418" i="1"/>
  <c r="DS186" i="1"/>
  <c r="DU140" i="1"/>
  <c r="DT385" i="1"/>
  <c r="DX252" i="1"/>
  <c r="DU250" i="1"/>
  <c r="DS426" i="1"/>
  <c r="DU145" i="1"/>
  <c r="DU769" i="1"/>
  <c r="DQ760" i="1"/>
  <c r="DS755" i="1"/>
  <c r="DS774" i="1"/>
  <c r="EC774" i="1" s="1"/>
  <c r="DT750" i="1"/>
  <c r="DU692" i="1"/>
  <c r="DU641" i="1"/>
  <c r="DV604" i="1"/>
  <c r="DW634" i="1"/>
  <c r="DW606" i="1"/>
  <c r="DU602" i="1"/>
  <c r="DW591" i="1"/>
  <c r="DR542" i="1"/>
  <c r="DT541" i="1"/>
  <c r="DS684" i="1"/>
  <c r="DT574" i="1"/>
  <c r="DR536" i="1"/>
  <c r="DW528" i="1"/>
  <c r="DT501" i="1"/>
  <c r="DU309" i="1"/>
  <c r="DT283" i="1"/>
  <c r="DV232" i="1"/>
  <c r="DU221" i="1"/>
  <c r="DT169" i="1"/>
  <c r="DV605" i="1"/>
  <c r="DW453" i="1"/>
  <c r="DT230" i="1"/>
  <c r="DT229" i="1"/>
  <c r="DS449" i="1"/>
  <c r="DU369" i="1"/>
  <c r="DT236" i="1"/>
  <c r="DS215" i="1"/>
  <c r="DT138" i="1"/>
  <c r="DY556" i="1"/>
  <c r="DU271" i="1"/>
  <c r="DU163" i="1"/>
  <c r="DV770" i="1"/>
  <c r="DS776" i="1"/>
  <c r="DU613" i="1"/>
  <c r="DU564" i="1"/>
  <c r="DU568" i="1"/>
  <c r="DX528" i="1"/>
  <c r="DU510" i="1"/>
  <c r="DX559" i="1"/>
  <c r="DS333" i="1"/>
  <c r="DT228" i="1"/>
  <c r="DV572" i="1"/>
  <c r="DX515" i="1"/>
  <c r="DT416" i="1"/>
  <c r="DX285" i="1"/>
  <c r="DW278" i="1"/>
  <c r="DW195" i="1"/>
  <c r="DU377" i="1"/>
  <c r="DT757" i="1"/>
  <c r="DR753" i="1"/>
  <c r="DU716" i="1"/>
  <c r="DY782" i="1"/>
  <c r="DU723" i="1"/>
  <c r="DV697" i="1"/>
  <c r="DX607" i="1"/>
  <c r="DT682" i="1"/>
  <c r="DU538" i="1"/>
  <c r="DT534" i="1"/>
  <c r="DX521" i="1"/>
  <c r="DU507" i="1"/>
  <c r="DX604" i="1"/>
  <c r="DX524" i="1"/>
  <c r="DZ519" i="1"/>
  <c r="DV501" i="1"/>
  <c r="DX496" i="1"/>
  <c r="DY495" i="1"/>
  <c r="DX563" i="1"/>
  <c r="DT542" i="1"/>
  <c r="DU532" i="1"/>
  <c r="DW522" i="1"/>
  <c r="DX510" i="1"/>
  <c r="DX499" i="1"/>
  <c r="DW580" i="1"/>
  <c r="DW489" i="1"/>
  <c r="DT472" i="1"/>
  <c r="DW438" i="1"/>
  <c r="DT350" i="1"/>
  <c r="DT330" i="1"/>
  <c r="DU223" i="1"/>
  <c r="DU215" i="1"/>
  <c r="DV213" i="1"/>
  <c r="DU788" i="1"/>
  <c r="DW508" i="1"/>
  <c r="DV437" i="1"/>
  <c r="DV429" i="1"/>
  <c r="DU423" i="1"/>
  <c r="DW396" i="1"/>
  <c r="DU341" i="1"/>
  <c r="DU331" i="1"/>
  <c r="DX291" i="1"/>
  <c r="DV275" i="1"/>
  <c r="DS460" i="1"/>
  <c r="DS398" i="1"/>
  <c r="DT339" i="1"/>
  <c r="DV332" i="1"/>
  <c r="DW326" i="1"/>
  <c r="DT301" i="1"/>
  <c r="DU289" i="1"/>
  <c r="DX277" i="1"/>
  <c r="DW434" i="1"/>
  <c r="DR338" i="1"/>
  <c r="DS214" i="1"/>
  <c r="DT550" i="1"/>
  <c r="DV447" i="1"/>
  <c r="DW318" i="1"/>
  <c r="DW276" i="1"/>
  <c r="DT178" i="1"/>
  <c r="DX150" i="1"/>
  <c r="DV145" i="1"/>
  <c r="DV138" i="1"/>
  <c r="DW127" i="1"/>
  <c r="DT328" i="1"/>
  <c r="DV126" i="1"/>
  <c r="EA422" i="1"/>
  <c r="DU730" i="1"/>
  <c r="DY510" i="1"/>
  <c r="DV555" i="1"/>
  <c r="DW561" i="1"/>
  <c r="DU190" i="1"/>
  <c r="DU204" i="1"/>
  <c r="DT224" i="1"/>
  <c r="DW782" i="1"/>
  <c r="DS722" i="1"/>
  <c r="DT780" i="1"/>
  <c r="DS721" i="1"/>
  <c r="DR757" i="1"/>
  <c r="DV641" i="1"/>
  <c r="DS677" i="1"/>
  <c r="DT610" i="1"/>
  <c r="DS703" i="1"/>
  <c r="DV642" i="1"/>
  <c r="DW627" i="1"/>
  <c r="DV626" i="1"/>
  <c r="DV634" i="1"/>
  <c r="DW577" i="1"/>
  <c r="DT509" i="1"/>
  <c r="DV499" i="1"/>
  <c r="DU492" i="1"/>
  <c r="DR472" i="1"/>
  <c r="DT568" i="1"/>
  <c r="DT565" i="1"/>
  <c r="DW524" i="1"/>
  <c r="DY519" i="1"/>
  <c r="DT508" i="1"/>
  <c r="DV505" i="1"/>
  <c r="DR433" i="1"/>
  <c r="DX397" i="1"/>
  <c r="DS353" i="1"/>
  <c r="DT300" i="1"/>
  <c r="DT449" i="1"/>
  <c r="DS370" i="1"/>
  <c r="DT298" i="1"/>
  <c r="DU219" i="1"/>
  <c r="DT658" i="1"/>
  <c r="DT380" i="1"/>
  <c r="DT318" i="1"/>
  <c r="DV307" i="1"/>
  <c r="DT258" i="1"/>
  <c r="DT222" i="1"/>
  <c r="DR379" i="1"/>
  <c r="DS341" i="1"/>
  <c r="DW263" i="1"/>
  <c r="DW261" i="1"/>
  <c r="DS231" i="1"/>
  <c r="DS226" i="1"/>
  <c r="DU110" i="1"/>
  <c r="DT109" i="1"/>
  <c r="DS434" i="1"/>
  <c r="DR317" i="1"/>
  <c r="DS120" i="1"/>
  <c r="DS160" i="1"/>
  <c r="DU688" i="1"/>
  <c r="DU464" i="1"/>
  <c r="DT294" i="1"/>
  <c r="DU283" i="1"/>
  <c r="DR127" i="1"/>
  <c r="DU791" i="1"/>
  <c r="DT761" i="1"/>
  <c r="DS751" i="1"/>
  <c r="DS734" i="1"/>
  <c r="DV779" i="1"/>
  <c r="DT765" i="1"/>
  <c r="DT764" i="1"/>
  <c r="DT763" i="1"/>
  <c r="DT762" i="1"/>
  <c r="DR742" i="1"/>
  <c r="DS760" i="1"/>
  <c r="DR739" i="1"/>
  <c r="DU691" i="1"/>
  <c r="DV686" i="1"/>
  <c r="DV684" i="1"/>
  <c r="DW658" i="1"/>
  <c r="DV750" i="1"/>
  <c r="DV685" i="1"/>
  <c r="DV769" i="1"/>
  <c r="DV663" i="1"/>
  <c r="DW597" i="1"/>
  <c r="DV603" i="1"/>
  <c r="DT536" i="1"/>
  <c r="DV512" i="1"/>
  <c r="DU476" i="1"/>
  <c r="DR552" i="1"/>
  <c r="DS596" i="1"/>
  <c r="DZ593" i="1"/>
  <c r="DY577" i="1"/>
  <c r="DY606" i="1"/>
  <c r="DV602" i="1"/>
  <c r="DS542" i="1"/>
  <c r="EA542" i="1" s="1"/>
  <c r="DX266" i="1"/>
  <c r="DV258" i="1"/>
  <c r="DU458" i="1"/>
  <c r="DT398" i="1"/>
  <c r="DU386" i="1"/>
  <c r="DU303" i="1"/>
  <c r="DV199" i="1"/>
  <c r="DW169" i="1"/>
  <c r="DY591" i="1"/>
  <c r="DU437" i="1"/>
  <c r="DS404" i="1"/>
  <c r="DV370" i="1"/>
  <c r="DV271" i="1"/>
  <c r="DX256" i="1"/>
  <c r="DX236" i="1"/>
  <c r="DX438" i="1"/>
  <c r="DV229" i="1"/>
  <c r="DS137" i="1"/>
  <c r="DT466" i="1"/>
  <c r="DW232" i="1"/>
  <c r="DV230" i="1"/>
  <c r="DT184" i="1"/>
  <c r="DU171" i="1"/>
  <c r="DR776" i="1"/>
  <c r="DT772" i="1"/>
  <c r="DR747" i="1"/>
  <c r="DR755" i="1"/>
  <c r="DT749" i="1"/>
  <c r="DS750" i="1"/>
  <c r="DU768" i="1"/>
  <c r="DT714" i="1"/>
  <c r="DV636" i="1"/>
  <c r="DU726" i="1"/>
  <c r="DU707" i="1"/>
  <c r="DU700" i="1"/>
  <c r="DT692" i="1"/>
  <c r="DT691" i="1"/>
  <c r="DT615" i="1"/>
  <c r="DR740" i="1"/>
  <c r="DS712" i="1"/>
  <c r="DU644" i="1"/>
  <c r="DU640" i="1"/>
  <c r="DU638" i="1"/>
  <c r="DT602" i="1"/>
  <c r="DY601" i="1"/>
  <c r="DV606" i="1"/>
  <c r="DX556" i="1"/>
  <c r="DS501" i="1"/>
  <c r="DS477" i="1"/>
  <c r="DV577" i="1"/>
  <c r="DX560" i="1"/>
  <c r="DT471" i="1"/>
  <c r="DY592" i="1"/>
  <c r="DS541" i="1"/>
  <c r="DT480" i="1"/>
  <c r="DQ596" i="1"/>
  <c r="DQ584" i="1"/>
  <c r="DR461" i="1"/>
  <c r="DS437" i="1"/>
  <c r="DS432" i="1"/>
  <c r="DU312" i="1"/>
  <c r="DY285" i="1"/>
  <c r="DT582" i="1"/>
  <c r="DR468" i="1"/>
  <c r="DT457" i="1"/>
  <c r="DT445" i="1"/>
  <c r="DZ438" i="1"/>
  <c r="DX278" i="1"/>
  <c r="DT221" i="1"/>
  <c r="DZ588" i="1"/>
  <c r="DT441" i="1"/>
  <c r="DT340" i="1"/>
  <c r="DS306" i="1"/>
  <c r="DU296" i="1"/>
  <c r="DR237" i="1"/>
  <c r="DS232" i="1"/>
  <c r="DT199" i="1"/>
  <c r="DT171" i="1"/>
  <c r="DT148" i="1"/>
  <c r="DU462" i="1"/>
  <c r="DR220" i="1"/>
  <c r="DU139" i="1"/>
  <c r="DY430" i="1"/>
  <c r="DS184" i="1"/>
  <c r="DS141" i="1"/>
  <c r="DR415" i="1"/>
  <c r="DY593" i="1"/>
  <c r="DU470" i="1"/>
  <c r="DU340" i="1"/>
  <c r="DV211" i="1"/>
  <c r="DU350" i="1"/>
  <c r="DV218" i="1"/>
  <c r="DX788" i="1"/>
  <c r="DV638" i="1"/>
  <c r="DU720" i="1"/>
  <c r="DV614" i="1"/>
  <c r="DV590" i="1"/>
  <c r="DU514" i="1"/>
  <c r="DS488" i="1"/>
  <c r="DW504" i="1"/>
  <c r="DT332" i="1"/>
  <c r="DR214" i="1"/>
  <c r="DT208" i="1"/>
  <c r="DT207" i="1"/>
  <c r="DT206" i="1"/>
  <c r="DT447" i="1"/>
  <c r="DV369" i="1"/>
  <c r="DR364" i="1"/>
  <c r="DS337" i="1"/>
  <c r="EA337" i="1" s="1"/>
  <c r="DV296" i="1"/>
  <c r="DP455" i="1"/>
  <c r="DU275" i="1"/>
  <c r="DT213" i="1"/>
  <c r="DS331" i="1"/>
  <c r="DT209" i="1"/>
  <c r="DW516" i="1"/>
  <c r="DT212" i="1"/>
  <c r="DT210" i="1"/>
  <c r="DT172" i="1"/>
  <c r="DW125" i="1"/>
  <c r="DT211" i="1"/>
  <c r="EC535" i="1"/>
  <c r="EA535" i="1"/>
  <c r="DT711" i="1"/>
  <c r="DR550" i="1"/>
  <c r="DU486" i="1"/>
  <c r="DU290" i="1"/>
  <c r="DU276" i="1"/>
  <c r="DT434" i="1"/>
  <c r="DT423" i="1"/>
  <c r="DV397" i="1"/>
  <c r="DS223" i="1"/>
  <c r="DS201" i="1"/>
  <c r="DT134" i="1"/>
  <c r="DS127" i="1"/>
  <c r="DU148" i="1"/>
  <c r="DT778" i="1"/>
  <c r="DS752" i="1"/>
  <c r="DQ747" i="1"/>
  <c r="DS749" i="1"/>
  <c r="DX663" i="1"/>
  <c r="DS658" i="1"/>
  <c r="DX626" i="1"/>
  <c r="DU615" i="1"/>
  <c r="DT779" i="1"/>
  <c r="DU645" i="1"/>
  <c r="DX634" i="1"/>
  <c r="DT755" i="1"/>
  <c r="DR750" i="1"/>
  <c r="DT700" i="1"/>
  <c r="DS692" i="1"/>
  <c r="DS691" i="1"/>
  <c r="DS610" i="1"/>
  <c r="DY588" i="1"/>
  <c r="DU606" i="1"/>
  <c r="DS602" i="1"/>
  <c r="DW593" i="1"/>
  <c r="DT690" i="1"/>
  <c r="DW604" i="1"/>
  <c r="DR541" i="1"/>
  <c r="DT464" i="1"/>
  <c r="DT462" i="1"/>
  <c r="DT453" i="1"/>
  <c r="DV269" i="1"/>
  <c r="DV256" i="1"/>
  <c r="DS233" i="1"/>
  <c r="DR232" i="1"/>
  <c r="DS199" i="1"/>
  <c r="DT182" i="1"/>
  <c r="DS420" i="1"/>
  <c r="DV270" i="1"/>
  <c r="DU241" i="1"/>
  <c r="DS169" i="1"/>
  <c r="DS298" i="1"/>
  <c r="DS292" i="1"/>
  <c r="DU268" i="1"/>
  <c r="DS198" i="1"/>
  <c r="DT347" i="1"/>
  <c r="DU307" i="1"/>
  <c r="DR467" i="1"/>
  <c r="DR449" i="1"/>
  <c r="DR137" i="1"/>
  <c r="DS303" i="1"/>
  <c r="DT288" i="1"/>
  <c r="DW772" i="1"/>
  <c r="DW789" i="1"/>
  <c r="DT773" i="1"/>
  <c r="DT732" i="1"/>
  <c r="DU719" i="1"/>
  <c r="DV706" i="1"/>
  <c r="DT696" i="1"/>
  <c r="DV671" i="1"/>
  <c r="DT717" i="1"/>
  <c r="DS659" i="1"/>
  <c r="DW664" i="1"/>
  <c r="DU611" i="1"/>
  <c r="DX605" i="1"/>
  <c r="DX595" i="1"/>
  <c r="DR553" i="1"/>
  <c r="DR551" i="1"/>
  <c r="DS483" i="1"/>
  <c r="DT482" i="1"/>
  <c r="DU475" i="1"/>
  <c r="DW600" i="1"/>
  <c r="DV557" i="1"/>
  <c r="DV477" i="1"/>
  <c r="DV709" i="1"/>
  <c r="DV610" i="1"/>
  <c r="DV587" i="1"/>
  <c r="DY515" i="1"/>
  <c r="DS479" i="1"/>
  <c r="DR478" i="1"/>
  <c r="DS748" i="1"/>
  <c r="DV476" i="1"/>
  <c r="DT448" i="1"/>
  <c r="DV303" i="1"/>
  <c r="DS293" i="1"/>
  <c r="DX257" i="1"/>
  <c r="DV254" i="1"/>
  <c r="DX182" i="1"/>
  <c r="DV564" i="1"/>
  <c r="DU451" i="1"/>
  <c r="DS446" i="1"/>
  <c r="DT428" i="1"/>
  <c r="DV391" i="1"/>
  <c r="DV272" i="1"/>
  <c r="DT196" i="1"/>
  <c r="DS188" i="1"/>
  <c r="DS183" i="1"/>
  <c r="DY167" i="1"/>
  <c r="DS661" i="1"/>
  <c r="DT440" i="1"/>
  <c r="DU333" i="1"/>
  <c r="DU321" i="1"/>
  <c r="DV255" i="1"/>
  <c r="DU202" i="1"/>
  <c r="DT190" i="1"/>
  <c r="DW334" i="1"/>
  <c r="DT204" i="1"/>
  <c r="DT192" i="1"/>
  <c r="DX589" i="1"/>
  <c r="DU555" i="1"/>
  <c r="DW258" i="1"/>
  <c r="DS108" i="1"/>
  <c r="DS455" i="1"/>
  <c r="DV162" i="1"/>
  <c r="DT146" i="1"/>
  <c r="DT119" i="1"/>
  <c r="DX270" i="1"/>
  <c r="DV201" i="1"/>
  <c r="DS756" i="1"/>
  <c r="DX785" i="1"/>
  <c r="DT688" i="1"/>
  <c r="DW603" i="1"/>
  <c r="DW601" i="1"/>
  <c r="DS683" i="1"/>
  <c r="DW369" i="1"/>
  <c r="DU291" i="1"/>
  <c r="DT174" i="1"/>
  <c r="DU444" i="1"/>
  <c r="DT352" i="1"/>
  <c r="DT358" i="1"/>
  <c r="DW787" i="1"/>
  <c r="DT752" i="1"/>
  <c r="DR732" i="1"/>
  <c r="DX789" i="1"/>
  <c r="DT715" i="1"/>
  <c r="DR656" i="1"/>
  <c r="DU636" i="1"/>
  <c r="DT707" i="1"/>
  <c r="DT671" i="1"/>
  <c r="DU643" i="1"/>
  <c r="DT640" i="1"/>
  <c r="DX593" i="1"/>
  <c r="DY580" i="1"/>
  <c r="DQ549" i="1"/>
  <c r="DR546" i="1"/>
  <c r="DR527" i="1"/>
  <c r="DX628" i="1"/>
  <c r="DW500" i="1"/>
  <c r="DR482" i="1"/>
  <c r="DR481" i="1"/>
  <c r="DT567" i="1"/>
  <c r="DR440" i="1"/>
  <c r="DW388" i="1"/>
  <c r="DR362" i="1"/>
  <c r="DT360" i="1"/>
  <c r="DS335" i="1"/>
  <c r="DR334" i="1"/>
  <c r="DS202" i="1"/>
  <c r="DS189" i="1"/>
  <c r="DU609" i="1"/>
  <c r="DR491" i="1"/>
  <c r="DR476" i="1"/>
  <c r="DS409" i="1"/>
  <c r="DS377" i="1"/>
  <c r="DR333" i="1"/>
  <c r="DS327" i="1"/>
  <c r="DT320" i="1"/>
  <c r="DU222" i="1"/>
  <c r="DS217" i="1"/>
  <c r="DS216" i="1"/>
  <c r="DR192" i="1"/>
  <c r="DS529" i="1"/>
  <c r="DU465" i="1"/>
  <c r="DT451" i="1"/>
  <c r="DS414" i="1"/>
  <c r="DW389" i="1"/>
  <c r="DS352" i="1"/>
  <c r="DS297" i="1"/>
  <c r="DS295" i="1"/>
  <c r="DU272" i="1"/>
  <c r="DV247" i="1"/>
  <c r="DT611" i="1"/>
  <c r="DS410" i="1"/>
  <c r="DR143" i="1"/>
  <c r="DT124" i="1"/>
  <c r="DW575" i="1"/>
  <c r="DY397" i="1"/>
  <c r="DS358" i="1"/>
  <c r="DS168" i="1"/>
  <c r="DS144" i="1"/>
  <c r="DT139" i="1"/>
  <c r="DU780" i="1"/>
  <c r="DR773" i="1"/>
  <c r="DR748" i="1"/>
  <c r="DR745" i="1"/>
  <c r="DS719" i="1"/>
  <c r="DS717" i="1"/>
  <c r="DT767" i="1"/>
  <c r="DR734" i="1"/>
  <c r="EA734" i="1" s="1"/>
  <c r="DW785" i="1"/>
  <c r="DV768" i="1"/>
  <c r="DT713" i="1"/>
  <c r="DT699" i="1"/>
  <c r="DU698" i="1"/>
  <c r="DR661" i="1"/>
  <c r="DW643" i="1"/>
  <c r="DW619" i="1"/>
  <c r="DU706" i="1"/>
  <c r="DT702" i="1"/>
  <c r="DS696" i="1"/>
  <c r="DV658" i="1"/>
  <c r="DT655" i="1"/>
  <c r="DV644" i="1"/>
  <c r="DV640" i="1"/>
  <c r="DW633" i="1"/>
  <c r="DT771" i="1"/>
  <c r="DS709" i="1"/>
  <c r="DT704" i="1"/>
  <c r="DT684" i="1"/>
  <c r="DT683" i="1"/>
  <c r="DS674" i="1"/>
  <c r="DR659" i="1"/>
  <c r="DU637" i="1"/>
  <c r="DX636" i="1"/>
  <c r="DX600" i="1"/>
  <c r="DT587" i="1"/>
  <c r="DU572" i="1"/>
  <c r="DS527" i="1"/>
  <c r="DW515" i="1"/>
  <c r="DS490" i="1"/>
  <c r="DT564" i="1"/>
  <c r="DQ551" i="1"/>
  <c r="DS482" i="1"/>
  <c r="DT475" i="1"/>
  <c r="DV624" i="1"/>
  <c r="DW605" i="1"/>
  <c r="DU567" i="1"/>
  <c r="DT529" i="1"/>
  <c r="DS476" i="1"/>
  <c r="DT477" i="1"/>
  <c r="DV444" i="1"/>
  <c r="DR408" i="1"/>
  <c r="DS402" i="1"/>
  <c r="DT377" i="1"/>
  <c r="DS364" i="1"/>
  <c r="DS359" i="1"/>
  <c r="DS349" i="1"/>
  <c r="DS321" i="1"/>
  <c r="DW270" i="1"/>
  <c r="DW259" i="1"/>
  <c r="DT194" i="1"/>
  <c r="DS192" i="1"/>
  <c r="DZ167" i="1"/>
  <c r="DU610" i="1"/>
  <c r="DU471" i="1"/>
  <c r="DQ455" i="1"/>
  <c r="DS448" i="1"/>
  <c r="DW397" i="1"/>
  <c r="DT311" i="1"/>
  <c r="DW257" i="1"/>
  <c r="DU251" i="1"/>
  <c r="DR200" i="1"/>
  <c r="DT195" i="1"/>
  <c r="DR191" i="1"/>
  <c r="DS175" i="1"/>
  <c r="DR170" i="1"/>
  <c r="DT168" i="1"/>
  <c r="DU772" i="1"/>
  <c r="DS700" i="1"/>
  <c r="DW641" i="1"/>
  <c r="DS355" i="1"/>
  <c r="DS329" i="1"/>
  <c r="DT322" i="1"/>
  <c r="DW281" i="1"/>
  <c r="DX280" i="1"/>
  <c r="DT254" i="1"/>
  <c r="DR188" i="1"/>
  <c r="DS401" i="1"/>
  <c r="DY393" i="1"/>
  <c r="DS323" i="1"/>
  <c r="DT304" i="1"/>
  <c r="DR196" i="1"/>
  <c r="DT162" i="1"/>
  <c r="DV156" i="1"/>
  <c r="DS153" i="1"/>
  <c r="DR108" i="1"/>
  <c r="DS440" i="1"/>
  <c r="DV392" i="1"/>
  <c r="DX391" i="1"/>
  <c r="DS362" i="1"/>
  <c r="DU360" i="1"/>
  <c r="DR203" i="1"/>
  <c r="DR201" i="1"/>
  <c r="DR118" i="1"/>
  <c r="DV107" i="1"/>
  <c r="DY595" i="1"/>
  <c r="DS361" i="1"/>
  <c r="DR197" i="1"/>
  <c r="DU182" i="1"/>
  <c r="DS689" i="1"/>
  <c r="DX452" i="1"/>
  <c r="DV390" i="1"/>
  <c r="DT335" i="1"/>
  <c r="DS334" i="1"/>
  <c r="DR193" i="1"/>
  <c r="DS190" i="1"/>
  <c r="DR111" i="1"/>
  <c r="DW645" i="1"/>
  <c r="DU255" i="1"/>
  <c r="DS146" i="1"/>
  <c r="DR735" i="1"/>
  <c r="DV563" i="1"/>
  <c r="DT345" i="1"/>
  <c r="DT334" i="1"/>
  <c r="DS203" i="1"/>
  <c r="DV195" i="1"/>
  <c r="DR116" i="1"/>
  <c r="DV755" i="1"/>
  <c r="DR754" i="1"/>
  <c r="DU779" i="1"/>
  <c r="DW626" i="1"/>
  <c r="DQ547" i="1"/>
  <c r="DY503" i="1"/>
  <c r="DQ467" i="1"/>
  <c r="DX450" i="1"/>
  <c r="DT198" i="1"/>
  <c r="DT303" i="1"/>
  <c r="DT232" i="1"/>
  <c r="DU109" i="1"/>
  <c r="DU453" i="1"/>
  <c r="DW269" i="1"/>
  <c r="DT163" i="1"/>
  <c r="DX606" i="1"/>
  <c r="DV609" i="1"/>
  <c r="DS583" i="1"/>
  <c r="DR584" i="1"/>
  <c r="DT384" i="1"/>
  <c r="DX125" i="1"/>
  <c r="DT141" i="1"/>
  <c r="DV643" i="1"/>
  <c r="DW616" i="1"/>
  <c r="DT488" i="1"/>
  <c r="DR373" i="1"/>
  <c r="DU326" i="1"/>
  <c r="DW296" i="1"/>
  <c r="DV210" i="1"/>
  <c r="DS317" i="1"/>
  <c r="DT235" i="1"/>
  <c r="DS510" i="1"/>
  <c r="DX429" i="1"/>
  <c r="DT202" i="1"/>
  <c r="DS425" i="1"/>
  <c r="DV291" i="1"/>
  <c r="DT701" i="1"/>
  <c r="DU642" i="1"/>
  <c r="DV212" i="1"/>
  <c r="DS151" i="1"/>
  <c r="DT133" i="1"/>
  <c r="DU107" i="1"/>
  <c r="DW788" i="1"/>
  <c r="DT716" i="1"/>
  <c r="DT723" i="1"/>
  <c r="DT703" i="1"/>
  <c r="DU708" i="1"/>
  <c r="DV688" i="1"/>
  <c r="DU681" i="1"/>
  <c r="DR596" i="1"/>
  <c r="DS670" i="1"/>
  <c r="DY524" i="1"/>
  <c r="DZ494" i="1"/>
  <c r="DU565" i="1"/>
  <c r="DT538" i="1"/>
  <c r="DU508" i="1"/>
  <c r="DT507" i="1"/>
  <c r="DU480" i="1"/>
  <c r="DV785" i="1"/>
  <c r="DX580" i="1"/>
  <c r="DQ548" i="1"/>
  <c r="DX504" i="1"/>
  <c r="DW429" i="1"/>
  <c r="DU311" i="1"/>
  <c r="DS170" i="1"/>
  <c r="DV607" i="1"/>
  <c r="DS470" i="1"/>
  <c r="DU346" i="1"/>
  <c r="DU334" i="1"/>
  <c r="DU318" i="1"/>
  <c r="DR293" i="1"/>
  <c r="DU213" i="1"/>
  <c r="DS773" i="1"/>
  <c r="DT719" i="1"/>
  <c r="DW563" i="1"/>
  <c r="DT532" i="1"/>
  <c r="DS459" i="1"/>
  <c r="DT341" i="1"/>
  <c r="DT276" i="1"/>
  <c r="DU212" i="1"/>
  <c r="DU211" i="1"/>
  <c r="DU210" i="1"/>
  <c r="DU209" i="1"/>
  <c r="DS196" i="1"/>
  <c r="DW277" i="1"/>
  <c r="DS339" i="1"/>
  <c r="DS301" i="1"/>
  <c r="DU207" i="1"/>
  <c r="DU206" i="1"/>
  <c r="DT145" i="1"/>
  <c r="DW573" i="1"/>
  <c r="DR460" i="1"/>
  <c r="DU332" i="1"/>
  <c r="DX259" i="1"/>
  <c r="DV221" i="1"/>
  <c r="DU208" i="1"/>
  <c r="DT349" i="1"/>
  <c r="DS771" i="1"/>
  <c r="DQ765" i="1"/>
  <c r="DQ764" i="1"/>
  <c r="DQ763" i="1"/>
  <c r="DQ762" i="1"/>
  <c r="DT710" i="1"/>
  <c r="DX666" i="1"/>
  <c r="DY664" i="1"/>
  <c r="DU646" i="1"/>
  <c r="DV645" i="1"/>
  <c r="DX632" i="1"/>
  <c r="DQ761" i="1"/>
  <c r="DS657" i="1"/>
  <c r="DU690" i="1"/>
  <c r="DY585" i="1"/>
  <c r="DR549" i="1"/>
  <c r="DV497" i="1"/>
  <c r="DU489" i="1"/>
  <c r="DR470" i="1"/>
  <c r="DT756" i="1"/>
  <c r="DY598" i="1"/>
  <c r="DV526" i="1"/>
  <c r="DT512" i="1"/>
  <c r="DU449" i="1"/>
  <c r="DX396" i="1"/>
  <c r="DS328" i="1"/>
  <c r="DV222" i="1"/>
  <c r="DS382" i="1"/>
  <c r="DS330" i="1"/>
  <c r="DS237" i="1"/>
  <c r="DU236" i="1"/>
  <c r="DS467" i="1"/>
  <c r="DT458" i="1"/>
  <c r="DS379" i="1"/>
  <c r="DT378" i="1"/>
  <c r="DU347" i="1"/>
  <c r="DU305" i="1"/>
  <c r="DX261" i="1"/>
  <c r="DV207" i="1"/>
  <c r="DU199" i="1"/>
  <c r="DY442" i="1"/>
  <c r="DX369" i="1"/>
  <c r="DW256" i="1"/>
  <c r="DT233" i="1"/>
  <c r="DU156" i="1"/>
  <c r="DT485" i="1"/>
  <c r="DV150" i="1"/>
  <c r="DU778" i="1"/>
  <c r="DX768" i="1"/>
  <c r="DS758" i="1"/>
  <c r="DR737" i="1"/>
  <c r="DS729" i="1"/>
  <c r="DR738" i="1"/>
  <c r="DU713" i="1"/>
  <c r="DU771" i="1"/>
  <c r="DU714" i="1"/>
  <c r="DU709" i="1"/>
  <c r="DU702" i="1"/>
  <c r="DU668" i="1"/>
  <c r="DV629" i="1"/>
  <c r="DT674" i="1"/>
  <c r="DS672" i="1"/>
  <c r="DU671" i="1"/>
  <c r="DW666" i="1"/>
  <c r="DV619" i="1"/>
  <c r="EA619" i="1" s="1"/>
  <c r="DX603" i="1"/>
  <c r="DS735" i="1"/>
  <c r="DT673" i="1"/>
  <c r="DT670" i="1"/>
  <c r="DU647" i="1"/>
  <c r="DW607" i="1"/>
  <c r="DX643" i="1"/>
  <c r="DX601" i="1"/>
  <c r="DV597" i="1"/>
  <c r="DX586" i="1"/>
  <c r="DT583" i="1"/>
  <c r="DX502" i="1"/>
  <c r="DW497" i="1"/>
  <c r="DU699" i="1"/>
  <c r="DW636" i="1"/>
  <c r="DX585" i="1"/>
  <c r="DR548" i="1"/>
  <c r="DU529" i="1"/>
  <c r="DX500" i="1"/>
  <c r="DS669" i="1"/>
  <c r="DU582" i="1"/>
  <c r="DW571" i="1"/>
  <c r="DU485" i="1"/>
  <c r="DU477" i="1"/>
  <c r="DW452" i="1"/>
  <c r="DU445" i="1"/>
  <c r="DV441" i="1"/>
  <c r="DT435" i="1"/>
  <c r="DS403" i="1"/>
  <c r="DU392" i="1"/>
  <c r="DW391" i="1"/>
  <c r="DS385" i="1"/>
  <c r="DT383" i="1"/>
  <c r="DU344" i="1"/>
  <c r="DX279" i="1"/>
  <c r="DT250" i="1"/>
  <c r="DU229" i="1"/>
  <c r="DS178" i="1"/>
  <c r="DT176" i="1"/>
  <c r="DT165" i="1"/>
  <c r="DW630" i="1"/>
  <c r="DR544" i="1"/>
  <c r="DT527" i="1"/>
  <c r="DY443" i="1"/>
  <c r="EC443" i="1" s="1"/>
  <c r="DS431" i="1"/>
  <c r="DT379" i="1"/>
  <c r="DU358" i="1"/>
  <c r="DX281" i="1"/>
  <c r="DY280" i="1"/>
  <c r="DW266" i="1"/>
  <c r="DW253" i="1"/>
  <c r="DU587" i="1"/>
  <c r="DS428" i="1"/>
  <c r="DT418" i="1"/>
  <c r="DT386" i="1"/>
  <c r="DV377" i="1"/>
  <c r="DT361" i="1"/>
  <c r="DU335" i="1"/>
  <c r="DT324" i="1"/>
  <c r="DX284" i="1"/>
  <c r="DY282" i="1"/>
  <c r="DW244" i="1"/>
  <c r="DT432" i="1"/>
  <c r="DV246" i="1"/>
  <c r="DS147" i="1"/>
  <c r="DS118" i="1"/>
  <c r="DU533" i="1"/>
  <c r="DS433" i="1"/>
  <c r="DV312" i="1"/>
  <c r="DU174" i="1"/>
  <c r="DS173" i="1"/>
  <c r="DR164" i="1"/>
  <c r="DT140" i="1"/>
  <c r="DT136" i="1"/>
  <c r="DT110" i="1"/>
  <c r="DS177" i="1"/>
  <c r="DU169" i="1"/>
  <c r="DR166" i="1"/>
  <c r="DU162" i="1"/>
  <c r="DR115" i="1"/>
  <c r="DV398" i="1"/>
  <c r="DT333" i="1"/>
  <c r="DV326" i="1"/>
  <c r="DV182" i="1"/>
  <c r="DT160" i="1"/>
  <c r="DW150" i="1"/>
  <c r="DS543" i="1"/>
  <c r="DU181" i="1"/>
  <c r="DU179" i="1"/>
  <c r="DT155" i="1"/>
  <c r="DV694" i="1"/>
  <c r="DU292" i="1"/>
  <c r="DY263" i="1"/>
  <c r="DU231" i="1"/>
  <c r="DX221" i="1"/>
  <c r="DS142" i="1"/>
  <c r="DR682" i="1"/>
  <c r="DU686" i="1"/>
  <c r="DU684" i="1"/>
  <c r="DT685" i="1"/>
  <c r="DU574" i="1"/>
  <c r="DS534" i="1"/>
  <c r="DT510" i="1"/>
  <c r="DV219" i="1"/>
  <c r="DS411" i="1"/>
  <c r="DU304" i="1"/>
  <c r="DW291" i="1"/>
  <c r="DT681" i="1"/>
  <c r="DT126" i="1"/>
  <c r="DT364" i="1"/>
  <c r="DS220" i="1"/>
  <c r="EA531" i="1"/>
  <c r="EC531" i="1"/>
  <c r="AC772" i="1"/>
  <c r="A773" i="1"/>
  <c r="AB771" i="1"/>
  <c r="E771" i="1"/>
  <c r="G771" i="1" s="1"/>
  <c r="AA771" i="1"/>
  <c r="AG771" i="1"/>
  <c r="EC281" i="1" l="1"/>
  <c r="EC396" i="1"/>
  <c r="EC664" i="1"/>
  <c r="EC559" i="1"/>
  <c r="EC412" i="1"/>
  <c r="EC261" i="1"/>
  <c r="EA690" i="1"/>
  <c r="EC191" i="1"/>
  <c r="EC223" i="1"/>
  <c r="EC614" i="1"/>
  <c r="EC398" i="1"/>
  <c r="EA334" i="1"/>
  <c r="EA555" i="1"/>
  <c r="EC151" i="1"/>
  <c r="EA339" i="1"/>
  <c r="EC627" i="1"/>
  <c r="EA190" i="1"/>
  <c r="EC126" i="1"/>
  <c r="EA126" i="1"/>
  <c r="EC140" i="1"/>
  <c r="EA140" i="1"/>
  <c r="EC672" i="1"/>
  <c r="EA672" i="1"/>
  <c r="EA758" i="1"/>
  <c r="EC758" i="1"/>
  <c r="EA765" i="1"/>
  <c r="EC765" i="1"/>
  <c r="EC276" i="1"/>
  <c r="EA276" i="1"/>
  <c r="EA670" i="1"/>
  <c r="EC670" i="1"/>
  <c r="EA785" i="1"/>
  <c r="EC358" i="1"/>
  <c r="EA358" i="1"/>
  <c r="EA335" i="1"/>
  <c r="EC335" i="1"/>
  <c r="EC785" i="1"/>
  <c r="EC602" i="1"/>
  <c r="EA602" i="1"/>
  <c r="EC691" i="1"/>
  <c r="EA691" i="1"/>
  <c r="EA749" i="1"/>
  <c r="EC749" i="1"/>
  <c r="EC516" i="1"/>
  <c r="EA516" i="1"/>
  <c r="EC364" i="1"/>
  <c r="EA364" i="1"/>
  <c r="EC504" i="1"/>
  <c r="EA504" i="1"/>
  <c r="EA184" i="1"/>
  <c r="EC184" i="1"/>
  <c r="EA340" i="1"/>
  <c r="EC340" i="1"/>
  <c r="EA712" i="1"/>
  <c r="EC712" i="1"/>
  <c r="EA341" i="1"/>
  <c r="EC341" i="1"/>
  <c r="EC285" i="1"/>
  <c r="EA285" i="1"/>
  <c r="EA369" i="1"/>
  <c r="EC369" i="1"/>
  <c r="EA186" i="1"/>
  <c r="EC186" i="1"/>
  <c r="EC264" i="1"/>
  <c r="EA264" i="1"/>
  <c r="EA398" i="1"/>
  <c r="EC370" i="1"/>
  <c r="EA370" i="1"/>
  <c r="EC520" i="1"/>
  <c r="EA520" i="1"/>
  <c r="EA223" i="1"/>
  <c r="DY574" i="1"/>
  <c r="DV346" i="1"/>
  <c r="EA346" i="1" s="1"/>
  <c r="DY571" i="1"/>
  <c r="DR743" i="1"/>
  <c r="DR421" i="1"/>
  <c r="DU750" i="1"/>
  <c r="EA750" i="1" s="1"/>
  <c r="DV771" i="1"/>
  <c r="DS725" i="1"/>
  <c r="DV788" i="1"/>
  <c r="EA788" i="1" s="1"/>
  <c r="DW640" i="1"/>
  <c r="DT669" i="1"/>
  <c r="EC669" i="1" s="1"/>
  <c r="DV480" i="1"/>
  <c r="DV485" i="1"/>
  <c r="EA485" i="1" s="1"/>
  <c r="DS481" i="1"/>
  <c r="DS491" i="1"/>
  <c r="EA491" i="1" s="1"/>
  <c r="DS468" i="1"/>
  <c r="DX430" i="1"/>
  <c r="EA430" i="1" s="1"/>
  <c r="DT237" i="1"/>
  <c r="EC237" i="1" s="1"/>
  <c r="DS200" i="1"/>
  <c r="EC200" i="1" s="1"/>
  <c r="DT490" i="1"/>
  <c r="DW464" i="1"/>
  <c r="DV452" i="1"/>
  <c r="EA452" i="1" s="1"/>
  <c r="DU254" i="1"/>
  <c r="DT201" i="1"/>
  <c r="DY438" i="1"/>
  <c r="EA438" i="1" s="1"/>
  <c r="DV445" i="1"/>
  <c r="DS112" i="1"/>
  <c r="EA246" i="1"/>
  <c r="EC246" i="1"/>
  <c r="EA284" i="1"/>
  <c r="EC284" i="1"/>
  <c r="EC385" i="1"/>
  <c r="EA385" i="1"/>
  <c r="EA669" i="1"/>
  <c r="EA585" i="1"/>
  <c r="EC585" i="1"/>
  <c r="EC738" i="1"/>
  <c r="EA738" i="1"/>
  <c r="EC305" i="1"/>
  <c r="EA305" i="1"/>
  <c r="EA330" i="1"/>
  <c r="EC330" i="1"/>
  <c r="EC598" i="1"/>
  <c r="EA598" i="1"/>
  <c r="EA657" i="1"/>
  <c r="EC657" i="1"/>
  <c r="EC646" i="1"/>
  <c r="EA646" i="1"/>
  <c r="EC762" i="1"/>
  <c r="EA762" i="1"/>
  <c r="EC145" i="1"/>
  <c r="EA145" i="1"/>
  <c r="EA607" i="1"/>
  <c r="EC607" i="1"/>
  <c r="EC373" i="1"/>
  <c r="EA373" i="1"/>
  <c r="EA754" i="1"/>
  <c r="EC754" i="1"/>
  <c r="EC162" i="1"/>
  <c r="EA162" i="1"/>
  <c r="EC280" i="1"/>
  <c r="EA280" i="1"/>
  <c r="EA349" i="1"/>
  <c r="EC349" i="1"/>
  <c r="EA633" i="1"/>
  <c r="EC633" i="1"/>
  <c r="EC619" i="1"/>
  <c r="EC410" i="1"/>
  <c r="EA410" i="1"/>
  <c r="EC189" i="1"/>
  <c r="EA189" i="1"/>
  <c r="EC567" i="1"/>
  <c r="EA567" i="1"/>
  <c r="EA628" i="1"/>
  <c r="EC628" i="1"/>
  <c r="EA671" i="1"/>
  <c r="EC671" i="1"/>
  <c r="EC715" i="1"/>
  <c r="EA715" i="1"/>
  <c r="EA601" i="1"/>
  <c r="EC601" i="1"/>
  <c r="EA756" i="1"/>
  <c r="EC756" i="1"/>
  <c r="EA664" i="1"/>
  <c r="EC303" i="1"/>
  <c r="EA303" i="1"/>
  <c r="EC307" i="1"/>
  <c r="EA307" i="1"/>
  <c r="EA270" i="1"/>
  <c r="EC270" i="1"/>
  <c r="EC232" i="1"/>
  <c r="EC453" i="1"/>
  <c r="EA453" i="1"/>
  <c r="EC606" i="1"/>
  <c r="EA606" i="1"/>
  <c r="EC692" i="1"/>
  <c r="EA692" i="1"/>
  <c r="EC747" i="1"/>
  <c r="EA747" i="1"/>
  <c r="EA209" i="1"/>
  <c r="EC209" i="1"/>
  <c r="EA208" i="1"/>
  <c r="EC208" i="1"/>
  <c r="EA488" i="1"/>
  <c r="EC488" i="1"/>
  <c r="EA720" i="1"/>
  <c r="EC720" i="1"/>
  <c r="EC430" i="1"/>
  <c r="EC148" i="1"/>
  <c r="EA148" i="1"/>
  <c r="EC437" i="1"/>
  <c r="EA437" i="1"/>
  <c r="EC556" i="1"/>
  <c r="EA556" i="1"/>
  <c r="EC740" i="1"/>
  <c r="EA740" i="1"/>
  <c r="EA714" i="1"/>
  <c r="EC714" i="1"/>
  <c r="EC755" i="1"/>
  <c r="EA755" i="1"/>
  <c r="EA663" i="1"/>
  <c r="EA739" i="1"/>
  <c r="EC739" i="1"/>
  <c r="EC734" i="1"/>
  <c r="EA379" i="1"/>
  <c r="EC379" i="1"/>
  <c r="EC318" i="1"/>
  <c r="EA318" i="1"/>
  <c r="EC333" i="1"/>
  <c r="EA138" i="1"/>
  <c r="EC138" i="1"/>
  <c r="EA605" i="1"/>
  <c r="EC605" i="1"/>
  <c r="EC536" i="1"/>
  <c r="EA536" i="1"/>
  <c r="EC542" i="1"/>
  <c r="EC769" i="1"/>
  <c r="EA769" i="1"/>
  <c r="EA252" i="1"/>
  <c r="EC252" i="1"/>
  <c r="EC418" i="1"/>
  <c r="EA418" i="1"/>
  <c r="EA559" i="1"/>
  <c r="EC187" i="1"/>
  <c r="EA187" i="1"/>
  <c r="EA665" i="1"/>
  <c r="EC665" i="1"/>
  <c r="EA522" i="1"/>
  <c r="EC522" i="1"/>
  <c r="EC291" i="1"/>
  <c r="EA291" i="1"/>
  <c r="EC289" i="1"/>
  <c r="EA289" i="1"/>
  <c r="EA194" i="1"/>
  <c r="EC194" i="1"/>
  <c r="EC528" i="1"/>
  <c r="EA528" i="1"/>
  <c r="EC218" i="1"/>
  <c r="EA218" i="1"/>
  <c r="EA694" i="1"/>
  <c r="EC317" i="1"/>
  <c r="EA317" i="1"/>
  <c r="EA443" i="1"/>
  <c r="EC309" i="1"/>
  <c r="EA309" i="1"/>
  <c r="EA412" i="1"/>
  <c r="EC290" i="1"/>
  <c r="EA290" i="1"/>
  <c r="DQ552" i="1"/>
  <c r="DT446" i="1"/>
  <c r="DS224" i="1"/>
  <c r="DS445" i="1"/>
  <c r="EC403" i="1"/>
  <c r="EA403" i="1"/>
  <c r="EA647" i="1"/>
  <c r="EC647" i="1"/>
  <c r="EC489" i="1"/>
  <c r="EA489" i="1"/>
  <c r="EC710" i="1"/>
  <c r="EA710" i="1"/>
  <c r="EC301" i="1"/>
  <c r="EA301" i="1"/>
  <c r="EC708" i="1"/>
  <c r="EA708" i="1"/>
  <c r="EA163" i="1"/>
  <c r="EC163" i="1"/>
  <c r="EA563" i="1"/>
  <c r="EC563" i="1"/>
  <c r="EC689" i="1"/>
  <c r="EA689" i="1"/>
  <c r="EC203" i="1"/>
  <c r="EA203" i="1"/>
  <c r="EA698" i="1"/>
  <c r="EC698" i="1"/>
  <c r="EA389" i="1"/>
  <c r="EC389" i="1"/>
  <c r="EC500" i="1"/>
  <c r="EA500" i="1"/>
  <c r="EC656" i="1"/>
  <c r="EA656" i="1"/>
  <c r="EC683" i="1"/>
  <c r="EA683" i="1"/>
  <c r="EA199" i="1"/>
  <c r="EC199" i="1"/>
  <c r="EA541" i="1"/>
  <c r="EC541" i="1"/>
  <c r="EA429" i="1"/>
  <c r="EC228" i="1"/>
  <c r="EA228" i="1"/>
  <c r="EC760" i="1"/>
  <c r="EA760" i="1"/>
  <c r="EC730" i="1"/>
  <c r="EA730" i="1"/>
  <c r="EC494" i="1"/>
  <c r="EA494" i="1"/>
  <c r="EC770" i="1"/>
  <c r="EA770" i="1"/>
  <c r="EC642" i="1"/>
  <c r="EA642" i="1"/>
  <c r="EC374" i="1"/>
  <c r="EA374" i="1"/>
  <c r="DS461" i="1"/>
  <c r="EA110" i="1"/>
  <c r="EC110" i="1"/>
  <c r="EC386" i="1"/>
  <c r="EA386" i="1"/>
  <c r="EC279" i="1"/>
  <c r="EA279" i="1"/>
  <c r="EA233" i="1"/>
  <c r="EA761" i="1"/>
  <c r="EC761" i="1"/>
  <c r="EA763" i="1"/>
  <c r="EC763" i="1"/>
  <c r="EC507" i="1"/>
  <c r="EA507" i="1"/>
  <c r="EA701" i="1"/>
  <c r="EC701" i="1"/>
  <c r="EC429" i="1"/>
  <c r="EC547" i="1"/>
  <c r="EA547" i="1"/>
  <c r="EC196" i="1"/>
  <c r="EA196" i="1"/>
  <c r="EC401" i="1"/>
  <c r="EA401" i="1"/>
  <c r="EA281" i="1"/>
  <c r="EA200" i="1"/>
  <c r="EA359" i="1"/>
  <c r="EC359" i="1"/>
  <c r="EC696" i="1"/>
  <c r="EA696" i="1"/>
  <c r="EC767" i="1"/>
  <c r="EA767" i="1"/>
  <c r="EA144" i="1"/>
  <c r="EC144" i="1"/>
  <c r="EC575" i="1"/>
  <c r="EA575" i="1"/>
  <c r="EC327" i="1"/>
  <c r="EA327" i="1"/>
  <c r="EC707" i="1"/>
  <c r="EA707" i="1"/>
  <c r="EC555" i="1"/>
  <c r="EC482" i="1"/>
  <c r="EA595" i="1"/>
  <c r="EC595" i="1"/>
  <c r="EC347" i="1"/>
  <c r="EA347" i="1"/>
  <c r="EC298" i="1"/>
  <c r="EA298" i="1"/>
  <c r="EA420" i="1"/>
  <c r="EC420" i="1"/>
  <c r="EC233" i="1"/>
  <c r="EC690" i="1"/>
  <c r="EC588" i="1"/>
  <c r="EA588" i="1"/>
  <c r="EC658" i="1"/>
  <c r="EA658" i="1"/>
  <c r="EA752" i="1"/>
  <c r="EC752" i="1"/>
  <c r="EA134" i="1"/>
  <c r="EC134" i="1"/>
  <c r="EA210" i="1"/>
  <c r="EC210" i="1"/>
  <c r="EA331" i="1"/>
  <c r="EC331" i="1"/>
  <c r="EA447" i="1"/>
  <c r="EC447" i="1"/>
  <c r="EC214" i="1"/>
  <c r="EA214" i="1"/>
  <c r="EA171" i="1"/>
  <c r="EC171" i="1"/>
  <c r="EA577" i="1"/>
  <c r="EC404" i="1"/>
  <c r="EA404" i="1"/>
  <c r="EA751" i="1"/>
  <c r="EC751" i="1"/>
  <c r="EA261" i="1"/>
  <c r="EA222" i="1"/>
  <c r="EC222" i="1"/>
  <c r="EA380" i="1"/>
  <c r="EC380" i="1"/>
  <c r="EC577" i="1"/>
  <c r="EC722" i="1"/>
  <c r="EA722" i="1"/>
  <c r="EA396" i="1"/>
  <c r="EA215" i="1"/>
  <c r="EC215" i="1"/>
  <c r="EC229" i="1"/>
  <c r="EA229" i="1"/>
  <c r="EA591" i="1"/>
  <c r="EC591" i="1"/>
  <c r="EA604" i="1"/>
  <c r="EC604" i="1"/>
  <c r="EA176" i="1"/>
  <c r="EC176" i="1"/>
  <c r="EA191" i="1"/>
  <c r="EC731" i="1"/>
  <c r="EA731" i="1"/>
  <c r="EC238" i="1"/>
  <c r="EA238" i="1"/>
  <c r="EA614" i="1"/>
  <c r="EA741" i="1"/>
  <c r="EC741" i="1"/>
  <c r="EC109" i="1"/>
  <c r="EA109" i="1"/>
  <c r="EA365" i="1"/>
  <c r="EC365" i="1"/>
  <c r="EA296" i="1"/>
  <c r="EC296" i="1"/>
  <c r="EA326" i="1"/>
  <c r="EC326" i="1"/>
  <c r="EC242" i="1"/>
  <c r="EA242" i="1"/>
  <c r="EA195" i="1"/>
  <c r="EC195" i="1"/>
  <c r="EA561" i="1"/>
  <c r="EC561" i="1"/>
  <c r="EC694" i="1"/>
  <c r="EA371" i="1"/>
  <c r="EC371" i="1"/>
  <c r="EA774" i="1"/>
  <c r="EA240" i="1"/>
  <c r="EC240" i="1"/>
  <c r="EA627" i="1"/>
  <c r="EA282" i="1"/>
  <c r="EC282" i="1"/>
  <c r="EA630" i="1"/>
  <c r="EC630" i="1"/>
  <c r="EC706" i="1"/>
  <c r="EA706" i="1"/>
  <c r="EC719" i="1"/>
  <c r="EA719" i="1"/>
  <c r="EA143" i="1"/>
  <c r="EC143" i="1"/>
  <c r="EA609" i="1"/>
  <c r="EC609" i="1"/>
  <c r="EC444" i="1"/>
  <c r="EA444" i="1"/>
  <c r="EA711" i="1"/>
  <c r="EC711" i="1"/>
  <c r="EA275" i="1"/>
  <c r="EC275" i="1"/>
  <c r="EC207" i="1"/>
  <c r="EA207" i="1"/>
  <c r="EA232" i="1"/>
  <c r="EC776" i="1"/>
  <c r="EA776" i="1"/>
  <c r="EA534" i="1"/>
  <c r="EC534" i="1"/>
  <c r="EA166" i="1"/>
  <c r="EC166" i="1"/>
  <c r="EC136" i="1"/>
  <c r="EA136" i="1"/>
  <c r="EC737" i="1"/>
  <c r="EA737" i="1"/>
  <c r="EC150" i="1"/>
  <c r="EA150" i="1"/>
  <c r="EA764" i="1"/>
  <c r="EC764" i="1"/>
  <c r="EA532" i="1"/>
  <c r="EC532" i="1"/>
  <c r="EA716" i="1"/>
  <c r="EC716" i="1"/>
  <c r="EA151" i="1"/>
  <c r="EA384" i="1"/>
  <c r="EC384" i="1"/>
  <c r="EA450" i="1"/>
  <c r="EC450" i="1"/>
  <c r="EA116" i="1"/>
  <c r="EC116" i="1"/>
  <c r="EC345" i="1"/>
  <c r="EA345" i="1"/>
  <c r="EC361" i="1"/>
  <c r="EA361" i="1"/>
  <c r="EA188" i="1"/>
  <c r="EC188" i="1"/>
  <c r="EC674" i="1"/>
  <c r="EA674" i="1"/>
  <c r="EC702" i="1"/>
  <c r="EA702" i="1"/>
  <c r="EA465" i="1"/>
  <c r="EC465" i="1"/>
  <c r="EA333" i="1"/>
  <c r="EC491" i="1"/>
  <c r="EC334" i="1"/>
  <c r="EA482" i="1"/>
  <c r="EC546" i="1"/>
  <c r="EA546" i="1"/>
  <c r="EA688" i="1"/>
  <c r="EC688" i="1"/>
  <c r="EC190" i="1"/>
  <c r="EC449" i="1"/>
  <c r="EC198" i="1"/>
  <c r="EA198" i="1"/>
  <c r="EC169" i="1"/>
  <c r="EA169" i="1"/>
  <c r="EA593" i="1"/>
  <c r="EC593" i="1"/>
  <c r="EC610" i="1"/>
  <c r="EA610" i="1"/>
  <c r="EC663" i="1"/>
  <c r="EC550" i="1"/>
  <c r="EA550" i="1"/>
  <c r="EC211" i="1"/>
  <c r="EA211" i="1"/>
  <c r="EC212" i="1"/>
  <c r="EA212" i="1"/>
  <c r="EA213" i="1"/>
  <c r="EC213" i="1"/>
  <c r="EA206" i="1"/>
  <c r="EC206" i="1"/>
  <c r="EC332" i="1"/>
  <c r="EA332" i="1"/>
  <c r="EA590" i="1"/>
  <c r="EC590" i="1"/>
  <c r="EC788" i="1"/>
  <c r="EC220" i="1"/>
  <c r="EA220" i="1"/>
  <c r="EA306" i="1"/>
  <c r="EC306" i="1"/>
  <c r="EC592" i="1"/>
  <c r="EA592" i="1"/>
  <c r="EC726" i="1"/>
  <c r="EA726" i="1"/>
  <c r="EA772" i="1"/>
  <c r="EC772" i="1"/>
  <c r="EC603" i="1"/>
  <c r="EA603" i="1"/>
  <c r="EA742" i="1"/>
  <c r="EC742" i="1"/>
  <c r="EC294" i="1"/>
  <c r="EA294" i="1"/>
  <c r="EC263" i="1"/>
  <c r="EA263" i="1"/>
  <c r="EA449" i="1"/>
  <c r="EC433" i="1"/>
  <c r="EC524" i="1"/>
  <c r="EA524" i="1"/>
  <c r="EC703" i="1"/>
  <c r="EA703" i="1"/>
  <c r="EA757" i="1"/>
  <c r="EC757" i="1"/>
  <c r="EA782" i="1"/>
  <c r="EC782" i="1"/>
  <c r="EC339" i="1"/>
  <c r="EC753" i="1"/>
  <c r="EA753" i="1"/>
  <c r="EC236" i="1"/>
  <c r="EA236" i="1"/>
  <c r="EC230" i="1"/>
  <c r="EA230" i="1"/>
  <c r="EC426" i="1"/>
  <c r="EA426" i="1"/>
  <c r="EC463" i="1"/>
  <c r="EA463" i="1"/>
  <c r="EA579" i="1"/>
  <c r="EC579" i="1"/>
  <c r="EC337" i="1"/>
  <c r="EA433" i="1"/>
  <c r="EA181" i="1"/>
  <c r="EC181" i="1"/>
  <c r="EC219" i="1"/>
  <c r="EA219" i="1"/>
  <c r="EC375" i="1"/>
  <c r="EA375" i="1"/>
  <c r="EA517" i="1"/>
  <c r="EC517" i="1"/>
  <c r="EA495" i="1"/>
  <c r="EC495" i="1"/>
  <c r="EC244" i="1"/>
  <c r="EA244" i="1"/>
  <c r="EC791" i="1"/>
  <c r="AC773" i="1"/>
  <c r="A774" i="1"/>
  <c r="AB772" i="1"/>
  <c r="AA772" i="1"/>
  <c r="E772" i="1"/>
  <c r="AG772" i="1"/>
  <c r="DW177" i="1"/>
  <c r="DV155" i="1"/>
  <c r="EC485" i="1" l="1"/>
  <c r="EC438" i="1"/>
  <c r="EC750" i="1"/>
  <c r="EA237" i="1"/>
  <c r="EC452" i="1"/>
  <c r="EC346" i="1"/>
  <c r="EA155" i="1"/>
  <c r="EC155" i="1"/>
  <c r="DZ723" i="1"/>
  <c r="DW681" i="1"/>
  <c r="DY565" i="1"/>
  <c r="EC445" i="1"/>
  <c r="EA445" i="1"/>
  <c r="EA421" i="1"/>
  <c r="EC421" i="1"/>
  <c r="EC743" i="1"/>
  <c r="EA743" i="1"/>
  <c r="DU580" i="1"/>
  <c r="DY529" i="1"/>
  <c r="DW192" i="1"/>
  <c r="EC552" i="1"/>
  <c r="EA552" i="1"/>
  <c r="AC774" i="1"/>
  <c r="A775" i="1"/>
  <c r="G772" i="1"/>
  <c r="AA773" i="1"/>
  <c r="AG773" i="1"/>
  <c r="E773" i="1"/>
  <c r="AB773" i="1"/>
  <c r="EC192" i="1" l="1"/>
  <c r="EA192" i="1"/>
  <c r="DW608" i="1"/>
  <c r="DU620" i="1"/>
  <c r="DX587" i="1"/>
  <c r="DX344" i="1"/>
  <c r="DV287" i="1"/>
  <c r="EA580" i="1"/>
  <c r="EC580" i="1"/>
  <c r="EA565" i="1"/>
  <c r="EC565" i="1"/>
  <c r="A776" i="1"/>
  <c r="AC775" i="1"/>
  <c r="AG774" i="1"/>
  <c r="AB774" i="1"/>
  <c r="AA774" i="1"/>
  <c r="E774" i="1"/>
  <c r="E775" i="1" l="1"/>
  <c r="AG775" i="1"/>
  <c r="AB775" i="1"/>
  <c r="AA775" i="1"/>
  <c r="AC776" i="1"/>
  <c r="A777" i="1"/>
  <c r="DX511" i="1" l="1"/>
  <c r="DX512" i="1"/>
  <c r="DX468" i="1"/>
  <c r="DT419" i="1"/>
  <c r="DU130" i="1"/>
  <c r="DV106" i="1"/>
  <c r="DX128" i="1"/>
  <c r="DT431" i="1"/>
  <c r="DV146" i="1"/>
  <c r="DV142" i="1"/>
  <c r="DV157" i="1"/>
  <c r="DX139" i="1"/>
  <c r="A778" i="1"/>
  <c r="AC777" i="1"/>
  <c r="AG776" i="1"/>
  <c r="E776" i="1"/>
  <c r="AB776" i="1"/>
  <c r="AA776" i="1"/>
  <c r="EA157" i="1" l="1"/>
  <c r="EC157" i="1"/>
  <c r="EA142" i="1"/>
  <c r="EC142" i="1"/>
  <c r="EC419" i="1"/>
  <c r="EA419" i="1"/>
  <c r="DY508" i="1"/>
  <c r="DZ498" i="1"/>
  <c r="DP312" i="1"/>
  <c r="DW147" i="1"/>
  <c r="EA146" i="1"/>
  <c r="EC146" i="1"/>
  <c r="DX791" i="1"/>
  <c r="EA791" i="1" s="1"/>
  <c r="DS632" i="1"/>
  <c r="DX611" i="1"/>
  <c r="DT376" i="1"/>
  <c r="DU383" i="1"/>
  <c r="DV792" i="1"/>
  <c r="DY568" i="1"/>
  <c r="EC139" i="1"/>
  <c r="EA139" i="1"/>
  <c r="EC431" i="1"/>
  <c r="EA431" i="1"/>
  <c r="EA130" i="1"/>
  <c r="EC130" i="1"/>
  <c r="EA511" i="1"/>
  <c r="EC511" i="1"/>
  <c r="E777" i="1"/>
  <c r="AG777" i="1"/>
  <c r="AB777" i="1"/>
  <c r="AA777" i="1"/>
  <c r="A779" i="1"/>
  <c r="AC778" i="1"/>
  <c r="EA498" i="1" l="1"/>
  <c r="EC498" i="1"/>
  <c r="EA383" i="1"/>
  <c r="EC383" i="1"/>
  <c r="EC508" i="1"/>
  <c r="EA508" i="1"/>
  <c r="EA792" i="1"/>
  <c r="EC792" i="1"/>
  <c r="EC376" i="1"/>
  <c r="EA376" i="1"/>
  <c r="EA147" i="1"/>
  <c r="EC147" i="1"/>
  <c r="DV775" i="1"/>
  <c r="DS620" i="1"/>
  <c r="DT621" i="1"/>
  <c r="DR613" i="1"/>
  <c r="DT623" i="1"/>
  <c r="DW527" i="1"/>
  <c r="DW521" i="1"/>
  <c r="DX514" i="1"/>
  <c r="DW288" i="1"/>
  <c r="DW436" i="1"/>
  <c r="DV328" i="1"/>
  <c r="DW287" i="1"/>
  <c r="DW470" i="1"/>
  <c r="DU217" i="1"/>
  <c r="DW467" i="1"/>
  <c r="DT125" i="1"/>
  <c r="DU216" i="1"/>
  <c r="DW472" i="1"/>
  <c r="EC472" i="1" s="1"/>
  <c r="DV137" i="1"/>
  <c r="DY156" i="1"/>
  <c r="DV131" i="1"/>
  <c r="DX124" i="1"/>
  <c r="DU180" i="1"/>
  <c r="DU165" i="1"/>
  <c r="DU173" i="1"/>
  <c r="EC568" i="1"/>
  <c r="EA568" i="1"/>
  <c r="EC611" i="1"/>
  <c r="EA611" i="1"/>
  <c r="AB778" i="1"/>
  <c r="AA778" i="1"/>
  <c r="E778" i="1"/>
  <c r="AG778" i="1"/>
  <c r="A780" i="1"/>
  <c r="AC779" i="1"/>
  <c r="EA173" i="1" l="1"/>
  <c r="EC173" i="1"/>
  <c r="EC216" i="1"/>
  <c r="EA216" i="1"/>
  <c r="EA775" i="1"/>
  <c r="EC775" i="1"/>
  <c r="EC165" i="1"/>
  <c r="EA165" i="1"/>
  <c r="EC156" i="1"/>
  <c r="EA156" i="1"/>
  <c r="EC125" i="1"/>
  <c r="EA125" i="1"/>
  <c r="EC287" i="1"/>
  <c r="EA287" i="1"/>
  <c r="EA288" i="1"/>
  <c r="EC288" i="1"/>
  <c r="EC137" i="1"/>
  <c r="EA137" i="1"/>
  <c r="EC328" i="1"/>
  <c r="EA328" i="1"/>
  <c r="EC521" i="1"/>
  <c r="EA521" i="1"/>
  <c r="EA621" i="1"/>
  <c r="EC621" i="1"/>
  <c r="EC217" i="1"/>
  <c r="EA217" i="1"/>
  <c r="AB779" i="1"/>
  <c r="AA779" i="1"/>
  <c r="AG779" i="1"/>
  <c r="E779" i="1"/>
  <c r="A781" i="1"/>
  <c r="AC780" i="1"/>
  <c r="AB780" i="1" l="1"/>
  <c r="AA780" i="1"/>
  <c r="AG780" i="1"/>
  <c r="E780" i="1"/>
  <c r="AC781" i="1"/>
  <c r="A782" i="1"/>
  <c r="AC782" i="1" l="1"/>
  <c r="A783" i="1"/>
  <c r="AG781" i="1"/>
  <c r="E781" i="1"/>
  <c r="AB781" i="1"/>
  <c r="AA781" i="1"/>
  <c r="AC783" i="1" l="1"/>
  <c r="A784" i="1"/>
  <c r="AB782" i="1"/>
  <c r="AA782" i="1"/>
  <c r="E782" i="1"/>
  <c r="AG782" i="1"/>
  <c r="A785" i="1" l="1"/>
  <c r="AC784" i="1"/>
  <c r="AA783" i="1"/>
  <c r="AG783" i="1"/>
  <c r="E783" i="1"/>
  <c r="AB783" i="1"/>
  <c r="AA784" i="1" l="1"/>
  <c r="AG784" i="1"/>
  <c r="E784" i="1"/>
  <c r="AB784" i="1"/>
  <c r="A786" i="1"/>
  <c r="AC785" i="1"/>
  <c r="AA785" i="1" l="1"/>
  <c r="AG785" i="1"/>
  <c r="AB785" i="1"/>
  <c r="E785" i="1"/>
  <c r="G785" i="1" s="1"/>
  <c r="AC786" i="1"/>
  <c r="A787" i="1"/>
  <c r="A788" i="1" l="1"/>
  <c r="AC787" i="1"/>
  <c r="E786" i="1"/>
  <c r="AG786" i="1"/>
  <c r="AB786" i="1"/>
  <c r="AA786" i="1"/>
  <c r="AA787" i="1" l="1"/>
  <c r="AG787" i="1"/>
  <c r="E787" i="1"/>
  <c r="G787" i="1" s="1"/>
  <c r="AB787" i="1"/>
  <c r="A789" i="1"/>
  <c r="AC788" i="1"/>
  <c r="AB788" i="1" l="1"/>
  <c r="AA788" i="1"/>
  <c r="AG788" i="1"/>
  <c r="E788" i="1"/>
  <c r="G788" i="1" s="1"/>
  <c r="AC789" i="1"/>
  <c r="A790" i="1"/>
  <c r="A791" i="1" l="1"/>
  <c r="AC790" i="1"/>
  <c r="AG789" i="1"/>
  <c r="E789" i="1"/>
  <c r="G789" i="1" s="1"/>
  <c r="EJ4" i="1" s="1"/>
  <c r="AB789" i="1"/>
  <c r="AA789" i="1"/>
  <c r="AA790" i="1" l="1"/>
  <c r="AG790" i="1"/>
  <c r="E790" i="1"/>
  <c r="AB790" i="1"/>
  <c r="AC791" i="1"/>
  <c r="A792" i="1"/>
  <c r="A793" i="1" l="1"/>
  <c r="AC792" i="1"/>
  <c r="AG791" i="1"/>
  <c r="AB791" i="1"/>
  <c r="AA791" i="1"/>
  <c r="E791" i="1"/>
  <c r="AA792" i="1" l="1"/>
  <c r="AG792" i="1"/>
  <c r="E792" i="1"/>
  <c r="AB792" i="1"/>
  <c r="EJ13" i="1"/>
  <c r="EJ17" i="1"/>
  <c r="EJ12" i="1"/>
  <c r="EJ11" i="1"/>
  <c r="EJ14" i="1"/>
  <c r="AC793" i="1"/>
  <c r="A794" i="1"/>
  <c r="A795" i="1" l="1"/>
  <c r="AC794" i="1"/>
  <c r="AG793" i="1"/>
  <c r="E793" i="1"/>
  <c r="AB793" i="1"/>
  <c r="AA793" i="1"/>
  <c r="DX685" i="1"/>
  <c r="DS540" i="1"/>
  <c r="DV478" i="1"/>
  <c r="DW344" i="1"/>
  <c r="DW312" i="1"/>
  <c r="DR114" i="1"/>
  <c r="DW582" i="1"/>
  <c r="DX312" i="1"/>
  <c r="DU297" i="1"/>
  <c r="DT295" i="1"/>
  <c r="DX141" i="1"/>
  <c r="EC540" i="1" l="1"/>
  <c r="EA540" i="1"/>
  <c r="EC344" i="1"/>
  <c r="EA344" i="1"/>
  <c r="AG794" i="1"/>
  <c r="AB794" i="1"/>
  <c r="E794" i="1"/>
  <c r="AA794" i="1"/>
  <c r="EA141" i="1"/>
  <c r="EC141" i="1"/>
  <c r="A796" i="1"/>
  <c r="AC795" i="1"/>
  <c r="AG795" i="1" l="1"/>
  <c r="AB795" i="1"/>
  <c r="AA795" i="1"/>
  <c r="E795" i="1"/>
  <c r="EF6" i="1" s="1"/>
  <c r="EF7" i="1"/>
  <c r="EJ16" i="1" s="1"/>
  <c r="DT153" i="1" s="1"/>
  <c r="A797" i="1"/>
  <c r="AC796" i="1"/>
  <c r="AA796" i="1" l="1"/>
  <c r="AG796" i="1"/>
  <c r="E796" i="1"/>
  <c r="AB796" i="1"/>
  <c r="A798" i="1"/>
  <c r="AC797" i="1"/>
  <c r="EF4" i="1"/>
  <c r="AB797" i="1" l="1"/>
  <c r="AA797" i="1"/>
  <c r="AG797" i="1"/>
  <c r="E797" i="1"/>
  <c r="A799" i="1"/>
  <c r="AC798" i="1"/>
  <c r="AG798" i="1" l="1"/>
  <c r="E798" i="1"/>
  <c r="AB798" i="1"/>
  <c r="AA798" i="1"/>
  <c r="AC799" i="1"/>
  <c r="EF5" i="1"/>
  <c r="EF8" i="1" s="1"/>
  <c r="DS315" i="1" l="1"/>
  <c r="DT316" i="1"/>
  <c r="AG799" i="1"/>
  <c r="AG2" i="1" s="1"/>
  <c r="AB799" i="1"/>
  <c r="E799" i="1"/>
  <c r="AA799" i="1"/>
  <c r="DJ799" i="1" l="1"/>
  <c r="DF799" i="1"/>
  <c r="DB799" i="1"/>
  <c r="CX799" i="1"/>
  <c r="CT799" i="1"/>
  <c r="CP799" i="1"/>
  <c r="CL799" i="1"/>
  <c r="CH799" i="1"/>
  <c r="CD799" i="1"/>
  <c r="BZ799" i="1"/>
  <c r="BV799" i="1"/>
  <c r="BR799" i="1"/>
  <c r="BN799" i="1"/>
  <c r="BJ799" i="1"/>
  <c r="BF799" i="1"/>
  <c r="BB799" i="1"/>
  <c r="AX799" i="1"/>
  <c r="AT799" i="1"/>
  <c r="AP799" i="1"/>
  <c r="AL799" i="1"/>
  <c r="DI799" i="1"/>
  <c r="DE799" i="1"/>
  <c r="DA799" i="1"/>
  <c r="CW799" i="1"/>
  <c r="CS799" i="1"/>
  <c r="CO799" i="1"/>
  <c r="CK799" i="1"/>
  <c r="CG799" i="1"/>
  <c r="CC799" i="1"/>
  <c r="BY799" i="1"/>
  <c r="BU799" i="1"/>
  <c r="BQ799" i="1"/>
  <c r="BM799" i="1"/>
  <c r="BI799" i="1"/>
  <c r="BE799" i="1"/>
  <c r="BA799" i="1"/>
  <c r="AW799" i="1"/>
  <c r="AS799" i="1"/>
  <c r="AO799" i="1"/>
  <c r="AK799" i="1"/>
  <c r="DH799" i="1"/>
  <c r="DD799" i="1"/>
  <c r="CZ799" i="1"/>
  <c r="CV799" i="1"/>
  <c r="CR799" i="1"/>
  <c r="CN799" i="1"/>
  <c r="CJ799" i="1"/>
  <c r="CF799" i="1"/>
  <c r="CB799" i="1"/>
  <c r="BX799" i="1"/>
  <c r="BT799" i="1"/>
  <c r="BP799" i="1"/>
  <c r="BL799" i="1"/>
  <c r="BH799" i="1"/>
  <c r="BD799" i="1"/>
  <c r="AZ799" i="1"/>
  <c r="AV799" i="1"/>
  <c r="AR799" i="1"/>
  <c r="AJ799" i="1"/>
  <c r="DG799" i="1"/>
  <c r="DC799" i="1"/>
  <c r="CY799" i="1"/>
  <c r="CU799" i="1"/>
  <c r="CQ799" i="1"/>
  <c r="CM799" i="1"/>
  <c r="CI799" i="1"/>
  <c r="CE799" i="1"/>
  <c r="CA799" i="1"/>
  <c r="BW799" i="1"/>
  <c r="BS799" i="1"/>
  <c r="BO799" i="1"/>
  <c r="BK799" i="1"/>
  <c r="BG799" i="1"/>
  <c r="BC799" i="1"/>
  <c r="AY799" i="1"/>
  <c r="AU799" i="1"/>
  <c r="AQ799" i="1"/>
  <c r="AM799" i="1"/>
  <c r="AI799" i="1"/>
  <c r="EA316" i="1"/>
  <c r="EC316" i="1"/>
  <c r="AH793" i="1"/>
  <c r="AH791" i="1"/>
  <c r="AH786" i="1"/>
  <c r="AH781" i="1"/>
  <c r="AH792" i="1"/>
  <c r="AH790" i="1"/>
  <c r="AH787" i="1"/>
  <c r="AH785" i="1"/>
  <c r="AH784" i="1"/>
  <c r="AH783" i="1"/>
  <c r="AH788" i="1"/>
  <c r="AH782" i="1"/>
  <c r="AH777" i="1"/>
  <c r="AH780" i="1"/>
  <c r="AH775" i="1"/>
  <c r="AH770" i="1"/>
  <c r="AH769" i="1"/>
  <c r="AH767" i="1"/>
  <c r="AH764" i="1"/>
  <c r="AH762" i="1"/>
  <c r="AH760" i="1"/>
  <c r="AH789" i="1"/>
  <c r="AH776" i="1"/>
  <c r="AH773" i="1"/>
  <c r="AH757" i="1"/>
  <c r="AH778" i="1"/>
  <c r="AH772" i="1"/>
  <c r="AH771" i="1"/>
  <c r="AH763" i="1"/>
  <c r="AH756" i="1"/>
  <c r="AH755" i="1"/>
  <c r="AH747" i="1"/>
  <c r="AH740" i="1"/>
  <c r="AH794" i="1"/>
  <c r="AH761" i="1"/>
  <c r="AH753" i="1"/>
  <c r="AH750" i="1"/>
  <c r="AH779" i="1"/>
  <c r="AH774" i="1"/>
  <c r="AH768" i="1"/>
  <c r="AH758" i="1"/>
  <c r="AH751" i="1"/>
  <c r="AH749" i="1"/>
  <c r="AH746" i="1"/>
  <c r="AH745" i="1"/>
  <c r="AH738" i="1"/>
  <c r="AH737" i="1"/>
  <c r="AH736" i="1"/>
  <c r="AH732" i="1"/>
  <c r="AH731" i="1"/>
  <c r="AH730" i="1"/>
  <c r="AH725" i="1"/>
  <c r="AH724" i="1"/>
  <c r="AH754" i="1"/>
  <c r="AH739" i="1"/>
  <c r="AH729" i="1"/>
  <c r="AH726" i="1"/>
  <c r="AH765" i="1"/>
  <c r="AH759" i="1"/>
  <c r="AH748" i="1"/>
  <c r="AH744" i="1"/>
  <c r="AH742" i="1"/>
  <c r="AH735" i="1"/>
  <c r="AH734" i="1"/>
  <c r="AH733" i="1"/>
  <c r="AH752" i="1"/>
  <c r="AH743" i="1"/>
  <c r="AH722" i="1"/>
  <c r="AH719" i="1"/>
  <c r="AH716" i="1"/>
  <c r="AH711" i="1"/>
  <c r="AH708" i="1"/>
  <c r="AH706" i="1"/>
  <c r="AH699" i="1"/>
  <c r="AH698" i="1"/>
  <c r="AH741" i="1"/>
  <c r="AH723" i="1"/>
  <c r="AH721" i="1"/>
  <c r="AH720" i="1"/>
  <c r="AH714" i="1"/>
  <c r="AH710" i="1"/>
  <c r="AH707" i="1"/>
  <c r="AH705" i="1"/>
  <c r="AH697" i="1"/>
  <c r="AH696" i="1"/>
  <c r="AH695" i="1"/>
  <c r="AH691" i="1"/>
  <c r="AH690" i="1"/>
  <c r="AH688" i="1"/>
  <c r="AH685" i="1"/>
  <c r="AH684" i="1"/>
  <c r="AH718" i="1"/>
  <c r="AH717" i="1"/>
  <c r="AH712" i="1"/>
  <c r="AH709" i="1"/>
  <c r="AH727" i="1"/>
  <c r="AH715" i="1"/>
  <c r="AH704" i="1"/>
  <c r="AH700" i="1"/>
  <c r="AH678" i="1"/>
  <c r="AH677" i="1"/>
  <c r="AH676" i="1"/>
  <c r="AH675" i="1"/>
  <c r="AH672" i="1"/>
  <c r="AH670" i="1"/>
  <c r="AH668" i="1"/>
  <c r="AH667" i="1"/>
  <c r="AH666" i="1"/>
  <c r="AH659" i="1"/>
  <c r="AH657" i="1"/>
  <c r="AH766" i="1"/>
  <c r="AH728" i="1"/>
  <c r="AH683" i="1"/>
  <c r="AH713" i="1"/>
  <c r="AH702" i="1"/>
  <c r="AH701" i="1"/>
  <c r="AH692" i="1"/>
  <c r="AH689" i="1"/>
  <c r="AH687" i="1"/>
  <c r="AH679" i="1"/>
  <c r="AH673" i="1"/>
  <c r="AH665" i="1"/>
  <c r="AH661" i="1"/>
  <c r="AH693" i="1"/>
  <c r="AH682" i="1"/>
  <c r="AH674" i="1"/>
  <c r="AH669" i="1"/>
  <c r="AH660" i="1"/>
  <c r="AH651" i="1"/>
  <c r="AH650" i="1"/>
  <c r="AH649" i="1"/>
  <c r="AH644" i="1"/>
  <c r="AH641" i="1"/>
  <c r="AH639" i="1"/>
  <c r="AH637" i="1"/>
  <c r="AH630" i="1"/>
  <c r="AH628" i="1"/>
  <c r="AH627" i="1"/>
  <c r="AH625" i="1"/>
  <c r="AH622" i="1"/>
  <c r="AH621" i="1"/>
  <c r="AH620" i="1"/>
  <c r="AH619" i="1"/>
  <c r="AH615" i="1"/>
  <c r="AH612" i="1"/>
  <c r="AH609" i="1"/>
  <c r="AH604" i="1"/>
  <c r="AH603" i="1"/>
  <c r="AH587" i="1"/>
  <c r="AH584" i="1"/>
  <c r="AH580" i="1"/>
  <c r="AH686" i="1"/>
  <c r="AH681" i="1"/>
  <c r="AH671" i="1"/>
  <c r="AH656" i="1"/>
  <c r="AH654" i="1"/>
  <c r="AH643" i="1"/>
  <c r="AH642" i="1"/>
  <c r="AH636" i="1"/>
  <c r="AH635" i="1"/>
  <c r="AH633" i="1"/>
  <c r="AH631" i="1"/>
  <c r="AH626" i="1"/>
  <c r="AH610" i="1"/>
  <c r="AH607" i="1"/>
  <c r="AH600" i="1"/>
  <c r="AH599" i="1"/>
  <c r="AH597" i="1"/>
  <c r="AH596" i="1"/>
  <c r="AH592" i="1"/>
  <c r="AH591" i="1"/>
  <c r="AH589" i="1"/>
  <c r="AH588" i="1"/>
  <c r="AH585" i="1"/>
  <c r="AH583" i="1"/>
  <c r="AH582" i="1"/>
  <c r="AH577" i="1"/>
  <c r="AH653" i="1"/>
  <c r="AH652" i="1"/>
  <c r="AH638" i="1"/>
  <c r="AH629" i="1"/>
  <c r="AH624" i="1"/>
  <c r="AH617" i="1"/>
  <c r="AH608" i="1"/>
  <c r="AH606" i="1"/>
  <c r="AH602" i="1"/>
  <c r="AH579" i="1"/>
  <c r="AH575" i="1"/>
  <c r="AH573" i="1"/>
  <c r="AH571" i="1"/>
  <c r="AH570" i="1"/>
  <c r="AH568" i="1"/>
  <c r="AH567" i="1"/>
  <c r="AH565" i="1"/>
  <c r="AH561" i="1"/>
  <c r="AH555" i="1"/>
  <c r="AH549" i="1"/>
  <c r="AH546" i="1"/>
  <c r="AH543" i="1"/>
  <c r="AH542" i="1"/>
  <c r="AH541" i="1"/>
  <c r="AH703" i="1"/>
  <c r="AH663" i="1"/>
  <c r="AH648" i="1"/>
  <c r="AH647" i="1"/>
  <c r="AH646" i="1"/>
  <c r="AH623" i="1"/>
  <c r="AH605" i="1"/>
  <c r="AH601" i="1"/>
  <c r="AH595" i="1"/>
  <c r="AH594" i="1"/>
  <c r="AH593" i="1"/>
  <c r="AH586" i="1"/>
  <c r="AH574" i="1"/>
  <c r="AH572" i="1"/>
  <c r="AH569" i="1"/>
  <c r="AH563" i="1"/>
  <c r="AH562" i="1"/>
  <c r="AH560" i="1"/>
  <c r="AH559" i="1"/>
  <c r="AH558" i="1"/>
  <c r="AH553" i="1"/>
  <c r="AH551" i="1"/>
  <c r="AH547" i="1"/>
  <c r="AH680" i="1"/>
  <c r="AH640" i="1"/>
  <c r="AH632" i="1"/>
  <c r="AH618" i="1"/>
  <c r="AH616" i="1"/>
  <c r="AH614" i="1"/>
  <c r="AH613" i="1"/>
  <c r="AH611" i="1"/>
  <c r="AH581" i="1"/>
  <c r="AH566" i="1"/>
  <c r="AH645" i="1"/>
  <c r="AH598" i="1"/>
  <c r="AH576" i="1"/>
  <c r="AH564" i="1"/>
  <c r="AH548" i="1"/>
  <c r="AH536" i="1"/>
  <c r="AH535" i="1"/>
  <c r="AH534" i="1"/>
  <c r="AH532" i="1"/>
  <c r="AH531" i="1"/>
  <c r="AH513" i="1"/>
  <c r="AH512" i="1"/>
  <c r="AH511" i="1"/>
  <c r="AH510" i="1"/>
  <c r="AH507" i="1"/>
  <c r="AH502" i="1"/>
  <c r="AH494" i="1"/>
  <c r="AH493" i="1"/>
  <c r="AH664" i="1"/>
  <c r="AH552" i="1"/>
  <c r="AH539" i="1"/>
  <c r="AH529" i="1"/>
  <c r="AH524" i="1"/>
  <c r="AH522" i="1"/>
  <c r="AH521" i="1"/>
  <c r="AH519" i="1"/>
  <c r="AH517" i="1"/>
  <c r="AH500" i="1"/>
  <c r="AH498" i="1"/>
  <c r="AH492" i="1"/>
  <c r="AH491" i="1"/>
  <c r="AH487" i="1"/>
  <c r="AH486" i="1"/>
  <c r="AH484" i="1"/>
  <c r="AH480" i="1"/>
  <c r="AH474" i="1"/>
  <c r="AH470" i="1"/>
  <c r="AH468" i="1"/>
  <c r="AH466" i="1"/>
  <c r="AH662" i="1"/>
  <c r="AH655" i="1"/>
  <c r="AH578" i="1"/>
  <c r="AH557" i="1"/>
  <c r="AH556" i="1"/>
  <c r="AH545" i="1"/>
  <c r="AH540" i="1"/>
  <c r="AH538" i="1"/>
  <c r="AH533" i="1"/>
  <c r="AH526" i="1"/>
  <c r="AH525" i="1"/>
  <c r="AH523" i="1"/>
  <c r="AH518" i="1"/>
  <c r="AH516" i="1"/>
  <c r="AH514" i="1"/>
  <c r="AH508" i="1"/>
  <c r="AH505" i="1"/>
  <c r="AH504" i="1"/>
  <c r="AH496" i="1"/>
  <c r="AH489" i="1"/>
  <c r="AH485" i="1"/>
  <c r="AH482" i="1"/>
  <c r="AH477" i="1"/>
  <c r="AH475" i="1"/>
  <c r="AH472" i="1"/>
  <c r="AH469" i="1"/>
  <c r="AH465" i="1"/>
  <c r="AH464" i="1"/>
  <c r="AH463" i="1"/>
  <c r="AH462" i="1"/>
  <c r="AH461" i="1"/>
  <c r="AH694" i="1"/>
  <c r="AH658" i="1"/>
  <c r="AH550" i="1"/>
  <c r="AH527" i="1"/>
  <c r="AH509" i="1"/>
  <c r="AH495" i="1"/>
  <c r="AH481" i="1"/>
  <c r="AH479" i="1"/>
  <c r="AH476" i="1"/>
  <c r="AH457" i="1"/>
  <c r="AH453" i="1"/>
  <c r="AH452" i="1"/>
  <c r="AH450" i="1"/>
  <c r="AH447" i="1"/>
  <c r="AH446" i="1"/>
  <c r="AH445" i="1"/>
  <c r="AH444" i="1"/>
  <c r="AH440" i="1"/>
  <c r="AH431" i="1"/>
  <c r="AH423" i="1"/>
  <c r="AH420" i="1"/>
  <c r="AH418" i="1"/>
  <c r="AH416" i="1"/>
  <c r="AH415" i="1"/>
  <c r="AH407" i="1"/>
  <c r="AH405" i="1"/>
  <c r="AH404" i="1"/>
  <c r="AH401" i="1"/>
  <c r="AH397" i="1"/>
  <c r="AH394" i="1"/>
  <c r="AH392" i="1"/>
  <c r="AH634" i="1"/>
  <c r="AH544" i="1"/>
  <c r="AH528" i="1"/>
  <c r="AH503" i="1"/>
  <c r="AH499" i="1"/>
  <c r="AH488" i="1"/>
  <c r="AH483" i="1"/>
  <c r="AH478" i="1"/>
  <c r="AH473" i="1"/>
  <c r="AH467" i="1"/>
  <c r="AH460" i="1"/>
  <c r="AH458" i="1"/>
  <c r="AH455" i="1"/>
  <c r="AH454" i="1"/>
  <c r="AH437" i="1"/>
  <c r="AH433" i="1"/>
  <c r="AH428" i="1"/>
  <c r="AH427" i="1"/>
  <c r="AH425" i="1"/>
  <c r="AH413" i="1"/>
  <c r="AH410" i="1"/>
  <c r="AH406" i="1"/>
  <c r="AH402" i="1"/>
  <c r="AH400" i="1"/>
  <c r="AH399" i="1"/>
  <c r="AH554" i="1"/>
  <c r="AH530" i="1"/>
  <c r="AH520" i="1"/>
  <c r="AH497" i="1"/>
  <c r="AH459" i="1"/>
  <c r="AH456" i="1"/>
  <c r="AH451" i="1"/>
  <c r="AH449" i="1"/>
  <c r="AH443" i="1"/>
  <c r="AH441" i="1"/>
  <c r="AH439" i="1"/>
  <c r="AH438" i="1"/>
  <c r="AH435" i="1"/>
  <c r="AH434" i="1"/>
  <c r="AH421" i="1"/>
  <c r="AH419" i="1"/>
  <c r="AH414" i="1"/>
  <c r="AH412" i="1"/>
  <c r="AH403" i="1"/>
  <c r="AH398" i="1"/>
  <c r="AH396" i="1"/>
  <c r="AH387" i="1"/>
  <c r="AH436" i="1"/>
  <c r="AH424" i="1"/>
  <c r="AH422" i="1"/>
  <c r="AH393" i="1"/>
  <c r="AH385" i="1"/>
  <c r="AH382" i="1"/>
  <c r="AH381" i="1"/>
  <c r="AH380" i="1"/>
  <c r="AH378" i="1"/>
  <c r="AH370" i="1"/>
  <c r="AH367" i="1"/>
  <c r="AH364" i="1"/>
  <c r="AH363" i="1"/>
  <c r="AH362" i="1"/>
  <c r="AH359" i="1"/>
  <c r="AH357" i="1"/>
  <c r="AH343" i="1"/>
  <c r="AH340" i="1"/>
  <c r="AH318" i="1"/>
  <c r="AH316" i="1"/>
  <c r="AH313" i="1"/>
  <c r="AH307" i="1"/>
  <c r="AH301" i="1"/>
  <c r="AH297" i="1"/>
  <c r="AH284" i="1"/>
  <c r="AH283" i="1"/>
  <c r="AH282" i="1"/>
  <c r="AH280" i="1"/>
  <c r="AH277" i="1"/>
  <c r="AH275" i="1"/>
  <c r="AH515" i="1"/>
  <c r="AH501" i="1"/>
  <c r="AH490" i="1"/>
  <c r="AH432" i="1"/>
  <c r="AH426" i="1"/>
  <c r="AH417" i="1"/>
  <c r="AH390" i="1"/>
  <c r="AH388" i="1"/>
  <c r="AH379" i="1"/>
  <c r="AH375" i="1"/>
  <c r="AH374" i="1"/>
  <c r="AH371" i="1"/>
  <c r="AH369" i="1"/>
  <c r="AH368" i="1"/>
  <c r="AH365" i="1"/>
  <c r="AH360" i="1"/>
  <c r="AH358" i="1"/>
  <c r="AH354" i="1"/>
  <c r="AH353" i="1"/>
  <c r="AH344" i="1"/>
  <c r="AH342" i="1"/>
  <c r="AH341" i="1"/>
  <c r="AH339" i="1"/>
  <c r="AH338" i="1"/>
  <c r="AH334" i="1"/>
  <c r="AH333" i="1"/>
  <c r="AH332" i="1"/>
  <c r="AH331" i="1"/>
  <c r="AH328" i="1"/>
  <c r="AH326" i="1"/>
  <c r="AH321" i="1"/>
  <c r="AH317" i="1"/>
  <c r="AH311" i="1"/>
  <c r="AH308" i="1"/>
  <c r="AH303" i="1"/>
  <c r="AH300" i="1"/>
  <c r="AH295" i="1"/>
  <c r="AH292" i="1"/>
  <c r="AH290" i="1"/>
  <c r="AH288" i="1"/>
  <c r="AH285" i="1"/>
  <c r="AH281" i="1"/>
  <c r="AH278" i="1"/>
  <c r="AH276" i="1"/>
  <c r="AH273" i="1"/>
  <c r="AH271" i="1"/>
  <c r="AH266" i="1"/>
  <c r="AH265" i="1"/>
  <c r="AH257" i="1"/>
  <c r="AH537" i="1"/>
  <c r="AH506" i="1"/>
  <c r="AH448" i="1"/>
  <c r="AH442" i="1"/>
  <c r="AH411" i="1"/>
  <c r="AH386" i="1"/>
  <c r="AH384" i="1"/>
  <c r="AH377" i="1"/>
  <c r="AH376" i="1"/>
  <c r="AH372" i="1"/>
  <c r="AH356" i="1"/>
  <c r="AH355" i="1"/>
  <c r="AH352" i="1"/>
  <c r="AH351" i="1"/>
  <c r="AH349" i="1"/>
  <c r="AH348" i="1"/>
  <c r="AH347" i="1"/>
  <c r="AH346" i="1"/>
  <c r="AH336" i="1"/>
  <c r="AH335" i="1"/>
  <c r="AH327" i="1"/>
  <c r="AH324" i="1"/>
  <c r="AH323" i="1"/>
  <c r="AH319" i="1"/>
  <c r="AH315" i="1"/>
  <c r="AH314" i="1"/>
  <c r="AH312" i="1"/>
  <c r="AH310" i="1"/>
  <c r="AH304" i="1"/>
  <c r="AH302" i="1"/>
  <c r="AH298" i="1"/>
  <c r="AH296" i="1"/>
  <c r="AH293" i="1"/>
  <c r="AH291" i="1"/>
  <c r="AH286" i="1"/>
  <c r="AH279" i="1"/>
  <c r="AH270" i="1"/>
  <c r="AH269" i="1"/>
  <c r="AH268" i="1"/>
  <c r="AH261" i="1"/>
  <c r="AH260" i="1"/>
  <c r="AH255" i="1"/>
  <c r="AH254" i="1"/>
  <c r="AH250" i="1"/>
  <c r="AH248" i="1"/>
  <c r="AH247" i="1"/>
  <c r="AH391" i="1"/>
  <c r="AH383" i="1"/>
  <c r="AH337" i="1"/>
  <c r="AH329" i="1"/>
  <c r="AH306" i="1"/>
  <c r="AH299" i="1"/>
  <c r="AH294" i="1"/>
  <c r="AH274" i="1"/>
  <c r="AH267" i="1"/>
  <c r="AH264" i="1"/>
  <c r="AH253" i="1"/>
  <c r="AH245" i="1"/>
  <c r="AH238" i="1"/>
  <c r="AH236" i="1"/>
  <c r="AH234" i="1"/>
  <c r="AH221" i="1"/>
  <c r="AH217" i="1"/>
  <c r="AH215" i="1"/>
  <c r="AH211" i="1"/>
  <c r="AH207" i="1"/>
  <c r="AH201" i="1"/>
  <c r="AH196" i="1"/>
  <c r="AH195" i="1"/>
  <c r="AH191" i="1"/>
  <c r="AH187" i="1"/>
  <c r="AH186" i="1"/>
  <c r="AH184" i="1"/>
  <c r="AH183" i="1"/>
  <c r="AH181" i="1"/>
  <c r="AH180" i="1"/>
  <c r="AH178" i="1"/>
  <c r="AH173" i="1"/>
  <c r="AH169" i="1"/>
  <c r="AH166" i="1"/>
  <c r="AH163" i="1"/>
  <c r="AH162" i="1"/>
  <c r="AH152" i="1"/>
  <c r="AH150" i="1"/>
  <c r="AH143" i="1"/>
  <c r="AH140" i="1"/>
  <c r="AH139" i="1"/>
  <c r="AH138" i="1"/>
  <c r="AH134" i="1"/>
  <c r="AH133" i="1"/>
  <c r="AH132" i="1"/>
  <c r="AH130" i="1"/>
  <c r="AH128" i="1"/>
  <c r="AH430" i="1"/>
  <c r="AH429" i="1"/>
  <c r="AH389" i="1"/>
  <c r="AH366" i="1"/>
  <c r="AH350" i="1"/>
  <c r="AH320" i="1"/>
  <c r="AH309" i="1"/>
  <c r="AH289" i="1"/>
  <c r="AH258" i="1"/>
  <c r="AH246" i="1"/>
  <c r="AH242" i="1"/>
  <c r="AH239" i="1"/>
  <c r="AH232" i="1"/>
  <c r="AH231" i="1"/>
  <c r="AH224" i="1"/>
  <c r="AH223" i="1"/>
  <c r="AH219" i="1"/>
  <c r="AH218" i="1"/>
  <c r="AH214" i="1"/>
  <c r="AH210" i="1"/>
  <c r="AH206" i="1"/>
  <c r="AH203" i="1"/>
  <c r="AH202" i="1"/>
  <c r="AH199" i="1"/>
  <c r="AH198" i="1"/>
  <c r="AH197" i="1"/>
  <c r="AH192" i="1"/>
  <c r="AH185" i="1"/>
  <c r="AH182" i="1"/>
  <c r="AH175" i="1"/>
  <c r="AH171" i="1"/>
  <c r="AH170" i="1"/>
  <c r="AH168" i="1"/>
  <c r="AH590" i="1"/>
  <c r="AH408" i="1"/>
  <c r="AH395" i="1"/>
  <c r="AH373" i="1"/>
  <c r="AH361" i="1"/>
  <c r="AH345" i="1"/>
  <c r="AH330" i="1"/>
  <c r="AH325" i="1"/>
  <c r="AH305" i="1"/>
  <c r="AH272" i="1"/>
  <c r="AH262" i="1"/>
  <c r="AH256" i="1"/>
  <c r="AH251" i="1"/>
  <c r="AH243" i="1"/>
  <c r="AH241" i="1"/>
  <c r="AH240" i="1"/>
  <c r="AH235" i="1"/>
  <c r="AH233" i="1"/>
  <c r="AH228" i="1"/>
  <c r="AH227" i="1"/>
  <c r="AH220" i="1"/>
  <c r="AH216" i="1"/>
  <c r="AH213" i="1"/>
  <c r="AH209" i="1"/>
  <c r="AH204" i="1"/>
  <c r="AH193" i="1"/>
  <c r="AH190" i="1"/>
  <c r="AH174" i="1"/>
  <c r="AH161" i="1"/>
  <c r="AH158" i="1"/>
  <c r="AH157" i="1"/>
  <c r="AH153" i="1"/>
  <c r="AH144" i="1"/>
  <c r="AH471" i="1"/>
  <c r="AH409" i="1"/>
  <c r="AH322" i="1"/>
  <c r="AH287" i="1"/>
  <c r="AH252" i="1"/>
  <c r="AH229" i="1"/>
  <c r="AH225" i="1"/>
  <c r="AH200" i="1"/>
  <c r="AH194" i="1"/>
  <c r="AH189" i="1"/>
  <c r="AH263" i="1"/>
  <c r="AH259" i="1"/>
  <c r="AH244" i="1"/>
  <c r="AH237" i="1"/>
  <c r="AH226" i="1"/>
  <c r="AH172" i="1"/>
  <c r="AH156" i="1"/>
  <c r="AH145" i="1"/>
  <c r="AH136" i="1"/>
  <c r="AH249" i="1"/>
  <c r="AH222" i="1"/>
  <c r="AH167" i="1"/>
  <c r="AH151" i="1"/>
  <c r="AH148" i="1"/>
  <c r="AH141" i="1"/>
  <c r="AH135" i="1"/>
  <c r="AH230" i="1"/>
  <c r="AH212" i="1"/>
  <c r="AH208" i="1"/>
  <c r="AH205" i="1"/>
  <c r="AH188" i="1"/>
  <c r="AH179" i="1"/>
  <c r="AH176" i="1"/>
  <c r="AH165" i="1"/>
  <c r="AH160" i="1"/>
  <c r="AH159" i="1"/>
  <c r="AH149" i="1"/>
  <c r="AH147" i="1"/>
  <c r="AH146" i="1"/>
  <c r="AH142" i="1"/>
  <c r="AH177" i="1"/>
  <c r="AH137" i="1"/>
  <c r="AH131" i="1"/>
  <c r="AH124" i="1"/>
  <c r="AH119" i="1"/>
  <c r="AH116" i="1"/>
  <c r="AH110" i="1"/>
  <c r="AH99" i="1"/>
  <c r="AH95" i="1"/>
  <c r="AH89" i="1"/>
  <c r="AH74" i="1"/>
  <c r="AH73" i="1"/>
  <c r="AH72" i="1"/>
  <c r="AH70" i="1"/>
  <c r="AH69" i="1"/>
  <c r="AH68" i="1"/>
  <c r="AH66" i="1"/>
  <c r="AH64" i="1"/>
  <c r="AH62" i="1"/>
  <c r="AH60" i="1"/>
  <c r="AH57" i="1"/>
  <c r="AH56" i="1"/>
  <c r="AH126" i="1"/>
  <c r="AH125" i="1"/>
  <c r="AH123" i="1"/>
  <c r="AH120" i="1"/>
  <c r="AH118" i="1"/>
  <c r="AH113" i="1"/>
  <c r="AH112" i="1"/>
  <c r="AH106" i="1"/>
  <c r="AH103" i="1"/>
  <c r="AH101" i="1"/>
  <c r="AH97" i="1"/>
  <c r="AH96" i="1"/>
  <c r="AH94" i="1"/>
  <c r="AH93" i="1"/>
  <c r="AH83" i="1"/>
  <c r="AH80" i="1"/>
  <c r="AH77" i="1"/>
  <c r="AH54" i="1"/>
  <c r="AH52" i="1"/>
  <c r="AH127" i="1"/>
  <c r="AH117" i="1"/>
  <c r="AH115" i="1"/>
  <c r="AH111" i="1"/>
  <c r="AH105" i="1"/>
  <c r="AH102" i="1"/>
  <c r="AH92" i="1"/>
  <c r="AH91" i="1"/>
  <c r="AH88" i="1"/>
  <c r="AH86" i="1"/>
  <c r="AH84" i="1"/>
  <c r="AH78" i="1"/>
  <c r="AH76" i="1"/>
  <c r="AH67" i="1"/>
  <c r="AH65" i="1"/>
  <c r="AH63" i="1"/>
  <c r="AH61" i="1"/>
  <c r="AH53" i="1"/>
  <c r="AH50" i="1"/>
  <c r="AH164" i="1"/>
  <c r="AH155" i="1"/>
  <c r="AH154" i="1"/>
  <c r="AH129" i="1"/>
  <c r="AH122" i="1"/>
  <c r="AH121" i="1"/>
  <c r="AH114" i="1"/>
  <c r="AH109" i="1"/>
  <c r="AH108" i="1"/>
  <c r="AH107" i="1"/>
  <c r="AH104" i="1"/>
  <c r="AH100" i="1"/>
  <c r="AH98" i="1"/>
  <c r="AH90" i="1"/>
  <c r="AH87" i="1"/>
  <c r="AH85" i="1"/>
  <c r="AH81" i="1"/>
  <c r="AH79" i="1"/>
  <c r="AH75" i="1"/>
  <c r="AH71" i="1"/>
  <c r="AH58" i="1"/>
  <c r="AH51" i="1"/>
  <c r="AH47" i="1"/>
  <c r="AH41" i="1"/>
  <c r="AH37" i="1"/>
  <c r="AH34" i="1"/>
  <c r="AH30" i="1"/>
  <c r="AH29" i="1"/>
  <c r="AH26" i="1"/>
  <c r="AH21" i="1"/>
  <c r="AH17" i="1"/>
  <c r="AH12" i="1"/>
  <c r="AH11" i="1"/>
  <c r="AH10" i="1"/>
  <c r="AH9" i="1"/>
  <c r="AH8" i="1"/>
  <c r="AH6" i="1"/>
  <c r="AH5" i="1"/>
  <c r="AH13" i="1"/>
  <c r="AH33" i="1"/>
  <c r="AH24" i="1"/>
  <c r="AH23" i="1"/>
  <c r="AH59" i="1"/>
  <c r="AH49" i="1"/>
  <c r="AH48" i="1"/>
  <c r="AH46" i="1"/>
  <c r="AH44" i="1"/>
  <c r="AH40" i="1"/>
  <c r="AH38" i="1"/>
  <c r="AH35" i="1"/>
  <c r="AH32" i="1"/>
  <c r="AH22" i="1"/>
  <c r="AH20" i="1"/>
  <c r="AH19" i="1"/>
  <c r="AH18" i="1"/>
  <c r="AH14" i="1"/>
  <c r="AH55" i="1"/>
  <c r="AH45" i="1"/>
  <c r="AH42" i="1"/>
  <c r="AH31" i="1"/>
  <c r="AH15" i="1"/>
  <c r="AH43" i="1"/>
  <c r="AH39" i="1"/>
  <c r="AH36" i="1"/>
  <c r="AH28" i="1"/>
  <c r="AH27" i="1"/>
  <c r="AH25" i="1"/>
  <c r="AH16" i="1"/>
  <c r="AH7" i="1"/>
  <c r="EC315" i="1"/>
  <c r="EA315" i="1"/>
  <c r="DR697" i="1" l="1"/>
  <c r="EF9" i="1" l="1"/>
  <c r="EH65" i="1"/>
  <c r="DQ780" i="1" l="1"/>
  <c r="DQ778" i="1"/>
  <c r="B799" i="1"/>
  <c r="C799" i="1" s="1"/>
  <c r="DQ779" i="1"/>
  <c r="DR676" i="1"/>
  <c r="DR679" i="1"/>
  <c r="DR677" i="1"/>
  <c r="DP596" i="1"/>
  <c r="DR668" i="1"/>
  <c r="DT597" i="1"/>
  <c r="DR299" i="1"/>
  <c r="DS676" i="1"/>
  <c r="DT677" i="1"/>
  <c r="DS367" i="1"/>
  <c r="EA676" i="1" l="1"/>
  <c r="DZ501" i="1"/>
  <c r="DW271" i="1"/>
  <c r="DY269" i="1"/>
  <c r="EA668" i="1"/>
  <c r="EC668" i="1"/>
  <c r="Y799" i="1"/>
  <c r="EC299" i="1"/>
  <c r="EA299" i="1"/>
  <c r="EA596" i="1"/>
  <c r="EC596" i="1"/>
  <c r="K799" i="1"/>
  <c r="EC677" i="1"/>
  <c r="EA677" i="1"/>
  <c r="X799" i="1"/>
  <c r="EH348" i="1"/>
  <c r="EC676" i="1"/>
  <c r="V799" i="1"/>
  <c r="W799" i="1"/>
  <c r="EK8" i="1"/>
  <c r="EC597" i="1"/>
  <c r="EA597" i="1"/>
  <c r="EC679" i="1"/>
  <c r="EA679" i="1"/>
  <c r="DY266" i="1"/>
  <c r="L799" i="1" l="1"/>
  <c r="EA266" i="1"/>
  <c r="EC266" i="1"/>
  <c r="DV723" i="1"/>
  <c r="DU718" i="1"/>
  <c r="DW697" i="1"/>
  <c r="DW644" i="1"/>
  <c r="DZ641" i="1"/>
  <c r="DU704" i="1"/>
  <c r="DZ643" i="1"/>
  <c r="DV637" i="1"/>
  <c r="DY636" i="1"/>
  <c r="DX645" i="1"/>
  <c r="DY560" i="1"/>
  <c r="DV529" i="1"/>
  <c r="DY573" i="1"/>
  <c r="DW572" i="1"/>
  <c r="DW471" i="1"/>
  <c r="DW574" i="1"/>
  <c r="DT470" i="1"/>
  <c r="DR455" i="1"/>
  <c r="DX321" i="1"/>
  <c r="DW268" i="1"/>
  <c r="DY221" i="1"/>
  <c r="DX640" i="1"/>
  <c r="DT467" i="1"/>
  <c r="DT459" i="1"/>
  <c r="DS400" i="1"/>
  <c r="DS348" i="1"/>
  <c r="DU323" i="1"/>
  <c r="DU322" i="1"/>
  <c r="DW321" i="1"/>
  <c r="DX243" i="1"/>
  <c r="DW510" i="1"/>
  <c r="DV462" i="1"/>
  <c r="DY202" i="1"/>
  <c r="DT468" i="1"/>
  <c r="DU127" i="1"/>
  <c r="DX638" i="1"/>
  <c r="DS111" i="1"/>
  <c r="DU154" i="1"/>
  <c r="DU133" i="1"/>
  <c r="DT405" i="1"/>
  <c r="DV135" i="1"/>
  <c r="DT686" i="1"/>
  <c r="EA269" i="1"/>
  <c r="EC269" i="1"/>
  <c r="EC501" i="1"/>
  <c r="EA501" i="1"/>
  <c r="DY652" i="1"/>
  <c r="EA510" i="1" l="1"/>
  <c r="EC510" i="1"/>
  <c r="EC471" i="1"/>
  <c r="EA471" i="1"/>
  <c r="EC560" i="1"/>
  <c r="EA560" i="1"/>
  <c r="EC643" i="1"/>
  <c r="EA643" i="1"/>
  <c r="EC697" i="1"/>
  <c r="EA697" i="1"/>
  <c r="DX608" i="1"/>
  <c r="DV483" i="1"/>
  <c r="DY587" i="1"/>
  <c r="DY582" i="1"/>
  <c r="EA686" i="1"/>
  <c r="EC686" i="1"/>
  <c r="EA154" i="1"/>
  <c r="EC154" i="1"/>
  <c r="EA243" i="1"/>
  <c r="EC243" i="1"/>
  <c r="EA348" i="1"/>
  <c r="EC348" i="1"/>
  <c r="EA640" i="1"/>
  <c r="EC640" i="1"/>
  <c r="EA645" i="1"/>
  <c r="EC645" i="1"/>
  <c r="EA704" i="1"/>
  <c r="EC704" i="1"/>
  <c r="EA718" i="1"/>
  <c r="EC718" i="1"/>
  <c r="DZ582" i="1"/>
  <c r="DY512" i="1"/>
  <c r="DV655" i="1"/>
  <c r="DU415" i="1"/>
  <c r="DV231" i="1"/>
  <c r="DW394" i="1"/>
  <c r="DT413" i="1"/>
  <c r="DV409" i="1"/>
  <c r="DU408" i="1"/>
  <c r="DW295" i="1"/>
  <c r="EA202" i="1"/>
  <c r="EC202" i="1"/>
  <c r="EC573" i="1"/>
  <c r="EA573" i="1"/>
  <c r="EA641" i="1"/>
  <c r="EC641" i="1"/>
  <c r="EC723" i="1"/>
  <c r="EA723" i="1"/>
  <c r="DV523" i="1"/>
  <c r="DS639" i="1"/>
  <c r="DU634" i="1"/>
  <c r="DT626" i="1"/>
  <c r="DW632" i="1"/>
  <c r="DU623" i="1"/>
  <c r="DT617" i="1"/>
  <c r="DU616" i="1"/>
  <c r="DV789" i="1"/>
  <c r="DX505" i="1"/>
  <c r="DV519" i="1"/>
  <c r="DX486" i="1"/>
  <c r="DV481" i="1"/>
  <c r="DU468" i="1"/>
  <c r="DU456" i="1"/>
  <c r="DV378" i="1"/>
  <c r="DS234" i="1"/>
  <c r="DV466" i="1"/>
  <c r="DW462" i="1"/>
  <c r="DU425" i="1"/>
  <c r="DZ312" i="1"/>
  <c r="DU353" i="1"/>
  <c r="DU129" i="1"/>
  <c r="DV128" i="1"/>
  <c r="DU112" i="1"/>
  <c r="DW423" i="1"/>
  <c r="DW133" i="1"/>
  <c r="EC133" i="1" s="1"/>
  <c r="DX127" i="1"/>
  <c r="EA127" i="1" s="1"/>
  <c r="DU120" i="1"/>
  <c r="DV352" i="1"/>
  <c r="DU113" i="1"/>
  <c r="DW124" i="1"/>
  <c r="EC405" i="1"/>
  <c r="EA405" i="1"/>
  <c r="EC135" i="1"/>
  <c r="EA135" i="1"/>
  <c r="EC638" i="1"/>
  <c r="EA638" i="1"/>
  <c r="EC459" i="1"/>
  <c r="EA459" i="1"/>
  <c r="EA268" i="1"/>
  <c r="EC268" i="1"/>
  <c r="EA574" i="1"/>
  <c r="EC574" i="1"/>
  <c r="EA529" i="1"/>
  <c r="EC529" i="1"/>
  <c r="EA637" i="1"/>
  <c r="EC637" i="1"/>
  <c r="EA644" i="1"/>
  <c r="EC644" i="1"/>
  <c r="DY768" i="1"/>
  <c r="DV773" i="1"/>
  <c r="DV735" i="1"/>
  <c r="DT729" i="1"/>
  <c r="DS666" i="1"/>
  <c r="DX653" i="1"/>
  <c r="DV673" i="1"/>
  <c r="DY583" i="1"/>
  <c r="DW652" i="1"/>
  <c r="DZ636" i="1"/>
  <c r="DV543" i="1"/>
  <c r="DZ586" i="1"/>
  <c r="DX571" i="1"/>
  <c r="DU648" i="1"/>
  <c r="DX584" i="1"/>
  <c r="DT660" i="1"/>
  <c r="DS548" i="1"/>
  <c r="DY466" i="1"/>
  <c r="DP464" i="1"/>
  <c r="DX461" i="1"/>
  <c r="DV533" i="1"/>
  <c r="DY480" i="1"/>
  <c r="DY477" i="1"/>
  <c r="DX472" i="1"/>
  <c r="EA472" i="1" s="1"/>
  <c r="DX470" i="1"/>
  <c r="DY468" i="1"/>
  <c r="DR446" i="1"/>
  <c r="DW441" i="1"/>
  <c r="DW392" i="1"/>
  <c r="DY458" i="1"/>
  <c r="DX467" i="1"/>
  <c r="DX455" i="1"/>
  <c r="DW442" i="1"/>
  <c r="DX436" i="1"/>
  <c r="DZ462" i="1"/>
  <c r="DW311" i="1"/>
  <c r="DR432" i="1"/>
  <c r="DS324" i="1"/>
  <c r="DV292" i="1"/>
  <c r="DY277" i="1"/>
  <c r="DT338" i="1"/>
  <c r="DV250" i="1"/>
  <c r="DV313" i="1"/>
  <c r="DV180" i="1"/>
  <c r="DX435" i="1"/>
  <c r="DV350" i="1"/>
  <c r="DX283" i="1"/>
  <c r="DQ182" i="1"/>
  <c r="DU178" i="1"/>
  <c r="DX177" i="1"/>
  <c r="DW174" i="1"/>
  <c r="DX172" i="1"/>
  <c r="DU170" i="1"/>
  <c r="DS164" i="1"/>
  <c r="DX160" i="1"/>
  <c r="DO221" i="1"/>
  <c r="DV179" i="1"/>
  <c r="DT115" i="1"/>
  <c r="DU118" i="1"/>
  <c r="DW168" i="1"/>
  <c r="DW771" i="1"/>
  <c r="DU727" i="1"/>
  <c r="DT748" i="1"/>
  <c r="DV732" i="1"/>
  <c r="DY699" i="1"/>
  <c r="DZ709" i="1"/>
  <c r="DY717" i="1"/>
  <c r="DX700" i="1"/>
  <c r="DV661" i="1"/>
  <c r="DV618" i="1"/>
  <c r="DV589" i="1"/>
  <c r="DU650" i="1"/>
  <c r="DZ587" i="1"/>
  <c r="DT553" i="1"/>
  <c r="DT551" i="1"/>
  <c r="DU659" i="1"/>
  <c r="DX570" i="1"/>
  <c r="DZ476" i="1"/>
  <c r="DY572" i="1"/>
  <c r="DZ499" i="1"/>
  <c r="DW483" i="1"/>
  <c r="DW478" i="1"/>
  <c r="DY475" i="1"/>
  <c r="DR428" i="1"/>
  <c r="DS544" i="1"/>
  <c r="DZ496" i="1"/>
  <c r="DY481" i="1"/>
  <c r="DZ474" i="1"/>
  <c r="DZ434" i="1"/>
  <c r="DT408" i="1"/>
  <c r="DT400" i="1"/>
  <c r="DT402" i="1"/>
  <c r="DT329" i="1"/>
  <c r="DU313" i="1"/>
  <c r="DX377" i="1"/>
  <c r="DV311" i="1"/>
  <c r="DY259" i="1"/>
  <c r="DW479" i="1"/>
  <c r="DW393" i="1"/>
  <c r="DT362" i="1"/>
  <c r="DR323" i="1"/>
  <c r="DV304" i="1"/>
  <c r="DX254" i="1"/>
  <c r="DW251" i="1"/>
  <c r="DY258" i="1"/>
  <c r="DX255" i="1"/>
  <c r="DZ221" i="1"/>
  <c r="DT193" i="1"/>
  <c r="DW297" i="1"/>
  <c r="DX451" i="1"/>
  <c r="DW440" i="1"/>
  <c r="DY253" i="1"/>
  <c r="DW201" i="1"/>
  <c r="DU153" i="1"/>
  <c r="DU149" i="1"/>
  <c r="DV382" i="1"/>
  <c r="DU355" i="1"/>
  <c r="DY256" i="1"/>
  <c r="DV183" i="1"/>
  <c r="DT170" i="1"/>
  <c r="DY124" i="1"/>
  <c r="DV108" i="1"/>
  <c r="DW106" i="1"/>
  <c r="DX107" i="1"/>
  <c r="DT175" i="1"/>
  <c r="DW119" i="1"/>
  <c r="DS114" i="1"/>
  <c r="DT118" i="1"/>
  <c r="DU725" i="1"/>
  <c r="DX713" i="1"/>
  <c r="DV515" i="1"/>
  <c r="DX527" i="1"/>
  <c r="DW490" i="1"/>
  <c r="DV321" i="1"/>
  <c r="DY360" i="1"/>
  <c r="DT111" i="1"/>
  <c r="DY265" i="1"/>
  <c r="DV538" i="1"/>
  <c r="DS549" i="1"/>
  <c r="EC127" i="1" l="1"/>
  <c r="DU661" i="1"/>
  <c r="DW557" i="1"/>
  <c r="DW587" i="1"/>
  <c r="EC587" i="1" s="1"/>
  <c r="DW564" i="1"/>
  <c r="DW475" i="1"/>
  <c r="DV440" i="1"/>
  <c r="DW204" i="1"/>
  <c r="DT197" i="1"/>
  <c r="DV448" i="1"/>
  <c r="DY257" i="1"/>
  <c r="DV119" i="1"/>
  <c r="EA119" i="1" s="1"/>
  <c r="DS551" i="1"/>
  <c r="EC551" i="1" s="1"/>
  <c r="DW167" i="1"/>
  <c r="DW451" i="1"/>
  <c r="DU382" i="1"/>
  <c r="EC382" i="1" s="1"/>
  <c r="DW267" i="1"/>
  <c r="DS115" i="1"/>
  <c r="EC352" i="1"/>
  <c r="EA352" i="1"/>
  <c r="EA423" i="1"/>
  <c r="EC423" i="1"/>
  <c r="EC353" i="1"/>
  <c r="EA353" i="1"/>
  <c r="EC505" i="1"/>
  <c r="EA505" i="1"/>
  <c r="EC639" i="1"/>
  <c r="EA639" i="1"/>
  <c r="EA231" i="1"/>
  <c r="EC231" i="1"/>
  <c r="EA512" i="1"/>
  <c r="EC512" i="1"/>
  <c r="EC538" i="1"/>
  <c r="EA538" i="1"/>
  <c r="EC265" i="1"/>
  <c r="EA265" i="1"/>
  <c r="EC120" i="1"/>
  <c r="EA120" i="1"/>
  <c r="EA112" i="1"/>
  <c r="EC112" i="1"/>
  <c r="EA312" i="1"/>
  <c r="EC312" i="1"/>
  <c r="EA234" i="1"/>
  <c r="EC234" i="1"/>
  <c r="EA789" i="1"/>
  <c r="EC789" i="1"/>
  <c r="EC632" i="1"/>
  <c r="EA632" i="1"/>
  <c r="EC523" i="1"/>
  <c r="EA523" i="1"/>
  <c r="EC409" i="1"/>
  <c r="EA409" i="1"/>
  <c r="EC415" i="1"/>
  <c r="EA415" i="1"/>
  <c r="EA608" i="1"/>
  <c r="EC608" i="1"/>
  <c r="EA128" i="1"/>
  <c r="EC128" i="1"/>
  <c r="EA425" i="1"/>
  <c r="EC425" i="1"/>
  <c r="EA378" i="1"/>
  <c r="EC378" i="1"/>
  <c r="EC486" i="1"/>
  <c r="EA486" i="1"/>
  <c r="EA616" i="1"/>
  <c r="EC616" i="1"/>
  <c r="EA413" i="1"/>
  <c r="EC413" i="1"/>
  <c r="EC655" i="1"/>
  <c r="EA655" i="1"/>
  <c r="EA582" i="1"/>
  <c r="EC582" i="1"/>
  <c r="EA133" i="1"/>
  <c r="EA549" i="1"/>
  <c r="EC549" i="1"/>
  <c r="DZ589" i="1"/>
  <c r="EC589" i="1" s="1"/>
  <c r="DV224" i="1"/>
  <c r="DX167" i="1"/>
  <c r="EC167" i="1" s="1"/>
  <c r="DT651" i="1"/>
  <c r="EJ10" i="1"/>
  <c r="EA113" i="1"/>
  <c r="EC113" i="1"/>
  <c r="EC456" i="1"/>
  <c r="EA456" i="1"/>
  <c r="EA519" i="1"/>
  <c r="EC519" i="1"/>
  <c r="EA634" i="1"/>
  <c r="EC634" i="1"/>
  <c r="EA295" i="1"/>
  <c r="EC295" i="1"/>
  <c r="EC111" i="1"/>
  <c r="EA111" i="1"/>
  <c r="EC527" i="1"/>
  <c r="EA527" i="1"/>
  <c r="EA170" i="1"/>
  <c r="EC170" i="1"/>
  <c r="EA382" i="1"/>
  <c r="EC253" i="1"/>
  <c r="EA253" i="1"/>
  <c r="EA193" i="1"/>
  <c r="EC193" i="1"/>
  <c r="EC251" i="1"/>
  <c r="EA251" i="1"/>
  <c r="EA362" i="1"/>
  <c r="EC362" i="1"/>
  <c r="EC311" i="1"/>
  <c r="EA311" i="1"/>
  <c r="EC402" i="1"/>
  <c r="EA402" i="1"/>
  <c r="EA474" i="1"/>
  <c r="EC474" i="1"/>
  <c r="EC428" i="1"/>
  <c r="EA428" i="1"/>
  <c r="EA499" i="1"/>
  <c r="EC499" i="1"/>
  <c r="EC659" i="1"/>
  <c r="EA659" i="1"/>
  <c r="EA650" i="1"/>
  <c r="EC650" i="1"/>
  <c r="EC700" i="1"/>
  <c r="EA700" i="1"/>
  <c r="EC732" i="1"/>
  <c r="EA732" i="1"/>
  <c r="EC168" i="1"/>
  <c r="EA168" i="1"/>
  <c r="EC172" i="1"/>
  <c r="EA172" i="1"/>
  <c r="EA182" i="1"/>
  <c r="EC182" i="1"/>
  <c r="EA180" i="1"/>
  <c r="EC180" i="1"/>
  <c r="EA277" i="1"/>
  <c r="EC277" i="1"/>
  <c r="EC441" i="1"/>
  <c r="EA441" i="1"/>
  <c r="EA660" i="1"/>
  <c r="EC660" i="1"/>
  <c r="EA586" i="1"/>
  <c r="EC586" i="1"/>
  <c r="EA583" i="1"/>
  <c r="EC583" i="1"/>
  <c r="EA729" i="1"/>
  <c r="EC729" i="1"/>
  <c r="EA360" i="1"/>
  <c r="EC360" i="1"/>
  <c r="EA515" i="1"/>
  <c r="EC515" i="1"/>
  <c r="EC114" i="1"/>
  <c r="EA114" i="1"/>
  <c r="EC106" i="1"/>
  <c r="EA106" i="1"/>
  <c r="EA183" i="1"/>
  <c r="EC183" i="1"/>
  <c r="EA149" i="1"/>
  <c r="EC149" i="1"/>
  <c r="EC440" i="1"/>
  <c r="EA440" i="1"/>
  <c r="EC254" i="1"/>
  <c r="EA254" i="1"/>
  <c r="EC377" i="1"/>
  <c r="EA377" i="1"/>
  <c r="EC400" i="1"/>
  <c r="EA400" i="1"/>
  <c r="EA481" i="1"/>
  <c r="EC481" i="1"/>
  <c r="EA475" i="1"/>
  <c r="EC475" i="1"/>
  <c r="EC572" i="1"/>
  <c r="EA572" i="1"/>
  <c r="EA717" i="1"/>
  <c r="EC717" i="1"/>
  <c r="EC748" i="1"/>
  <c r="EA748" i="1"/>
  <c r="EC174" i="1"/>
  <c r="EA174" i="1"/>
  <c r="EC283" i="1"/>
  <c r="EA283" i="1"/>
  <c r="EC292" i="1"/>
  <c r="EA292" i="1"/>
  <c r="EA467" i="1"/>
  <c r="EC467" i="1"/>
  <c r="EA446" i="1"/>
  <c r="EC446" i="1"/>
  <c r="EC477" i="1"/>
  <c r="EA477" i="1"/>
  <c r="EA464" i="1"/>
  <c r="EC464" i="1"/>
  <c r="EC584" i="1"/>
  <c r="EA584" i="1"/>
  <c r="EA543" i="1"/>
  <c r="EC543" i="1"/>
  <c r="EA673" i="1"/>
  <c r="EC673" i="1"/>
  <c r="EA735" i="1"/>
  <c r="EC735" i="1"/>
  <c r="EA107" i="1"/>
  <c r="EC107" i="1"/>
  <c r="DZ503" i="1"/>
  <c r="DZ497" i="1"/>
  <c r="DZ526" i="1"/>
  <c r="DY502" i="1"/>
  <c r="DW448" i="1"/>
  <c r="DX272" i="1"/>
  <c r="DX267" i="1"/>
  <c r="DX439" i="1"/>
  <c r="DU293" i="1"/>
  <c r="DY278" i="1"/>
  <c r="DT314" i="1"/>
  <c r="EA314" i="1" s="1"/>
  <c r="EC314" i="1" s="1"/>
  <c r="DV117" i="1"/>
  <c r="EA321" i="1"/>
  <c r="EC321" i="1"/>
  <c r="EC713" i="1"/>
  <c r="EA713" i="1"/>
  <c r="EC108" i="1"/>
  <c r="EA108" i="1"/>
  <c r="EC256" i="1"/>
  <c r="EA256" i="1"/>
  <c r="EC153" i="1"/>
  <c r="EA153" i="1"/>
  <c r="EA451" i="1"/>
  <c r="EC451" i="1"/>
  <c r="EA255" i="1"/>
  <c r="EC255" i="1"/>
  <c r="EA304" i="1"/>
  <c r="EC304" i="1"/>
  <c r="EA479" i="1"/>
  <c r="EC479" i="1"/>
  <c r="EC313" i="1"/>
  <c r="EA313" i="1"/>
  <c r="EA408" i="1"/>
  <c r="EC408" i="1"/>
  <c r="EA496" i="1"/>
  <c r="EC496" i="1"/>
  <c r="EA478" i="1"/>
  <c r="EC478" i="1"/>
  <c r="EA476" i="1"/>
  <c r="EC476" i="1"/>
  <c r="EC553" i="1"/>
  <c r="EA553" i="1"/>
  <c r="EA618" i="1"/>
  <c r="EC618" i="1"/>
  <c r="EA709" i="1"/>
  <c r="EC709" i="1"/>
  <c r="EC727" i="1"/>
  <c r="EA727" i="1"/>
  <c r="EA115" i="1"/>
  <c r="EC115" i="1"/>
  <c r="EC164" i="1"/>
  <c r="EA164" i="1"/>
  <c r="EA177" i="1"/>
  <c r="EC177" i="1"/>
  <c r="EC350" i="1"/>
  <c r="EA350" i="1"/>
  <c r="EA250" i="1"/>
  <c r="EC250" i="1"/>
  <c r="EA436" i="1"/>
  <c r="EC436" i="1"/>
  <c r="EC458" i="1"/>
  <c r="EA458" i="1"/>
  <c r="EC468" i="1"/>
  <c r="EA468" i="1"/>
  <c r="EC480" i="1"/>
  <c r="EA480" i="1"/>
  <c r="EC466" i="1"/>
  <c r="EA466" i="1"/>
  <c r="EC648" i="1"/>
  <c r="EA648" i="1"/>
  <c r="EC636" i="1"/>
  <c r="EA636" i="1"/>
  <c r="EC653" i="1"/>
  <c r="EA653" i="1"/>
  <c r="EA773" i="1"/>
  <c r="EC773" i="1"/>
  <c r="EC118" i="1"/>
  <c r="EA118" i="1"/>
  <c r="EC490" i="1"/>
  <c r="EA490" i="1"/>
  <c r="EA725" i="1"/>
  <c r="EC725" i="1"/>
  <c r="EA175" i="1"/>
  <c r="EC175" i="1"/>
  <c r="EC124" i="1"/>
  <c r="EA124" i="1"/>
  <c r="EC355" i="1"/>
  <c r="EA355" i="1"/>
  <c r="EC201" i="1"/>
  <c r="EA201" i="1"/>
  <c r="EC297" i="1"/>
  <c r="EA297" i="1"/>
  <c r="EC258" i="1"/>
  <c r="EA258" i="1"/>
  <c r="EC323" i="1"/>
  <c r="EA323" i="1"/>
  <c r="EC259" i="1"/>
  <c r="EA259" i="1"/>
  <c r="EA329" i="1"/>
  <c r="EC329" i="1"/>
  <c r="EA434" i="1"/>
  <c r="EC434" i="1"/>
  <c r="EC544" i="1"/>
  <c r="EA544" i="1"/>
  <c r="EC483" i="1"/>
  <c r="EA483" i="1"/>
  <c r="EC570" i="1"/>
  <c r="EA570" i="1"/>
  <c r="EC661" i="1"/>
  <c r="EA661" i="1"/>
  <c r="EC699" i="1"/>
  <c r="EA699" i="1"/>
  <c r="EA771" i="1"/>
  <c r="EC771" i="1"/>
  <c r="EC179" i="1"/>
  <c r="EA179" i="1"/>
  <c r="EA178" i="1"/>
  <c r="EC178" i="1"/>
  <c r="EC435" i="1"/>
  <c r="EA435" i="1"/>
  <c r="EC338" i="1"/>
  <c r="EA338" i="1"/>
  <c r="EC432" i="1"/>
  <c r="EA432" i="1"/>
  <c r="EA442" i="1"/>
  <c r="EC442" i="1"/>
  <c r="EA470" i="1"/>
  <c r="EC470" i="1"/>
  <c r="EA533" i="1"/>
  <c r="EC533" i="1"/>
  <c r="EA548" i="1"/>
  <c r="EC548" i="1"/>
  <c r="EA571" i="1"/>
  <c r="EC571" i="1"/>
  <c r="EC652" i="1"/>
  <c r="EA652" i="1"/>
  <c r="EA666" i="1"/>
  <c r="EC666" i="1"/>
  <c r="EC768" i="1"/>
  <c r="EA768" i="1"/>
  <c r="EA587" i="1" l="1"/>
  <c r="EC119" i="1"/>
  <c r="EA589" i="1"/>
  <c r="EC224" i="1"/>
  <c r="EA224" i="1"/>
  <c r="EC564" i="1"/>
  <c r="EA564" i="1"/>
  <c r="DY600" i="1"/>
  <c r="DT117" i="1"/>
  <c r="EC117" i="1" s="1"/>
  <c r="EA551" i="1"/>
  <c r="EA204" i="1"/>
  <c r="EC204" i="1"/>
  <c r="EA197" i="1"/>
  <c r="EC197" i="1"/>
  <c r="DX721" i="1"/>
  <c r="DS626" i="1"/>
  <c r="DX509" i="1"/>
  <c r="DV235" i="1"/>
  <c r="DV226" i="1"/>
  <c r="DQ221" i="1"/>
  <c r="DW227" i="1"/>
  <c r="DW129" i="1"/>
  <c r="EA651" i="1"/>
  <c r="EC651" i="1"/>
  <c r="EC257" i="1"/>
  <c r="EA257" i="1"/>
  <c r="EA557" i="1"/>
  <c r="EC557" i="1"/>
  <c r="DU411" i="1"/>
  <c r="DX271" i="1"/>
  <c r="DW247" i="1"/>
  <c r="DY685" i="1"/>
  <c r="DX241" i="1"/>
  <c r="DV416" i="1"/>
  <c r="DV414" i="1"/>
  <c r="EA167" i="1"/>
  <c r="EC293" i="1"/>
  <c r="EA293" i="1"/>
  <c r="EC448" i="1"/>
  <c r="EA448" i="1"/>
  <c r="EC503" i="1"/>
  <c r="EA503" i="1"/>
  <c r="EA439" i="1"/>
  <c r="EC439" i="1"/>
  <c r="EC502" i="1"/>
  <c r="EA502" i="1"/>
  <c r="EA267" i="1"/>
  <c r="EC267" i="1"/>
  <c r="EA526" i="1"/>
  <c r="EC526" i="1"/>
  <c r="EA278" i="1"/>
  <c r="EC278" i="1"/>
  <c r="EA272" i="1"/>
  <c r="EC272" i="1"/>
  <c r="EA497" i="1"/>
  <c r="EC497" i="1"/>
  <c r="DW682" i="1"/>
  <c r="EA117" i="1" l="1"/>
  <c r="EA271" i="1"/>
  <c r="EC271" i="1"/>
  <c r="EA129" i="1"/>
  <c r="EC129" i="1"/>
  <c r="EC235" i="1"/>
  <c r="EA235" i="1"/>
  <c r="EA241" i="1"/>
  <c r="EC241" i="1"/>
  <c r="EA411" i="1"/>
  <c r="EC411" i="1"/>
  <c r="EA227" i="1"/>
  <c r="EC227" i="1"/>
  <c r="EA509" i="1"/>
  <c r="EC509" i="1"/>
  <c r="EA416" i="1"/>
  <c r="EC416" i="1"/>
  <c r="EA685" i="1"/>
  <c r="EC685" i="1"/>
  <c r="EA221" i="1"/>
  <c r="EC221" i="1"/>
  <c r="EA626" i="1"/>
  <c r="EC626" i="1"/>
  <c r="EC600" i="1"/>
  <c r="EA600" i="1"/>
  <c r="EA682" i="1"/>
  <c r="EC682" i="1"/>
  <c r="EC414" i="1"/>
  <c r="EA414" i="1"/>
  <c r="EC247" i="1"/>
  <c r="EA247" i="1"/>
  <c r="EA226" i="1"/>
  <c r="EC226" i="1"/>
  <c r="EA721" i="1"/>
  <c r="EC721" i="1"/>
  <c r="DR779" i="1" l="1"/>
  <c r="DT745" i="1"/>
  <c r="DR780" i="1"/>
  <c r="DY624" i="1"/>
  <c r="DY617" i="1"/>
  <c r="DY615" i="1"/>
  <c r="DY629" i="1"/>
  <c r="DY623" i="1"/>
  <c r="DY620" i="1"/>
  <c r="DY613" i="1"/>
  <c r="DR778" i="1"/>
  <c r="DY625" i="1"/>
  <c r="DR322" i="1"/>
  <c r="DS514" i="1"/>
  <c r="DR300" i="1"/>
  <c r="DR324" i="1"/>
  <c r="DR320" i="1"/>
  <c r="DT367" i="1"/>
  <c r="DR684" i="1" l="1"/>
  <c r="DR681" i="1"/>
  <c r="DV576" i="1"/>
  <c r="EA367" i="1"/>
  <c r="EC367" i="1"/>
  <c r="EC324" i="1"/>
  <c r="EA324" i="1"/>
  <c r="EC625" i="1"/>
  <c r="EA625" i="1"/>
  <c r="EC623" i="1"/>
  <c r="EA623" i="1"/>
  <c r="EC624" i="1"/>
  <c r="EA624" i="1"/>
  <c r="EA300" i="1"/>
  <c r="EC300" i="1"/>
  <c r="EA778" i="1"/>
  <c r="EC778" i="1"/>
  <c r="EC629" i="1"/>
  <c r="EA629" i="1"/>
  <c r="EA780" i="1"/>
  <c r="EC780" i="1"/>
  <c r="EC514" i="1"/>
  <c r="EA514" i="1"/>
  <c r="EC613" i="1"/>
  <c r="EA613" i="1"/>
  <c r="EC615" i="1"/>
  <c r="EA615" i="1"/>
  <c r="EC745" i="1"/>
  <c r="EA745" i="1"/>
  <c r="EC320" i="1"/>
  <c r="EA320" i="1"/>
  <c r="EC322" i="1"/>
  <c r="EA322" i="1"/>
  <c r="EC620" i="1"/>
  <c r="EA620" i="1"/>
  <c r="EC617" i="1"/>
  <c r="EA617" i="1"/>
  <c r="EC779" i="1"/>
  <c r="EA779" i="1"/>
  <c r="EA576" i="1" l="1"/>
  <c r="EC576" i="1"/>
  <c r="EC681" i="1"/>
  <c r="EA681" i="1"/>
  <c r="DU390" i="1"/>
  <c r="DT391" i="1"/>
  <c r="EA684" i="1"/>
  <c r="EC684" i="1"/>
  <c r="DX787" i="1"/>
  <c r="EC787" i="1" l="1"/>
  <c r="EA787" i="1"/>
  <c r="EA391" i="1"/>
  <c r="EC391" i="1"/>
  <c r="DV393" i="1"/>
  <c r="DV394" i="1"/>
  <c r="DX392" i="1"/>
  <c r="EA390" i="1"/>
  <c r="EC390" i="1"/>
  <c r="DV395" i="1" l="1"/>
  <c r="DT392" i="1"/>
  <c r="EA392" i="1" s="1"/>
  <c r="DV388" i="1"/>
  <c r="DU397" i="1"/>
  <c r="EA394" i="1"/>
  <c r="EC394" i="1"/>
  <c r="EA393" i="1"/>
  <c r="EC393" i="1"/>
  <c r="EC392" i="1" l="1"/>
  <c r="EA397" i="1"/>
  <c r="EC397" i="1"/>
  <c r="EC388" i="1"/>
  <c r="EA388" i="1"/>
  <c r="EA395" i="1"/>
  <c r="EC395" i="1"/>
  <c r="DT622" i="1" l="1"/>
  <c r="DX492" i="1"/>
  <c r="DW492" i="1"/>
  <c r="DV461" i="1"/>
  <c r="DQ460" i="1"/>
  <c r="DQ457" i="1"/>
  <c r="DY462" i="1"/>
  <c r="DV160" i="1"/>
  <c r="DU131" i="1"/>
  <c r="DW455" i="1"/>
  <c r="EA492" i="1" l="1"/>
  <c r="EC492" i="1"/>
  <c r="EC455" i="1"/>
  <c r="EA455" i="1"/>
  <c r="EA457" i="1"/>
  <c r="EC457" i="1"/>
  <c r="EC131" i="1"/>
  <c r="EA131" i="1"/>
  <c r="EA460" i="1"/>
  <c r="EC460" i="1"/>
  <c r="EA622" i="1"/>
  <c r="EC622" i="1"/>
  <c r="EC462" i="1"/>
  <c r="EA462" i="1"/>
  <c r="EA160" i="1"/>
  <c r="EC160" i="1"/>
  <c r="EA461" i="1"/>
  <c r="EC461" i="1"/>
</calcChain>
</file>

<file path=xl/comments1.xml><?xml version="1.0" encoding="utf-8"?>
<comments xmlns="http://schemas.openxmlformats.org/spreadsheetml/2006/main">
  <authors>
    <author>Daniel Tormey</author>
  </authors>
  <commentList>
    <comment ref="C2" authorId="0" shapeId="0">
      <text>
        <r>
          <rPr>
            <b/>
            <sz val="8"/>
            <color indexed="81"/>
            <rFont val="Tahoma"/>
            <family val="2"/>
          </rPr>
          <t xml:space="preserve">Used for short form on Character Sheet.  Usually same as TLA but not always.   The WOTC official abbrev if one exists (these are indicated by being </t>
        </r>
        <r>
          <rPr>
            <b/>
            <sz val="8"/>
            <color indexed="12"/>
            <rFont val="Tahoma"/>
            <family val="2"/>
          </rPr>
          <t>blue</t>
        </r>
        <r>
          <rPr>
            <b/>
            <sz val="8"/>
            <color indexed="81"/>
            <rFont val="Tahoma"/>
            <family val="2"/>
          </rPr>
          <t>.  Since it's only used for printing, does not need to be (but likely should be) unique and case does not matter.  DO NOT use internally.</t>
        </r>
      </text>
    </comment>
    <comment ref="D2" authorId="0" shapeId="0">
      <text>
        <r>
          <rPr>
            <b/>
            <sz val="8"/>
            <color indexed="81"/>
            <rFont val="Tahoma"/>
            <family val="2"/>
          </rPr>
          <t>Internal Use abbrev.  Add "Lvl" to form label used in next column.  Must be unique (ignore case when checking for uniqueness)</t>
        </r>
      </text>
    </comment>
    <comment ref="G322" authorId="0" shapeId="0">
      <text>
        <r>
          <rPr>
            <b/>
            <sz val="8"/>
            <color indexed="81"/>
            <rFont val="Tahoma"/>
            <family val="2"/>
          </rPr>
          <t>Handled directly on Spell Information sheet</t>
        </r>
      </text>
    </comment>
  </commentList>
</comments>
</file>

<file path=xl/sharedStrings.xml><?xml version="1.0" encoding="utf-8"?>
<sst xmlns="http://schemas.openxmlformats.org/spreadsheetml/2006/main" count="5527" uniqueCount="1799">
  <si>
    <t>Insert Marker</t>
  </si>
  <si>
    <t>Abr</t>
  </si>
  <si>
    <t>TLA</t>
  </si>
  <si>
    <t>Lvls</t>
  </si>
  <si>
    <t>Bonus caster</t>
  </si>
  <si>
    <t>2nd Bonus Caster</t>
  </si>
  <si>
    <t>Bonus Manifester</t>
  </si>
  <si>
    <t>Bonus Meldshaper</t>
  </si>
  <si>
    <t>Skill Pts</t>
  </si>
  <si>
    <t>HD Type</t>
  </si>
  <si>
    <t>Turn</t>
  </si>
  <si>
    <t>Light</t>
  </si>
  <si>
    <t>Med</t>
  </si>
  <si>
    <t>Heavy</t>
  </si>
  <si>
    <t>Shield</t>
  </si>
  <si>
    <t>Tower</t>
  </si>
  <si>
    <t>Simple</t>
  </si>
  <si>
    <t>Martial</t>
  </si>
  <si>
    <t>Other Weapons</t>
  </si>
  <si>
    <t>fBAB</t>
  </si>
  <si>
    <t>fFort</t>
  </si>
  <si>
    <t>fRef</t>
  </si>
  <si>
    <t>fWill</t>
  </si>
  <si>
    <t>Ex-rule</t>
  </si>
  <si>
    <t>ClassList</t>
  </si>
  <si>
    <t>Abr List</t>
  </si>
  <si>
    <t>Lvl</t>
  </si>
  <si>
    <t>GClassList</t>
  </si>
  <si>
    <t>GAbr List</t>
  </si>
  <si>
    <t>Reference</t>
  </si>
  <si>
    <t>LG Status</t>
  </si>
  <si>
    <t>Prereq</t>
  </si>
  <si>
    <t>Do/Might</t>
  </si>
  <si>
    <t>Select Class</t>
  </si>
  <si>
    <t>LycanthropeSelected</t>
  </si>
  <si>
    <t>BonusSpellcaster</t>
  </si>
  <si>
    <t>RaceCi</t>
  </si>
  <si>
    <t>Barbarian</t>
  </si>
  <si>
    <t>Bbn</t>
  </si>
  <si>
    <t>PH</t>
  </si>
  <si>
    <t>Open</t>
  </si>
  <si>
    <t>MonSelected</t>
  </si>
  <si>
    <t>BonusSpellcaster2</t>
  </si>
  <si>
    <t>Prestige</t>
  </si>
  <si>
    <t>Bard</t>
  </si>
  <si>
    <t>Brd</t>
  </si>
  <si>
    <t>Longsword;Rapier;Sap;Shortbow;Sword, Short;Whip</t>
  </si>
  <si>
    <t>Class Count</t>
  </si>
  <si>
    <t>BonusManifester</t>
  </si>
  <si>
    <t>PrestigeQual</t>
  </si>
  <si>
    <t>Cleric</t>
  </si>
  <si>
    <t>Clr</t>
  </si>
  <si>
    <t>ClassLvl</t>
  </si>
  <si>
    <t>BonusMeldshaper</t>
  </si>
  <si>
    <t>PrestigeReq</t>
  </si>
  <si>
    <t>Druid</t>
  </si>
  <si>
    <t>Drd</t>
  </si>
  <si>
    <t>Club;Dagger;Dart;Quarterstaff;Scimitar;Sickle;Shortspear;Sling;Spear</t>
  </si>
  <si>
    <t>Hit Dice (Character Level)</t>
  </si>
  <si>
    <t>TurnLvl</t>
  </si>
  <si>
    <t>DoQualify</t>
  </si>
  <si>
    <t>Fighter</t>
  </si>
  <si>
    <t>Ftr</t>
  </si>
  <si>
    <t>ECL</t>
  </si>
  <si>
    <t>TurnAttempts</t>
  </si>
  <si>
    <t>MightQualify</t>
  </si>
  <si>
    <t>You might qualify for this class.  You may need:</t>
  </si>
  <si>
    <t>Monk</t>
  </si>
  <si>
    <t>Mnk</t>
  </si>
  <si>
    <t>Club;Crossbow, Heavy;Crossbow, Light;Dagger;Handaxe;Javelin;Kama;Nunchaku;Quarterstaff;Sai;Shuriken;Siangham;Sling;Unarmed Strike</t>
  </si>
  <si>
    <t>TurnCheckModifier</t>
  </si>
  <si>
    <t>DontQualify</t>
  </si>
  <si>
    <t>You do not qualify for this class.  You still need:</t>
  </si>
  <si>
    <t>Paladin</t>
  </si>
  <si>
    <t>Pal</t>
  </si>
  <si>
    <t>AbrList</t>
  </si>
  <si>
    <t>LightArmorProf</t>
  </si>
  <si>
    <t>Ranger</t>
  </si>
  <si>
    <t>Rgr</t>
  </si>
  <si>
    <t>LvlList</t>
  </si>
  <si>
    <t>MedArmorProf</t>
  </si>
  <si>
    <t>Rogue</t>
  </si>
  <si>
    <t>Rog</t>
  </si>
  <si>
    <t>Crossbow, Hand;Rapier;Sap;Shortbow;Sword, Short</t>
  </si>
  <si>
    <t>ClassLvlList</t>
  </si>
  <si>
    <t>HvyArmorProf</t>
  </si>
  <si>
    <t>Sorcerer</t>
  </si>
  <si>
    <t>Sor</t>
  </si>
  <si>
    <t>ShieldProf</t>
  </si>
  <si>
    <t>Wizard</t>
  </si>
  <si>
    <t>Wiz</t>
  </si>
  <si>
    <t>Club;Crossbow, Heavy;Crossbow, Light;Dagger;Quarterstaff</t>
  </si>
  <si>
    <t>TowerProf</t>
  </si>
  <si>
    <t>– Base Classes Players Handbook II –</t>
  </si>
  <si>
    <t>SimpleProf</t>
  </si>
  <si>
    <t>Beguiler</t>
  </si>
  <si>
    <t>Beg</t>
  </si>
  <si>
    <t>PHB2</t>
  </si>
  <si>
    <t>MartialProf</t>
  </si>
  <si>
    <t>Dragon Shaman</t>
  </si>
  <si>
    <t>DrSh</t>
  </si>
  <si>
    <t>Limited</t>
  </si>
  <si>
    <t>** Class based Abilities adjustments</t>
  </si>
  <si>
    <t>Class-granted weapon profs</t>
  </si>
  <si>
    <t>Duskblade</t>
  </si>
  <si>
    <t>DuB</t>
  </si>
  <si>
    <t>Class</t>
  </si>
  <si>
    <t>Ability</t>
  </si>
  <si>
    <t>Adj</t>
  </si>
  <si>
    <t>HasLvl</t>
  </si>
  <si>
    <t>AtClassLvl</t>
  </si>
  <si>
    <t>AtGClassLvl</t>
  </si>
  <si>
    <t>AtVClassLvl</t>
  </si>
  <si>
    <t>AtCharLvl</t>
  </si>
  <si>
    <t>INT</t>
  </si>
  <si>
    <t>Knight</t>
  </si>
  <si>
    <t>Kni</t>
  </si>
  <si>
    <t>Ali</t>
  </si>
  <si>
    <t>Wis</t>
  </si>
  <si>
    <t>– Base Classes Complete Warrior –</t>
  </si>
  <si>
    <t>Ank</t>
  </si>
  <si>
    <t>Hexblade</t>
  </si>
  <si>
    <t>Hxb</t>
  </si>
  <si>
    <t>HxB</t>
  </si>
  <si>
    <t>CW</t>
  </si>
  <si>
    <t>AoS</t>
  </si>
  <si>
    <t>Dex</t>
  </si>
  <si>
    <t>Samurai</t>
  </si>
  <si>
    <t>Sam</t>
  </si>
  <si>
    <t>Con</t>
  </si>
  <si>
    <t>Swashbuckler</t>
  </si>
  <si>
    <t>Swb</t>
  </si>
  <si>
    <t>Sws</t>
  </si>
  <si>
    <t>Ape</t>
  </si>
  <si>
    <t>Str</t>
  </si>
  <si>
    <t>– Base Classes Complete Divine –</t>
  </si>
  <si>
    <t>Ber</t>
  </si>
  <si>
    <t>Favored Soul</t>
  </si>
  <si>
    <t>Fav</t>
  </si>
  <si>
    <t>FvS</t>
  </si>
  <si>
    <t>CD</t>
  </si>
  <si>
    <t>Bir</t>
  </si>
  <si>
    <t>Shugenja</t>
  </si>
  <si>
    <t>Shg</t>
  </si>
  <si>
    <t>Shj</t>
  </si>
  <si>
    <t>Cat</t>
  </si>
  <si>
    <t>Spirit Shaman</t>
  </si>
  <si>
    <t>Spr</t>
  </si>
  <si>
    <t>Smn</t>
  </si>
  <si>
    <t>Axe, Throwing;Club;Dagger;Dart;Handaxe;Javelin;Longspear;Quarterstaff;Shortspear;Spear;Sling;Shortbow;Shortbow, Composite</t>
  </si>
  <si>
    <t>NPC Only</t>
  </si>
  <si>
    <t>DAsh</t>
  </si>
  <si>
    <t>– Base Classes Complete Arcane –</t>
  </si>
  <si>
    <t>Int</t>
  </si>
  <si>
    <t>Warlock</t>
  </si>
  <si>
    <t>Wlk</t>
  </si>
  <si>
    <t>Wrl</t>
  </si>
  <si>
    <t>CAr</t>
  </si>
  <si>
    <t>Warmage</t>
  </si>
  <si>
    <t>Wmg</t>
  </si>
  <si>
    <t>Wrm</t>
  </si>
  <si>
    <t>Dash</t>
  </si>
  <si>
    <t>Cha</t>
  </si>
  <si>
    <t>Wu Jen</t>
  </si>
  <si>
    <t>WuJ</t>
  </si>
  <si>
    <t>– Base Classes Complete Adventurer –</t>
  </si>
  <si>
    <t>Ninja</t>
  </si>
  <si>
    <t>Nin</t>
  </si>
  <si>
    <t>Nja</t>
  </si>
  <si>
    <t>CAd</t>
  </si>
  <si>
    <t>Closed</t>
  </si>
  <si>
    <t>Scout</t>
  </si>
  <si>
    <t>Sct</t>
  </si>
  <si>
    <t>Axe, Throwing;Handaxe;Shortbow;Shortbow, Composite;Sword, Short</t>
  </si>
  <si>
    <t>Spellthief</t>
  </si>
  <si>
    <t>SpT</t>
  </si>
  <si>
    <t>– Base Classes Complete Psionics –</t>
  </si>
  <si>
    <t>Ardent</t>
  </si>
  <si>
    <t>Ardt</t>
  </si>
  <si>
    <t>CPs</t>
  </si>
  <si>
    <t>Divine Mind</t>
  </si>
  <si>
    <t>DvMd</t>
  </si>
  <si>
    <t>Lurk</t>
  </si>
  <si>
    <t>Lrk</t>
  </si>
  <si>
    <t>DDv</t>
  </si>
  <si>
    <t>– Base Classes Heroes of Horror –</t>
  </si>
  <si>
    <t>Archivist</t>
  </si>
  <si>
    <t>Arv</t>
  </si>
  <si>
    <t>HH</t>
  </si>
  <si>
    <t>Dread Necromancer</t>
  </si>
  <si>
    <t>DrN</t>
  </si>
  <si>
    <t>DgD</t>
  </si>
  <si>
    <t>– Base Classes Dungeonscape –</t>
  </si>
  <si>
    <t>Factotum</t>
  </si>
  <si>
    <t>Fct</t>
  </si>
  <si>
    <t>DgS</t>
  </si>
  <si>
    <t>– Base Classes Tome of Battle –</t>
  </si>
  <si>
    <t>Crusader</t>
  </si>
  <si>
    <t>Cru</t>
  </si>
  <si>
    <t>ToB</t>
  </si>
  <si>
    <t>Swordsage</t>
  </si>
  <si>
    <t>SwSa</t>
  </si>
  <si>
    <t>Warblade</t>
  </si>
  <si>
    <t>Wbl</t>
  </si>
  <si>
    <t>DiDr</t>
  </si>
  <si>
    <t>– Base Classes Tome of Magic –</t>
  </si>
  <si>
    <t>Binder</t>
  </si>
  <si>
    <t>Bin</t>
  </si>
  <si>
    <t>ToM</t>
  </si>
  <si>
    <t>Shadowcaster (NOT IMPLEMENTED)</t>
  </si>
  <si>
    <t>ShC</t>
  </si>
  <si>
    <t>DLd</t>
  </si>
  <si>
    <t>Truenamer (NOT IMPLEMENTED)</t>
  </si>
  <si>
    <t>Tru</t>
  </si>
  <si>
    <t>– Base Classes Magic of Incarnum –</t>
  </si>
  <si>
    <t>DoB</t>
  </si>
  <si>
    <t>Incarnate</t>
  </si>
  <si>
    <t>Inc</t>
  </si>
  <si>
    <t>MoI</t>
  </si>
  <si>
    <t>DrPg</t>
  </si>
  <si>
    <t>Soulborn</t>
  </si>
  <si>
    <t>Sbn</t>
  </si>
  <si>
    <t>DwPg</t>
  </si>
  <si>
    <t>Totemist</t>
  </si>
  <si>
    <t>Tot</t>
  </si>
  <si>
    <t>Totm</t>
  </si>
  <si>
    <t>Epg</t>
  </si>
  <si>
    <t>– Base Classes Miniatures Handbook –</t>
  </si>
  <si>
    <t>FBd</t>
  </si>
  <si>
    <t>Healer</t>
  </si>
  <si>
    <t>Hlr</t>
  </si>
  <si>
    <t>MH</t>
  </si>
  <si>
    <t>Marshal</t>
  </si>
  <si>
    <t>Msh</t>
  </si>
  <si>
    <t>Mrs</t>
  </si>
  <si>
    <t>– Base Classes Expanded Psionics Handbook –</t>
  </si>
  <si>
    <t>Psion</t>
  </si>
  <si>
    <t>Psi</t>
  </si>
  <si>
    <t>XPH</t>
  </si>
  <si>
    <t>Psychic Warrior</t>
  </si>
  <si>
    <t>Psw</t>
  </si>
  <si>
    <t>Soulknife</t>
  </si>
  <si>
    <t>Skf</t>
  </si>
  <si>
    <t>Sou</t>
  </si>
  <si>
    <t>Wilder</t>
  </si>
  <si>
    <t>Wld</t>
  </si>
  <si>
    <t>Flw</t>
  </si>
  <si>
    <t>– Base Classes Oriental Adventures –</t>
  </si>
  <si>
    <t>FMk</t>
  </si>
  <si>
    <t>OAS</t>
  </si>
  <si>
    <t>OA</t>
  </si>
  <si>
    <t>Shaman</t>
  </si>
  <si>
    <t>Sha</t>
  </si>
  <si>
    <t>Sohei</t>
  </si>
  <si>
    <t>Soh</t>
  </si>
  <si>
    <t>FrM</t>
  </si>
  <si>
    <t>– Racial Paragon Classes Unearthed Arcana –</t>
  </si>
  <si>
    <t>Drow Paragon</t>
  </si>
  <si>
    <t>UA</t>
  </si>
  <si>
    <t>Dwarf Paragon</t>
  </si>
  <si>
    <t>GnPg</t>
  </si>
  <si>
    <t>Elf Paragon</t>
  </si>
  <si>
    <t>GSA</t>
  </si>
  <si>
    <t>Gnome Paragon</t>
  </si>
  <si>
    <t>Half-Dragon Paragon</t>
  </si>
  <si>
    <t>HDPg</t>
  </si>
  <si>
    <t>Half-Elf Paragon</t>
  </si>
  <si>
    <t>HEPg</t>
  </si>
  <si>
    <t>Half-Orc Paragon</t>
  </si>
  <si>
    <t>HOPg</t>
  </si>
  <si>
    <t>Halfling Paragon</t>
  </si>
  <si>
    <t>HaPg</t>
  </si>
  <si>
    <t>Human Paragon</t>
  </si>
  <si>
    <t>HuPg</t>
  </si>
  <si>
    <t>Orc Paragon</t>
  </si>
  <si>
    <t>Opg</t>
  </si>
  <si>
    <t>Tiefling Paragon</t>
  </si>
  <si>
    <t>TPg</t>
  </si>
  <si>
    <t>– Alternate Base Classes Unearthed Arcana –</t>
  </si>
  <si>
    <t>Cloistered Cleric</t>
  </si>
  <si>
    <t>CCl</t>
  </si>
  <si>
    <t>Hrs</t>
  </si>
  <si>
    <t>– Base Class Dragon Magic –</t>
  </si>
  <si>
    <t>HtW</t>
  </si>
  <si>
    <t>Dragonfire Adept</t>
  </si>
  <si>
    <t>DfA</t>
  </si>
  <si>
    <t>DrM</t>
  </si>
  <si>
    <t>– Base Classes Eberron Campaign Setting –</t>
  </si>
  <si>
    <t>MyE</t>
  </si>
  <si>
    <t>Artificer</t>
  </si>
  <si>
    <t>Art</t>
  </si>
  <si>
    <t>Afc</t>
  </si>
  <si>
    <t>ECS</t>
  </si>
  <si>
    <t>– Base Classes Dragonlance Campaign Setting –</t>
  </si>
  <si>
    <t>PlK</t>
  </si>
  <si>
    <t>Mystic</t>
  </si>
  <si>
    <t>Mys</t>
  </si>
  <si>
    <t>DLCS</t>
  </si>
  <si>
    <t>PMs</t>
  </si>
  <si>
    <t>Noble</t>
  </si>
  <si>
    <t>Nob</t>
  </si>
  <si>
    <t>Prm</t>
  </si>
  <si>
    <t>-- Base Classes Age of Mortals --</t>
  </si>
  <si>
    <t>Mariner</t>
  </si>
  <si>
    <t>Mar</t>
  </si>
  <si>
    <t>AoM</t>
  </si>
  <si>
    <t>-- Base Classes Players Companion --</t>
  </si>
  <si>
    <t>Exemplar</t>
  </si>
  <si>
    <t>Exl</t>
  </si>
  <si>
    <t>PC</t>
  </si>
  <si>
    <t>Friar</t>
  </si>
  <si>
    <t>Far</t>
  </si>
  <si>
    <t>Inventor</t>
  </si>
  <si>
    <t>Itr</t>
  </si>
  <si>
    <t>Magnifico</t>
  </si>
  <si>
    <t>Mnf</t>
  </si>
  <si>
    <t>– NPC Classes –</t>
  </si>
  <si>
    <t>Adept</t>
  </si>
  <si>
    <t>Adp</t>
  </si>
  <si>
    <t>DMG</t>
  </si>
  <si>
    <t>Aristocrat</t>
  </si>
  <si>
    <t>Ari</t>
  </si>
  <si>
    <t>Commoner</t>
  </si>
  <si>
    <t>Com</t>
  </si>
  <si>
    <t>Expert</t>
  </si>
  <si>
    <t>Exp</t>
  </si>
  <si>
    <t>Warrior</t>
  </si>
  <si>
    <t>War</t>
  </si>
  <si>
    <t>Prophet</t>
  </si>
  <si>
    <t>Pro</t>
  </si>
  <si>
    <t>RDMG</t>
  </si>
  <si>
    <t>– Prestige Classes DMG –</t>
  </si>
  <si>
    <t>Arcane Archer</t>
  </si>
  <si>
    <t>Arc</t>
  </si>
  <si>
    <t>Do</t>
  </si>
  <si>
    <t/>
  </si>
  <si>
    <t>Arcane Trickster</t>
  </si>
  <si>
    <t>ArT</t>
  </si>
  <si>
    <t>Might</t>
  </si>
  <si>
    <t>Archmage</t>
  </si>
  <si>
    <t>Acm</t>
  </si>
  <si>
    <t>Arm</t>
  </si>
  <si>
    <t>Assassin</t>
  </si>
  <si>
    <t>Asn</t>
  </si>
  <si>
    <t>Blackguard</t>
  </si>
  <si>
    <t>Blk</t>
  </si>
  <si>
    <t>Dragon Disciple</t>
  </si>
  <si>
    <t>RmW</t>
  </si>
  <si>
    <t>Duelist</t>
  </si>
  <si>
    <t>Due</t>
  </si>
  <si>
    <t>RsM</t>
  </si>
  <si>
    <t>Dwarven Defender</t>
  </si>
  <si>
    <t>Def</t>
  </si>
  <si>
    <t>DwD</t>
  </si>
  <si>
    <t>Eldritch Knight</t>
  </si>
  <si>
    <t>ElK</t>
  </si>
  <si>
    <t>Shk</t>
  </si>
  <si>
    <t>Hierophant</t>
  </si>
  <si>
    <t>Hie</t>
  </si>
  <si>
    <t>Snk</t>
  </si>
  <si>
    <t>Horizon Walker</t>
  </si>
  <si>
    <t>HoW</t>
  </si>
  <si>
    <t>Stb</t>
  </si>
  <si>
    <t>Loremaster</t>
  </si>
  <si>
    <t>Lor</t>
  </si>
  <si>
    <t>Swi</t>
  </si>
  <si>
    <t>Mystic Theurge</t>
  </si>
  <si>
    <t>MyT</t>
  </si>
  <si>
    <t>Red Wizard</t>
  </si>
  <si>
    <t>Red</t>
  </si>
  <si>
    <t>RWz</t>
  </si>
  <si>
    <t>Shadowdancer</t>
  </si>
  <si>
    <t>Shd</t>
  </si>
  <si>
    <t>Wcf</t>
  </si>
  <si>
    <t>Thaumaturgist</t>
  </si>
  <si>
    <t>Thm</t>
  </si>
  <si>
    <t>– Prestige Classes Complete Warrior –</t>
  </si>
  <si>
    <t>Bear Warrior</t>
  </si>
  <si>
    <t>Bwa</t>
  </si>
  <si>
    <t>WHk</t>
  </si>
  <si>
    <t>Bladesinger</t>
  </si>
  <si>
    <t>Bld</t>
  </si>
  <si>
    <t>Bds</t>
  </si>
  <si>
    <t>Wlf</t>
  </si>
  <si>
    <t>Cavalier</t>
  </si>
  <si>
    <t>Cav</t>
  </si>
  <si>
    <t>WoD</t>
  </si>
  <si>
    <t>Dark Hunter</t>
  </si>
  <si>
    <t>DrH</t>
  </si>
  <si>
    <t>Darkwood Stalker</t>
  </si>
  <si>
    <t>DkS</t>
  </si>
  <si>
    <t>MnsP</t>
  </si>
  <si>
    <t>Dervish</t>
  </si>
  <si>
    <t>Drv</t>
  </si>
  <si>
    <t>Dvs</t>
  </si>
  <si>
    <t>Drunken Master</t>
  </si>
  <si>
    <t>Drk</t>
  </si>
  <si>
    <t>Exotic Weapon Master</t>
  </si>
  <si>
    <t>EWM</t>
  </si>
  <si>
    <t>Eye of Gruumsh</t>
  </si>
  <si>
    <t>Eye</t>
  </si>
  <si>
    <t>Frenzied Berserker</t>
  </si>
  <si>
    <t>Frb</t>
  </si>
  <si>
    <t>FBk</t>
  </si>
  <si>
    <t>Gnome Giant-Slayer</t>
  </si>
  <si>
    <t>GGS</t>
  </si>
  <si>
    <t>Halfling Outrider</t>
  </si>
  <si>
    <t>Out</t>
  </si>
  <si>
    <t>HfO</t>
  </si>
  <si>
    <t>Hulking Hurler</t>
  </si>
  <si>
    <t>HkH</t>
  </si>
  <si>
    <t>Hunter of the Dead</t>
  </si>
  <si>
    <t>HoD</t>
  </si>
  <si>
    <t>Invisible Blade</t>
  </si>
  <si>
    <t>Inv</t>
  </si>
  <si>
    <t>Justiciar</t>
  </si>
  <si>
    <t>Jus</t>
  </si>
  <si>
    <t>Kensai</t>
  </si>
  <si>
    <t>Ken</t>
  </si>
  <si>
    <t>Knight of the Chalice</t>
  </si>
  <si>
    <t>KoC</t>
  </si>
  <si>
    <t>ClassAbilitiesAdjRowsCnt</t>
  </si>
  <si>
    <t>Knight Protector</t>
  </si>
  <si>
    <t>KnP</t>
  </si>
  <si>
    <t>DoClassAbilityAdj</t>
  </si>
  <si>
    <t>Master Thrower</t>
  </si>
  <si>
    <t>MaT</t>
  </si>
  <si>
    <t>DoClassIntAdj</t>
  </si>
  <si>
    <t>Master of the Unseen Hand</t>
  </si>
  <si>
    <t>MUH</t>
  </si>
  <si>
    <t>Mindspy</t>
  </si>
  <si>
    <t>Msp</t>
  </si>
  <si>
    <t>Nature's Warrior</t>
  </si>
  <si>
    <t>NWr</t>
  </si>
  <si>
    <t>WoD (Oil)</t>
  </si>
  <si>
    <t>Occult Slayer</t>
  </si>
  <si>
    <t>Occ</t>
  </si>
  <si>
    <t>WoD (Elixir)</t>
  </si>
  <si>
    <t>Order of the Bow Initiate</t>
  </si>
  <si>
    <t>Obw</t>
  </si>
  <si>
    <t>OoB</t>
  </si>
  <si>
    <t>Purple Dragon Knight</t>
  </si>
  <si>
    <t>Prp</t>
  </si>
  <si>
    <t>PDK</t>
  </si>
  <si>
    <t>** Feats based Abilities adjustments (this shouldn't be here, really)</t>
  </si>
  <si>
    <t>Rage Mage</t>
  </si>
  <si>
    <t>RaM</t>
  </si>
  <si>
    <t>Feat</t>
  </si>
  <si>
    <t>n.a.</t>
  </si>
  <si>
    <t>HasFeat</t>
  </si>
  <si>
    <t>Ravager</t>
  </si>
  <si>
    <t>Rav</t>
  </si>
  <si>
    <t>GreatIntelligence1</t>
  </si>
  <si>
    <t>Reaping Mauler</t>
  </si>
  <si>
    <t>ReM</t>
  </si>
  <si>
    <t>GreatIntelligence2</t>
  </si>
  <si>
    <t>Ronin</t>
  </si>
  <si>
    <t>Ron</t>
  </si>
  <si>
    <t>GreatIntelligence3</t>
  </si>
  <si>
    <t>Spellsword</t>
  </si>
  <si>
    <t>Sps</t>
  </si>
  <si>
    <t>GreatStrength1</t>
  </si>
  <si>
    <t>Stonelord</t>
  </si>
  <si>
    <t>Sto</t>
  </si>
  <si>
    <t>GreatStrength2</t>
  </si>
  <si>
    <t>Tattooed Monk</t>
  </si>
  <si>
    <t>Ttm</t>
  </si>
  <si>
    <t>TtM</t>
  </si>
  <si>
    <t>GreatStrength3</t>
  </si>
  <si>
    <t>Thayan Knight</t>
  </si>
  <si>
    <t>Thk</t>
  </si>
  <si>
    <t>Thy</t>
  </si>
  <si>
    <t>GreatDexterity1</t>
  </si>
  <si>
    <t>War Chanter</t>
  </si>
  <si>
    <t>Wch</t>
  </si>
  <si>
    <t>WrC</t>
  </si>
  <si>
    <t>GreatDexterity2</t>
  </si>
  <si>
    <t>Warshaper</t>
  </si>
  <si>
    <t>Wrp</t>
  </si>
  <si>
    <t>GreatDexterity3</t>
  </si>
  <si>
    <t>– Prestige Classes Complete Divine –</t>
  </si>
  <si>
    <t>GreatConstitution1</t>
  </si>
  <si>
    <t>Black Flame Zealot</t>
  </si>
  <si>
    <t>BFZ</t>
  </si>
  <si>
    <t>GreatConstitution2</t>
  </si>
  <si>
    <t>Blighter</t>
  </si>
  <si>
    <t>Bli</t>
  </si>
  <si>
    <t>GreatConstitution3</t>
  </si>
  <si>
    <t>Church Inquisitor</t>
  </si>
  <si>
    <t>ChI</t>
  </si>
  <si>
    <t>GreatWisdom1</t>
  </si>
  <si>
    <t>Consecrated Harrier</t>
  </si>
  <si>
    <t>CoH</t>
  </si>
  <si>
    <t>GreatWisdom2</t>
  </si>
  <si>
    <t>Contemplative</t>
  </si>
  <si>
    <t>GreatWisdom3</t>
  </si>
  <si>
    <t>Divine Crusader</t>
  </si>
  <si>
    <t>Dvc</t>
  </si>
  <si>
    <t>DvC</t>
  </si>
  <si>
    <t>GreatCharisma1</t>
  </si>
  <si>
    <t>Divine Oracle</t>
  </si>
  <si>
    <t>DiO</t>
  </si>
  <si>
    <t>GreatCharisma2</t>
  </si>
  <si>
    <t>Dweomerkeeper</t>
  </si>
  <si>
    <t>Dwe</t>
  </si>
  <si>
    <t>GreatCharisma3</t>
  </si>
  <si>
    <t>Entropomancer</t>
  </si>
  <si>
    <t>Ent</t>
  </si>
  <si>
    <t>DeformityGaunt</t>
  </si>
  <si>
    <t>Evangelist</t>
  </si>
  <si>
    <t>Eva</t>
  </si>
  <si>
    <t>Geomancer</t>
  </si>
  <si>
    <t>Geo</t>
  </si>
  <si>
    <t>DeformityObese</t>
  </si>
  <si>
    <t>Holy Liberator</t>
  </si>
  <si>
    <t>HoL</t>
  </si>
  <si>
    <t>Hospitaler</t>
  </si>
  <si>
    <t>Hos</t>
  </si>
  <si>
    <t>Pious Templar</t>
  </si>
  <si>
    <t>Tem</t>
  </si>
  <si>
    <t>RSP</t>
  </si>
  <si>
    <t>Rainbow Servant</t>
  </si>
  <si>
    <t>RnS</t>
  </si>
  <si>
    <t>Sacred Exorcist</t>
  </si>
  <si>
    <t>SaE</t>
  </si>
  <si>
    <t>Sacred Fist</t>
  </si>
  <si>
    <t>SaF</t>
  </si>
  <si>
    <t>Seeker of the Misty Isle</t>
  </si>
  <si>
    <t>SMI</t>
  </si>
  <si>
    <t>SBH</t>
  </si>
  <si>
    <t>Stormlord</t>
  </si>
  <si>
    <t>StL</t>
  </si>
  <si>
    <t>FeatAbilitiesAdjRowsCnt</t>
  </si>
  <si>
    <t>Rdr</t>
  </si>
  <si>
    <t>DoFeatAbilityAdj</t>
  </si>
  <si>
    <t>Ur-Priest</t>
  </si>
  <si>
    <t>UrP</t>
  </si>
  <si>
    <t>DoFeatIntAdj</t>
  </si>
  <si>
    <t>Void Disciple</t>
  </si>
  <si>
    <t>VdD</t>
  </si>
  <si>
    <t>Warpriest</t>
  </si>
  <si>
    <t>WaP</t>
  </si>
  <si>
    <t>– Prestige Classes Complete Arcane –</t>
  </si>
  <si>
    <t>Acolyte of the Skin</t>
  </si>
  <si>
    <t>Alienist</t>
  </si>
  <si>
    <t>** Class based Type changes (TblClasstypeMod)</t>
  </si>
  <si>
    <t>Argent Savant</t>
  </si>
  <si>
    <t>ArS</t>
  </si>
  <si>
    <t>Type</t>
  </si>
  <si>
    <t>TypeVal</t>
  </si>
  <si>
    <t>Blood Magus</t>
  </si>
  <si>
    <t>Blo</t>
  </si>
  <si>
    <t>Magical Beast</t>
  </si>
  <si>
    <t>Effigy Master</t>
  </si>
  <si>
    <t>EfM</t>
  </si>
  <si>
    <t>WlR</t>
  </si>
  <si>
    <t>Fey</t>
  </si>
  <si>
    <t>Elemental Savant</t>
  </si>
  <si>
    <t>ElS</t>
  </si>
  <si>
    <t>Enlightened Fist</t>
  </si>
  <si>
    <t>EnF</t>
  </si>
  <si>
    <t>Fatespinner</t>
  </si>
  <si>
    <t>FtS</t>
  </si>
  <si>
    <t>Swa</t>
  </si>
  <si>
    <t>Geometer</t>
  </si>
  <si>
    <t>Gmt</t>
  </si>
  <si>
    <t>Dragon</t>
  </si>
  <si>
    <t>Green Star Adept</t>
  </si>
  <si>
    <t>Aberration</t>
  </si>
  <si>
    <t>Initiate of the Sevenfold Veil</t>
  </si>
  <si>
    <t>ISV</t>
  </si>
  <si>
    <t>WvS</t>
  </si>
  <si>
    <t>Mage of the Arcane Order</t>
  </si>
  <si>
    <t>MoA</t>
  </si>
  <si>
    <t>Elemental</t>
  </si>
  <si>
    <t>Master Transmogrifist</t>
  </si>
  <si>
    <t>MTr</t>
  </si>
  <si>
    <t>WoI</t>
  </si>
  <si>
    <t>Mindbender</t>
  </si>
  <si>
    <t>Mnb</t>
  </si>
  <si>
    <t>Bnd</t>
  </si>
  <si>
    <t>Seeker of the Song</t>
  </si>
  <si>
    <t>See</t>
  </si>
  <si>
    <t>ElA</t>
  </si>
  <si>
    <t>Sublime Chord</t>
  </si>
  <si>
    <t>Sub</t>
  </si>
  <si>
    <t>Plant</t>
  </si>
  <si>
    <t>Suel Arcanamach</t>
  </si>
  <si>
    <t>SuA</t>
  </si>
  <si>
    <t>ScCh</t>
  </si>
  <si>
    <t>Outsider</t>
  </si>
  <si>
    <t>Wayfarer Guide</t>
  </si>
  <si>
    <t>Way</t>
  </si>
  <si>
    <t>SDC</t>
  </si>
  <si>
    <t>Wild Mage</t>
  </si>
  <si>
    <t>WiM</t>
  </si>
  <si>
    <t>– Prestige Classes Complete Adventurer –</t>
  </si>
  <si>
    <t>Apelord</t>
  </si>
  <si>
    <t>Ara</t>
  </si>
  <si>
    <t>Bearlord</t>
  </si>
  <si>
    <t>Dis</t>
  </si>
  <si>
    <t>Birdlord</t>
  </si>
  <si>
    <t>Catlord</t>
  </si>
  <si>
    <t>Horselord</t>
  </si>
  <si>
    <t>Exr</t>
  </si>
  <si>
    <t>Sharklord</t>
  </si>
  <si>
    <t>Snakelord</t>
  </si>
  <si>
    <t>KoSS</t>
  </si>
  <si>
    <t>Wolflord</t>
  </si>
  <si>
    <t>GsA</t>
  </si>
  <si>
    <t>Construct</t>
  </si>
  <si>
    <t>Beastmaster</t>
  </si>
  <si>
    <t>Bsm</t>
  </si>
  <si>
    <t>Bloodhound</t>
  </si>
  <si>
    <t>InCh</t>
  </si>
  <si>
    <t>Daggerspell Mage</t>
  </si>
  <si>
    <t>DaM</t>
  </si>
  <si>
    <t>Undead</t>
  </si>
  <si>
    <t>Daggerspell Shaper</t>
  </si>
  <si>
    <t>DaS</t>
  </si>
  <si>
    <t>IPS</t>
  </si>
  <si>
    <t>Dread Pirate</t>
  </si>
  <si>
    <t>Pir</t>
  </si>
  <si>
    <t>Dungeon Delver</t>
  </si>
  <si>
    <t>Dun</t>
  </si>
  <si>
    <t>Fochulcan Lyrist</t>
  </si>
  <si>
    <t>FoL</t>
  </si>
  <si>
    <t>ClassTypeModRowsCnt</t>
  </si>
  <si>
    <t>Ghost-Faced Killer</t>
  </si>
  <si>
    <t>GhK</t>
  </si>
  <si>
    <t>DoClassTypeMod</t>
  </si>
  <si>
    <t>Highland Stalker</t>
  </si>
  <si>
    <t>HiS</t>
  </si>
  <si>
    <t>ClassTypeValue</t>
  </si>
  <si>
    <t>Maester</t>
  </si>
  <si>
    <t>Mae</t>
  </si>
  <si>
    <t>ClassTypeName</t>
  </si>
  <si>
    <t>Master of Many Forms</t>
  </si>
  <si>
    <t>MMF</t>
  </si>
  <si>
    <t>Nightsong Enforcer</t>
  </si>
  <si>
    <t>NsE</t>
  </si>
  <si>
    <t>** Class based subtype changes</t>
  </si>
  <si>
    <t>Nightsong Infiltrator</t>
  </si>
  <si>
    <t>NsI</t>
  </si>
  <si>
    <t>Subtype</t>
  </si>
  <si>
    <t>HasClLvl</t>
  </si>
  <si>
    <t>Ollam</t>
  </si>
  <si>
    <t>Oll</t>
  </si>
  <si>
    <t>Cold</t>
  </si>
  <si>
    <t>Shadowbane Inquisitor</t>
  </si>
  <si>
    <t>ShI</t>
  </si>
  <si>
    <t>Shadowbane Stalker</t>
  </si>
  <si>
    <t>SbS</t>
  </si>
  <si>
    <t>Shadowmind</t>
  </si>
  <si>
    <t>Shm</t>
  </si>
  <si>
    <t>Native</t>
  </si>
  <si>
    <t>Spymaster</t>
  </si>
  <si>
    <t>Spy</t>
  </si>
  <si>
    <t>Streetfighter</t>
  </si>
  <si>
    <t>Stf</t>
  </si>
  <si>
    <t>Tempest</t>
  </si>
  <si>
    <t>Tmp</t>
  </si>
  <si>
    <t>Thief-Acrobat</t>
  </si>
  <si>
    <t>Acr</t>
  </si>
  <si>
    <t>Vigilante</t>
  </si>
  <si>
    <t>Vig</t>
  </si>
  <si>
    <t>Virtuoso</t>
  </si>
  <si>
    <t>Vir</t>
  </si>
  <si>
    <t>PsU</t>
  </si>
  <si>
    <t>Incorporeal</t>
  </si>
  <si>
    <t>Wild Plains Outrider</t>
  </si>
  <si>
    <t>WPO</t>
  </si>
  <si>
    <t>Evil</t>
  </si>
  <si>
    <t>– Prestige Classes Complete Psionic –</t>
  </si>
  <si>
    <t>Anarchic Initiate</t>
  </si>
  <si>
    <t>ArIt</t>
  </si>
  <si>
    <t>Dragonblood</t>
  </si>
  <si>
    <t>Ebon Saint</t>
  </si>
  <si>
    <t>EbSt</t>
  </si>
  <si>
    <t>Chaotic</t>
  </si>
  <si>
    <t>Ectopic Adept</t>
  </si>
  <si>
    <t>EcAd</t>
  </si>
  <si>
    <t>Flayerspawn Psychic</t>
  </si>
  <si>
    <t>FsPs</t>
  </si>
  <si>
    <t>Ela</t>
  </si>
  <si>
    <t>Illumine Soul</t>
  </si>
  <si>
    <t>IlSl</t>
  </si>
  <si>
    <t>Aquatic</t>
  </si>
  <si>
    <t>Soulbow</t>
  </si>
  <si>
    <t>SlBw</t>
  </si>
  <si>
    <t>RMm</t>
  </si>
  <si>
    <t>Living Construct</t>
  </si>
  <si>
    <t>Storm Disciple</t>
  </si>
  <si>
    <t>StDs</t>
  </si>
  <si>
    <t>Shapechanger</t>
  </si>
  <si>
    <t>Zerth Cenobite</t>
  </si>
  <si>
    <t>ZtCb</t>
  </si>
  <si>
    <t>– Prestige Classes Complete Mage –</t>
  </si>
  <si>
    <t>Abjurant Champion</t>
  </si>
  <si>
    <t>AbJ</t>
  </si>
  <si>
    <t>CM</t>
  </si>
  <si>
    <t>Eldritch Disciple</t>
  </si>
  <si>
    <t>ElD</t>
  </si>
  <si>
    <t>Good</t>
  </si>
  <si>
    <t>Eldritch Theurge</t>
  </si>
  <si>
    <t>ElT</t>
  </si>
  <si>
    <t>Enlightened Spirit</t>
  </si>
  <si>
    <t>EnS</t>
  </si>
  <si>
    <t>Shp</t>
  </si>
  <si>
    <t>Holy Scourge</t>
  </si>
  <si>
    <t>HSC</t>
  </si>
  <si>
    <t>Lyric Thaumaturge</t>
  </si>
  <si>
    <t>LyT</t>
  </si>
  <si>
    <t>Master Specialist</t>
  </si>
  <si>
    <t>MstS</t>
  </si>
  <si>
    <t>Nightmare Spinner</t>
  </si>
  <si>
    <t>NSp</t>
  </si>
  <si>
    <t>Ultimate Magus</t>
  </si>
  <si>
    <t>UlM</t>
  </si>
  <si>
    <t>Unseen Seer</t>
  </si>
  <si>
    <t>UnS</t>
  </si>
  <si>
    <t>Wild Soul</t>
  </si>
  <si>
    <t>WSl</t>
  </si>
  <si>
    <t>ClassSubtypeModRowsCnt</t>
  </si>
  <si>
    <t>– Prestige Classes Complete Scoundrel –</t>
  </si>
  <si>
    <t>DoClassSubtypeMod</t>
  </si>
  <si>
    <t>Avenging Executioner</t>
  </si>
  <si>
    <t>AvE</t>
  </si>
  <si>
    <t>CS</t>
  </si>
  <si>
    <t>ClassSubtype</t>
  </si>
  <si>
    <t>Battle Trickster</t>
  </si>
  <si>
    <t>BtT</t>
  </si>
  <si>
    <t>Cloaked Dancer</t>
  </si>
  <si>
    <t>ClD</t>
  </si>
  <si>
    <t>** Class based virtual class levels</t>
  </si>
  <si>
    <t>Combat Trapsmith</t>
  </si>
  <si>
    <t>CTr</t>
  </si>
  <si>
    <t>Level</t>
  </si>
  <si>
    <t>VCLass</t>
  </si>
  <si>
    <t>Idx</t>
  </si>
  <si>
    <t>Vidx</t>
  </si>
  <si>
    <t>Fortune's Friend</t>
  </si>
  <si>
    <t>FFr</t>
  </si>
  <si>
    <t>UnT</t>
  </si>
  <si>
    <t>Gray Guard</t>
  </si>
  <si>
    <t>GrG</t>
  </si>
  <si>
    <t>Magical Trickster</t>
  </si>
  <si>
    <t>MagT</t>
  </si>
  <si>
    <t>Malconvoker</t>
  </si>
  <si>
    <t>Mal</t>
  </si>
  <si>
    <t>Master of Masks</t>
  </si>
  <si>
    <t>MoM</t>
  </si>
  <si>
    <t>Mountebank</t>
  </si>
  <si>
    <t>Mou</t>
  </si>
  <si>
    <t>Psibond Agent</t>
  </si>
  <si>
    <t>PsA</t>
  </si>
  <si>
    <t>Spellwarp Sniper</t>
  </si>
  <si>
    <t>SpwS</t>
  </si>
  <si>
    <t>Uncanny Trickster</t>
  </si>
  <si>
    <t>– Prestige Classes Complete Champion –</t>
  </si>
  <si>
    <t>Fist of the Forest</t>
  </si>
  <si>
    <t>FoF</t>
  </si>
  <si>
    <t>CC</t>
  </si>
  <si>
    <t>Forest Reeve</t>
  </si>
  <si>
    <t>FoR</t>
  </si>
  <si>
    <t>Holt Warden</t>
  </si>
  <si>
    <t>HltW</t>
  </si>
  <si>
    <t>ClassVirtualRowsCnt</t>
  </si>
  <si>
    <t>Mythic Exemplar</t>
  </si>
  <si>
    <t>HasVirtualClasses</t>
  </si>
  <si>
    <t>Ordained Champion</t>
  </si>
  <si>
    <t>OrdC</t>
  </si>
  <si>
    <t>ClassVirtualLvls</t>
  </si>
  <si>
    <t>Paragnostic Apostle</t>
  </si>
  <si>
    <t>PrgA</t>
  </si>
  <si>
    <t>Paragnostic Initiate</t>
  </si>
  <si>
    <t>PrgI</t>
  </si>
  <si>
    <t>** Class based alignment changes</t>
  </si>
  <si>
    <t>Sanctified One</t>
  </si>
  <si>
    <t>SaO</t>
  </si>
  <si>
    <t>Alignment</t>
  </si>
  <si>
    <t>Combo</t>
  </si>
  <si>
    <t>1st char</t>
  </si>
  <si>
    <t>LawChaos</t>
  </si>
  <si>
    <t>GoodEvil</t>
  </si>
  <si>
    <t>LCatLvl</t>
  </si>
  <si>
    <t>GEatLvl</t>
  </si>
  <si>
    <t>Shadowspy</t>
  </si>
  <si>
    <t>ShaS</t>
  </si>
  <si>
    <t>Deity Alignment</t>
  </si>
  <si>
    <t>Shadowstriker</t>
  </si>
  <si>
    <t>ShtS</t>
  </si>
  <si>
    <t>DvA</t>
  </si>
  <si>
    <t>Squire of Legend</t>
  </si>
  <si>
    <t>SoL</t>
  </si>
  <si>
    <t>– Prestige Classes Races of Stone –</t>
  </si>
  <si>
    <t>Battlesmith</t>
  </si>
  <si>
    <t>Bts</t>
  </si>
  <si>
    <t>RoS</t>
  </si>
  <si>
    <t>Blade Bravo</t>
  </si>
  <si>
    <t>BBo</t>
  </si>
  <si>
    <t>Cragtop Archer</t>
  </si>
  <si>
    <t>CrA</t>
  </si>
  <si>
    <t>Dawncaller</t>
  </si>
  <si>
    <t>DnC</t>
  </si>
  <si>
    <t>Deepwarden</t>
  </si>
  <si>
    <t>Dwn</t>
  </si>
  <si>
    <t>Divine Prankster</t>
  </si>
  <si>
    <t>DvP</t>
  </si>
  <si>
    <t>Earth Dreamer</t>
  </si>
  <si>
    <t>ErD</t>
  </si>
  <si>
    <t>Goliath Liberator</t>
  </si>
  <si>
    <t>GlL</t>
  </si>
  <si>
    <t>Iron Mind</t>
  </si>
  <si>
    <t>InM</t>
  </si>
  <si>
    <t>ClassALModRowsCnt</t>
  </si>
  <si>
    <t>Peregrine Runner</t>
  </si>
  <si>
    <t>PrR</t>
  </si>
  <si>
    <t>DoClassALMod</t>
  </si>
  <si>
    <t>Runesmith</t>
  </si>
  <si>
    <t>RuS</t>
  </si>
  <si>
    <t>LC lvl</t>
  </si>
  <si>
    <t>Shadowcraft Mage</t>
  </si>
  <si>
    <t>ScM</t>
  </si>
  <si>
    <t>GE lvl</t>
  </si>
  <si>
    <t>Stoneblessed</t>
  </si>
  <si>
    <t>Stonedeath Assassin</t>
  </si>
  <si>
    <t>SdA</t>
  </si>
  <si>
    <t>** Class based DR</t>
  </si>
  <si>
    <t>Stonespeaker Guardian</t>
  </si>
  <si>
    <t>SsG</t>
  </si>
  <si>
    <t>Value</t>
  </si>
  <si>
    <t>DR</t>
  </si>
  <si>
    <t>– Prestige Classes Races of Destiny –</t>
  </si>
  <si>
    <t>-</t>
  </si>
  <si>
    <t>Chameleon</t>
  </si>
  <si>
    <t>Cml</t>
  </si>
  <si>
    <t>RoD</t>
  </si>
  <si>
    <t>Loredelver</t>
  </si>
  <si>
    <t>Ldl</t>
  </si>
  <si>
    <t>adamantine</t>
  </si>
  <si>
    <t>Menacing Brute</t>
  </si>
  <si>
    <t>MBr</t>
  </si>
  <si>
    <t>CoG</t>
  </si>
  <si>
    <t>Outcast Champion</t>
  </si>
  <si>
    <t>OCh</t>
  </si>
  <si>
    <t>Scar Enforcer</t>
  </si>
  <si>
    <t>ScE</t>
  </si>
  <si>
    <t>Shadow Sentinel</t>
  </si>
  <si>
    <t>ShS</t>
  </si>
  <si>
    <t>GHE</t>
  </si>
  <si>
    <t>Urban Soul</t>
  </si>
  <si>
    <t>UrS</t>
  </si>
  <si>
    <t>HoM</t>
  </si>
  <si>
    <t>– Prestige Classes Races of the Wild –</t>
  </si>
  <si>
    <t>AnK</t>
  </si>
  <si>
    <t>Arcane Hierophant</t>
  </si>
  <si>
    <t>ArH</t>
  </si>
  <si>
    <t>RotW</t>
  </si>
  <si>
    <t>WMd</t>
  </si>
  <si>
    <t>Champion of Corellon Larethian</t>
  </si>
  <si>
    <t>ChC</t>
  </si>
  <si>
    <t>Luckstealer</t>
  </si>
  <si>
    <t>LkS</t>
  </si>
  <si>
    <t>bludgeoning</t>
  </si>
  <si>
    <t>Ruathar</t>
  </si>
  <si>
    <t>Rua</t>
  </si>
  <si>
    <t>cold iron</t>
  </si>
  <si>
    <t>Skypledged</t>
  </si>
  <si>
    <t>SkP</t>
  </si>
  <si>
    <t>Stormtalon</t>
  </si>
  <si>
    <t>StT</t>
  </si>
  <si>
    <t>Whisperknife</t>
  </si>
  <si>
    <t>WsK</t>
  </si>
  <si>
    <t>Wildrunner</t>
  </si>
  <si>
    <t>– Prestige Classes Races of the Dragon –</t>
  </si>
  <si>
    <t>ElR</t>
  </si>
  <si>
    <t>Disciple of the Eye</t>
  </si>
  <si>
    <t>DoE</t>
  </si>
  <si>
    <t>RotD</t>
  </si>
  <si>
    <t>Dracolexi</t>
  </si>
  <si>
    <t>Dcx</t>
  </si>
  <si>
    <t>good</t>
  </si>
  <si>
    <t>Dragon Devotee</t>
  </si>
  <si>
    <t>magic</t>
  </si>
  <si>
    <t>Dragonheart Mage</t>
  </si>
  <si>
    <t>DhM</t>
  </si>
  <si>
    <t>Singer of Concordance</t>
  </si>
  <si>
    <t>SoC</t>
  </si>
  <si>
    <t>Soc</t>
  </si>
  <si>
    <t>GtC</t>
  </si>
  <si>
    <t>– Prestige Classes Frostburn –</t>
  </si>
  <si>
    <t>PlC</t>
  </si>
  <si>
    <t>Cloud Anchorite</t>
  </si>
  <si>
    <t>ClA</t>
  </si>
  <si>
    <t>Frost</t>
  </si>
  <si>
    <t>Cryokineticist</t>
  </si>
  <si>
    <t>Crk</t>
  </si>
  <si>
    <t>Disciple of Thyrm</t>
  </si>
  <si>
    <t>DoT</t>
  </si>
  <si>
    <t>Frost Mage</t>
  </si>
  <si>
    <t>FrMg</t>
  </si>
  <si>
    <t>Frostrager</t>
  </si>
  <si>
    <t>FrR</t>
  </si>
  <si>
    <t>Knight of the Iron Glacier</t>
  </si>
  <si>
    <t>KIG</t>
  </si>
  <si>
    <t>Primeval</t>
  </si>
  <si>
    <t>Rimefire Witch</t>
  </si>
  <si>
    <t>Stormsinger</t>
  </si>
  <si>
    <t>StS</t>
  </si>
  <si>
    <t>Winterhaunt of Iborghu</t>
  </si>
  <si>
    <t>– Prestige Classes Sandstorm –</t>
  </si>
  <si>
    <t>Ashworm Dragoon</t>
  </si>
  <si>
    <t>AwD</t>
  </si>
  <si>
    <t>Sa</t>
  </si>
  <si>
    <t>MnSp</t>
  </si>
  <si>
    <t>silver</t>
  </si>
  <si>
    <t>Lord of Tides</t>
  </si>
  <si>
    <t>LTI</t>
  </si>
  <si>
    <t>ClM</t>
  </si>
  <si>
    <t>unholy</t>
  </si>
  <si>
    <t>Sand Shaper</t>
  </si>
  <si>
    <t>SSh</t>
  </si>
  <si>
    <t>Scion of Tem-Et-Nu</t>
  </si>
  <si>
    <t>STN</t>
  </si>
  <si>
    <t>ToS</t>
  </si>
  <si>
    <t>Scorpion Heritor</t>
  </si>
  <si>
    <t>ScH</t>
  </si>
  <si>
    <t>bludgeoning and magic</t>
  </si>
  <si>
    <t>Walker in the Waste</t>
  </si>
  <si>
    <t>WiW</t>
  </si>
  <si>
    <t>TSl</t>
  </si>
  <si>
    <t>piercing and slashing</t>
  </si>
  <si>
    <t>– Prestige Classes Stormwrack –</t>
  </si>
  <si>
    <t>lawful</t>
  </si>
  <si>
    <t>Knight of the Pearl</t>
  </si>
  <si>
    <t>KotP</t>
  </si>
  <si>
    <t>Legendary Captain</t>
  </si>
  <si>
    <t>LdC</t>
  </si>
  <si>
    <t>Leviathan Hunter</t>
  </si>
  <si>
    <t>LvH</t>
  </si>
  <si>
    <t>Scarlet Corsair</t>
  </si>
  <si>
    <t>ScC</t>
  </si>
  <si>
    <t>Sea Witch</t>
  </si>
  <si>
    <t>SWh</t>
  </si>
  <si>
    <t>DrgA</t>
  </si>
  <si>
    <t>epic</t>
  </si>
  <si>
    <t>Stormcaster</t>
  </si>
  <si>
    <t>StC</t>
  </si>
  <si>
    <t>Haz</t>
  </si>
  <si>
    <t>Wavekeeper</t>
  </si>
  <si>
    <t>Wvk</t>
  </si>
  <si>
    <t>SHr</t>
  </si>
  <si>
    <t>– Prestige Classes Heroes of Battle –</t>
  </si>
  <si>
    <t>TRg</t>
  </si>
  <si>
    <t>Combat Medic</t>
  </si>
  <si>
    <t>CMd</t>
  </si>
  <si>
    <t>HB</t>
  </si>
  <si>
    <t>MCh</t>
  </si>
  <si>
    <t>evil</t>
  </si>
  <si>
    <t>Dread Commando</t>
  </si>
  <si>
    <t>DCm</t>
  </si>
  <si>
    <t>Slo</t>
  </si>
  <si>
    <t>slashing or piercing</t>
  </si>
  <si>
    <t>Legendary Leader</t>
  </si>
  <si>
    <t>LLd</t>
  </si>
  <si>
    <t>War Weaver</t>
  </si>
  <si>
    <t>WWv</t>
  </si>
  <si>
    <t>DBg</t>
  </si>
  <si>
    <t>– Prestige Classes Heroes of Horror –</t>
  </si>
  <si>
    <t>Hen</t>
  </si>
  <si>
    <t>Corrupt Avenger</t>
  </si>
  <si>
    <t>CoA</t>
  </si>
  <si>
    <t>HiD</t>
  </si>
  <si>
    <t>Death Delver</t>
  </si>
  <si>
    <t>DeD</t>
  </si>
  <si>
    <t>Dread Witch</t>
  </si>
  <si>
    <t>DWh</t>
  </si>
  <si>
    <t>Fiend-Blooded</t>
  </si>
  <si>
    <t>Purifier of the Hallowed Doctrine</t>
  </si>
  <si>
    <t>PHD</t>
  </si>
  <si>
    <t>ClassDRRowsCnt</t>
  </si>
  <si>
    <t>Tainted Scholar</t>
  </si>
  <si>
    <t>DoClassDR</t>
  </si>
  <si>
    <t>– Prestige Classes Dungeonscape –</t>
  </si>
  <si>
    <t>ClassDR</t>
  </si>
  <si>
    <t>Beast Heart Adept</t>
  </si>
  <si>
    <t>BHA</t>
  </si>
  <si>
    <t>Ds</t>
  </si>
  <si>
    <t>Trapsmith</t>
  </si>
  <si>
    <t>Trsm</t>
  </si>
  <si>
    <t>– NPC Only Prestige Classes Dungeonscape –</t>
  </si>
  <si>
    <t>Dungeon Lord</t>
  </si>
  <si>
    <t>DgL</t>
  </si>
  <si>
    <t>– Prestige Classes Cityscape –</t>
  </si>
  <si>
    <t>Crimson Scourge</t>
  </si>
  <si>
    <t>CrS</t>
  </si>
  <si>
    <t>Ci</t>
  </si>
  <si>
    <t>Ebonmar Infiltrator</t>
  </si>
  <si>
    <t>EbIn</t>
  </si>
  <si>
    <t>Urban Savant</t>
  </si>
  <si>
    <t>UrSv</t>
  </si>
  <si>
    <t>– Prestige Classes Tome of Battle –</t>
  </si>
  <si>
    <t>Bloodclaw Master</t>
  </si>
  <si>
    <t>BcM</t>
  </si>
  <si>
    <t>Bloodstorm Blade</t>
  </si>
  <si>
    <t>BsB</t>
  </si>
  <si>
    <t>Deepstone Sentinel</t>
  </si>
  <si>
    <t>DsS</t>
  </si>
  <si>
    <t>Eternal Blade</t>
  </si>
  <si>
    <t>EtB</t>
  </si>
  <si>
    <t>Jade Phoenix Mage</t>
  </si>
  <si>
    <t>JPM</t>
  </si>
  <si>
    <t>Master Of Nine</t>
  </si>
  <si>
    <t>MasN</t>
  </si>
  <si>
    <t>Ruby Knight Vindicator</t>
  </si>
  <si>
    <t>RKV</t>
  </si>
  <si>
    <t>Shadow Sun Ninja</t>
  </si>
  <si>
    <t>SSN</t>
  </si>
  <si>
    <t>– Prestige Classes Tome of Magic –</t>
  </si>
  <si>
    <t>Anima Mage</t>
  </si>
  <si>
    <t>AniM</t>
  </si>
  <si>
    <t>TM</t>
  </si>
  <si>
    <t>Knight of the Sacred Seal</t>
  </si>
  <si>
    <t>Scion of Dantalion</t>
  </si>
  <si>
    <t>ScD</t>
  </si>
  <si>
    <t>Tenebrous Apostate</t>
  </si>
  <si>
    <t>TenA</t>
  </si>
  <si>
    <t>Witch Slayer</t>
  </si>
  <si>
    <t>WiS</t>
  </si>
  <si>
    <t>– Prestige Classes Magic of Incarnum –</t>
  </si>
  <si>
    <t>Incandescent Champion</t>
  </si>
  <si>
    <t>Incarnum Blade</t>
  </si>
  <si>
    <t>InBl</t>
  </si>
  <si>
    <t>Ironsoul Forgemaster</t>
  </si>
  <si>
    <t>IrFm</t>
  </si>
  <si>
    <t>Necrocarnate</t>
  </si>
  <si>
    <t>Ncr</t>
  </si>
  <si>
    <t>Sapphire Hierarch</t>
  </si>
  <si>
    <t>Soulcaster</t>
  </si>
  <si>
    <t>Scr</t>
  </si>
  <si>
    <t>Soul Manifester</t>
  </si>
  <si>
    <t>SMa</t>
  </si>
  <si>
    <t>Spinemeld Warrior</t>
  </si>
  <si>
    <t>SpW</t>
  </si>
  <si>
    <t>Totem Rager</t>
  </si>
  <si>
    <t>Umbral Disciple</t>
  </si>
  <si>
    <t>UmD</t>
  </si>
  <si>
    <t>Witchborn Binder</t>
  </si>
  <si>
    <t>WBr</t>
  </si>
  <si>
    <t>– Prestige Classes Miniatures Handbook –</t>
  </si>
  <si>
    <t>Bonded Summoner</t>
  </si>
  <si>
    <t>Sum</t>
  </si>
  <si>
    <t>Dragon Samurai</t>
  </si>
  <si>
    <t>Dsm</t>
  </si>
  <si>
    <t>DSm</t>
  </si>
  <si>
    <t>Havoc Mage</t>
  </si>
  <si>
    <t>HvM</t>
  </si>
  <si>
    <t>Skullclan Hunter</t>
  </si>
  <si>
    <t>Htr</t>
  </si>
  <si>
    <t>Skl</t>
  </si>
  <si>
    <t>Tactical Soldier</t>
  </si>
  <si>
    <t>Tct</t>
  </si>
  <si>
    <t>War Hulk</t>
  </si>
  <si>
    <t>Hlk</t>
  </si>
  <si>
    <t>Warchief</t>
  </si>
  <si>
    <t>– Prestige Classes Expanded Psionics Handbook –</t>
  </si>
  <si>
    <t>Cerebremancer</t>
  </si>
  <si>
    <t>Ceb</t>
  </si>
  <si>
    <t>Elocater</t>
  </si>
  <si>
    <t>Elo</t>
  </si>
  <si>
    <t>Fist of Zuoken</t>
  </si>
  <si>
    <t>FoZ</t>
  </si>
  <si>
    <t>Illithid Slayer</t>
  </si>
  <si>
    <t>IlS</t>
  </si>
  <si>
    <t>Metamind</t>
  </si>
  <si>
    <t>Mta</t>
  </si>
  <si>
    <t>Psion Uncarnate</t>
  </si>
  <si>
    <t>Pyrokineticist</t>
  </si>
  <si>
    <t>Pyr</t>
  </si>
  <si>
    <t>Thrallheard</t>
  </si>
  <si>
    <t>Thr</t>
  </si>
  <si>
    <t>War Mind</t>
  </si>
  <si>
    <t>– Prestige Classes Planar Handbook –</t>
  </si>
  <si>
    <t>Defiant</t>
  </si>
  <si>
    <t>PlH</t>
  </si>
  <si>
    <t>DoomLord</t>
  </si>
  <si>
    <t>Fatemaker</t>
  </si>
  <si>
    <t>Visionary Seeker</t>
  </si>
  <si>
    <t>VSk</t>
  </si>
  <si>
    <t>Ardent Dilettante</t>
  </si>
  <si>
    <t>Adt</t>
  </si>
  <si>
    <t>Cipher Adept</t>
  </si>
  <si>
    <t>Cad</t>
  </si>
  <si>
    <t>Chaotician</t>
  </si>
  <si>
    <t>Cht</t>
  </si>
  <si>
    <t>Astral Dancer</t>
  </si>
  <si>
    <t>AsD</t>
  </si>
  <si>
    <t>Elemental Warrior</t>
  </si>
  <si>
    <t>ElW</t>
  </si>
  <si>
    <t>– Prestige Classes Players Guide to Faerun –</t>
  </si>
  <si>
    <t>Arcane Devotee</t>
  </si>
  <si>
    <t>Dev</t>
  </si>
  <si>
    <t>PGtF</t>
  </si>
  <si>
    <t>Black Blood Hunter</t>
  </si>
  <si>
    <t>BBH</t>
  </si>
  <si>
    <t>Celebrant of Sharess</t>
  </si>
  <si>
    <t>CSh</t>
  </si>
  <si>
    <t>Divine Champion</t>
  </si>
  <si>
    <t>Chm</t>
  </si>
  <si>
    <t>Divine Disciple</t>
  </si>
  <si>
    <t>Divine Seeker</t>
  </si>
  <si>
    <t>Skr</t>
  </si>
  <si>
    <t>Evereskan Tomb Guardian</t>
  </si>
  <si>
    <t>ETG</t>
  </si>
  <si>
    <t>Eye of Horus-Re</t>
  </si>
  <si>
    <t>EHR</t>
  </si>
  <si>
    <t>Hammer of Moradin</t>
  </si>
  <si>
    <t>Harper Agent</t>
  </si>
  <si>
    <t>Hrp</t>
  </si>
  <si>
    <t>Harper Paragon</t>
  </si>
  <si>
    <t>HPa</t>
  </si>
  <si>
    <t>Hathran</t>
  </si>
  <si>
    <t>Hth</t>
  </si>
  <si>
    <t>Incantatrix</t>
  </si>
  <si>
    <t>Itx</t>
  </si>
  <si>
    <t>Justiciar of Tyr</t>
  </si>
  <si>
    <t>Tyr</t>
  </si>
  <si>
    <t>Maiden of Pain</t>
  </si>
  <si>
    <t>MoP</t>
  </si>
  <si>
    <t>Martyred Champion of Ilmater</t>
  </si>
  <si>
    <t>Monk of the Long Death</t>
  </si>
  <si>
    <t>MLD</t>
  </si>
  <si>
    <t>Morninglord of Lathander</t>
  </si>
  <si>
    <t>MoL</t>
  </si>
  <si>
    <t>Runecaster</t>
  </si>
  <si>
    <t>Rnc</t>
  </si>
  <si>
    <t>Shaaryan Hunter</t>
  </si>
  <si>
    <t>ShH</t>
  </si>
  <si>
    <t>Shadow Adept</t>
  </si>
  <si>
    <t>SAd</t>
  </si>
  <si>
    <t>Shadow Thief of Amn</t>
  </si>
  <si>
    <t>STA</t>
  </si>
  <si>
    <t>Slime Lord</t>
  </si>
  <si>
    <t>SLo</t>
  </si>
  <si>
    <t>Spellguard of Silverymoon</t>
  </si>
  <si>
    <t>SoS</t>
  </si>
  <si>
    <t>Yathrinshee</t>
  </si>
  <si>
    <t>Yat</t>
  </si>
  <si>
    <t>Zhentarim Spy</t>
  </si>
  <si>
    <t>ZSp</t>
  </si>
  <si>
    <t>– Prestige Classes Faiths and Pantheons –</t>
  </si>
  <si>
    <t>Arachne</t>
  </si>
  <si>
    <t>FP</t>
  </si>
  <si>
    <t>Auspician</t>
  </si>
  <si>
    <t>Aus</t>
  </si>
  <si>
    <t>Doomguide</t>
  </si>
  <si>
    <t>DmG</t>
  </si>
  <si>
    <t>Dreadmaster</t>
  </si>
  <si>
    <t>DdM</t>
  </si>
  <si>
    <t>Elemental Archon</t>
  </si>
  <si>
    <t>Forest Master</t>
  </si>
  <si>
    <t>Goldeye</t>
  </si>
  <si>
    <t>GdE</t>
  </si>
  <si>
    <t>Heartwarder</t>
  </si>
  <si>
    <t>Horned Harbinger</t>
  </si>
  <si>
    <t>HrH</t>
  </si>
  <si>
    <t>Nightcloak</t>
  </si>
  <si>
    <t>NtC</t>
  </si>
  <si>
    <t>Ocular Adept</t>
  </si>
  <si>
    <t>OcA</t>
  </si>
  <si>
    <t>Silverstar</t>
  </si>
  <si>
    <t>SvS</t>
  </si>
  <si>
    <t>Strifeleader</t>
  </si>
  <si>
    <t>SfL</t>
  </si>
  <si>
    <t>Sword Dancer</t>
  </si>
  <si>
    <t>Swd</t>
  </si>
  <si>
    <t>SwD</t>
  </si>
  <si>
    <t>Techsmith</t>
  </si>
  <si>
    <t>Tec</t>
  </si>
  <si>
    <t>Waveservant</t>
  </si>
  <si>
    <t>Wearer of Purple</t>
  </si>
  <si>
    <t>WoP</t>
  </si>
  <si>
    <t>Windwalker</t>
  </si>
  <si>
    <t>WdW</t>
  </si>
  <si>
    <t>– Prestige Classes Magic of Faerun –</t>
  </si>
  <si>
    <t>Gnome Artificer</t>
  </si>
  <si>
    <t>GnA</t>
  </si>
  <si>
    <t>Mag</t>
  </si>
  <si>
    <t>Guild Wizard of Waterdeep</t>
  </si>
  <si>
    <t>GWW</t>
  </si>
  <si>
    <t>Harper Mage</t>
  </si>
  <si>
    <t>HpM</t>
  </si>
  <si>
    <t>Harper Priest</t>
  </si>
  <si>
    <t>HpP</t>
  </si>
  <si>
    <t>Mage-Killer</t>
  </si>
  <si>
    <t>MgK</t>
  </si>
  <si>
    <t>Master Alchemist</t>
  </si>
  <si>
    <t>MsA</t>
  </si>
  <si>
    <t>Mystic Wanderer</t>
  </si>
  <si>
    <t>MyW</t>
  </si>
  <si>
    <t>Spelldancer</t>
  </si>
  <si>
    <t>SpD</t>
  </si>
  <si>
    <t>Spellfire Channeler</t>
  </si>
  <si>
    <t>SfC</t>
  </si>
  <si>
    <t>War Wizard of Cormyr</t>
  </si>
  <si>
    <t>WWC</t>
  </si>
  <si>
    <t>– Prestige Classes Races of Faerun –</t>
  </si>
  <si>
    <t>Battlerager</t>
  </si>
  <si>
    <t>Btr</t>
  </si>
  <si>
    <t>RoF</t>
  </si>
  <si>
    <t>Breachgnome</t>
  </si>
  <si>
    <t>BrG</t>
  </si>
  <si>
    <t>Elven High Mage</t>
  </si>
  <si>
    <t>EHM</t>
  </si>
  <si>
    <t>Great Rift Skyguard</t>
  </si>
  <si>
    <t>GRS</t>
  </si>
  <si>
    <t>Orc Warlord</t>
  </si>
  <si>
    <t>OcW</t>
  </si>
  <si>
    <t>Spellsinger</t>
  </si>
  <si>
    <t>SplS</t>
  </si>
  <si>
    <t>Warrior Skald</t>
  </si>
  <si>
    <t>WrS</t>
  </si>
  <si>
    <t>Warsling Sniper</t>
  </si>
  <si>
    <t>WsS</t>
  </si>
  <si>
    <t>– Prestige Classes Underdark –</t>
  </si>
  <si>
    <t>Arachnomancer</t>
  </si>
  <si>
    <t>ANR</t>
  </si>
  <si>
    <t>UD</t>
  </si>
  <si>
    <t>Cave Lord</t>
  </si>
  <si>
    <t>CvL</t>
  </si>
  <si>
    <t>Deep Diviner</t>
  </si>
  <si>
    <t>DDR</t>
  </si>
  <si>
    <t>Drow Judicator</t>
  </si>
  <si>
    <t>DWJ</t>
  </si>
  <si>
    <t>Illithid Body Tamer</t>
  </si>
  <si>
    <t>IBT</t>
  </si>
  <si>
    <t>Imaskari Vengeance Taker</t>
  </si>
  <si>
    <t>IVT</t>
  </si>
  <si>
    <t>Inquisitor of the Drowning Goddess</t>
  </si>
  <si>
    <t>IDG</t>
  </si>
  <si>
    <t>IGD</t>
  </si>
  <si>
    <t>Prime Underdark Guide</t>
  </si>
  <si>
    <t>PUG</t>
  </si>
  <si>
    <t>Sea Mother Whip</t>
  </si>
  <si>
    <t>SMW</t>
  </si>
  <si>
    <t>Shadowcrafter</t>
  </si>
  <si>
    <t>Vermin Keeper</t>
  </si>
  <si>
    <t>VKP</t>
  </si>
  <si>
    <t>Yathchol Webrider</t>
  </si>
  <si>
    <t>YWR</t>
  </si>
  <si>
    <t>– Prestige Classes Champions of Ruin –</t>
  </si>
  <si>
    <t>Black Blood Cultist</t>
  </si>
  <si>
    <t>BBC</t>
  </si>
  <si>
    <t>ChR</t>
  </si>
  <si>
    <t>Justice of Weald and Woe</t>
  </si>
  <si>
    <t>JWW</t>
  </si>
  <si>
    <t>Night Mask Deathbringer</t>
  </si>
  <si>
    <t>NMD</t>
  </si>
  <si>
    <t>Shade Hunter</t>
  </si>
  <si>
    <t>SaH</t>
  </si>
  <si>
    <t>Thayan Gladiator</t>
  </si>
  <si>
    <t>ThG</t>
  </si>
  <si>
    <t>Vengeance Knight</t>
  </si>
  <si>
    <t>Vek</t>
  </si>
  <si>
    <t>– Prestige Classes Champions of Valor –</t>
  </si>
  <si>
    <t>Knight of the Flying Hunt</t>
  </si>
  <si>
    <t>KoFH</t>
  </si>
  <si>
    <t>ChV</t>
  </si>
  <si>
    <t>Knight of the Weave</t>
  </si>
  <si>
    <t>KoW</t>
  </si>
  <si>
    <t>Moonsea Skysentinal</t>
  </si>
  <si>
    <t>MsSk</t>
  </si>
  <si>
    <t>Triadic Knight</t>
  </si>
  <si>
    <t>TriK</t>
  </si>
  <si>
    <t>– Prestige Classes Silver Marches –</t>
  </si>
  <si>
    <t>Giant-Killer</t>
  </si>
  <si>
    <t>GiK</t>
  </si>
  <si>
    <t>SLM</t>
  </si>
  <si>
    <t>Hordebreaker</t>
  </si>
  <si>
    <t>HdB</t>
  </si>
  <si>
    <t>Knight-Errant of Silverymoon</t>
  </si>
  <si>
    <t>KES</t>
  </si>
  <si>
    <t>Orc Scout</t>
  </si>
  <si>
    <t>OrS</t>
  </si>
  <si>
    <t>Peerless Archer</t>
  </si>
  <si>
    <t>PeA</t>
  </si>
  <si>
    <t>Wild Scout</t>
  </si>
  <si>
    <t>WdS</t>
  </si>
  <si>
    <t>– City of Splendors: Waterdeep –</t>
  </si>
  <si>
    <t>Gray Hand Enforcer</t>
  </si>
  <si>
    <t>CoS</t>
  </si>
  <si>
    <t>Knight of the Blue Moon</t>
  </si>
  <si>
    <t>KBM</t>
  </si>
  <si>
    <t>Moonstar Agent</t>
  </si>
  <si>
    <t>MnsA</t>
  </si>
  <si>
    <t>Sun Soul Monk</t>
  </si>
  <si>
    <t>SuSM</t>
  </si>
  <si>
    <t>– Prestige Classes Eberron Campaign Setting –</t>
  </si>
  <si>
    <t>Dragonmark Heir</t>
  </si>
  <si>
    <t>DmH</t>
  </si>
  <si>
    <t>Eldeen Ranger</t>
  </si>
  <si>
    <t>Eld</t>
  </si>
  <si>
    <t>Exorcist of the Silver Flame</t>
  </si>
  <si>
    <t>Esf</t>
  </si>
  <si>
    <t>ESF</t>
  </si>
  <si>
    <t>Extreme Explorer</t>
  </si>
  <si>
    <t>ExE</t>
  </si>
  <si>
    <t>Heir of Siberys</t>
  </si>
  <si>
    <t>HSb</t>
  </si>
  <si>
    <t>Master Inquisitive</t>
  </si>
  <si>
    <t>Min</t>
  </si>
  <si>
    <t>Warforged Juggernaut</t>
  </si>
  <si>
    <t>WfJ</t>
  </si>
  <si>
    <t>Weretouched Master</t>
  </si>
  <si>
    <t>WtM</t>
  </si>
  <si>
    <t>– Prestige Classes Five Nations –</t>
  </si>
  <si>
    <t>Knight Phantom</t>
  </si>
  <si>
    <t>KPh</t>
  </si>
  <si>
    <t>FN</t>
  </si>
  <si>
    <t>Dark Lantern</t>
  </si>
  <si>
    <t>DLt</t>
  </si>
  <si>
    <t>Cyran Avenger</t>
  </si>
  <si>
    <t>Cya</t>
  </si>
  <si>
    <t>Bone Knight</t>
  </si>
  <si>
    <t>BKt</t>
  </si>
  <si>
    <t>Silver Pyromancer</t>
  </si>
  <si>
    <t>Spyr</t>
  </si>
  <si>
    <t>– Prestige Classes Races of Eberron –</t>
  </si>
  <si>
    <t>Atavist</t>
  </si>
  <si>
    <t>Atv</t>
  </si>
  <si>
    <t>RE</t>
  </si>
  <si>
    <t>Cabinet Trickster</t>
  </si>
  <si>
    <t>CbT</t>
  </si>
  <si>
    <t>Moonspeaker</t>
  </si>
  <si>
    <t>Quori Nightmare</t>
  </si>
  <si>
    <t>QrN</t>
  </si>
  <si>
    <t>Reachrunner</t>
  </si>
  <si>
    <t>RRn</t>
  </si>
  <si>
    <t>Recaster</t>
  </si>
  <si>
    <t>Rcst</t>
  </si>
  <si>
    <t>Reforged</t>
  </si>
  <si>
    <t>Rfg</t>
  </si>
  <si>
    <t>Spellcarved Soldier</t>
  </si>
  <si>
    <t>ScS</t>
  </si>
  <si>
    <t>– Prestige Classes Sharn: City of Towers –</t>
  </si>
  <si>
    <t>Cannith Wand Adept</t>
  </si>
  <si>
    <t>CWA</t>
  </si>
  <si>
    <t>SN</t>
  </si>
  <si>
    <t>Citadel Elite</t>
  </si>
  <si>
    <t>CtE</t>
  </si>
  <si>
    <t>Sharn Skymage</t>
  </si>
  <si>
    <t>SSM</t>
  </si>
  <si>
    <t xml:space="preserve">– Prestige Classes Explorer's Handbook – </t>
  </si>
  <si>
    <t>Cataclysm Mage</t>
  </si>
  <si>
    <t>CatM</t>
  </si>
  <si>
    <t>EH</t>
  </si>
  <si>
    <t>Thunder Guide</t>
  </si>
  <si>
    <t>TGU</t>
  </si>
  <si>
    <t>Windwright Captain</t>
  </si>
  <si>
    <t>WiC</t>
  </si>
  <si>
    <t xml:space="preserve"> – Prestige Classes Secrets of Xendrik –  </t>
  </si>
  <si>
    <t>Landforged Walker</t>
  </si>
  <si>
    <t>LFW</t>
  </si>
  <si>
    <t>SE</t>
  </si>
  <si>
    <t>Primal Scholar</t>
  </si>
  <si>
    <t>PrS</t>
  </si>
  <si>
    <t>Scorpion Wraith</t>
  </si>
  <si>
    <t>ScW</t>
  </si>
  <si>
    <t>– Prestige Classes Player's Guide to Eberron –</t>
  </si>
  <si>
    <t>High Elemental Binder</t>
  </si>
  <si>
    <t>HEB</t>
  </si>
  <si>
    <t>PGtE</t>
  </si>
  <si>
    <t>Revenant Blade</t>
  </si>
  <si>
    <t>RBl</t>
  </si>
  <si>
    <t>– Prestige Classes Magic of Eberron –</t>
  </si>
  <si>
    <t>Alchemist Savant</t>
  </si>
  <si>
    <t>AlS</t>
  </si>
  <si>
    <t>MoE</t>
  </si>
  <si>
    <t>Deadgrim</t>
  </si>
  <si>
    <t>Dgm</t>
  </si>
  <si>
    <t>Dragon Prophet</t>
  </si>
  <si>
    <t>DrP</t>
  </si>
  <si>
    <t>Elemental Scion of Zilargo</t>
  </si>
  <si>
    <t>ESZ</t>
  </si>
  <si>
    <t>Impure Prince</t>
  </si>
  <si>
    <t>IPr</t>
  </si>
  <si>
    <t>Quori Mindhunter</t>
  </si>
  <si>
    <t>QMh</t>
  </si>
  <si>
    <t>Renegade Mastermaker</t>
  </si>
  <si>
    <t>Vigilant Sentinel of Aerenal</t>
  </si>
  <si>
    <t>VSA</t>
  </si>
  <si>
    <t>– Prestige Classes Secrets of Sarlona</t>
  </si>
  <si>
    <t>Fist of Dal Quor</t>
  </si>
  <si>
    <t>FDQ</t>
  </si>
  <si>
    <t>Haztaratain</t>
  </si>
  <si>
    <t xml:space="preserve">– Prestige Classes DragonLance Campaign Setting – </t>
  </si>
  <si>
    <t>Knight of the Crown</t>
  </si>
  <si>
    <t>KnoC</t>
  </si>
  <si>
    <t>Knight of the Sword</t>
  </si>
  <si>
    <t>KnoSw</t>
  </si>
  <si>
    <t>Knight of the Rose</t>
  </si>
  <si>
    <t>KnoR</t>
  </si>
  <si>
    <t>Knight of the Lily</t>
  </si>
  <si>
    <t>KnoL</t>
  </si>
  <si>
    <t>Knight of the Skull</t>
  </si>
  <si>
    <t>KnoSk</t>
  </si>
  <si>
    <t>Knight of the Thorn</t>
  </si>
  <si>
    <t>KnoT</t>
  </si>
  <si>
    <t>Steel Legionnaire</t>
  </si>
  <si>
    <t>StLg</t>
  </si>
  <si>
    <t>Wizard of High Sorcery</t>
  </si>
  <si>
    <t>WoHS</t>
  </si>
  <si>
    <t>Dragon Rider</t>
  </si>
  <si>
    <t>DrRi</t>
  </si>
  <si>
    <t xml:space="preserve">Inquisitor </t>
  </si>
  <si>
    <t>Inq</t>
  </si>
  <si>
    <t>Legendary Tactician</t>
  </si>
  <si>
    <t>LgTa</t>
  </si>
  <si>
    <t>Righteous Zealot</t>
  </si>
  <si>
    <t>RiZe</t>
  </si>
  <si>
    <t>– Prestige Classes Bestiary of Krynn –</t>
  </si>
  <si>
    <t>Ambient Tempest</t>
  </si>
  <si>
    <t>AmT</t>
  </si>
  <si>
    <t>BoK</t>
  </si>
  <si>
    <t>Branch of Zivilyn</t>
  </si>
  <si>
    <t>BrZ</t>
  </si>
  <si>
    <t>Child of Chemosh</t>
  </si>
  <si>
    <t>ChCh</t>
  </si>
  <si>
    <t>Scourge of Chaos</t>
  </si>
  <si>
    <t>– Prestige Classes Age of Mortals –</t>
  </si>
  <si>
    <t>Academy Sorcerer</t>
  </si>
  <si>
    <t>AcS</t>
  </si>
  <si>
    <t>Citadel Mystic</t>
  </si>
  <si>
    <t>CMy</t>
  </si>
  <si>
    <t>Kender Nightstalker</t>
  </si>
  <si>
    <t>Nst</t>
  </si>
  <si>
    <t>Legion Mystic</t>
  </si>
  <si>
    <t>LMy</t>
  </si>
  <si>
    <t>Legion Scout</t>
  </si>
  <si>
    <t>LSc</t>
  </si>
  <si>
    <t>Legion Sorcerer</t>
  </si>
  <si>
    <t>LSo</t>
  </si>
  <si>
    <t>Master Ambassador</t>
  </si>
  <si>
    <t>MAm</t>
  </si>
  <si>
    <t>Nomad Shaman</t>
  </si>
  <si>
    <t>NoSh</t>
  </si>
  <si>
    <t>Rogue Knight</t>
  </si>
  <si>
    <t>RKn</t>
  </si>
  <si>
    <t>Solamnic Auxiliary Mage</t>
  </si>
  <si>
    <t>SAMa</t>
  </si>
  <si>
    <t>Spellfilch</t>
  </si>
  <si>
    <t>Sfi</t>
  </si>
  <si>
    <t>War Mage</t>
  </si>
  <si>
    <t>WMa</t>
  </si>
  <si>
    <t>– Prestige Classes Oriental Adventures –</t>
  </si>
  <si>
    <t>Akodo Champion</t>
  </si>
  <si>
    <t>ACh</t>
  </si>
  <si>
    <t>Battle Maiden</t>
  </si>
  <si>
    <t>BMa</t>
  </si>
  <si>
    <t>Bayushi Deceiver</t>
  </si>
  <si>
    <t>BaD</t>
  </si>
  <si>
    <t>Blade Dancer</t>
  </si>
  <si>
    <t>BlDa</t>
  </si>
  <si>
    <t>Daidoji Bodyguard</t>
  </si>
  <si>
    <t>Eunuch Warlock</t>
  </si>
  <si>
    <t>EuW</t>
  </si>
  <si>
    <t>Henshin Mystic</t>
  </si>
  <si>
    <t>Hida Defender</t>
  </si>
  <si>
    <t>Iaijutsu Master</t>
  </si>
  <si>
    <t>Iai</t>
  </si>
  <si>
    <t>Kishi Charger</t>
  </si>
  <si>
    <t>KiC</t>
  </si>
  <si>
    <t>Mantis Mercenary</t>
  </si>
  <si>
    <t>MMc</t>
  </si>
  <si>
    <t>Mirumoto Niten Master</t>
  </si>
  <si>
    <t>MNM</t>
  </si>
  <si>
    <t>Moto Avenger</t>
  </si>
  <si>
    <t>Mot</t>
  </si>
  <si>
    <t>Ninja Spy</t>
  </si>
  <si>
    <t>NjS</t>
  </si>
  <si>
    <t>Shadow Scout</t>
  </si>
  <si>
    <t>SSc</t>
  </si>
  <si>
    <t>Shapeshifter</t>
  </si>
  <si>
    <t>Shiba Protector</t>
  </si>
  <si>
    <t>SPr</t>
  </si>
  <si>
    <t>Shintao Monk</t>
  </si>
  <si>
    <t>ShMk</t>
  </si>
  <si>
    <t>Singh Rager</t>
  </si>
  <si>
    <t>Sgh</t>
  </si>
  <si>
    <t>Weapon Master (Kensei)</t>
  </si>
  <si>
    <t>WpM</t>
  </si>
  <si>
    <t>Witch Hunter</t>
  </si>
  <si>
    <t>WHn</t>
  </si>
  <si>
    <t>Yakuza</t>
  </si>
  <si>
    <t>Yak</t>
  </si>
  <si>
    <t>– Prestige Classes Draconomicon –</t>
  </si>
  <si>
    <t>Dracolyte</t>
  </si>
  <si>
    <t>Drc</t>
  </si>
  <si>
    <t>Dr</t>
  </si>
  <si>
    <t>Dragonkith</t>
  </si>
  <si>
    <t>DrK</t>
  </si>
  <si>
    <t>Dragonrider</t>
  </si>
  <si>
    <t>DgR</t>
  </si>
  <si>
    <t>Dragonslayer</t>
  </si>
  <si>
    <t>Drg</t>
  </si>
  <si>
    <t>Dragonsong Lyrist</t>
  </si>
  <si>
    <t>DSL</t>
  </si>
  <si>
    <t>Dragonstalker</t>
  </si>
  <si>
    <t>DSt</t>
  </si>
  <si>
    <t>Hoardstealer</t>
  </si>
  <si>
    <t>HSt</t>
  </si>
  <si>
    <t>Initiate of the Draconic Mysteries</t>
  </si>
  <si>
    <t>IDM</t>
  </si>
  <si>
    <t>Platinum Knight</t>
  </si>
  <si>
    <t>Talon of Tiamat</t>
  </si>
  <si>
    <t>ToT</t>
  </si>
  <si>
    <t>Bloodscaled Fury</t>
  </si>
  <si>
    <t>BsF</t>
  </si>
  <si>
    <t>Disciple of Ashardalon</t>
  </si>
  <si>
    <t>Dispassionate Watcher of Chronepsis</t>
  </si>
  <si>
    <t>DPW</t>
  </si>
  <si>
    <t>Dragon Ascendant</t>
  </si>
  <si>
    <t>Elemental Master</t>
  </si>
  <si>
    <t>ElM</t>
  </si>
  <si>
    <t>Hidecarved Dragon</t>
  </si>
  <si>
    <t>HCD</t>
  </si>
  <si>
    <t>Sacred Warder of Bahamut</t>
  </si>
  <si>
    <t>SWB</t>
  </si>
  <si>
    <t>Unholy Ravager of Tiamat</t>
  </si>
  <si>
    <t>URT</t>
  </si>
  <si>
    <t>– Prestige Classes Dragon Magic –</t>
  </si>
  <si>
    <t>Diamond Dragon</t>
  </si>
  <si>
    <t>Dragon Descendant</t>
  </si>
  <si>
    <t>DrgD</t>
  </si>
  <si>
    <t>Dragon Lord</t>
  </si>
  <si>
    <t>DrgL</t>
  </si>
  <si>
    <t>Hand of the Winged Masters</t>
  </si>
  <si>
    <t>HWM</t>
  </si>
  <si>
    <t>Pact-bound Adept</t>
  </si>
  <si>
    <t>PbA</t>
  </si>
  <si>
    <t>Swift Wing</t>
  </si>
  <si>
    <t>Wyrm Wizard</t>
  </si>
  <si>
    <t>Wwi</t>
  </si>
  <si>
    <t>– Prestige Classes Fiendish Codex II –</t>
  </si>
  <si>
    <t>Hellbreaker</t>
  </si>
  <si>
    <t>Hbr</t>
  </si>
  <si>
    <t>FCII</t>
  </si>
  <si>
    <t>Hellfire Warlock</t>
  </si>
  <si>
    <t>HWl</t>
  </si>
  <si>
    <t>Hellreaver</t>
  </si>
  <si>
    <t>Hrv</t>
  </si>
  <si>
    <t>Soulguard</t>
  </si>
  <si>
    <t>Sgd</t>
  </si>
  <si>
    <t>– Prestige Classes Libris Mortis –</t>
  </si>
  <si>
    <t>Death's Chosen</t>
  </si>
  <si>
    <t>DCh</t>
  </si>
  <si>
    <t>Li</t>
  </si>
  <si>
    <t>Dirgesinger</t>
  </si>
  <si>
    <t>Drs</t>
  </si>
  <si>
    <t>Master of Radiance</t>
  </si>
  <si>
    <t>MoR</t>
  </si>
  <si>
    <t>Master of Shrouds</t>
  </si>
  <si>
    <t>MoS</t>
  </si>
  <si>
    <t>Pale Master</t>
  </si>
  <si>
    <t>Sacred Purifier</t>
  </si>
  <si>
    <t>SPf</t>
  </si>
  <si>
    <t>True Necromancer</t>
  </si>
  <si>
    <t>TNc</t>
  </si>
  <si>
    <t>– Undead Prestige Classes Libris Mortis –</t>
  </si>
  <si>
    <t>Ephemeral Exemplar</t>
  </si>
  <si>
    <t>Eex</t>
  </si>
  <si>
    <t>Lurking Terror</t>
  </si>
  <si>
    <t>LkT</t>
  </si>
  <si>
    <t>Master Vampire</t>
  </si>
  <si>
    <t>MVp</t>
  </si>
  <si>
    <t>Tomb Warden</t>
  </si>
  <si>
    <t>TWd</t>
  </si>
  <si>
    <t>– Prestige Classes Lords of Madness –</t>
  </si>
  <si>
    <t>Abolisher</t>
  </si>
  <si>
    <t>Abl</t>
  </si>
  <si>
    <t>LM</t>
  </si>
  <si>
    <t>Darkrunner</t>
  </si>
  <si>
    <t>DkR</t>
  </si>
  <si>
    <t>Fleshwarper</t>
  </si>
  <si>
    <t>Keeper of the Cerulean Sign</t>
  </si>
  <si>
    <t>KoCS</t>
  </si>
  <si>
    <t>Sanctified Mind</t>
  </si>
  <si>
    <t>SMd</t>
  </si>
  <si>
    <t>Topaz Guardian</t>
  </si>
  <si>
    <t>TzG</t>
  </si>
  <si>
    <t>– Prestige Classes Book of Vile Darkness –</t>
  </si>
  <si>
    <t>Cancer Mage</t>
  </si>
  <si>
    <t>CcM</t>
  </si>
  <si>
    <t>BV</t>
  </si>
  <si>
    <t>Demonologist</t>
  </si>
  <si>
    <t>Dem</t>
  </si>
  <si>
    <t>Diabolist</t>
  </si>
  <si>
    <t>Dia</t>
  </si>
  <si>
    <t>Disciple of Asmodeus</t>
  </si>
  <si>
    <t>DoA</t>
  </si>
  <si>
    <t>Disciple of Baalzebul</t>
  </si>
  <si>
    <t>Disciple of Dispater</t>
  </si>
  <si>
    <t>DoD</t>
  </si>
  <si>
    <t>Disciple of Mammon</t>
  </si>
  <si>
    <t>DMa</t>
  </si>
  <si>
    <t>Disciple of Mephistopheles</t>
  </si>
  <si>
    <t>DMe</t>
  </si>
  <si>
    <t>Lifedrinker</t>
  </si>
  <si>
    <t>LfD</t>
  </si>
  <si>
    <t>Mortal Hunter</t>
  </si>
  <si>
    <t>MtH</t>
  </si>
  <si>
    <t>Soul Eater</t>
  </si>
  <si>
    <t>SlE</t>
  </si>
  <si>
    <t>Thrall Of Demogorgon</t>
  </si>
  <si>
    <t>ToD</t>
  </si>
  <si>
    <t>Thrall Of Graz'zt</t>
  </si>
  <si>
    <t>ToG</t>
  </si>
  <si>
    <t>Thrall Of Juiblex</t>
  </si>
  <si>
    <t>ToJ</t>
  </si>
  <si>
    <t>Thrall of Orcus</t>
  </si>
  <si>
    <t>ToO</t>
  </si>
  <si>
    <t>Vermin Lord</t>
  </si>
  <si>
    <t>VmL</t>
  </si>
  <si>
    <t>Warrior Of Darkness</t>
  </si>
  <si>
    <t>– Prestige Classes Book of Exalted Deeds –</t>
  </si>
  <si>
    <t>Anointed Knight</t>
  </si>
  <si>
    <t>BE</t>
  </si>
  <si>
    <t>Apostle of Peace</t>
  </si>
  <si>
    <t>AoP</t>
  </si>
  <si>
    <t>Beloved of Valarian</t>
  </si>
  <si>
    <t>BoV</t>
  </si>
  <si>
    <t>Celestial Mystic</t>
  </si>
  <si>
    <t>Champion of Gwynharwyf</t>
  </si>
  <si>
    <t>Defender of Sealtiel</t>
  </si>
  <si>
    <t>DoS</t>
  </si>
  <si>
    <t>Emissary of Barachiel</t>
  </si>
  <si>
    <t>EoB</t>
  </si>
  <si>
    <t>Exalted Arcanist</t>
  </si>
  <si>
    <t>ExA</t>
  </si>
  <si>
    <t>Fist of Raziel</t>
  </si>
  <si>
    <t>FRa</t>
  </si>
  <si>
    <t>Initiate of Pistis Sophia</t>
  </si>
  <si>
    <t>Lion of Talisid</t>
  </si>
  <si>
    <t>Lta</t>
  </si>
  <si>
    <t>LoT</t>
  </si>
  <si>
    <t>Prophet of Erathaol</t>
  </si>
  <si>
    <t>PoE</t>
  </si>
  <si>
    <t>Risen Martyr</t>
  </si>
  <si>
    <t>Sentinel of Bharrai</t>
  </si>
  <si>
    <t>SoB</t>
  </si>
  <si>
    <t>Skylord</t>
  </si>
  <si>
    <t>Sky</t>
  </si>
  <si>
    <t>Slayer of Domiel</t>
  </si>
  <si>
    <t>Sld</t>
  </si>
  <si>
    <t>SoD</t>
  </si>
  <si>
    <t>Stalker of Kharash</t>
  </si>
  <si>
    <t>SoK</t>
  </si>
  <si>
    <t>Swanmay</t>
  </si>
  <si>
    <t>Sword of Righteousness</t>
  </si>
  <si>
    <t>SwR</t>
  </si>
  <si>
    <t>Troubadour of Stars</t>
  </si>
  <si>
    <t>Vassal of Bahamut</t>
  </si>
  <si>
    <t>VoB</t>
  </si>
  <si>
    <t>Wonderworker</t>
  </si>
  <si>
    <t>Won</t>
  </si>
  <si>
    <t>– Prestige Classes Manual of the Planes –</t>
  </si>
  <si>
    <t>Divine Agent</t>
  </si>
  <si>
    <t>MotP</t>
  </si>
  <si>
    <t>Gatecrasher</t>
  </si>
  <si>
    <t>Planar Champion</t>
  </si>
  <si>
    <t>Planeshifter</t>
  </si>
  <si>
    <t>PlS</t>
  </si>
  <si>
    <t>– Prestige Classes Heroes of Light –</t>
  </si>
  <si>
    <t>Anchorite Inquisitor</t>
  </si>
  <si>
    <t>AnIn</t>
  </si>
  <si>
    <t>Anchorite Wanderer</t>
  </si>
  <si>
    <t>AnWr</t>
  </si>
  <si>
    <t>Black Powder Avenger</t>
  </si>
  <si>
    <t>BPA</t>
  </si>
  <si>
    <t>Blessed Paladin</t>
  </si>
  <si>
    <t>BPl</t>
  </si>
  <si>
    <t>Blessed Defender</t>
  </si>
  <si>
    <t>BDf</t>
  </si>
  <si>
    <t>Detective</t>
  </si>
  <si>
    <t>Dtv</t>
  </si>
  <si>
    <t>Dilettante</t>
  </si>
  <si>
    <t>Dtt</t>
  </si>
  <si>
    <t>Knight Errant</t>
  </si>
  <si>
    <t>KnE</t>
  </si>
  <si>
    <t>Metaphysician</t>
  </si>
  <si>
    <t>Mps</t>
  </si>
  <si>
    <t>Scholar</t>
  </si>
  <si>
    <t>Scl</t>
  </si>
  <si>
    <t>True Innocent</t>
  </si>
  <si>
    <t>TrI</t>
  </si>
  <si>
    <t>White Arcanist</t>
  </si>
  <si>
    <t>WhA</t>
  </si>
  <si>
    <t>– Prestige Classes Champions of Darkness –</t>
  </si>
  <si>
    <t>Charlatan</t>
  </si>
  <si>
    <t>Chl</t>
  </si>
  <si>
    <t>CoD</t>
  </si>
  <si>
    <t>Dreamcaster</t>
  </si>
  <si>
    <t>DmC</t>
  </si>
  <si>
    <t>Highway Rider</t>
  </si>
  <si>
    <t>Hwr</t>
  </si>
  <si>
    <t>Manipulator</t>
  </si>
  <si>
    <t>Mpl</t>
  </si>
  <si>
    <t>Master of Curses</t>
  </si>
  <si>
    <t>Mcu</t>
  </si>
  <si>
    <t>The Mesmerist</t>
  </si>
  <si>
    <t>Msm</t>
  </si>
  <si>
    <t>Moonbane</t>
  </si>
  <si>
    <t>Mb</t>
  </si>
  <si>
    <t>Night Lord</t>
  </si>
  <si>
    <t>Nld</t>
  </si>
  <si>
    <t>Propagandist</t>
  </si>
  <si>
    <t>Scourge</t>
  </si>
  <si>
    <t>Scg</t>
  </si>
  <si>
    <t>Solitary Outcast</t>
  </si>
  <si>
    <t>Syo</t>
  </si>
  <si>
    <t>Worldbreaker</t>
  </si>
  <si>
    <t>Wrb</t>
  </si>
  <si>
    <t>– Prestige Classes Ravenloft Players Handbook –</t>
  </si>
  <si>
    <t>Monster Hunter</t>
  </si>
  <si>
    <t>Mhr</t>
  </si>
  <si>
    <t>RPHB</t>
  </si>
  <si>
    <t>Beast-Hunter</t>
  </si>
  <si>
    <t>Bhr</t>
  </si>
  <si>
    <t>Demon-Hunter</t>
  </si>
  <si>
    <t>Dhr</t>
  </si>
  <si>
    <t>Ghost-Hunter</t>
  </si>
  <si>
    <t>Ghr</t>
  </si>
  <si>
    <t>Vampire-Hunter</t>
  </si>
  <si>
    <t>Vhr</t>
  </si>
  <si>
    <t>Witch-Hunter</t>
  </si>
  <si>
    <t>Whr</t>
  </si>
  <si>
    <t>– Prestige Classes Van Richten's Arsenal Vol. 1. –</t>
  </si>
  <si>
    <t>Alchemical Philosopher</t>
  </si>
  <si>
    <t>Alp</t>
  </si>
  <si>
    <t>VRA1</t>
  </si>
  <si>
    <t>Anchorite of the Mists</t>
  </si>
  <si>
    <t>Anm</t>
  </si>
  <si>
    <t>The Avenger</t>
  </si>
  <si>
    <t>Avn</t>
  </si>
  <si>
    <t>Crypt Raider</t>
  </si>
  <si>
    <t>Cry</t>
  </si>
  <si>
    <t>Dirgist</t>
  </si>
  <si>
    <t>Dir</t>
  </si>
  <si>
    <t>Guardian Seeker</t>
  </si>
  <si>
    <t>Gdn</t>
  </si>
  <si>
    <t>Hallowed Witch</t>
  </si>
  <si>
    <t>Hwi</t>
  </si>
  <si>
    <t>Knight of the Shadows</t>
  </si>
  <si>
    <t>Ksh</t>
  </si>
  <si>
    <t>Pistoleer</t>
  </si>
  <si>
    <t>Pis</t>
  </si>
  <si>
    <t>Stygian Attendant</t>
  </si>
  <si>
    <t>Sty</t>
  </si>
  <si>
    <t>– Prestige Classes Fiend Folio –</t>
  </si>
  <si>
    <t>Fiend of Blasphemy</t>
  </si>
  <si>
    <t>FBl</t>
  </si>
  <si>
    <t>FF</t>
  </si>
  <si>
    <t>Fiend of Corruption</t>
  </si>
  <si>
    <t>FCo</t>
  </si>
  <si>
    <t>Fiend of Possession</t>
  </si>
  <si>
    <t>FPo</t>
  </si>
  <si>
    <t>– Prestige Classes Player's Companion –</t>
  </si>
  <si>
    <t>Guerilla</t>
  </si>
  <si>
    <t>Gla</t>
  </si>
  <si>
    <t>Swift</t>
  </si>
  <si>
    <t>Sft</t>
  </si>
  <si>
    <t>– Prestige Classes Dragon Magazine Compendium –</t>
  </si>
  <si>
    <t>Osteomancer</t>
  </si>
  <si>
    <t>Ost</t>
  </si>
  <si>
    <t>DC</t>
  </si>
  <si>
    <t>– Prestige Classes Wizards Online Content –</t>
  </si>
  <si>
    <t>Dwarven Chanter</t>
  </si>
  <si>
    <t>DwCh</t>
  </si>
  <si>
    <t>Online</t>
  </si>
  <si>
    <t>Halfling Whistler</t>
  </si>
  <si>
    <t>HWh</t>
  </si>
  <si>
    <t>Swiftblade</t>
  </si>
  <si>
    <t>Swf</t>
  </si>
  <si>
    <t>– Prestige Classes Sword and Fist –</t>
  </si>
  <si>
    <t>Devoted Defender</t>
  </si>
  <si>
    <t>DvD</t>
  </si>
  <si>
    <t>SF</t>
  </si>
  <si>
    <t>Lasher</t>
  </si>
  <si>
    <t>Lsh</t>
  </si>
  <si>
    <t>– Custom Class –</t>
  </si>
  <si>
    <t>Cst</t>
  </si>
  <si>
    <t>CST</t>
  </si>
  <si>
    <t>– Marker: end of Prestige Classes –</t>
  </si>
  <si>
    <t>Default Skill</t>
  </si>
  <si>
    <t>– Lycanthrope HD –</t>
  </si>
  <si>
    <t>Lyc</t>
  </si>
  <si>
    <t>– Monstrous Race –</t>
  </si>
  <si>
    <t>Mon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</si>
</sst>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amily val="2"/>
    </font>
    <font>
      <sz val="10"/>
      <name val="Arial"/>
      <family val="2"/>
    </font>
    <font>
      <sz val="8"/>
      <name val="Arial"/>
      <family val="2"/>
    </font>
    <font>
      <b/>
      <sz val="8"/>
      <name val="Arial"/>
      <family val="2"/>
    </font>
    <font>
      <b/>
      <sz val="8"/>
      <color indexed="81"/>
      <name val="Tahoma"/>
      <family val="2"/>
    </font>
    <font>
      <b/>
      <sz val="8"/>
      <color indexed="12"/>
      <name val="Tahoma"/>
      <family val="2"/>
    </font>
  </fonts>
  <fills count="4">
    <fill>
      <patternFill patternType="none"/>
    </fill>
    <fill>
      <patternFill patternType="gray125"/>
    </fill>
    <fill>
      <patternFill patternType="solid">
        <fgColor indexed="22"/>
        <bgColor indexed="64"/>
      </patternFill>
    </fill>
    <fill>
      <patternFill patternType="solid">
        <fgColor indexed="42"/>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pplyFill="0" applyBorder="0"/>
    <xf numFmtId="0" fontId="1" fillId="0" borderId="0"/>
  </cellStyleXfs>
  <cellXfs count="32">
    <xf numFmtId="0" fontId="0" fillId="0" borderId="0" xfId="0"/>
    <xf numFmtId="0" fontId="2" fillId="0" borderId="0" xfId="0" applyFont="1"/>
    <xf numFmtId="0" fontId="2" fillId="2" borderId="0" xfId="0" applyFont="1" applyFill="1"/>
    <xf numFmtId="0" fontId="2" fillId="0" borderId="0" xfId="0" applyFont="1" applyAlignment="1">
      <alignment wrapText="1"/>
    </xf>
    <xf numFmtId="0" fontId="3" fillId="0" borderId="0" xfId="0" applyFont="1"/>
    <xf numFmtId="0" fontId="3" fillId="2" borderId="1" xfId="0" applyFont="1" applyFill="1" applyBorder="1"/>
    <xf numFmtId="0" fontId="3" fillId="2" borderId="2" xfId="0" applyFont="1" applyFill="1" applyBorder="1"/>
    <xf numFmtId="0" fontId="3" fillId="2" borderId="3" xfId="0" applyFont="1" applyFill="1" applyBorder="1"/>
    <xf numFmtId="0" fontId="2" fillId="0" borderId="4" xfId="0" applyFont="1" applyBorder="1"/>
    <xf numFmtId="0" fontId="2" fillId="0" borderId="0" xfId="0" applyFont="1" applyBorder="1"/>
    <xf numFmtId="0" fontId="2" fillId="0" borderId="5" xfId="0" applyFont="1" applyBorder="1"/>
    <xf numFmtId="0" fontId="2" fillId="0" borderId="0" xfId="0" quotePrefix="1" applyFont="1"/>
    <xf numFmtId="0" fontId="2" fillId="0" borderId="4" xfId="0" applyFont="1" applyFill="1" applyBorder="1"/>
    <xf numFmtId="0" fontId="2" fillId="0" borderId="0" xfId="0" applyFont="1" applyFill="1" applyBorder="1"/>
    <xf numFmtId="0" fontId="2" fillId="3" borderId="4" xfId="0" applyFont="1" applyFill="1" applyBorder="1"/>
    <xf numFmtId="0" fontId="2" fillId="3" borderId="0" xfId="0" applyFont="1" applyFill="1" applyBorder="1"/>
    <xf numFmtId="0" fontId="2" fillId="3" borderId="5" xfId="0" applyFont="1" applyFill="1" applyBorder="1"/>
    <xf numFmtId="0" fontId="2" fillId="3" borderId="6" xfId="0" applyFont="1" applyFill="1" applyBorder="1"/>
    <xf numFmtId="0" fontId="2" fillId="3" borderId="7" xfId="0" applyFont="1" applyFill="1" applyBorder="1"/>
    <xf numFmtId="0" fontId="2" fillId="3" borderId="8" xfId="0" applyFont="1" applyFill="1" applyBorder="1"/>
    <xf numFmtId="0" fontId="2" fillId="0" borderId="1" xfId="0" applyFont="1" applyBorder="1"/>
    <xf numFmtId="0" fontId="2" fillId="0" borderId="3" xfId="0" applyFont="1" applyBorder="1"/>
    <xf numFmtId="0" fontId="2" fillId="0" borderId="0" xfId="0" applyFont="1" applyAlignment="1">
      <alignment horizontal="right"/>
    </xf>
    <xf numFmtId="0" fontId="2" fillId="0" borderId="6" xfId="0" applyFont="1" applyBorder="1"/>
    <xf numFmtId="0" fontId="2" fillId="0" borderId="8" xfId="0" applyFont="1" applyBorder="1"/>
    <xf numFmtId="0" fontId="2" fillId="0" borderId="0" xfId="0" applyFont="1" applyFill="1"/>
    <xf numFmtId="0" fontId="2" fillId="0" borderId="9" xfId="0" applyFont="1" applyBorder="1"/>
    <xf numFmtId="0" fontId="2" fillId="0" borderId="10" xfId="0" applyFont="1" applyBorder="1"/>
    <xf numFmtId="0" fontId="2" fillId="0" borderId="11" xfId="0" applyFont="1" applyBorder="1"/>
    <xf numFmtId="0" fontId="2" fillId="0" borderId="12" xfId="0" applyFont="1" applyBorder="1"/>
    <xf numFmtId="0" fontId="0" fillId="0" borderId="0" xfId="0" applyFill="1" applyAlignment="1">
      <alignment horizontal="left"/>
    </xf>
    <xf numFmtId="0" fontId="1" fillId="0" borderId="0" xfId="1"/>
  </cellXfs>
  <cellStyles count="2">
    <cellStyle name="Normal" xfId="0" builtinId="0"/>
    <cellStyle name="Normal_Class Info"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tont/Dropbox/GitHub/HeroForge-Anew/HeroForge%20Anew%203.5%20v7.4.0.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abl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eatureInfo.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eaponInf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ortSheet"/>
      <sheetName val="Custom Race"/>
      <sheetName val="Custom Template"/>
      <sheetName val="Custom Class"/>
      <sheetName val="Custom Familiar"/>
      <sheetName val="Options"/>
      <sheetName val="Sources"/>
      <sheetName val="Option Info"/>
      <sheetName val="Stats &amp; Character Details"/>
      <sheetName val="Interfaces"/>
      <sheetName val="Creature Info"/>
      <sheetName val="Race Info"/>
      <sheetName val="Racial Abilities"/>
      <sheetName val="Race &amp; Templates"/>
      <sheetName val="Template Info"/>
      <sheetName val="Classes"/>
      <sheetName val="Class Info"/>
      <sheetName val="Variants"/>
      <sheetName val="Domain Select"/>
      <sheetName val="Prestige Classes I"/>
      <sheetName val="Prestige Classes II"/>
      <sheetName val="Prestige Classes III"/>
      <sheetName val="Binder Vestiges"/>
      <sheetName val="Marshal Auras"/>
      <sheetName val="Soulmelds"/>
      <sheetName val="SoulmeldsInfo"/>
      <sheetName val="SoulmeldAbilities"/>
      <sheetName val="Incarnum Abilities"/>
      <sheetName val="Skills"/>
      <sheetName val="Skill Tricks"/>
      <sheetName val="Languages"/>
      <sheetName val="Grafts"/>
      <sheetName val="Traits"/>
      <sheetName val="Flaws"/>
      <sheetName val="Maneuvers &amp; Stances"/>
      <sheetName val="Feats"/>
      <sheetName val="Armor"/>
      <sheetName val="Attacks"/>
      <sheetName val="Enhancements"/>
      <sheetName val="Magic Equipment"/>
      <sheetName val="Buffs"/>
      <sheetName val="Character Sheet I"/>
      <sheetName val="Character Sheet II"/>
      <sheetName val="Character Sheet III"/>
      <sheetName val="Familiar"/>
      <sheetName val="Character Sheet IV"/>
      <sheetName val="Character Sheet V"/>
      <sheetName val="Animal Companion"/>
      <sheetName val="CS Calc."/>
      <sheetName val="Class Abilities"/>
      <sheetName val="Class Weapons &amp; Armor"/>
      <sheetName val="Graft Abilities"/>
      <sheetName val="Deities"/>
      <sheetName val="Domains"/>
      <sheetName val="Spell Info"/>
      <sheetName val="Spells per Day"/>
      <sheetName val="Spells Known"/>
      <sheetName val="Psionic Info"/>
      <sheetName val="Initiative Card"/>
      <sheetName val="Table Tent"/>
      <sheetName val="Game Log"/>
      <sheetName val="LG Game Log"/>
      <sheetName val="LG Item Access Tracking"/>
      <sheetName val="LG MIL"/>
      <sheetName val="Tables"/>
    </sheetNames>
    <sheetDataSet>
      <sheetData sheetId="0">
        <row r="1">
          <cell r="CI1" t="b">
            <v>0</v>
          </cell>
          <cell r="CJ1" t="b">
            <v>0</v>
          </cell>
          <cell r="CK1" t="b">
            <v>0</v>
          </cell>
        </row>
        <row r="2">
          <cell r="BV2" t="b">
            <v>0</v>
          </cell>
          <cell r="BW2" t="b">
            <v>0</v>
          </cell>
          <cell r="BX2" t="b">
            <v>0</v>
          </cell>
        </row>
        <row r="3">
          <cell r="BT3">
            <v>1</v>
          </cell>
          <cell r="BV3" t="str">
            <v>Select Spell Casting Class</v>
          </cell>
          <cell r="BW3">
            <v>1</v>
          </cell>
          <cell r="BX3">
            <v>0</v>
          </cell>
        </row>
        <row r="4">
          <cell r="BT4">
            <v>1</v>
          </cell>
          <cell r="BV4" t="str">
            <v>Select Spell Casting Class</v>
          </cell>
          <cell r="BW4">
            <v>1</v>
          </cell>
          <cell r="BX4">
            <v>0</v>
          </cell>
        </row>
        <row r="5">
          <cell r="BT5">
            <v>1</v>
          </cell>
          <cell r="BV5" t="str">
            <v>Select Spell Casting Class</v>
          </cell>
          <cell r="BW5">
            <v>1</v>
          </cell>
          <cell r="BX5">
            <v>0</v>
          </cell>
        </row>
        <row r="6">
          <cell r="BT6">
            <v>1</v>
          </cell>
        </row>
        <row r="7">
          <cell r="BT7">
            <v>1</v>
          </cell>
          <cell r="BV7" t="str">
            <v>Select Spell Casting Class</v>
          </cell>
          <cell r="BW7">
            <v>1</v>
          </cell>
          <cell r="BX7">
            <v>0</v>
          </cell>
        </row>
        <row r="8">
          <cell r="B8" t="b">
            <v>1</v>
          </cell>
          <cell r="BT8">
            <v>1</v>
          </cell>
          <cell r="BV8" t="str">
            <v>Select Spell Casting Class</v>
          </cell>
          <cell r="BW8">
            <v>1</v>
          </cell>
          <cell r="BX8">
            <v>0</v>
          </cell>
        </row>
        <row r="9">
          <cell r="B9" t="b">
            <v>0</v>
          </cell>
          <cell r="L9">
            <v>1</v>
          </cell>
          <cell r="M9">
            <v>1</v>
          </cell>
          <cell r="N9">
            <v>1</v>
          </cell>
          <cell r="T9">
            <v>1</v>
          </cell>
          <cell r="U9">
            <v>1</v>
          </cell>
          <cell r="V9">
            <v>1</v>
          </cell>
          <cell r="Z9">
            <v>1</v>
          </cell>
          <cell r="AA9">
            <v>1</v>
          </cell>
          <cell r="AB9" t="b">
            <v>0</v>
          </cell>
          <cell r="AC9">
            <v>1</v>
          </cell>
          <cell r="AD9">
            <v>1</v>
          </cell>
          <cell r="AE9">
            <v>1</v>
          </cell>
          <cell r="BT9">
            <v>1</v>
          </cell>
          <cell r="BV9" t="str">
            <v>Select Spell Casting Class</v>
          </cell>
          <cell r="BW9">
            <v>1</v>
          </cell>
          <cell r="BX9">
            <v>0</v>
          </cell>
        </row>
        <row r="10">
          <cell r="B10" t="b">
            <v>0</v>
          </cell>
          <cell r="E10">
            <v>1</v>
          </cell>
          <cell r="L10">
            <v>1</v>
          </cell>
          <cell r="M10">
            <v>1</v>
          </cell>
          <cell r="N10">
            <v>1</v>
          </cell>
          <cell r="T10">
            <v>1</v>
          </cell>
          <cell r="U10">
            <v>1</v>
          </cell>
          <cell r="V10">
            <v>1</v>
          </cell>
          <cell r="AA10">
            <v>1</v>
          </cell>
          <cell r="AB10" t="b">
            <v>0</v>
          </cell>
          <cell r="AD10">
            <v>1</v>
          </cell>
          <cell r="AG10">
            <v>1</v>
          </cell>
          <cell r="AH10">
            <v>1</v>
          </cell>
          <cell r="AI10">
            <v>1</v>
          </cell>
          <cell r="AJ10">
            <v>1</v>
          </cell>
          <cell r="AK10">
            <v>1</v>
          </cell>
          <cell r="BT10">
            <v>1</v>
          </cell>
        </row>
        <row r="11">
          <cell r="B11" t="b">
            <v>0</v>
          </cell>
          <cell r="E11">
            <v>1</v>
          </cell>
          <cell r="H11" t="b">
            <v>1</v>
          </cell>
          <cell r="L11">
            <v>1</v>
          </cell>
          <cell r="M11">
            <v>1</v>
          </cell>
          <cell r="N11">
            <v>1</v>
          </cell>
          <cell r="T11">
            <v>1</v>
          </cell>
          <cell r="U11">
            <v>1</v>
          </cell>
          <cell r="V11">
            <v>1</v>
          </cell>
          <cell r="AA11">
            <v>1</v>
          </cell>
          <cell r="AB11" t="b">
            <v>0</v>
          </cell>
          <cell r="AG11">
            <v>1</v>
          </cell>
          <cell r="AH11">
            <v>1</v>
          </cell>
          <cell r="AI11">
            <v>1</v>
          </cell>
          <cell r="AJ11">
            <v>1</v>
          </cell>
          <cell r="AK11">
            <v>1</v>
          </cell>
          <cell r="BT11">
            <v>1</v>
          </cell>
          <cell r="BV11" t="str">
            <v>Select Spell Casting Class</v>
          </cell>
          <cell r="BW11">
            <v>1</v>
          </cell>
        </row>
        <row r="12">
          <cell r="B12" t="b">
            <v>0</v>
          </cell>
          <cell r="L12">
            <v>1</v>
          </cell>
          <cell r="M12">
            <v>1</v>
          </cell>
          <cell r="N12">
            <v>1</v>
          </cell>
          <cell r="T12">
            <v>1</v>
          </cell>
          <cell r="U12">
            <v>3</v>
          </cell>
          <cell r="V12">
            <v>1</v>
          </cell>
          <cell r="AA12">
            <v>1</v>
          </cell>
          <cell r="AB12" t="b">
            <v>0</v>
          </cell>
          <cell r="AG12">
            <v>1</v>
          </cell>
          <cell r="AH12">
            <v>1</v>
          </cell>
          <cell r="AI12">
            <v>1</v>
          </cell>
          <cell r="AJ12">
            <v>1</v>
          </cell>
          <cell r="AK12">
            <v>1</v>
          </cell>
          <cell r="BT12">
            <v>1</v>
          </cell>
          <cell r="BV12" t="str">
            <v>Select Spell Casting Class</v>
          </cell>
          <cell r="BW12">
            <v>1</v>
          </cell>
        </row>
        <row r="13">
          <cell r="B13" t="b">
            <v>0</v>
          </cell>
          <cell r="L13">
            <v>1</v>
          </cell>
          <cell r="M13">
            <v>1</v>
          </cell>
          <cell r="N13">
            <v>1</v>
          </cell>
          <cell r="T13">
            <v>1</v>
          </cell>
          <cell r="U13">
            <v>1</v>
          </cell>
          <cell r="V13">
            <v>1</v>
          </cell>
          <cell r="AB13" t="b">
            <v>0</v>
          </cell>
          <cell r="AC13">
            <v>1</v>
          </cell>
          <cell r="AE13">
            <v>1</v>
          </cell>
          <cell r="AG13">
            <v>1</v>
          </cell>
          <cell r="AH13">
            <v>1</v>
          </cell>
          <cell r="AI13">
            <v>1</v>
          </cell>
          <cell r="AJ13">
            <v>1</v>
          </cell>
          <cell r="AK13" t="b">
            <v>0</v>
          </cell>
          <cell r="BT13">
            <v>1</v>
          </cell>
          <cell r="BV13" t="str">
            <v>Select Spell Casting Class</v>
          </cell>
          <cell r="BW13">
            <v>1</v>
          </cell>
        </row>
        <row r="14">
          <cell r="B14" t="b">
            <v>0</v>
          </cell>
          <cell r="T14">
            <v>1</v>
          </cell>
          <cell r="U14">
            <v>1</v>
          </cell>
          <cell r="V14">
            <v>1</v>
          </cell>
          <cell r="AB14" t="b">
            <v>0</v>
          </cell>
          <cell r="AC14" t="str">
            <v>Select Spell Casting Class</v>
          </cell>
          <cell r="AD14">
            <v>1</v>
          </cell>
          <cell r="AE14" t="str">
            <v>Select Manifesting Class</v>
          </cell>
          <cell r="AF14">
            <v>1</v>
          </cell>
          <cell r="AG14">
            <v>1</v>
          </cell>
          <cell r="AH14">
            <v>1</v>
          </cell>
          <cell r="AI14">
            <v>1</v>
          </cell>
          <cell r="AJ14">
            <v>1</v>
          </cell>
          <cell r="AK14" t="b">
            <v>0</v>
          </cell>
          <cell r="BT14">
            <v>1</v>
          </cell>
        </row>
        <row r="15">
          <cell r="B15" t="b">
            <v>0</v>
          </cell>
          <cell r="N15" t="b">
            <v>0</v>
          </cell>
          <cell r="T15">
            <v>1</v>
          </cell>
          <cell r="V15">
            <v>1</v>
          </cell>
          <cell r="AB15" t="b">
            <v>0</v>
          </cell>
          <cell r="AC15" t="str">
            <v>Select Spell Casting Class</v>
          </cell>
          <cell r="AD15">
            <v>1</v>
          </cell>
          <cell r="AE15" t="str">
            <v>Select Manifesting Class</v>
          </cell>
          <cell r="AF15">
            <v>1</v>
          </cell>
          <cell r="AG15">
            <v>1</v>
          </cell>
          <cell r="AH15">
            <v>1</v>
          </cell>
          <cell r="AI15">
            <v>1</v>
          </cell>
          <cell r="AJ15">
            <v>1</v>
          </cell>
          <cell r="AK15" t="b">
            <v>0</v>
          </cell>
          <cell r="BT15">
            <v>1</v>
          </cell>
          <cell r="BV15" t="str">
            <v>Select Manifesting Class</v>
          </cell>
          <cell r="BW15">
            <v>1</v>
          </cell>
          <cell r="BX15">
            <v>0</v>
          </cell>
        </row>
        <row r="16">
          <cell r="B16" t="b">
            <v>0</v>
          </cell>
          <cell r="T16">
            <v>1</v>
          </cell>
          <cell r="AB16" t="b">
            <v>0</v>
          </cell>
          <cell r="AC16" t="str">
            <v>Select Spell Casting Class</v>
          </cell>
          <cell r="AD16">
            <v>1</v>
          </cell>
          <cell r="AE16" t="str">
            <v>Select Manifesting Class</v>
          </cell>
          <cell r="AF16">
            <v>1</v>
          </cell>
          <cell r="AG16">
            <v>1</v>
          </cell>
          <cell r="AH16">
            <v>1</v>
          </cell>
          <cell r="AI16">
            <v>1</v>
          </cell>
          <cell r="AJ16">
            <v>1</v>
          </cell>
          <cell r="AK16" t="b">
            <v>0</v>
          </cell>
          <cell r="BT16">
            <v>1</v>
          </cell>
          <cell r="BV16" t="str">
            <v>Select Manifesting Class</v>
          </cell>
          <cell r="BW16">
            <v>1</v>
          </cell>
          <cell r="BX16">
            <v>0</v>
          </cell>
        </row>
        <row r="17">
          <cell r="B17" t="b">
            <v>0</v>
          </cell>
          <cell r="T17">
            <v>1</v>
          </cell>
          <cell r="U17" t="b">
            <v>0</v>
          </cell>
          <cell r="AB17" t="b">
            <v>0</v>
          </cell>
          <cell r="AC17" t="str">
            <v>Select Spell Casting Class</v>
          </cell>
          <cell r="AD17">
            <v>1</v>
          </cell>
          <cell r="AE17" t="str">
            <v>Select Manifesting Class</v>
          </cell>
          <cell r="AF17">
            <v>1</v>
          </cell>
          <cell r="AG17">
            <v>1</v>
          </cell>
          <cell r="AI17">
            <v>1</v>
          </cell>
          <cell r="AK17" t="b">
            <v>0</v>
          </cell>
          <cell r="BT17">
            <v>1</v>
          </cell>
          <cell r="BV17" t="str">
            <v>Select Manifesting Class</v>
          </cell>
          <cell r="BW17">
            <v>1</v>
          </cell>
          <cell r="BX17">
            <v>0</v>
          </cell>
        </row>
        <row r="18">
          <cell r="B18" t="b">
            <v>0</v>
          </cell>
          <cell r="T18">
            <v>1</v>
          </cell>
          <cell r="U18" t="b">
            <v>0</v>
          </cell>
          <cell r="AB18" t="b">
            <v>0</v>
          </cell>
          <cell r="AC18" t="str">
            <v>Select Spell Casting Class</v>
          </cell>
          <cell r="AD18">
            <v>1</v>
          </cell>
          <cell r="AE18" t="str">
            <v>Select Manifesting Class</v>
          </cell>
          <cell r="AF18">
            <v>1</v>
          </cell>
          <cell r="AG18">
            <v>1</v>
          </cell>
          <cell r="AH18">
            <v>1</v>
          </cell>
          <cell r="AI18">
            <v>1</v>
          </cell>
          <cell r="AK18" t="b">
            <v>0</v>
          </cell>
          <cell r="BV18" t="str">
            <v>Ardent</v>
          </cell>
          <cell r="BW18">
            <v>1</v>
          </cell>
        </row>
        <row r="19">
          <cell r="B19" t="b">
            <v>0</v>
          </cell>
          <cell r="T19">
            <v>1</v>
          </cell>
          <cell r="U19">
            <v>1</v>
          </cell>
          <cell r="Z19" t="str">
            <v>Select Spell Casting Class</v>
          </cell>
          <cell r="AA19">
            <v>1</v>
          </cell>
          <cell r="AB19" t="b">
            <v>0</v>
          </cell>
          <cell r="AC19" t="str">
            <v>Select Spell Casting Class</v>
          </cell>
          <cell r="AD19">
            <v>1</v>
          </cell>
          <cell r="AE19" t="str">
            <v>Select Manifesting Class</v>
          </cell>
          <cell r="AF19">
            <v>1</v>
          </cell>
          <cell r="AG19">
            <v>1</v>
          </cell>
          <cell r="AH19">
            <v>1</v>
          </cell>
          <cell r="AI19">
            <v>1</v>
          </cell>
          <cell r="AK19" t="b">
            <v>0</v>
          </cell>
          <cell r="BT19" t="str">
            <v>Select Manifesting Class</v>
          </cell>
          <cell r="BU19">
            <v>1</v>
          </cell>
        </row>
        <row r="20">
          <cell r="B20" t="b">
            <v>0</v>
          </cell>
          <cell r="T20">
            <v>1</v>
          </cell>
          <cell r="U20">
            <v>1</v>
          </cell>
          <cell r="AC20" t="str">
            <v>Select Spell Casting Class</v>
          </cell>
          <cell r="AD20">
            <v>1</v>
          </cell>
          <cell r="AE20" t="str">
            <v>Select Manifesting Class</v>
          </cell>
          <cell r="AF20">
            <v>1</v>
          </cell>
          <cell r="AG20">
            <v>1</v>
          </cell>
          <cell r="AH20" t="b">
            <v>0</v>
          </cell>
          <cell r="AI20">
            <v>1</v>
          </cell>
          <cell r="AK20" t="b">
            <v>0</v>
          </cell>
          <cell r="BT20" t="str">
            <v>Select Manifesting Class</v>
          </cell>
          <cell r="BU20">
            <v>1</v>
          </cell>
        </row>
        <row r="21">
          <cell r="B21" t="b">
            <v>0</v>
          </cell>
          <cell r="T21">
            <v>1</v>
          </cell>
          <cell r="Z21" t="b">
            <v>0</v>
          </cell>
          <cell r="AA21">
            <v>1</v>
          </cell>
          <cell r="AC21" t="str">
            <v>Select Spell Casting Class</v>
          </cell>
          <cell r="AD21">
            <v>1</v>
          </cell>
          <cell r="AE21" t="str">
            <v>Select Manifesting Class</v>
          </cell>
          <cell r="AF21">
            <v>1</v>
          </cell>
          <cell r="AG21">
            <v>1</v>
          </cell>
          <cell r="AH21">
            <v>1</v>
          </cell>
          <cell r="AI21">
            <v>1</v>
          </cell>
          <cell r="AJ21">
            <v>1</v>
          </cell>
          <cell r="AK21">
            <v>1</v>
          </cell>
          <cell r="BT21" t="str">
            <v>Select Spell Casting Class</v>
          </cell>
          <cell r="BU21">
            <v>1</v>
          </cell>
          <cell r="BX21">
            <v>0</v>
          </cell>
        </row>
        <row r="22">
          <cell r="B22" t="b">
            <v>0</v>
          </cell>
          <cell r="T22">
            <v>1</v>
          </cell>
          <cell r="U22">
            <v>1</v>
          </cell>
          <cell r="Z22" t="b">
            <v>0</v>
          </cell>
          <cell r="AA22">
            <v>1</v>
          </cell>
          <cell r="AC22" t="str">
            <v>Select Spell Casting Class</v>
          </cell>
          <cell r="AD22">
            <v>1</v>
          </cell>
          <cell r="AE22" t="str">
            <v>Select Manifesting Class</v>
          </cell>
          <cell r="AF22">
            <v>1</v>
          </cell>
          <cell r="AG22">
            <v>1</v>
          </cell>
          <cell r="BX22">
            <v>0</v>
          </cell>
        </row>
        <row r="23">
          <cell r="B23" t="b">
            <v>0</v>
          </cell>
          <cell r="T23">
            <v>1</v>
          </cell>
          <cell r="Z23" t="b">
            <v>0</v>
          </cell>
          <cell r="AA23">
            <v>1</v>
          </cell>
          <cell r="AC23" t="str">
            <v>Select Spell Casting Class</v>
          </cell>
          <cell r="AD23">
            <v>1</v>
          </cell>
          <cell r="AE23" t="str">
            <v>Select Manifesting Class</v>
          </cell>
          <cell r="AF23">
            <v>1</v>
          </cell>
          <cell r="AG23">
            <v>1</v>
          </cell>
          <cell r="BX23">
            <v>0</v>
          </cell>
        </row>
        <row r="24">
          <cell r="B24" t="b">
            <v>0</v>
          </cell>
          <cell r="T24">
            <v>1</v>
          </cell>
          <cell r="V24">
            <v>1</v>
          </cell>
          <cell r="Z24" t="b">
            <v>0</v>
          </cell>
          <cell r="AA24">
            <v>1</v>
          </cell>
          <cell r="AB24">
            <v>1</v>
          </cell>
          <cell r="AC24" t="str">
            <v>Select Spell Casting Class</v>
          </cell>
          <cell r="AD24">
            <v>1</v>
          </cell>
          <cell r="AE24" t="str">
            <v>Select Manifesting Class</v>
          </cell>
          <cell r="AF24">
            <v>1</v>
          </cell>
          <cell r="AG24">
            <v>1</v>
          </cell>
          <cell r="BX24">
            <v>0</v>
          </cell>
        </row>
        <row r="25">
          <cell r="E25">
            <v>1</v>
          </cell>
          <cell r="G25">
            <v>1</v>
          </cell>
          <cell r="I25">
            <v>1</v>
          </cell>
          <cell r="K25">
            <v>1</v>
          </cell>
          <cell r="M25">
            <v>1</v>
          </cell>
          <cell r="O25">
            <v>1</v>
          </cell>
          <cell r="T25">
            <v>1</v>
          </cell>
          <cell r="V25">
            <v>1</v>
          </cell>
          <cell r="Z25" t="b">
            <v>0</v>
          </cell>
          <cell r="AA25">
            <v>1</v>
          </cell>
          <cell r="AB25">
            <v>1</v>
          </cell>
          <cell r="AC25" t="str">
            <v>Select Spell Casting Class</v>
          </cell>
          <cell r="AD25">
            <v>1</v>
          </cell>
          <cell r="AE25" t="str">
            <v>Select Manifesting Class</v>
          </cell>
          <cell r="AF25">
            <v>1</v>
          </cell>
          <cell r="AG25">
            <v>1</v>
          </cell>
          <cell r="AI25">
            <v>1</v>
          </cell>
          <cell r="AJ25">
            <v>1</v>
          </cell>
          <cell r="AK25">
            <v>1</v>
          </cell>
          <cell r="BX25">
            <v>0</v>
          </cell>
        </row>
        <row r="26">
          <cell r="A26">
            <v>1</v>
          </cell>
          <cell r="B26" t="b">
            <v>0</v>
          </cell>
          <cell r="E26">
            <v>1</v>
          </cell>
          <cell r="G26">
            <v>1</v>
          </cell>
          <cell r="I26">
            <v>1</v>
          </cell>
          <cell r="K26">
            <v>1</v>
          </cell>
          <cell r="M26">
            <v>1</v>
          </cell>
          <cell r="O26">
            <v>1</v>
          </cell>
          <cell r="T26">
            <v>1</v>
          </cell>
          <cell r="V26">
            <v>1</v>
          </cell>
          <cell r="Z26" t="b">
            <v>0</v>
          </cell>
          <cell r="AA26">
            <v>1</v>
          </cell>
          <cell r="AB26">
            <v>1</v>
          </cell>
          <cell r="AC26" t="str">
            <v>Select Spell Casting Class</v>
          </cell>
          <cell r="AD26">
            <v>1</v>
          </cell>
          <cell r="AE26" t="str">
            <v>Select Manifesting Class</v>
          </cell>
          <cell r="AF26">
            <v>1</v>
          </cell>
          <cell r="AG26">
            <v>1</v>
          </cell>
          <cell r="AI26">
            <v>1</v>
          </cell>
          <cell r="AJ26">
            <v>1</v>
          </cell>
          <cell r="BX26">
            <v>0</v>
          </cell>
        </row>
        <row r="27">
          <cell r="A27" t="b">
            <v>0</v>
          </cell>
          <cell r="B27" t="b">
            <v>0</v>
          </cell>
          <cell r="D27">
            <v>5</v>
          </cell>
          <cell r="E27">
            <v>1</v>
          </cell>
          <cell r="F27">
            <v>5</v>
          </cell>
          <cell r="G27">
            <v>1</v>
          </cell>
          <cell r="H27">
            <v>5</v>
          </cell>
          <cell r="I27">
            <v>1</v>
          </cell>
          <cell r="J27">
            <v>5</v>
          </cell>
          <cell r="K27">
            <v>1</v>
          </cell>
          <cell r="L27">
            <v>5</v>
          </cell>
          <cell r="M27">
            <v>1</v>
          </cell>
          <cell r="N27">
            <v>5</v>
          </cell>
          <cell r="O27">
            <v>1</v>
          </cell>
          <cell r="T27">
            <v>1</v>
          </cell>
          <cell r="U27">
            <v>1</v>
          </cell>
          <cell r="V27">
            <v>1</v>
          </cell>
          <cell r="Z27" t="b">
            <v>0</v>
          </cell>
          <cell r="AA27">
            <v>1</v>
          </cell>
          <cell r="AB27">
            <v>1</v>
          </cell>
          <cell r="AC27" t="str">
            <v>Select Spell Casting Class</v>
          </cell>
          <cell r="AD27">
            <v>1</v>
          </cell>
          <cell r="AE27" t="str">
            <v>Select Manifesting Class</v>
          </cell>
          <cell r="AF27">
            <v>1</v>
          </cell>
          <cell r="AG27">
            <v>1</v>
          </cell>
          <cell r="AI27">
            <v>1</v>
          </cell>
          <cell r="AJ27">
            <v>1</v>
          </cell>
          <cell r="AK27">
            <v>1</v>
          </cell>
          <cell r="BU27">
            <v>1</v>
          </cell>
          <cell r="BX27">
            <v>0</v>
          </cell>
        </row>
        <row r="28">
          <cell r="E28">
            <v>1</v>
          </cell>
          <cell r="G28">
            <v>1</v>
          </cell>
          <cell r="I28">
            <v>1</v>
          </cell>
          <cell r="K28">
            <v>1</v>
          </cell>
          <cell r="M28">
            <v>1</v>
          </cell>
          <cell r="O28">
            <v>1</v>
          </cell>
          <cell r="T28">
            <v>1</v>
          </cell>
          <cell r="U28">
            <v>1</v>
          </cell>
          <cell r="V28">
            <v>1</v>
          </cell>
          <cell r="Z28" t="b">
            <v>0</v>
          </cell>
          <cell r="AA28">
            <v>1</v>
          </cell>
          <cell r="AB28">
            <v>1</v>
          </cell>
          <cell r="AC28" t="str">
            <v>Select Spell Casting Class</v>
          </cell>
          <cell r="AD28">
            <v>1</v>
          </cell>
          <cell r="AE28" t="str">
            <v>Select Manifesting Class</v>
          </cell>
          <cell r="AF28">
            <v>1</v>
          </cell>
          <cell r="AG28">
            <v>1</v>
          </cell>
          <cell r="AI28">
            <v>1</v>
          </cell>
          <cell r="AJ28">
            <v>1</v>
          </cell>
          <cell r="AK28">
            <v>1</v>
          </cell>
          <cell r="BU28">
            <v>3</v>
          </cell>
          <cell r="BX28">
            <v>0</v>
          </cell>
        </row>
        <row r="29">
          <cell r="A29" t="str">
            <v>PHB</v>
          </cell>
          <cell r="B29" t="b">
            <v>1</v>
          </cell>
          <cell r="E29">
            <v>1</v>
          </cell>
          <cell r="G29">
            <v>1</v>
          </cell>
          <cell r="I29">
            <v>1</v>
          </cell>
          <cell r="K29">
            <v>1</v>
          </cell>
          <cell r="M29">
            <v>1</v>
          </cell>
          <cell r="O29">
            <v>1</v>
          </cell>
          <cell r="T29">
            <v>1</v>
          </cell>
          <cell r="U29">
            <v>1</v>
          </cell>
          <cell r="V29">
            <v>1</v>
          </cell>
          <cell r="Z29" t="b">
            <v>0</v>
          </cell>
          <cell r="AA29">
            <v>1</v>
          </cell>
          <cell r="AB29">
            <v>1</v>
          </cell>
          <cell r="AC29" t="str">
            <v>Select Spell Casting Class</v>
          </cell>
          <cell r="AD29">
            <v>1</v>
          </cell>
          <cell r="AE29" t="str">
            <v>Select Manifesting Class</v>
          </cell>
          <cell r="AF29">
            <v>1</v>
          </cell>
          <cell r="AG29">
            <v>1</v>
          </cell>
          <cell r="AI29">
            <v>1</v>
          </cell>
          <cell r="AK29">
            <v>1</v>
          </cell>
          <cell r="BX29">
            <v>0</v>
          </cell>
        </row>
        <row r="30">
          <cell r="A30" t="str">
            <v>CAd</v>
          </cell>
          <cell r="B30" t="b">
            <v>0</v>
          </cell>
          <cell r="E30">
            <v>1</v>
          </cell>
          <cell r="G30">
            <v>1</v>
          </cell>
          <cell r="I30">
            <v>1</v>
          </cell>
          <cell r="K30">
            <v>1</v>
          </cell>
          <cell r="M30">
            <v>1</v>
          </cell>
          <cell r="O30">
            <v>1</v>
          </cell>
          <cell r="T30">
            <v>1</v>
          </cell>
          <cell r="U30">
            <v>1</v>
          </cell>
          <cell r="V30">
            <v>1</v>
          </cell>
          <cell r="Z30" t="b">
            <v>0</v>
          </cell>
          <cell r="AA30">
            <v>1</v>
          </cell>
          <cell r="AB30">
            <v>1</v>
          </cell>
          <cell r="AC30" t="str">
            <v>Select Spell Casting Class</v>
          </cell>
          <cell r="AD30">
            <v>1</v>
          </cell>
          <cell r="AE30" t="str">
            <v>Select Manifesting Class</v>
          </cell>
          <cell r="AF30">
            <v>1</v>
          </cell>
          <cell r="AG30">
            <v>1</v>
          </cell>
          <cell r="AI30">
            <v>1</v>
          </cell>
          <cell r="AK30">
            <v>1</v>
          </cell>
          <cell r="BX30">
            <v>0</v>
          </cell>
        </row>
        <row r="31">
          <cell r="A31" t="str">
            <v>CAr</v>
          </cell>
          <cell r="B31" t="b">
            <v>0</v>
          </cell>
          <cell r="E31">
            <v>1</v>
          </cell>
          <cell r="G31">
            <v>1</v>
          </cell>
          <cell r="I31">
            <v>1</v>
          </cell>
          <cell r="K31">
            <v>1</v>
          </cell>
          <cell r="M31">
            <v>1</v>
          </cell>
          <cell r="O31">
            <v>1</v>
          </cell>
          <cell r="T31">
            <v>1</v>
          </cell>
          <cell r="U31">
            <v>1</v>
          </cell>
          <cell r="V31">
            <v>1</v>
          </cell>
          <cell r="W31" t="b">
            <v>0</v>
          </cell>
          <cell r="X31">
            <v>1</v>
          </cell>
          <cell r="Z31" t="b">
            <v>0</v>
          </cell>
          <cell r="AA31">
            <v>1</v>
          </cell>
          <cell r="AB31">
            <v>1</v>
          </cell>
          <cell r="AC31" t="str">
            <v>Select Spell Casting Class</v>
          </cell>
          <cell r="AD31">
            <v>1</v>
          </cell>
          <cell r="AE31" t="str">
            <v>Select Manifesting Class</v>
          </cell>
          <cell r="AF31">
            <v>1</v>
          </cell>
          <cell r="AG31">
            <v>1</v>
          </cell>
          <cell r="AI31">
            <v>1</v>
          </cell>
          <cell r="AK31">
            <v>1</v>
          </cell>
          <cell r="AU31">
            <v>1</v>
          </cell>
          <cell r="BX31">
            <v>0</v>
          </cell>
        </row>
        <row r="32">
          <cell r="A32" t="str">
            <v>CD</v>
          </cell>
          <cell r="B32" t="b">
            <v>0</v>
          </cell>
          <cell r="T32">
            <v>1</v>
          </cell>
          <cell r="U32">
            <v>1</v>
          </cell>
          <cell r="W32" t="b">
            <v>0</v>
          </cell>
          <cell r="Z32" t="b">
            <v>0</v>
          </cell>
          <cell r="AA32">
            <v>1</v>
          </cell>
          <cell r="AB32">
            <v>1</v>
          </cell>
          <cell r="AC32" t="str">
            <v>Select Spell Casting Class</v>
          </cell>
          <cell r="AD32">
            <v>1</v>
          </cell>
          <cell r="AE32" t="str">
            <v>Select Manifesting Class</v>
          </cell>
          <cell r="AF32">
            <v>1</v>
          </cell>
          <cell r="AG32">
            <v>1</v>
          </cell>
          <cell r="AI32">
            <v>1</v>
          </cell>
          <cell r="AK32">
            <v>1</v>
          </cell>
          <cell r="BX32">
            <v>0</v>
          </cell>
        </row>
        <row r="33">
          <cell r="A33" t="str">
            <v>CPs</v>
          </cell>
          <cell r="B33" t="b">
            <v>0</v>
          </cell>
          <cell r="T33">
            <v>1</v>
          </cell>
          <cell r="U33">
            <v>1</v>
          </cell>
          <cell r="W33" t="b">
            <v>0</v>
          </cell>
          <cell r="Z33" t="b">
            <v>0</v>
          </cell>
          <cell r="AA33">
            <v>1</v>
          </cell>
          <cell r="AB33">
            <v>1</v>
          </cell>
          <cell r="AC33" t="str">
            <v>Select Spell Casting Class</v>
          </cell>
          <cell r="AD33">
            <v>1</v>
          </cell>
          <cell r="AE33" t="str">
            <v>Select Manifesting Class</v>
          </cell>
          <cell r="AF33">
            <v>1</v>
          </cell>
          <cell r="AG33">
            <v>1</v>
          </cell>
          <cell r="AI33">
            <v>1</v>
          </cell>
          <cell r="AK33">
            <v>1</v>
          </cell>
          <cell r="BX33">
            <v>0</v>
          </cell>
        </row>
        <row r="34">
          <cell r="A34" t="str">
            <v>CW</v>
          </cell>
          <cell r="B34" t="b">
            <v>0</v>
          </cell>
          <cell r="T34">
            <v>1</v>
          </cell>
          <cell r="U34">
            <v>1</v>
          </cell>
          <cell r="W34" t="b">
            <v>0</v>
          </cell>
          <cell r="Z34" t="b">
            <v>0</v>
          </cell>
          <cell r="AA34">
            <v>1</v>
          </cell>
          <cell r="AB34">
            <v>1</v>
          </cell>
          <cell r="AC34" t="str">
            <v>Select Spell Casting Class</v>
          </cell>
          <cell r="AD34">
            <v>1</v>
          </cell>
          <cell r="AE34" t="str">
            <v>Select Manifesting Class</v>
          </cell>
          <cell r="AF34">
            <v>1</v>
          </cell>
          <cell r="AG34">
            <v>1</v>
          </cell>
          <cell r="AI34">
            <v>1</v>
          </cell>
          <cell r="AK34">
            <v>1</v>
          </cell>
          <cell r="BX34">
            <v>0</v>
          </cell>
        </row>
        <row r="35">
          <cell r="A35" t="str">
            <v>CM</v>
          </cell>
          <cell r="B35" t="b">
            <v>0</v>
          </cell>
          <cell r="T35">
            <v>1</v>
          </cell>
          <cell r="U35">
            <v>1</v>
          </cell>
          <cell r="W35" t="b">
            <v>0</v>
          </cell>
          <cell r="X35">
            <v>1</v>
          </cell>
          <cell r="Z35" t="b">
            <v>0</v>
          </cell>
          <cell r="AA35">
            <v>1</v>
          </cell>
          <cell r="AB35">
            <v>1</v>
          </cell>
          <cell r="AC35" t="str">
            <v>Select Spell Casting Class</v>
          </cell>
          <cell r="AD35">
            <v>1</v>
          </cell>
          <cell r="AE35" t="str">
            <v>Select Manifesting Class</v>
          </cell>
          <cell r="AF35">
            <v>1</v>
          </cell>
          <cell r="AG35">
            <v>1</v>
          </cell>
          <cell r="AI35">
            <v>1</v>
          </cell>
          <cell r="AJ35">
            <v>1</v>
          </cell>
          <cell r="BX35">
            <v>0</v>
          </cell>
        </row>
        <row r="36">
          <cell r="A36" t="str">
            <v>CS</v>
          </cell>
          <cell r="B36" t="b">
            <v>0</v>
          </cell>
          <cell r="T36">
            <v>1</v>
          </cell>
          <cell r="U36">
            <v>1</v>
          </cell>
          <cell r="W36" t="b">
            <v>0</v>
          </cell>
          <cell r="Z36" t="b">
            <v>0</v>
          </cell>
          <cell r="AA36">
            <v>1</v>
          </cell>
          <cell r="AB36">
            <v>1</v>
          </cell>
          <cell r="AC36" t="str">
            <v>Select Spell Casting Class</v>
          </cell>
          <cell r="AD36">
            <v>1</v>
          </cell>
          <cell r="AE36" t="str">
            <v>Select Manifesting Class</v>
          </cell>
          <cell r="AF36">
            <v>1</v>
          </cell>
          <cell r="AG36">
            <v>1</v>
          </cell>
          <cell r="AI36">
            <v>1</v>
          </cell>
          <cell r="AJ36">
            <v>1</v>
          </cell>
          <cell r="BX36">
            <v>0</v>
          </cell>
        </row>
        <row r="37">
          <cell r="A37" t="str">
            <v>CC</v>
          </cell>
          <cell r="B37" t="b">
            <v>0</v>
          </cell>
          <cell r="T37">
            <v>1</v>
          </cell>
          <cell r="U37">
            <v>1</v>
          </cell>
          <cell r="W37" t="b">
            <v>0</v>
          </cell>
          <cell r="Z37" t="b">
            <v>0</v>
          </cell>
          <cell r="AA37">
            <v>1</v>
          </cell>
          <cell r="AB37">
            <v>1</v>
          </cell>
          <cell r="AC37" t="str">
            <v>Select Spell Casting Class</v>
          </cell>
          <cell r="AD37">
            <v>1</v>
          </cell>
          <cell r="AE37" t="str">
            <v>Select Manifesting Class</v>
          </cell>
          <cell r="AF37">
            <v>1</v>
          </cell>
          <cell r="AG37">
            <v>1</v>
          </cell>
          <cell r="AK37" t="str">
            <v>Select Meldshaping Class</v>
          </cell>
          <cell r="AL37">
            <v>1</v>
          </cell>
          <cell r="BX37">
            <v>0</v>
          </cell>
        </row>
        <row r="38">
          <cell r="A38" t="str">
            <v>RoD</v>
          </cell>
          <cell r="B38" t="b">
            <v>0</v>
          </cell>
          <cell r="T38">
            <v>1</v>
          </cell>
          <cell r="U38">
            <v>1</v>
          </cell>
          <cell r="W38" t="b">
            <v>0</v>
          </cell>
          <cell r="Z38" t="b">
            <v>0</v>
          </cell>
          <cell r="AA38">
            <v>1</v>
          </cell>
          <cell r="AB38">
            <v>1</v>
          </cell>
          <cell r="AC38" t="str">
            <v>Select Spell Casting Class</v>
          </cell>
          <cell r="AD38">
            <v>1</v>
          </cell>
          <cell r="AE38" t="str">
            <v>Select Manifesting Class</v>
          </cell>
          <cell r="AF38">
            <v>1</v>
          </cell>
          <cell r="AG38">
            <v>1</v>
          </cell>
          <cell r="AK38" t="str">
            <v>Select Meldshaping Class</v>
          </cell>
          <cell r="AL38">
            <v>1</v>
          </cell>
          <cell r="BX38">
            <v>0</v>
          </cell>
        </row>
        <row r="39">
          <cell r="A39" t="str">
            <v>RotD</v>
          </cell>
          <cell r="B39" t="b">
            <v>1</v>
          </cell>
          <cell r="T39">
            <v>1</v>
          </cell>
          <cell r="U39">
            <v>1</v>
          </cell>
          <cell r="W39" t="b">
            <v>0</v>
          </cell>
          <cell r="Z39" t="b">
            <v>0</v>
          </cell>
          <cell r="AA39">
            <v>1</v>
          </cell>
          <cell r="AB39">
            <v>1</v>
          </cell>
          <cell r="AC39" t="str">
            <v>Select Spell Casting Class</v>
          </cell>
          <cell r="AD39">
            <v>1</v>
          </cell>
          <cell r="AG39">
            <v>1</v>
          </cell>
          <cell r="AI39">
            <v>1</v>
          </cell>
          <cell r="AK39" t="str">
            <v>Select Meldshaping Class</v>
          </cell>
          <cell r="AL39">
            <v>1</v>
          </cell>
          <cell r="BX39">
            <v>0</v>
          </cell>
        </row>
        <row r="40">
          <cell r="A40" t="str">
            <v>RoS</v>
          </cell>
          <cell r="B40" t="b">
            <v>0</v>
          </cell>
          <cell r="T40">
            <v>1</v>
          </cell>
          <cell r="U40">
            <v>1</v>
          </cell>
          <cell r="W40" t="b">
            <v>0</v>
          </cell>
          <cell r="Z40" t="b">
            <v>0</v>
          </cell>
          <cell r="AA40">
            <v>1</v>
          </cell>
          <cell r="AB40">
            <v>1</v>
          </cell>
          <cell r="AC40" t="str">
            <v>Select Spell Casting Class</v>
          </cell>
          <cell r="AD40">
            <v>1</v>
          </cell>
          <cell r="AG40">
            <v>1</v>
          </cell>
          <cell r="AI40">
            <v>1</v>
          </cell>
          <cell r="AK40" t="str">
            <v>Select Meldshaping Class</v>
          </cell>
          <cell r="AL40">
            <v>1</v>
          </cell>
          <cell r="BX40">
            <v>0</v>
          </cell>
        </row>
        <row r="41">
          <cell r="A41" t="str">
            <v>RotW</v>
          </cell>
          <cell r="B41" t="b">
            <v>0</v>
          </cell>
          <cell r="T41">
            <v>1</v>
          </cell>
          <cell r="U41">
            <v>1</v>
          </cell>
          <cell r="AA41">
            <v>1</v>
          </cell>
          <cell r="AB41">
            <v>1</v>
          </cell>
          <cell r="AC41" t="str">
            <v>Select Spell Casting Class</v>
          </cell>
          <cell r="AD41">
            <v>1</v>
          </cell>
          <cell r="AG41">
            <v>1</v>
          </cell>
          <cell r="AI41">
            <v>1</v>
          </cell>
          <cell r="AK41" t="str">
            <v>Select Meldshaping Class</v>
          </cell>
          <cell r="AL41">
            <v>1</v>
          </cell>
          <cell r="BX41">
            <v>0</v>
          </cell>
        </row>
        <row r="42">
          <cell r="A42" t="str">
            <v>Frost</v>
          </cell>
          <cell r="B42" t="b">
            <v>0</v>
          </cell>
          <cell r="T42">
            <v>1</v>
          </cell>
          <cell r="U42">
            <v>1</v>
          </cell>
          <cell r="AA42">
            <v>1</v>
          </cell>
          <cell r="AB42">
            <v>1</v>
          </cell>
          <cell r="AC42" t="str">
            <v>Select Spell Casting Class</v>
          </cell>
          <cell r="AD42">
            <v>1</v>
          </cell>
          <cell r="AG42">
            <v>1</v>
          </cell>
          <cell r="AI42">
            <v>1</v>
          </cell>
          <cell r="AK42" t="str">
            <v>Select Meldshaping Class</v>
          </cell>
          <cell r="AL42">
            <v>1</v>
          </cell>
          <cell r="BX42">
            <v>0</v>
          </cell>
        </row>
        <row r="43">
          <cell r="A43" t="str">
            <v>Sand</v>
          </cell>
          <cell r="B43" t="b">
            <v>0</v>
          </cell>
          <cell r="F43">
            <v>1</v>
          </cell>
          <cell r="T43">
            <v>1</v>
          </cell>
          <cell r="U43">
            <v>1</v>
          </cell>
          <cell r="W43">
            <v>1</v>
          </cell>
          <cell r="AA43">
            <v>1</v>
          </cell>
          <cell r="AB43">
            <v>1</v>
          </cell>
          <cell r="AC43" t="str">
            <v>Select Spell Casting Class</v>
          </cell>
          <cell r="AD43">
            <v>1</v>
          </cell>
          <cell r="AG43">
            <v>1</v>
          </cell>
          <cell r="AI43">
            <v>1</v>
          </cell>
          <cell r="AK43" t="str">
            <v>Select Meldshaping Class</v>
          </cell>
          <cell r="AL43">
            <v>1</v>
          </cell>
          <cell r="BX43">
            <v>0</v>
          </cell>
        </row>
        <row r="44">
          <cell r="A44" t="str">
            <v>Sto</v>
          </cell>
          <cell r="B44" t="b">
            <v>0</v>
          </cell>
          <cell r="F44">
            <v>1</v>
          </cell>
          <cell r="K44">
            <v>1</v>
          </cell>
          <cell r="L44">
            <v>1</v>
          </cell>
          <cell r="M44">
            <v>1</v>
          </cell>
          <cell r="T44">
            <v>1</v>
          </cell>
          <cell r="U44">
            <v>1</v>
          </cell>
          <cell r="W44">
            <v>1</v>
          </cell>
          <cell r="AB44">
            <v>1</v>
          </cell>
          <cell r="AC44" t="str">
            <v>Select Spell Casting Class</v>
          </cell>
          <cell r="AD44">
            <v>1</v>
          </cell>
          <cell r="AG44">
            <v>1</v>
          </cell>
          <cell r="AK44" t="str">
            <v>Select Meldshaping Class</v>
          </cell>
          <cell r="AL44">
            <v>1</v>
          </cell>
          <cell r="BX44">
            <v>0</v>
          </cell>
        </row>
        <row r="45">
          <cell r="A45" t="str">
            <v>Ds</v>
          </cell>
          <cell r="B45" t="b">
            <v>0</v>
          </cell>
          <cell r="F45">
            <v>1</v>
          </cell>
          <cell r="K45">
            <v>1</v>
          </cell>
          <cell r="L45">
            <v>1</v>
          </cell>
          <cell r="M45">
            <v>1</v>
          </cell>
          <cell r="T45">
            <v>1</v>
          </cell>
          <cell r="U45">
            <v>1</v>
          </cell>
          <cell r="W45">
            <v>1</v>
          </cell>
          <cell r="Z45">
            <v>1</v>
          </cell>
          <cell r="AB45">
            <v>1</v>
          </cell>
          <cell r="AC45" t="str">
            <v>Select Spell Casting Class</v>
          </cell>
          <cell r="AD45">
            <v>1</v>
          </cell>
          <cell r="AK45" t="str">
            <v>Select Meldshaping Class</v>
          </cell>
          <cell r="AL45">
            <v>1</v>
          </cell>
          <cell r="BX45">
            <v>0</v>
          </cell>
        </row>
        <row r="46">
          <cell r="A46" t="str">
            <v>Ci</v>
          </cell>
          <cell r="B46" t="b">
            <v>0</v>
          </cell>
          <cell r="F46">
            <v>1</v>
          </cell>
          <cell r="T46">
            <v>1</v>
          </cell>
          <cell r="U46">
            <v>1</v>
          </cell>
          <cell r="W46">
            <v>1</v>
          </cell>
          <cell r="Z46">
            <v>1</v>
          </cell>
          <cell r="AB46">
            <v>1</v>
          </cell>
          <cell r="AC46" t="str">
            <v>Select Spell Casting Class</v>
          </cell>
          <cell r="AD46">
            <v>1</v>
          </cell>
          <cell r="AH46">
            <v>1</v>
          </cell>
          <cell r="AI46">
            <v>1</v>
          </cell>
          <cell r="AK46" t="str">
            <v>Select Meldshaping Class</v>
          </cell>
          <cell r="AL46">
            <v>1</v>
          </cell>
          <cell r="BX46">
            <v>0</v>
          </cell>
        </row>
        <row r="47">
          <cell r="A47" t="str">
            <v>HB</v>
          </cell>
          <cell r="B47" t="b">
            <v>0</v>
          </cell>
          <cell r="F47">
            <v>1</v>
          </cell>
          <cell r="K47">
            <v>1</v>
          </cell>
          <cell r="L47">
            <v>1</v>
          </cell>
          <cell r="M47">
            <v>1</v>
          </cell>
          <cell r="T47">
            <v>1</v>
          </cell>
          <cell r="U47">
            <v>1</v>
          </cell>
          <cell r="W47">
            <v>1</v>
          </cell>
          <cell r="Z47">
            <v>1</v>
          </cell>
          <cell r="AB47">
            <v>1</v>
          </cell>
          <cell r="AC47" t="str">
            <v>Select Spell Casting Class</v>
          </cell>
          <cell r="AD47">
            <v>1</v>
          </cell>
          <cell r="AE47">
            <v>1</v>
          </cell>
          <cell r="AG47">
            <v>1</v>
          </cell>
          <cell r="AH47">
            <v>1</v>
          </cell>
          <cell r="AI47">
            <v>1</v>
          </cell>
          <cell r="AK47" t="str">
            <v>Select Meldshaping Class</v>
          </cell>
          <cell r="AL47">
            <v>1</v>
          </cell>
          <cell r="BX47">
            <v>0</v>
          </cell>
        </row>
        <row r="48">
          <cell r="A48" t="str">
            <v>HH</v>
          </cell>
          <cell r="B48" t="b">
            <v>0</v>
          </cell>
          <cell r="F48">
            <v>1</v>
          </cell>
          <cell r="K48">
            <v>1</v>
          </cell>
          <cell r="L48">
            <v>1</v>
          </cell>
          <cell r="M48">
            <v>1</v>
          </cell>
          <cell r="T48">
            <v>1</v>
          </cell>
          <cell r="U48">
            <v>1</v>
          </cell>
          <cell r="W48">
            <v>1</v>
          </cell>
          <cell r="Z48">
            <v>1</v>
          </cell>
          <cell r="AA48">
            <v>1</v>
          </cell>
          <cell r="AB48">
            <v>1</v>
          </cell>
          <cell r="AC48" t="str">
            <v>Select Spell Casting Class</v>
          </cell>
          <cell r="AD48">
            <v>1</v>
          </cell>
          <cell r="AE48">
            <v>1</v>
          </cell>
          <cell r="AF48">
            <v>1</v>
          </cell>
          <cell r="AG48">
            <v>1</v>
          </cell>
          <cell r="AH48">
            <v>1</v>
          </cell>
          <cell r="AK48" t="str">
            <v>Select Meldshaping Class</v>
          </cell>
          <cell r="AL48">
            <v>1</v>
          </cell>
          <cell r="BX48">
            <v>0</v>
          </cell>
        </row>
        <row r="49">
          <cell r="A49" t="str">
            <v>ToB</v>
          </cell>
          <cell r="B49" t="b">
            <v>0</v>
          </cell>
          <cell r="T49">
            <v>1</v>
          </cell>
          <cell r="U49">
            <v>1</v>
          </cell>
          <cell r="W49">
            <v>1</v>
          </cell>
          <cell r="Z49">
            <v>1</v>
          </cell>
          <cell r="AA49">
            <v>1</v>
          </cell>
          <cell r="AB49">
            <v>1</v>
          </cell>
          <cell r="AC49" t="str">
            <v>Select Spell Casting Class</v>
          </cell>
          <cell r="AD49">
            <v>1</v>
          </cell>
          <cell r="AE49">
            <v>1</v>
          </cell>
          <cell r="AG49">
            <v>1</v>
          </cell>
          <cell r="AH49">
            <v>1</v>
          </cell>
          <cell r="AI49">
            <v>1</v>
          </cell>
          <cell r="AK49" t="str">
            <v>Select Meldshaping Class</v>
          </cell>
          <cell r="AL49">
            <v>1</v>
          </cell>
          <cell r="BX49">
            <v>0</v>
          </cell>
        </row>
        <row r="50">
          <cell r="A50" t="str">
            <v>ToM</v>
          </cell>
          <cell r="B50" t="b">
            <v>0</v>
          </cell>
          <cell r="K50">
            <v>1</v>
          </cell>
          <cell r="L50">
            <v>1</v>
          </cell>
          <cell r="M50">
            <v>1</v>
          </cell>
          <cell r="T50">
            <v>1</v>
          </cell>
          <cell r="W50">
            <v>1</v>
          </cell>
          <cell r="AA50">
            <v>1</v>
          </cell>
          <cell r="AB50">
            <v>1</v>
          </cell>
          <cell r="AC50" t="str">
            <v>Select Spell Casting Class</v>
          </cell>
          <cell r="AD50">
            <v>1</v>
          </cell>
          <cell r="AG50">
            <v>1</v>
          </cell>
          <cell r="AH50">
            <v>1</v>
          </cell>
          <cell r="AI50">
            <v>1</v>
          </cell>
          <cell r="AK50" t="str">
            <v>Select Meldshaping Class</v>
          </cell>
          <cell r="AL50">
            <v>1</v>
          </cell>
          <cell r="BU50" t="b">
            <v>0</v>
          </cell>
          <cell r="BX50">
            <v>0</v>
          </cell>
        </row>
        <row r="51">
          <cell r="A51" t="str">
            <v>BoED</v>
          </cell>
          <cell r="B51" t="b">
            <v>0</v>
          </cell>
          <cell r="K51">
            <v>1</v>
          </cell>
          <cell r="L51">
            <v>1</v>
          </cell>
          <cell r="M51">
            <v>1</v>
          </cell>
          <cell r="T51">
            <v>1</v>
          </cell>
          <cell r="W51">
            <v>1</v>
          </cell>
          <cell r="AA51">
            <v>1</v>
          </cell>
          <cell r="AB51">
            <v>1</v>
          </cell>
          <cell r="AC51" t="str">
            <v>Select Spell Casting Class</v>
          </cell>
          <cell r="AD51">
            <v>1</v>
          </cell>
          <cell r="AE51">
            <v>1</v>
          </cell>
          <cell r="AF51">
            <v>1</v>
          </cell>
          <cell r="AG51">
            <v>1</v>
          </cell>
          <cell r="AH51">
            <v>1</v>
          </cell>
          <cell r="AI51">
            <v>1</v>
          </cell>
          <cell r="AK51" t="str">
            <v>Select Meldshaping Class</v>
          </cell>
          <cell r="AL51">
            <v>1</v>
          </cell>
          <cell r="BD51">
            <v>1</v>
          </cell>
          <cell r="BE51">
            <v>1</v>
          </cell>
          <cell r="BF51">
            <v>1</v>
          </cell>
          <cell r="BG51">
            <v>1</v>
          </cell>
          <cell r="BU51" t="b">
            <v>0</v>
          </cell>
          <cell r="BX51">
            <v>0</v>
          </cell>
        </row>
        <row r="52">
          <cell r="A52" t="str">
            <v>BoVD</v>
          </cell>
          <cell r="B52" t="b">
            <v>0</v>
          </cell>
          <cell r="T52">
            <v>1</v>
          </cell>
          <cell r="W52">
            <v>1</v>
          </cell>
          <cell r="AB52">
            <v>1</v>
          </cell>
          <cell r="AC52" t="str">
            <v>Select Spell Casting Class</v>
          </cell>
          <cell r="AD52">
            <v>1</v>
          </cell>
          <cell r="AE52">
            <v>1</v>
          </cell>
          <cell r="AF52">
            <v>1</v>
          </cell>
          <cell r="AG52">
            <v>1</v>
          </cell>
          <cell r="AH52" t="b">
            <v>0</v>
          </cell>
          <cell r="AI52">
            <v>1</v>
          </cell>
          <cell r="AK52" t="str">
            <v>Select Meldshaping Class</v>
          </cell>
          <cell r="AL52">
            <v>1</v>
          </cell>
          <cell r="BD52">
            <v>1</v>
          </cell>
          <cell r="BE52">
            <v>1</v>
          </cell>
          <cell r="BF52">
            <v>1</v>
          </cell>
          <cell r="BG52">
            <v>1</v>
          </cell>
          <cell r="BU52" t="b">
            <v>0</v>
          </cell>
          <cell r="BX52">
            <v>0</v>
          </cell>
        </row>
        <row r="53">
          <cell r="A53" t="str">
            <v>SpC</v>
          </cell>
          <cell r="B53" t="b">
            <v>0</v>
          </cell>
          <cell r="K53">
            <v>1</v>
          </cell>
          <cell r="L53">
            <v>1</v>
          </cell>
          <cell r="M53">
            <v>1</v>
          </cell>
          <cell r="T53">
            <v>1</v>
          </cell>
          <cell r="AB53">
            <v>1</v>
          </cell>
          <cell r="AC53" t="str">
            <v>Select Spell Casting Class</v>
          </cell>
          <cell r="AD53">
            <v>1</v>
          </cell>
          <cell r="AE53">
            <v>1</v>
          </cell>
          <cell r="AI53">
            <v>1</v>
          </cell>
          <cell r="AK53" t="str">
            <v>Select Meldshaping Class</v>
          </cell>
          <cell r="AL53">
            <v>1</v>
          </cell>
          <cell r="BD53">
            <v>1</v>
          </cell>
          <cell r="BE53">
            <v>1</v>
          </cell>
          <cell r="BF53">
            <v>1</v>
          </cell>
          <cell r="BG53">
            <v>1</v>
          </cell>
          <cell r="BU53" t="b">
            <v>0</v>
          </cell>
          <cell r="BX53">
            <v>0</v>
          </cell>
        </row>
        <row r="54">
          <cell r="A54" t="str">
            <v>MH</v>
          </cell>
          <cell r="B54" t="b">
            <v>0</v>
          </cell>
          <cell r="K54">
            <v>1</v>
          </cell>
          <cell r="L54">
            <v>1</v>
          </cell>
          <cell r="M54">
            <v>1</v>
          </cell>
          <cell r="T54">
            <v>1</v>
          </cell>
          <cell r="W54">
            <v>1</v>
          </cell>
          <cell r="AB54">
            <v>1</v>
          </cell>
          <cell r="AC54" t="str">
            <v>Select Spell Casting Class</v>
          </cell>
          <cell r="AD54">
            <v>1</v>
          </cell>
          <cell r="AE54">
            <v>1</v>
          </cell>
          <cell r="AI54">
            <v>1</v>
          </cell>
          <cell r="AK54" t="str">
            <v>Select Meldshaping Class</v>
          </cell>
          <cell r="AL54">
            <v>1</v>
          </cell>
          <cell r="BU54" t="b">
            <v>0</v>
          </cell>
          <cell r="BX54">
            <v>0</v>
          </cell>
        </row>
        <row r="55">
          <cell r="A55" t="str">
            <v>PHB2</v>
          </cell>
          <cell r="B55" t="b">
            <v>0</v>
          </cell>
          <cell r="T55">
            <v>1</v>
          </cell>
          <cell r="W55">
            <v>1</v>
          </cell>
          <cell r="AB55">
            <v>1</v>
          </cell>
          <cell r="AC55" t="str">
            <v>Select Spell Casting Class</v>
          </cell>
          <cell r="AD55">
            <v>1</v>
          </cell>
          <cell r="AF55">
            <v>1</v>
          </cell>
          <cell r="AI55">
            <v>1</v>
          </cell>
          <cell r="AK55" t="str">
            <v>Select Meldshaping Class</v>
          </cell>
          <cell r="AL55">
            <v>1</v>
          </cell>
          <cell r="BD55">
            <v>1</v>
          </cell>
          <cell r="BE55">
            <v>1</v>
          </cell>
          <cell r="BF55">
            <v>1</v>
          </cell>
          <cell r="BU55" t="b">
            <v>0</v>
          </cell>
          <cell r="BX55">
            <v>0</v>
          </cell>
        </row>
        <row r="56">
          <cell r="A56" t="str">
            <v>XPH</v>
          </cell>
          <cell r="B56" t="b">
            <v>0</v>
          </cell>
          <cell r="T56">
            <v>1</v>
          </cell>
          <cell r="W56">
            <v>1</v>
          </cell>
          <cell r="AB56">
            <v>1</v>
          </cell>
          <cell r="AC56" t="str">
            <v>Select Spell Casting Class</v>
          </cell>
          <cell r="AD56">
            <v>1</v>
          </cell>
          <cell r="AE56">
            <v>1</v>
          </cell>
          <cell r="AF56">
            <v>1</v>
          </cell>
          <cell r="AK56" t="str">
            <v>Select Meldshaping Class</v>
          </cell>
          <cell r="AL56">
            <v>1</v>
          </cell>
          <cell r="BD56">
            <v>1</v>
          </cell>
          <cell r="BE56">
            <v>1</v>
          </cell>
          <cell r="BF56">
            <v>1</v>
          </cell>
          <cell r="BU56" t="b">
            <v>0</v>
          </cell>
          <cell r="BX56">
            <v>0</v>
          </cell>
        </row>
        <row r="57">
          <cell r="A57" t="str">
            <v>PlH</v>
          </cell>
          <cell r="B57" t="b">
            <v>1</v>
          </cell>
          <cell r="T57">
            <v>1</v>
          </cell>
          <cell r="W57">
            <v>1</v>
          </cell>
          <cell r="AB57">
            <v>1</v>
          </cell>
          <cell r="AC57" t="str">
            <v>Select Spell Casting Class</v>
          </cell>
          <cell r="AD57">
            <v>1</v>
          </cell>
          <cell r="AE57">
            <v>1</v>
          </cell>
          <cell r="AF57">
            <v>1</v>
          </cell>
          <cell r="AI57">
            <v>1</v>
          </cell>
          <cell r="AK57" t="str">
            <v>Select Meldshaping Class</v>
          </cell>
          <cell r="AL57">
            <v>1</v>
          </cell>
          <cell r="BD57">
            <v>1</v>
          </cell>
          <cell r="BE57">
            <v>1</v>
          </cell>
          <cell r="BF57">
            <v>1</v>
          </cell>
          <cell r="BG57">
            <v>1</v>
          </cell>
          <cell r="BU57" t="b">
            <v>0</v>
          </cell>
          <cell r="BV57">
            <v>1</v>
          </cell>
          <cell r="BX57">
            <v>0</v>
          </cell>
        </row>
        <row r="58">
          <cell r="A58" t="str">
            <v>MoI</v>
          </cell>
          <cell r="B58" t="b">
            <v>0</v>
          </cell>
          <cell r="T58">
            <v>1</v>
          </cell>
          <cell r="W58">
            <v>1</v>
          </cell>
          <cell r="AC58" t="str">
            <v>Select Spell Casting Class</v>
          </cell>
          <cell r="AD58">
            <v>1</v>
          </cell>
          <cell r="AE58">
            <v>1</v>
          </cell>
          <cell r="AF58">
            <v>1</v>
          </cell>
          <cell r="AI58">
            <v>1</v>
          </cell>
          <cell r="AK58" t="str">
            <v>Select Meldshaping Class</v>
          </cell>
          <cell r="AL58">
            <v>1</v>
          </cell>
          <cell r="BU58" t="b">
            <v>0</v>
          </cell>
          <cell r="BX58">
            <v>0</v>
          </cell>
        </row>
        <row r="59">
          <cell r="A59" t="str">
            <v>ELH</v>
          </cell>
          <cell r="B59" t="b">
            <v>1</v>
          </cell>
          <cell r="T59">
            <v>1</v>
          </cell>
          <cell r="W59">
            <v>1</v>
          </cell>
          <cell r="AC59" t="str">
            <v>Select Spell Casting Class</v>
          </cell>
          <cell r="AD59">
            <v>1</v>
          </cell>
          <cell r="AI59">
            <v>1</v>
          </cell>
          <cell r="AK59" t="str">
            <v>Select Meldshaping Class</v>
          </cell>
          <cell r="AL59">
            <v>1</v>
          </cell>
          <cell r="BD59">
            <v>1</v>
          </cell>
          <cell r="BE59">
            <v>1</v>
          </cell>
          <cell r="BF59">
            <v>1</v>
          </cell>
          <cell r="BU59" t="b">
            <v>0</v>
          </cell>
          <cell r="BX59">
            <v>0</v>
          </cell>
        </row>
        <row r="60">
          <cell r="T60">
            <v>1</v>
          </cell>
          <cell r="W60">
            <v>1</v>
          </cell>
          <cell r="AC60" t="str">
            <v>Select Spell Casting Class</v>
          </cell>
          <cell r="AD60">
            <v>1</v>
          </cell>
          <cell r="AE60">
            <v>1</v>
          </cell>
          <cell r="AF60">
            <v>1</v>
          </cell>
          <cell r="AK60" t="str">
            <v>Select Meldshaping Class</v>
          </cell>
          <cell r="AL60">
            <v>1</v>
          </cell>
          <cell r="BD60">
            <v>1</v>
          </cell>
          <cell r="BE60">
            <v>1</v>
          </cell>
          <cell r="BF60">
            <v>1</v>
          </cell>
          <cell r="BU60" t="b">
            <v>0</v>
          </cell>
          <cell r="BX60">
            <v>0</v>
          </cell>
        </row>
        <row r="61">
          <cell r="A61" t="str">
            <v>Monster Sources</v>
          </cell>
          <cell r="T61">
            <v>1</v>
          </cell>
          <cell r="AC61" t="str">
            <v>Select Spell Casting Class</v>
          </cell>
          <cell r="AD61">
            <v>1</v>
          </cell>
          <cell r="AE61">
            <v>1</v>
          </cell>
          <cell r="AF61">
            <v>1</v>
          </cell>
          <cell r="AI61">
            <v>1</v>
          </cell>
          <cell r="AJ61">
            <v>1</v>
          </cell>
          <cell r="AK61" t="str">
            <v>Select Meldshaping Class</v>
          </cell>
          <cell r="AL61">
            <v>1</v>
          </cell>
          <cell r="BD61">
            <v>1</v>
          </cell>
          <cell r="BE61">
            <v>1</v>
          </cell>
          <cell r="BF61">
            <v>1</v>
          </cell>
          <cell r="BG61">
            <v>1</v>
          </cell>
          <cell r="BU61" t="b">
            <v>0</v>
          </cell>
          <cell r="BX61">
            <v>0</v>
          </cell>
        </row>
        <row r="62">
          <cell r="A62" t="str">
            <v>MM</v>
          </cell>
          <cell r="B62" t="b">
            <v>1</v>
          </cell>
          <cell r="T62">
            <v>1</v>
          </cell>
          <cell r="W62">
            <v>1</v>
          </cell>
          <cell r="AC62" t="str">
            <v>Select Spell Casting Class</v>
          </cell>
          <cell r="AD62">
            <v>1</v>
          </cell>
          <cell r="AE62">
            <v>1</v>
          </cell>
          <cell r="AF62">
            <v>1</v>
          </cell>
          <cell r="AI62">
            <v>1</v>
          </cell>
          <cell r="AJ62">
            <v>1</v>
          </cell>
          <cell r="BU62" t="b">
            <v>0</v>
          </cell>
          <cell r="BX62">
            <v>0</v>
          </cell>
        </row>
        <row r="63">
          <cell r="A63" t="str">
            <v>MM2</v>
          </cell>
          <cell r="B63" t="b">
            <v>0</v>
          </cell>
          <cell r="T63">
            <v>1</v>
          </cell>
          <cell r="W63">
            <v>1</v>
          </cell>
          <cell r="AC63" t="str">
            <v>Select Spell Casting Class</v>
          </cell>
          <cell r="AD63">
            <v>1</v>
          </cell>
          <cell r="AE63">
            <v>1</v>
          </cell>
          <cell r="AI63">
            <v>1</v>
          </cell>
          <cell r="AJ63">
            <v>1</v>
          </cell>
          <cell r="BD63">
            <v>1</v>
          </cell>
          <cell r="BE63">
            <v>1</v>
          </cell>
          <cell r="BF63">
            <v>1</v>
          </cell>
          <cell r="BU63" t="b">
            <v>0</v>
          </cell>
          <cell r="BX63">
            <v>0</v>
          </cell>
        </row>
        <row r="64">
          <cell r="A64" t="str">
            <v>MM3</v>
          </cell>
          <cell r="B64" t="b">
            <v>0</v>
          </cell>
          <cell r="T64">
            <v>1</v>
          </cell>
          <cell r="AE64">
            <v>1</v>
          </cell>
          <cell r="AF64">
            <v>1</v>
          </cell>
          <cell r="AI64">
            <v>1</v>
          </cell>
          <cell r="AJ64">
            <v>1</v>
          </cell>
          <cell r="BD64">
            <v>1</v>
          </cell>
          <cell r="BE64">
            <v>1</v>
          </cell>
          <cell r="BF64">
            <v>1</v>
          </cell>
          <cell r="BU64" t="b">
            <v>0</v>
          </cell>
          <cell r="BX64">
            <v>0</v>
          </cell>
        </row>
        <row r="65">
          <cell r="A65" t="str">
            <v>MM4</v>
          </cell>
          <cell r="B65" t="b">
            <v>0</v>
          </cell>
          <cell r="T65">
            <v>1</v>
          </cell>
          <cell r="W65">
            <v>1</v>
          </cell>
          <cell r="AI65">
            <v>1</v>
          </cell>
          <cell r="AJ65">
            <v>1</v>
          </cell>
          <cell r="BD65">
            <v>1</v>
          </cell>
          <cell r="BE65">
            <v>1</v>
          </cell>
          <cell r="BF65">
            <v>1</v>
          </cell>
          <cell r="BU65" t="b">
            <v>0</v>
          </cell>
          <cell r="BX65">
            <v>0</v>
          </cell>
        </row>
        <row r="66">
          <cell r="A66" t="str">
            <v>MM5</v>
          </cell>
          <cell r="T66">
            <v>1</v>
          </cell>
          <cell r="W66">
            <v>1</v>
          </cell>
          <cell r="AF66">
            <v>1</v>
          </cell>
          <cell r="AG66">
            <v>1</v>
          </cell>
          <cell r="AI66">
            <v>1</v>
          </cell>
          <cell r="AJ66">
            <v>1</v>
          </cell>
          <cell r="BU66" t="b">
            <v>0</v>
          </cell>
          <cell r="BX66">
            <v>0</v>
          </cell>
        </row>
        <row r="67">
          <cell r="A67" t="str">
            <v>SS</v>
          </cell>
          <cell r="B67" t="b">
            <v>0</v>
          </cell>
          <cell r="T67">
            <v>1</v>
          </cell>
          <cell r="W67">
            <v>1</v>
          </cell>
          <cell r="AG67">
            <v>1</v>
          </cell>
          <cell r="AI67">
            <v>1</v>
          </cell>
          <cell r="BU67" t="b">
            <v>0</v>
          </cell>
          <cell r="BX67">
            <v>0</v>
          </cell>
        </row>
        <row r="68">
          <cell r="A68" t="str">
            <v>SV Mon Class</v>
          </cell>
          <cell r="B68" t="b">
            <v>0</v>
          </cell>
          <cell r="T68">
            <v>1</v>
          </cell>
          <cell r="W68">
            <v>1</v>
          </cell>
          <cell r="AG68">
            <v>1</v>
          </cell>
          <cell r="AI68">
            <v>1</v>
          </cell>
          <cell r="AN68" t="b">
            <v>0</v>
          </cell>
          <cell r="BD68">
            <v>1</v>
          </cell>
          <cell r="BE68">
            <v>1</v>
          </cell>
          <cell r="BF68">
            <v>1</v>
          </cell>
          <cell r="BU68" t="b">
            <v>0</v>
          </cell>
          <cell r="BX68">
            <v>0</v>
          </cell>
        </row>
        <row r="69">
          <cell r="A69" t="str">
            <v>FF</v>
          </cell>
          <cell r="B69" t="b">
            <v>0</v>
          </cell>
          <cell r="W69">
            <v>1</v>
          </cell>
          <cell r="AG69">
            <v>1</v>
          </cell>
          <cell r="AI69">
            <v>1</v>
          </cell>
          <cell r="AN69" t="b">
            <v>0</v>
          </cell>
          <cell r="BU69" t="b">
            <v>0</v>
          </cell>
          <cell r="BX69">
            <v>0</v>
          </cell>
        </row>
        <row r="70">
          <cell r="A70" t="str">
            <v>Dr</v>
          </cell>
          <cell r="B70" t="b">
            <v>0</v>
          </cell>
          <cell r="E70">
            <v>0</v>
          </cell>
          <cell r="AN70" t="b">
            <v>0</v>
          </cell>
          <cell r="BD70">
            <v>1</v>
          </cell>
          <cell r="BE70">
            <v>1</v>
          </cell>
          <cell r="BF70">
            <v>1</v>
          </cell>
          <cell r="BU70" t="b">
            <v>0</v>
          </cell>
          <cell r="BX70">
            <v>0</v>
          </cell>
        </row>
        <row r="71">
          <cell r="A71" t="str">
            <v>DrM</v>
          </cell>
          <cell r="B71" t="b">
            <v>0</v>
          </cell>
          <cell r="W71">
            <v>1</v>
          </cell>
          <cell r="X71">
            <v>1</v>
          </cell>
          <cell r="BD71">
            <v>1</v>
          </cell>
          <cell r="BE71">
            <v>1</v>
          </cell>
          <cell r="BF71">
            <v>1</v>
          </cell>
          <cell r="BU71" t="b">
            <v>0</v>
          </cell>
          <cell r="BX71">
            <v>0</v>
          </cell>
        </row>
        <row r="72">
          <cell r="A72" t="str">
            <v>LM</v>
          </cell>
          <cell r="B72" t="b">
            <v>0</v>
          </cell>
          <cell r="E72" t="b">
            <v>0</v>
          </cell>
          <cell r="F72" t="b">
            <v>0</v>
          </cell>
          <cell r="G72" t="b">
            <v>0</v>
          </cell>
          <cell r="H72" t="b">
            <v>0</v>
          </cell>
          <cell r="I72" t="b">
            <v>0</v>
          </cell>
          <cell r="J72" t="b">
            <v>0</v>
          </cell>
          <cell r="K72" t="b">
            <v>0</v>
          </cell>
          <cell r="L72" t="b">
            <v>0</v>
          </cell>
          <cell r="M72" t="b">
            <v>0</v>
          </cell>
          <cell r="N72" t="b">
            <v>0</v>
          </cell>
          <cell r="O72" t="b">
            <v>0</v>
          </cell>
          <cell r="P72" t="b">
            <v>0</v>
          </cell>
          <cell r="Q72" t="b">
            <v>0</v>
          </cell>
          <cell r="R72" t="b">
            <v>0</v>
          </cell>
          <cell r="S72" t="b">
            <v>0</v>
          </cell>
          <cell r="T72" t="b">
            <v>0</v>
          </cell>
          <cell r="U72" t="b">
            <v>0</v>
          </cell>
          <cell r="V72" t="b">
            <v>0</v>
          </cell>
          <cell r="W72">
            <v>1</v>
          </cell>
          <cell r="X72">
            <v>1</v>
          </cell>
          <cell r="BU72" t="b">
            <v>0</v>
          </cell>
          <cell r="BX72">
            <v>0</v>
          </cell>
        </row>
        <row r="73">
          <cell r="A73" t="str">
            <v>LoM</v>
          </cell>
          <cell r="B73" t="b">
            <v>0</v>
          </cell>
          <cell r="E73" t="b">
            <v>0</v>
          </cell>
          <cell r="F73" t="b">
            <v>0</v>
          </cell>
          <cell r="G73" t="b">
            <v>0</v>
          </cell>
          <cell r="H73" t="b">
            <v>0</v>
          </cell>
          <cell r="I73" t="b">
            <v>0</v>
          </cell>
          <cell r="J73" t="b">
            <v>0</v>
          </cell>
          <cell r="K73" t="b">
            <v>0</v>
          </cell>
          <cell r="L73" t="b">
            <v>0</v>
          </cell>
          <cell r="M73" t="b">
            <v>0</v>
          </cell>
          <cell r="N73" t="b">
            <v>0</v>
          </cell>
          <cell r="O73" t="b">
            <v>0</v>
          </cell>
          <cell r="P73" t="b">
            <v>0</v>
          </cell>
          <cell r="Q73" t="b">
            <v>0</v>
          </cell>
          <cell r="R73" t="b">
            <v>0</v>
          </cell>
          <cell r="S73" t="b">
            <v>0</v>
          </cell>
          <cell r="T73" t="b">
            <v>0</v>
          </cell>
          <cell r="U73" t="b">
            <v>0</v>
          </cell>
          <cell r="V73" t="b">
            <v>0</v>
          </cell>
          <cell r="W73">
            <v>1</v>
          </cell>
          <cell r="X73">
            <v>1</v>
          </cell>
          <cell r="BU73" t="b">
            <v>0</v>
          </cell>
          <cell r="BX73">
            <v>0</v>
          </cell>
        </row>
        <row r="74">
          <cell r="A74" t="str">
            <v>FCII</v>
          </cell>
          <cell r="B74" t="b">
            <v>1</v>
          </cell>
          <cell r="E74" t="b">
            <v>0</v>
          </cell>
          <cell r="F74" t="b">
            <v>0</v>
          </cell>
          <cell r="G74" t="b">
            <v>0</v>
          </cell>
          <cell r="H74" t="b">
            <v>0</v>
          </cell>
          <cell r="I74" t="b">
            <v>0</v>
          </cell>
          <cell r="J74" t="b">
            <v>0</v>
          </cell>
          <cell r="K74" t="b">
            <v>0</v>
          </cell>
          <cell r="L74" t="b">
            <v>0</v>
          </cell>
          <cell r="M74" t="b">
            <v>0</v>
          </cell>
          <cell r="N74" t="b">
            <v>0</v>
          </cell>
          <cell r="O74" t="b">
            <v>0</v>
          </cell>
          <cell r="P74" t="b">
            <v>0</v>
          </cell>
          <cell r="Q74" t="b">
            <v>0</v>
          </cell>
          <cell r="R74" t="b">
            <v>0</v>
          </cell>
          <cell r="S74" t="b">
            <v>0</v>
          </cell>
          <cell r="T74" t="b">
            <v>0</v>
          </cell>
          <cell r="U74" t="b">
            <v>0</v>
          </cell>
          <cell r="V74" t="b">
            <v>0</v>
          </cell>
          <cell r="W74">
            <v>1</v>
          </cell>
          <cell r="X74">
            <v>1</v>
          </cell>
          <cell r="BU74" t="b">
            <v>0</v>
          </cell>
          <cell r="BX74">
            <v>0</v>
          </cell>
        </row>
        <row r="75">
          <cell r="E75" t="b">
            <v>0</v>
          </cell>
          <cell r="F75" t="b">
            <v>0</v>
          </cell>
          <cell r="G75" t="b">
            <v>0</v>
          </cell>
          <cell r="H75" t="b">
            <v>0</v>
          </cell>
          <cell r="I75" t="b">
            <v>0</v>
          </cell>
          <cell r="J75" t="b">
            <v>0</v>
          </cell>
          <cell r="K75" t="b">
            <v>0</v>
          </cell>
          <cell r="L75" t="b">
            <v>0</v>
          </cell>
          <cell r="M75" t="b">
            <v>0</v>
          </cell>
          <cell r="N75" t="b">
            <v>0</v>
          </cell>
          <cell r="O75" t="b">
            <v>0</v>
          </cell>
          <cell r="P75" t="b">
            <v>0</v>
          </cell>
          <cell r="Q75" t="b">
            <v>0</v>
          </cell>
          <cell r="R75" t="b">
            <v>0</v>
          </cell>
          <cell r="S75" t="b">
            <v>0</v>
          </cell>
          <cell r="T75" t="b">
            <v>0</v>
          </cell>
          <cell r="U75" t="b">
            <v>0</v>
          </cell>
          <cell r="V75" t="b">
            <v>0</v>
          </cell>
          <cell r="W75">
            <v>1</v>
          </cell>
          <cell r="X75">
            <v>1</v>
          </cell>
          <cell r="BU75" t="b">
            <v>0</v>
          </cell>
          <cell r="BX75">
            <v>0</v>
          </cell>
        </row>
        <row r="76">
          <cell r="A76" t="str">
            <v>Forgotten Realms</v>
          </cell>
          <cell r="E76" t="b">
            <v>0</v>
          </cell>
          <cell r="F76" t="b">
            <v>0</v>
          </cell>
          <cell r="G76" t="b">
            <v>0</v>
          </cell>
          <cell r="H76" t="b">
            <v>0</v>
          </cell>
          <cell r="I76" t="b">
            <v>0</v>
          </cell>
          <cell r="J76" t="b">
            <v>0</v>
          </cell>
          <cell r="K76" t="b">
            <v>0</v>
          </cell>
          <cell r="L76" t="b">
            <v>0</v>
          </cell>
          <cell r="M76" t="b">
            <v>0</v>
          </cell>
          <cell r="N76" t="b">
            <v>0</v>
          </cell>
          <cell r="O76" t="b">
            <v>0</v>
          </cell>
          <cell r="P76" t="b">
            <v>0</v>
          </cell>
          <cell r="Q76" t="b">
            <v>0</v>
          </cell>
          <cell r="R76" t="b">
            <v>0</v>
          </cell>
          <cell r="S76" t="b">
            <v>0</v>
          </cell>
          <cell r="T76" t="b">
            <v>0</v>
          </cell>
          <cell r="U76" t="b">
            <v>0</v>
          </cell>
          <cell r="V76" t="b">
            <v>0</v>
          </cell>
          <cell r="W76">
            <v>1</v>
          </cell>
          <cell r="X76">
            <v>1</v>
          </cell>
          <cell r="BU76" t="b">
            <v>0</v>
          </cell>
          <cell r="BX76">
            <v>0</v>
          </cell>
        </row>
        <row r="77">
          <cell r="A77" t="str">
            <v>FRCS</v>
          </cell>
          <cell r="B77" t="b">
            <v>0</v>
          </cell>
          <cell r="E77" t="b">
            <v>0</v>
          </cell>
          <cell r="F77" t="b">
            <v>0</v>
          </cell>
          <cell r="G77" t="b">
            <v>0</v>
          </cell>
          <cell r="H77" t="b">
            <v>0</v>
          </cell>
          <cell r="I77" t="b">
            <v>0</v>
          </cell>
          <cell r="J77" t="b">
            <v>0</v>
          </cell>
          <cell r="K77" t="b">
            <v>0</v>
          </cell>
          <cell r="L77" t="b">
            <v>0</v>
          </cell>
          <cell r="M77" t="b">
            <v>0</v>
          </cell>
          <cell r="N77" t="b">
            <v>0</v>
          </cell>
          <cell r="O77" t="b">
            <v>0</v>
          </cell>
          <cell r="P77" t="b">
            <v>0</v>
          </cell>
          <cell r="Q77" t="b">
            <v>0</v>
          </cell>
          <cell r="R77" t="b">
            <v>0</v>
          </cell>
          <cell r="S77" t="b">
            <v>0</v>
          </cell>
          <cell r="T77" t="b">
            <v>0</v>
          </cell>
          <cell r="U77" t="b">
            <v>0</v>
          </cell>
          <cell r="V77" t="b">
            <v>0</v>
          </cell>
          <cell r="W77">
            <v>1</v>
          </cell>
          <cell r="X77">
            <v>1</v>
          </cell>
          <cell r="Y77" t="b">
            <v>0</v>
          </cell>
          <cell r="Z77" t="b">
            <v>0</v>
          </cell>
          <cell r="AA77" t="b">
            <v>0</v>
          </cell>
          <cell r="AB77" t="b">
            <v>0</v>
          </cell>
          <cell r="AC77" t="b">
            <v>0</v>
          </cell>
          <cell r="AD77" t="b">
            <v>0</v>
          </cell>
          <cell r="AE77" t="b">
            <v>0</v>
          </cell>
          <cell r="AF77" t="b">
            <v>0</v>
          </cell>
          <cell r="AG77" t="b">
            <v>0</v>
          </cell>
          <cell r="AH77">
            <v>0</v>
          </cell>
          <cell r="AI77" t="b">
            <v>0</v>
          </cell>
          <cell r="BU77" t="b">
            <v>0</v>
          </cell>
          <cell r="BX77">
            <v>0</v>
          </cell>
        </row>
        <row r="78">
          <cell r="A78" t="str">
            <v>PGtF</v>
          </cell>
          <cell r="B78" t="b">
            <v>1</v>
          </cell>
          <cell r="E78" t="b">
            <v>0</v>
          </cell>
          <cell r="F78" t="b">
            <v>0</v>
          </cell>
          <cell r="G78" t="b">
            <v>0</v>
          </cell>
          <cell r="H78" t="b">
            <v>0</v>
          </cell>
          <cell r="I78" t="b">
            <v>0</v>
          </cell>
          <cell r="J78" t="b">
            <v>0</v>
          </cell>
          <cell r="K78" t="b">
            <v>0</v>
          </cell>
          <cell r="L78" t="b">
            <v>0</v>
          </cell>
          <cell r="M78" t="b">
            <v>0</v>
          </cell>
          <cell r="N78" t="b">
            <v>0</v>
          </cell>
          <cell r="O78" t="b">
            <v>0</v>
          </cell>
          <cell r="P78" t="b">
            <v>0</v>
          </cell>
          <cell r="Q78" t="b">
            <v>0</v>
          </cell>
          <cell r="R78" t="b">
            <v>0</v>
          </cell>
          <cell r="S78" t="b">
            <v>0</v>
          </cell>
          <cell r="T78" t="b">
            <v>0</v>
          </cell>
          <cell r="U78" t="b">
            <v>0</v>
          </cell>
          <cell r="V78" t="b">
            <v>0</v>
          </cell>
          <cell r="X78">
            <v>1</v>
          </cell>
          <cell r="Y78" t="b">
            <v>0</v>
          </cell>
          <cell r="Z78" t="b">
            <v>0</v>
          </cell>
          <cell r="AA78" t="b">
            <v>0</v>
          </cell>
          <cell r="AB78" t="b">
            <v>0</v>
          </cell>
          <cell r="AC78" t="b">
            <v>0</v>
          </cell>
          <cell r="AD78" t="b">
            <v>0</v>
          </cell>
          <cell r="AE78" t="b">
            <v>0</v>
          </cell>
          <cell r="AF78" t="b">
            <v>0</v>
          </cell>
          <cell r="AG78" t="b">
            <v>0</v>
          </cell>
          <cell r="AH78" t="b">
            <v>0</v>
          </cell>
          <cell r="AI78" t="b">
            <v>0</v>
          </cell>
          <cell r="BU78" t="b">
            <v>0</v>
          </cell>
          <cell r="BX78">
            <v>0</v>
          </cell>
        </row>
        <row r="79">
          <cell r="A79" t="str">
            <v>MoF</v>
          </cell>
          <cell r="B79" t="b">
            <v>0</v>
          </cell>
          <cell r="E79" t="b">
            <v>0</v>
          </cell>
          <cell r="F79" t="b">
            <v>0</v>
          </cell>
          <cell r="G79" t="b">
            <v>0</v>
          </cell>
          <cell r="H79" t="b">
            <v>0</v>
          </cell>
          <cell r="I79" t="b">
            <v>0</v>
          </cell>
          <cell r="J79" t="b">
            <v>0</v>
          </cell>
          <cell r="K79" t="b">
            <v>0</v>
          </cell>
          <cell r="L79" t="b">
            <v>0</v>
          </cell>
          <cell r="M79" t="b">
            <v>0</v>
          </cell>
          <cell r="N79" t="b">
            <v>0</v>
          </cell>
          <cell r="O79" t="b">
            <v>0</v>
          </cell>
          <cell r="P79" t="b">
            <v>0</v>
          </cell>
          <cell r="Q79" t="b">
            <v>0</v>
          </cell>
          <cell r="R79" t="b">
            <v>0</v>
          </cell>
          <cell r="S79" t="b">
            <v>0</v>
          </cell>
          <cell r="T79" t="b">
            <v>0</v>
          </cell>
          <cell r="U79" t="b">
            <v>0</v>
          </cell>
          <cell r="V79" t="b">
            <v>0</v>
          </cell>
          <cell r="X79">
            <v>1</v>
          </cell>
          <cell r="Y79" t="b">
            <v>0</v>
          </cell>
          <cell r="Z79" t="b">
            <v>0</v>
          </cell>
          <cell r="AA79" t="b">
            <v>0</v>
          </cell>
          <cell r="AB79" t="b">
            <v>0</v>
          </cell>
          <cell r="AC79" t="b">
            <v>0</v>
          </cell>
          <cell r="AD79" t="b">
            <v>0</v>
          </cell>
          <cell r="AE79" t="b">
            <v>0</v>
          </cell>
          <cell r="AF79" t="b">
            <v>0</v>
          </cell>
          <cell r="AG79" t="b">
            <v>0</v>
          </cell>
          <cell r="AH79" t="b">
            <v>0</v>
          </cell>
          <cell r="AI79" t="b">
            <v>0</v>
          </cell>
          <cell r="BU79" t="b">
            <v>0</v>
          </cell>
          <cell r="BX79">
            <v>0</v>
          </cell>
        </row>
        <row r="80">
          <cell r="A80" t="str">
            <v>RoF</v>
          </cell>
          <cell r="B80" t="b">
            <v>0</v>
          </cell>
          <cell r="E80" t="b">
            <v>0</v>
          </cell>
          <cell r="F80" t="b">
            <v>0</v>
          </cell>
          <cell r="G80" t="b">
            <v>0</v>
          </cell>
          <cell r="H80" t="b">
            <v>0</v>
          </cell>
          <cell r="I80" t="b">
            <v>0</v>
          </cell>
          <cell r="J80" t="b">
            <v>0</v>
          </cell>
          <cell r="K80" t="b">
            <v>0</v>
          </cell>
          <cell r="L80" t="b">
            <v>0</v>
          </cell>
          <cell r="M80" t="b">
            <v>0</v>
          </cell>
          <cell r="N80" t="b">
            <v>0</v>
          </cell>
          <cell r="O80" t="b">
            <v>0</v>
          </cell>
          <cell r="P80" t="b">
            <v>0</v>
          </cell>
          <cell r="Q80" t="b">
            <v>0</v>
          </cell>
          <cell r="R80" t="b">
            <v>0</v>
          </cell>
          <cell r="S80" t="b">
            <v>0</v>
          </cell>
          <cell r="T80" t="b">
            <v>0</v>
          </cell>
          <cell r="U80" t="b">
            <v>0</v>
          </cell>
          <cell r="V80" t="b">
            <v>0</v>
          </cell>
          <cell r="X80">
            <v>1</v>
          </cell>
          <cell r="Y80" t="b">
            <v>0</v>
          </cell>
          <cell r="Z80" t="b">
            <v>0</v>
          </cell>
          <cell r="AA80" t="b">
            <v>0</v>
          </cell>
          <cell r="AB80" t="b">
            <v>0</v>
          </cell>
          <cell r="AC80" t="b">
            <v>0</v>
          </cell>
          <cell r="AD80" t="b">
            <v>0</v>
          </cell>
          <cell r="AE80" t="b">
            <v>0</v>
          </cell>
          <cell r="AF80" t="b">
            <v>0</v>
          </cell>
          <cell r="AG80" t="b">
            <v>0</v>
          </cell>
          <cell r="AH80" t="b">
            <v>0</v>
          </cell>
          <cell r="AI80" t="b">
            <v>0</v>
          </cell>
          <cell r="BU80" t="b">
            <v>0</v>
          </cell>
          <cell r="BX80">
            <v>0</v>
          </cell>
        </row>
        <row r="81">
          <cell r="A81" t="str">
            <v>UD</v>
          </cell>
          <cell r="B81" t="b">
            <v>0</v>
          </cell>
          <cell r="E81" t="b">
            <v>0</v>
          </cell>
          <cell r="F81" t="b">
            <v>0</v>
          </cell>
          <cell r="G81" t="b">
            <v>0</v>
          </cell>
          <cell r="H81" t="b">
            <v>0</v>
          </cell>
          <cell r="I81" t="b">
            <v>0</v>
          </cell>
          <cell r="J81" t="b">
            <v>0</v>
          </cell>
          <cell r="K81" t="b">
            <v>0</v>
          </cell>
          <cell r="L81" t="b">
            <v>0</v>
          </cell>
          <cell r="M81" t="b">
            <v>0</v>
          </cell>
          <cell r="N81" t="b">
            <v>0</v>
          </cell>
          <cell r="O81" t="b">
            <v>0</v>
          </cell>
          <cell r="P81" t="b">
            <v>0</v>
          </cell>
          <cell r="Q81" t="b">
            <v>0</v>
          </cell>
          <cell r="R81" t="b">
            <v>0</v>
          </cell>
          <cell r="S81" t="b">
            <v>0</v>
          </cell>
          <cell r="T81" t="b">
            <v>0</v>
          </cell>
          <cell r="U81" t="b">
            <v>0</v>
          </cell>
          <cell r="V81" t="b">
            <v>0</v>
          </cell>
          <cell r="Y81" t="b">
            <v>0</v>
          </cell>
          <cell r="Z81" t="b">
            <v>0</v>
          </cell>
          <cell r="AA81" t="b">
            <v>0</v>
          </cell>
          <cell r="AB81" t="b">
            <v>0</v>
          </cell>
          <cell r="AC81" t="b">
            <v>0</v>
          </cell>
          <cell r="AD81" t="b">
            <v>0</v>
          </cell>
          <cell r="AE81" t="b">
            <v>0</v>
          </cell>
          <cell r="AF81" t="b">
            <v>0</v>
          </cell>
          <cell r="AG81" t="b">
            <v>0</v>
          </cell>
          <cell r="AH81" t="b">
            <v>0</v>
          </cell>
          <cell r="AI81" t="b">
            <v>0</v>
          </cell>
          <cell r="BU81" t="b">
            <v>0</v>
          </cell>
          <cell r="BX81">
            <v>0</v>
          </cell>
        </row>
        <row r="82">
          <cell r="A82" t="str">
            <v>ChR</v>
          </cell>
          <cell r="B82" t="b">
            <v>0</v>
          </cell>
          <cell r="E82" t="b">
            <v>0</v>
          </cell>
          <cell r="F82" t="b">
            <v>0</v>
          </cell>
          <cell r="G82" t="b">
            <v>0</v>
          </cell>
          <cell r="H82" t="b">
            <v>0</v>
          </cell>
          <cell r="I82" t="b">
            <v>0</v>
          </cell>
          <cell r="J82" t="b">
            <v>0</v>
          </cell>
          <cell r="K82" t="b">
            <v>0</v>
          </cell>
          <cell r="L82" t="b">
            <v>0</v>
          </cell>
          <cell r="M82" t="b">
            <v>0</v>
          </cell>
          <cell r="N82" t="b">
            <v>0</v>
          </cell>
          <cell r="O82" t="b">
            <v>0</v>
          </cell>
          <cell r="P82" t="b">
            <v>0</v>
          </cell>
          <cell r="Q82" t="b">
            <v>0</v>
          </cell>
          <cell r="R82" t="b">
            <v>0</v>
          </cell>
          <cell r="S82" t="b">
            <v>0</v>
          </cell>
          <cell r="T82" t="b">
            <v>0</v>
          </cell>
          <cell r="U82" t="b">
            <v>0</v>
          </cell>
          <cell r="V82" t="b">
            <v>0</v>
          </cell>
          <cell r="Y82" t="b">
            <v>0</v>
          </cell>
          <cell r="Z82" t="b">
            <v>0</v>
          </cell>
          <cell r="AA82" t="b">
            <v>0</v>
          </cell>
          <cell r="AB82" t="b">
            <v>0</v>
          </cell>
          <cell r="AC82" t="b">
            <v>0</v>
          </cell>
          <cell r="AE82" t="b">
            <v>0</v>
          </cell>
          <cell r="AF82" t="b">
            <v>0</v>
          </cell>
          <cell r="AH82" t="b">
            <v>0</v>
          </cell>
          <cell r="AI82" t="b">
            <v>0</v>
          </cell>
          <cell r="BU82" t="b">
            <v>0</v>
          </cell>
          <cell r="BX82">
            <v>0</v>
          </cell>
        </row>
        <row r="83">
          <cell r="A83" t="str">
            <v>ChV</v>
          </cell>
          <cell r="B83" t="b">
            <v>0</v>
          </cell>
          <cell r="E83" t="b">
            <v>0</v>
          </cell>
          <cell r="F83" t="b">
            <v>0</v>
          </cell>
          <cell r="G83" t="b">
            <v>0</v>
          </cell>
          <cell r="H83" t="b">
            <v>0</v>
          </cell>
          <cell r="I83" t="b">
            <v>0</v>
          </cell>
          <cell r="J83" t="b">
            <v>0</v>
          </cell>
          <cell r="K83" t="b">
            <v>0</v>
          </cell>
          <cell r="L83" t="b">
            <v>0</v>
          </cell>
          <cell r="M83" t="b">
            <v>0</v>
          </cell>
          <cell r="N83" t="b">
            <v>0</v>
          </cell>
          <cell r="O83" t="b">
            <v>0</v>
          </cell>
          <cell r="P83" t="b">
            <v>0</v>
          </cell>
          <cell r="Q83" t="b">
            <v>0</v>
          </cell>
          <cell r="R83" t="b">
            <v>0</v>
          </cell>
          <cell r="S83" t="b">
            <v>0</v>
          </cell>
          <cell r="T83" t="b">
            <v>0</v>
          </cell>
          <cell r="U83" t="b">
            <v>0</v>
          </cell>
          <cell r="V83" t="b">
            <v>0</v>
          </cell>
          <cell r="Y83" t="b">
            <v>0</v>
          </cell>
          <cell r="AA83" t="b">
            <v>0</v>
          </cell>
          <cell r="AB83" t="b">
            <v>0</v>
          </cell>
          <cell r="AC83" t="b">
            <v>0</v>
          </cell>
          <cell r="AE83" t="b">
            <v>0</v>
          </cell>
          <cell r="AF83" t="b">
            <v>0</v>
          </cell>
          <cell r="AH83" t="b">
            <v>0</v>
          </cell>
          <cell r="AI83" t="b">
            <v>0</v>
          </cell>
          <cell r="BU83" t="b">
            <v>0</v>
          </cell>
          <cell r="BX83">
            <v>0</v>
          </cell>
        </row>
        <row r="84">
          <cell r="A84" t="str">
            <v>CoS</v>
          </cell>
          <cell r="B84" t="b">
            <v>0</v>
          </cell>
          <cell r="E84" t="b">
            <v>0</v>
          </cell>
          <cell r="F84" t="b">
            <v>0</v>
          </cell>
          <cell r="G84" t="b">
            <v>0</v>
          </cell>
          <cell r="H84" t="b">
            <v>0</v>
          </cell>
          <cell r="I84" t="b">
            <v>0</v>
          </cell>
          <cell r="J84" t="b">
            <v>0</v>
          </cell>
          <cell r="K84" t="b">
            <v>0</v>
          </cell>
          <cell r="L84" t="b">
            <v>0</v>
          </cell>
          <cell r="M84" t="b">
            <v>0</v>
          </cell>
          <cell r="N84" t="b">
            <v>0</v>
          </cell>
          <cell r="O84" t="b">
            <v>0</v>
          </cell>
          <cell r="P84" t="b">
            <v>0</v>
          </cell>
          <cell r="Q84" t="b">
            <v>0</v>
          </cell>
          <cell r="R84" t="b">
            <v>0</v>
          </cell>
          <cell r="S84" t="b">
            <v>0</v>
          </cell>
          <cell r="T84" t="b">
            <v>0</v>
          </cell>
          <cell r="U84" t="b">
            <v>0</v>
          </cell>
          <cell r="V84" t="b">
            <v>0</v>
          </cell>
          <cell r="Y84" t="b">
            <v>0</v>
          </cell>
          <cell r="AA84" t="b">
            <v>0</v>
          </cell>
          <cell r="AB84" t="b">
            <v>0</v>
          </cell>
          <cell r="AC84" t="b">
            <v>0</v>
          </cell>
          <cell r="AE84" t="b">
            <v>0</v>
          </cell>
          <cell r="AF84" t="b">
            <v>0</v>
          </cell>
          <cell r="AH84" t="b">
            <v>0</v>
          </cell>
          <cell r="BU84" t="b">
            <v>0</v>
          </cell>
          <cell r="BX84">
            <v>0</v>
          </cell>
        </row>
        <row r="85">
          <cell r="E85" t="b">
            <v>0</v>
          </cell>
          <cell r="F85" t="b">
            <v>0</v>
          </cell>
          <cell r="G85" t="b">
            <v>0</v>
          </cell>
          <cell r="H85" t="b">
            <v>0</v>
          </cell>
          <cell r="I85" t="b">
            <v>0</v>
          </cell>
          <cell r="J85" t="b">
            <v>0</v>
          </cell>
          <cell r="K85" t="b">
            <v>0</v>
          </cell>
          <cell r="L85" t="b">
            <v>0</v>
          </cell>
          <cell r="M85" t="b">
            <v>0</v>
          </cell>
          <cell r="N85" t="b">
            <v>0</v>
          </cell>
          <cell r="O85" t="b">
            <v>0</v>
          </cell>
          <cell r="P85" t="b">
            <v>0</v>
          </cell>
          <cell r="Q85" t="b">
            <v>0</v>
          </cell>
          <cell r="R85" t="b">
            <v>0</v>
          </cell>
          <cell r="S85" t="b">
            <v>0</v>
          </cell>
          <cell r="T85" t="b">
            <v>0</v>
          </cell>
          <cell r="U85" t="b">
            <v>0</v>
          </cell>
          <cell r="V85" t="b">
            <v>0</v>
          </cell>
          <cell r="X85" t="b">
            <v>0</v>
          </cell>
          <cell r="AA85" t="b">
            <v>0</v>
          </cell>
          <cell r="AB85" t="b">
            <v>0</v>
          </cell>
          <cell r="AC85" t="b">
            <v>0</v>
          </cell>
          <cell r="AE85" t="b">
            <v>0</v>
          </cell>
          <cell r="AF85" t="b">
            <v>0</v>
          </cell>
          <cell r="AH85" t="b">
            <v>0</v>
          </cell>
          <cell r="BU85" t="b">
            <v>0</v>
          </cell>
          <cell r="BX85">
            <v>0</v>
          </cell>
        </row>
        <row r="86">
          <cell r="A86" t="str">
            <v>Eberron</v>
          </cell>
          <cell r="E86" t="b">
            <v>0</v>
          </cell>
          <cell r="F86" t="b">
            <v>0</v>
          </cell>
          <cell r="G86" t="b">
            <v>0</v>
          </cell>
          <cell r="H86" t="b">
            <v>0</v>
          </cell>
          <cell r="I86" t="b">
            <v>0</v>
          </cell>
          <cell r="J86" t="b">
            <v>0</v>
          </cell>
          <cell r="K86" t="b">
            <v>0</v>
          </cell>
          <cell r="L86" t="b">
            <v>0</v>
          </cell>
          <cell r="M86" t="b">
            <v>0</v>
          </cell>
          <cell r="N86" t="b">
            <v>0</v>
          </cell>
          <cell r="O86" t="b">
            <v>0</v>
          </cell>
          <cell r="P86" t="b">
            <v>0</v>
          </cell>
          <cell r="Q86" t="b">
            <v>0</v>
          </cell>
          <cell r="R86" t="b">
            <v>0</v>
          </cell>
          <cell r="S86" t="b">
            <v>0</v>
          </cell>
          <cell r="T86" t="b">
            <v>0</v>
          </cell>
          <cell r="U86" t="b">
            <v>0</v>
          </cell>
          <cell r="V86" t="b">
            <v>0</v>
          </cell>
          <cell r="X86" t="b">
            <v>0</v>
          </cell>
          <cell r="Z86">
            <v>1</v>
          </cell>
          <cell r="AA86" t="b">
            <v>0</v>
          </cell>
          <cell r="AB86" t="b">
            <v>0</v>
          </cell>
          <cell r="AC86" t="b">
            <v>0</v>
          </cell>
          <cell r="AF86" t="b">
            <v>0</v>
          </cell>
          <cell r="AH86" t="b">
            <v>0</v>
          </cell>
          <cell r="BU86" t="b">
            <v>0</v>
          </cell>
          <cell r="BX86">
            <v>0</v>
          </cell>
        </row>
        <row r="87">
          <cell r="A87" t="str">
            <v>ECS</v>
          </cell>
          <cell r="B87" t="b">
            <v>0</v>
          </cell>
          <cell r="E87" t="b">
            <v>0</v>
          </cell>
          <cell r="F87" t="b">
            <v>0</v>
          </cell>
          <cell r="G87" t="b">
            <v>0</v>
          </cell>
          <cell r="H87" t="b">
            <v>0</v>
          </cell>
          <cell r="I87" t="b">
            <v>0</v>
          </cell>
          <cell r="J87" t="b">
            <v>0</v>
          </cell>
          <cell r="K87" t="b">
            <v>0</v>
          </cell>
          <cell r="L87" t="b">
            <v>0</v>
          </cell>
          <cell r="M87" t="b">
            <v>0</v>
          </cell>
          <cell r="N87" t="b">
            <v>0</v>
          </cell>
          <cell r="O87" t="b">
            <v>0</v>
          </cell>
          <cell r="P87" t="b">
            <v>0</v>
          </cell>
          <cell r="Q87" t="b">
            <v>0</v>
          </cell>
          <cell r="R87" t="b">
            <v>0</v>
          </cell>
          <cell r="S87" t="b">
            <v>0</v>
          </cell>
          <cell r="T87" t="b">
            <v>0</v>
          </cell>
          <cell r="U87" t="b">
            <v>0</v>
          </cell>
          <cell r="V87" t="b">
            <v>0</v>
          </cell>
          <cell r="X87" t="b">
            <v>0</v>
          </cell>
          <cell r="Z87">
            <v>1</v>
          </cell>
          <cell r="AA87" t="b">
            <v>0</v>
          </cell>
          <cell r="AB87" t="b">
            <v>0</v>
          </cell>
          <cell r="AC87" t="b">
            <v>0</v>
          </cell>
          <cell r="AH87" t="b">
            <v>0</v>
          </cell>
          <cell r="BU87" t="b">
            <v>0</v>
          </cell>
          <cell r="BX87">
            <v>0</v>
          </cell>
        </row>
        <row r="88">
          <cell r="A88" t="str">
            <v>EBCS</v>
          </cell>
          <cell r="B88" t="b">
            <v>0</v>
          </cell>
          <cell r="E88" t="b">
            <v>0</v>
          </cell>
          <cell r="F88" t="b">
            <v>0</v>
          </cell>
          <cell r="G88" t="b">
            <v>0</v>
          </cell>
          <cell r="H88" t="b">
            <v>0</v>
          </cell>
          <cell r="I88" t="b">
            <v>0</v>
          </cell>
          <cell r="J88" t="b">
            <v>0</v>
          </cell>
          <cell r="K88" t="b">
            <v>0</v>
          </cell>
          <cell r="L88" t="b">
            <v>0</v>
          </cell>
          <cell r="M88" t="b">
            <v>0</v>
          </cell>
          <cell r="N88" t="b">
            <v>0</v>
          </cell>
          <cell r="O88" t="b">
            <v>0</v>
          </cell>
          <cell r="P88" t="b">
            <v>0</v>
          </cell>
          <cell r="Q88" t="b">
            <v>0</v>
          </cell>
          <cell r="R88" t="b">
            <v>0</v>
          </cell>
          <cell r="S88" t="b">
            <v>0</v>
          </cell>
          <cell r="T88" t="b">
            <v>0</v>
          </cell>
          <cell r="U88" t="b">
            <v>0</v>
          </cell>
          <cell r="V88" t="b">
            <v>0</v>
          </cell>
          <cell r="X88" t="b">
            <v>0</v>
          </cell>
          <cell r="AA88" t="b">
            <v>0</v>
          </cell>
          <cell r="AB88" t="b">
            <v>0</v>
          </cell>
          <cell r="AC88" t="b">
            <v>0</v>
          </cell>
          <cell r="AH88" t="b">
            <v>0</v>
          </cell>
          <cell r="BU88" t="b">
            <v>0</v>
          </cell>
          <cell r="BX88">
            <v>0</v>
          </cell>
        </row>
        <row r="89">
          <cell r="A89" t="str">
            <v>FN</v>
          </cell>
          <cell r="B89" t="b">
            <v>0</v>
          </cell>
          <cell r="E89" t="b">
            <v>0</v>
          </cell>
          <cell r="F89" t="b">
            <v>0</v>
          </cell>
          <cell r="G89" t="b">
            <v>0</v>
          </cell>
          <cell r="H89" t="b">
            <v>0</v>
          </cell>
          <cell r="I89" t="b">
            <v>0</v>
          </cell>
          <cell r="J89" t="b">
            <v>0</v>
          </cell>
          <cell r="K89" t="b">
            <v>0</v>
          </cell>
          <cell r="L89" t="b">
            <v>0</v>
          </cell>
          <cell r="M89" t="b">
            <v>0</v>
          </cell>
          <cell r="N89" t="b">
            <v>0</v>
          </cell>
          <cell r="O89" t="b">
            <v>0</v>
          </cell>
          <cell r="P89" t="b">
            <v>0</v>
          </cell>
          <cell r="Q89" t="b">
            <v>0</v>
          </cell>
          <cell r="R89" t="b">
            <v>0</v>
          </cell>
          <cell r="S89" t="b">
            <v>0</v>
          </cell>
          <cell r="T89" t="b">
            <v>0</v>
          </cell>
          <cell r="U89" t="b">
            <v>0</v>
          </cell>
          <cell r="V89" t="b">
            <v>0</v>
          </cell>
          <cell r="X89" t="b">
            <v>0</v>
          </cell>
          <cell r="Z89">
            <v>1</v>
          </cell>
          <cell r="AA89" t="b">
            <v>0</v>
          </cell>
          <cell r="AB89" t="b">
            <v>0</v>
          </cell>
          <cell r="AC89" t="b">
            <v>0</v>
          </cell>
          <cell r="AH89" t="b">
            <v>0</v>
          </cell>
          <cell r="BU89" t="b">
            <v>0</v>
          </cell>
          <cell r="BX89">
            <v>0</v>
          </cell>
        </row>
        <row r="90">
          <cell r="A90" t="str">
            <v>RE</v>
          </cell>
          <cell r="B90" t="b">
            <v>0</v>
          </cell>
          <cell r="E90" t="b">
            <v>0</v>
          </cell>
          <cell r="F90" t="b">
            <v>0</v>
          </cell>
          <cell r="G90" t="b">
            <v>0</v>
          </cell>
          <cell r="H90" t="b">
            <v>0</v>
          </cell>
          <cell r="I90" t="b">
            <v>0</v>
          </cell>
          <cell r="J90" t="b">
            <v>0</v>
          </cell>
          <cell r="K90" t="b">
            <v>0</v>
          </cell>
          <cell r="L90" t="b">
            <v>0</v>
          </cell>
          <cell r="M90" t="b">
            <v>0</v>
          </cell>
          <cell r="N90" t="b">
            <v>0</v>
          </cell>
          <cell r="O90" t="b">
            <v>0</v>
          </cell>
          <cell r="P90" t="b">
            <v>0</v>
          </cell>
          <cell r="Q90" t="b">
            <v>0</v>
          </cell>
          <cell r="R90" t="b">
            <v>0</v>
          </cell>
          <cell r="S90" t="b">
            <v>0</v>
          </cell>
          <cell r="T90" t="b">
            <v>0</v>
          </cell>
          <cell r="U90" t="b">
            <v>0</v>
          </cell>
          <cell r="V90" t="b">
            <v>0</v>
          </cell>
          <cell r="X90" t="b">
            <v>0</v>
          </cell>
          <cell r="AA90" t="b">
            <v>0</v>
          </cell>
          <cell r="AB90" t="b">
            <v>0</v>
          </cell>
          <cell r="AC90" t="b">
            <v>0</v>
          </cell>
          <cell r="AH90" t="b">
            <v>0</v>
          </cell>
          <cell r="BU90" t="b">
            <v>0</v>
          </cell>
          <cell r="BX90">
            <v>0</v>
          </cell>
        </row>
        <row r="91">
          <cell r="A91" t="str">
            <v>SN</v>
          </cell>
          <cell r="B91" t="b">
            <v>0</v>
          </cell>
          <cell r="E91" t="b">
            <v>0</v>
          </cell>
          <cell r="F91" t="b">
            <v>0</v>
          </cell>
          <cell r="G91" t="b">
            <v>0</v>
          </cell>
          <cell r="H91" t="b">
            <v>0</v>
          </cell>
          <cell r="I91" t="b">
            <v>0</v>
          </cell>
          <cell r="J91" t="b">
            <v>0</v>
          </cell>
          <cell r="K91" t="b">
            <v>0</v>
          </cell>
          <cell r="L91" t="b">
            <v>0</v>
          </cell>
          <cell r="M91" t="b">
            <v>0</v>
          </cell>
          <cell r="N91" t="b">
            <v>0</v>
          </cell>
          <cell r="O91" t="b">
            <v>0</v>
          </cell>
          <cell r="P91" t="b">
            <v>0</v>
          </cell>
          <cell r="Q91" t="b">
            <v>0</v>
          </cell>
          <cell r="R91" t="b">
            <v>0</v>
          </cell>
          <cell r="S91" t="b">
            <v>0</v>
          </cell>
          <cell r="T91" t="b">
            <v>0</v>
          </cell>
          <cell r="U91" t="b">
            <v>0</v>
          </cell>
          <cell r="V91" t="b">
            <v>0</v>
          </cell>
          <cell r="AA91" t="b">
            <v>0</v>
          </cell>
          <cell r="AB91" t="b">
            <v>0</v>
          </cell>
          <cell r="BU91" t="b">
            <v>0</v>
          </cell>
          <cell r="BX91">
            <v>0</v>
          </cell>
        </row>
        <row r="92">
          <cell r="A92" t="str">
            <v>EH</v>
          </cell>
          <cell r="B92" t="b">
            <v>0</v>
          </cell>
          <cell r="E92" t="b">
            <v>0</v>
          </cell>
          <cell r="F92" t="b">
            <v>0</v>
          </cell>
          <cell r="G92" t="b">
            <v>0</v>
          </cell>
          <cell r="H92" t="b">
            <v>0</v>
          </cell>
          <cell r="I92" t="b">
            <v>0</v>
          </cell>
          <cell r="J92" t="b">
            <v>0</v>
          </cell>
          <cell r="K92" t="b">
            <v>0</v>
          </cell>
          <cell r="L92" t="b">
            <v>0</v>
          </cell>
          <cell r="M92" t="b">
            <v>0</v>
          </cell>
          <cell r="N92" t="b">
            <v>0</v>
          </cell>
          <cell r="O92" t="b">
            <v>0</v>
          </cell>
          <cell r="P92" t="b">
            <v>0</v>
          </cell>
          <cell r="Q92" t="b">
            <v>0</v>
          </cell>
          <cell r="R92" t="b">
            <v>0</v>
          </cell>
          <cell r="S92" t="b">
            <v>0</v>
          </cell>
          <cell r="T92" t="b">
            <v>0</v>
          </cell>
          <cell r="U92" t="b">
            <v>0</v>
          </cell>
          <cell r="V92" t="b">
            <v>0</v>
          </cell>
          <cell r="AA92" t="b">
            <v>0</v>
          </cell>
          <cell r="AB92">
            <v>1</v>
          </cell>
          <cell r="BU92" t="b">
            <v>0</v>
          </cell>
          <cell r="BX92">
            <v>0</v>
          </cell>
        </row>
        <row r="93">
          <cell r="A93" t="str">
            <v>SoX</v>
          </cell>
          <cell r="B93" t="b">
            <v>0</v>
          </cell>
          <cell r="E93" t="b">
            <v>0</v>
          </cell>
          <cell r="F93" t="b">
            <v>0</v>
          </cell>
          <cell r="G93" t="b">
            <v>0</v>
          </cell>
          <cell r="H93" t="b">
            <v>0</v>
          </cell>
          <cell r="I93" t="b">
            <v>0</v>
          </cell>
          <cell r="J93" t="b">
            <v>0</v>
          </cell>
          <cell r="K93" t="b">
            <v>0</v>
          </cell>
          <cell r="L93" t="b">
            <v>0</v>
          </cell>
          <cell r="M93" t="b">
            <v>0</v>
          </cell>
          <cell r="N93" t="b">
            <v>0</v>
          </cell>
          <cell r="O93" t="b">
            <v>0</v>
          </cell>
          <cell r="P93" t="b">
            <v>0</v>
          </cell>
          <cell r="Q93" t="b">
            <v>0</v>
          </cell>
          <cell r="R93" t="b">
            <v>0</v>
          </cell>
          <cell r="S93" t="b">
            <v>0</v>
          </cell>
          <cell r="T93" t="b">
            <v>0</v>
          </cell>
          <cell r="U93" t="b">
            <v>0</v>
          </cell>
          <cell r="V93" t="b">
            <v>0</v>
          </cell>
          <cell r="AA93" t="b">
            <v>0</v>
          </cell>
          <cell r="AB93">
            <v>1</v>
          </cell>
          <cell r="BU93" t="b">
            <v>0</v>
          </cell>
          <cell r="BX93">
            <v>0</v>
          </cell>
        </row>
        <row r="94">
          <cell r="A94" t="str">
            <v>PGtE</v>
          </cell>
          <cell r="B94" t="b">
            <v>0</v>
          </cell>
          <cell r="E94" t="b">
            <v>0</v>
          </cell>
          <cell r="F94" t="b">
            <v>0</v>
          </cell>
          <cell r="G94" t="b">
            <v>0</v>
          </cell>
          <cell r="H94" t="b">
            <v>0</v>
          </cell>
          <cell r="I94" t="b">
            <v>0</v>
          </cell>
          <cell r="J94" t="b">
            <v>0</v>
          </cell>
          <cell r="K94" t="b">
            <v>0</v>
          </cell>
          <cell r="L94" t="b">
            <v>0</v>
          </cell>
          <cell r="M94" t="b">
            <v>0</v>
          </cell>
          <cell r="N94" t="b">
            <v>0</v>
          </cell>
          <cell r="O94" t="b">
            <v>0</v>
          </cell>
          <cell r="P94" t="b">
            <v>0</v>
          </cell>
          <cell r="Q94" t="b">
            <v>0</v>
          </cell>
          <cell r="R94" t="b">
            <v>0</v>
          </cell>
          <cell r="S94" t="b">
            <v>0</v>
          </cell>
          <cell r="T94" t="b">
            <v>0</v>
          </cell>
          <cell r="U94" t="b">
            <v>0</v>
          </cell>
          <cell r="V94" t="b">
            <v>0</v>
          </cell>
          <cell r="BU94" t="b">
            <v>0</v>
          </cell>
          <cell r="BX94">
            <v>0</v>
          </cell>
        </row>
        <row r="95">
          <cell r="A95" t="str">
            <v>MoE</v>
          </cell>
          <cell r="B95" t="b">
            <v>0</v>
          </cell>
          <cell r="E95" t="b">
            <v>0</v>
          </cell>
          <cell r="F95" t="b">
            <v>0</v>
          </cell>
          <cell r="G95" t="b">
            <v>0</v>
          </cell>
          <cell r="H95" t="b">
            <v>0</v>
          </cell>
          <cell r="I95" t="b">
            <v>0</v>
          </cell>
          <cell r="J95" t="b">
            <v>0</v>
          </cell>
          <cell r="K95" t="b">
            <v>0</v>
          </cell>
          <cell r="L95" t="b">
            <v>0</v>
          </cell>
          <cell r="M95" t="b">
            <v>0</v>
          </cell>
          <cell r="N95" t="b">
            <v>0</v>
          </cell>
          <cell r="O95" t="b">
            <v>0</v>
          </cell>
          <cell r="P95" t="b">
            <v>0</v>
          </cell>
          <cell r="Q95" t="b">
            <v>0</v>
          </cell>
          <cell r="R95" t="b">
            <v>0</v>
          </cell>
          <cell r="S95" t="b">
            <v>0</v>
          </cell>
          <cell r="T95" t="b">
            <v>0</v>
          </cell>
          <cell r="U95" t="b">
            <v>0</v>
          </cell>
          <cell r="V95" t="b">
            <v>0</v>
          </cell>
          <cell r="BU95" t="b">
            <v>0</v>
          </cell>
          <cell r="BX95">
            <v>0</v>
          </cell>
        </row>
        <row r="96">
          <cell r="A96" t="str">
            <v>SoS</v>
          </cell>
          <cell r="B96" t="b">
            <v>0</v>
          </cell>
          <cell r="E96" t="b">
            <v>0</v>
          </cell>
          <cell r="F96" t="b">
            <v>0</v>
          </cell>
          <cell r="G96" t="b">
            <v>0</v>
          </cell>
          <cell r="H96" t="b">
            <v>0</v>
          </cell>
          <cell r="I96" t="b">
            <v>0</v>
          </cell>
          <cell r="J96" t="b">
            <v>0</v>
          </cell>
          <cell r="K96" t="b">
            <v>0</v>
          </cell>
          <cell r="L96" t="b">
            <v>0</v>
          </cell>
          <cell r="M96" t="b">
            <v>0</v>
          </cell>
          <cell r="N96" t="b">
            <v>0</v>
          </cell>
          <cell r="O96" t="b">
            <v>0</v>
          </cell>
          <cell r="P96" t="b">
            <v>0</v>
          </cell>
          <cell r="Q96" t="b">
            <v>0</v>
          </cell>
          <cell r="R96" t="b">
            <v>0</v>
          </cell>
          <cell r="S96" t="b">
            <v>0</v>
          </cell>
          <cell r="T96" t="b">
            <v>0</v>
          </cell>
          <cell r="U96" t="b">
            <v>0</v>
          </cell>
          <cell r="V96" t="b">
            <v>0</v>
          </cell>
          <cell r="BU96" t="b">
            <v>0</v>
          </cell>
          <cell r="BV96">
            <v>1</v>
          </cell>
          <cell r="BX96">
            <v>0</v>
          </cell>
        </row>
        <row r="97">
          <cell r="E97" t="b">
            <v>0</v>
          </cell>
          <cell r="F97" t="b">
            <v>0</v>
          </cell>
          <cell r="G97" t="b">
            <v>0</v>
          </cell>
          <cell r="H97" t="b">
            <v>0</v>
          </cell>
          <cell r="I97" t="b">
            <v>0</v>
          </cell>
          <cell r="J97" t="b">
            <v>0</v>
          </cell>
          <cell r="K97" t="b">
            <v>0</v>
          </cell>
          <cell r="L97" t="b">
            <v>0</v>
          </cell>
          <cell r="M97" t="b">
            <v>0</v>
          </cell>
          <cell r="N97" t="b">
            <v>0</v>
          </cell>
          <cell r="O97" t="b">
            <v>0</v>
          </cell>
          <cell r="P97" t="b">
            <v>0</v>
          </cell>
          <cell r="Q97" t="b">
            <v>0</v>
          </cell>
          <cell r="R97" t="b">
            <v>0</v>
          </cell>
          <cell r="S97" t="b">
            <v>0</v>
          </cell>
          <cell r="T97" t="b">
            <v>0</v>
          </cell>
          <cell r="U97" t="b">
            <v>0</v>
          </cell>
          <cell r="V97" t="b">
            <v>0</v>
          </cell>
          <cell r="BU97" t="b">
            <v>0</v>
          </cell>
          <cell r="BX97">
            <v>0</v>
          </cell>
        </row>
        <row r="98">
          <cell r="A98" t="str">
            <v>Ravenloft</v>
          </cell>
          <cell r="BU98" t="b">
            <v>0</v>
          </cell>
          <cell r="BX98">
            <v>0</v>
          </cell>
        </row>
        <row r="99">
          <cell r="A99" t="str">
            <v>RVL</v>
          </cell>
          <cell r="B99" t="b">
            <v>0</v>
          </cell>
          <cell r="BU99" t="b">
            <v>0</v>
          </cell>
          <cell r="BX99">
            <v>0</v>
          </cell>
        </row>
        <row r="100">
          <cell r="A100" t="str">
            <v>HoL</v>
          </cell>
          <cell r="B100" t="b">
            <v>0</v>
          </cell>
          <cell r="BU100" t="b">
            <v>0</v>
          </cell>
          <cell r="BX100">
            <v>0</v>
          </cell>
        </row>
        <row r="101">
          <cell r="A101" t="str">
            <v>CoD</v>
          </cell>
          <cell r="B101" t="b">
            <v>0</v>
          </cell>
          <cell r="BU101" t="b">
            <v>0</v>
          </cell>
          <cell r="BX101">
            <v>0</v>
          </cell>
        </row>
        <row r="102">
          <cell r="A102" t="str">
            <v>VRA1</v>
          </cell>
          <cell r="B102" t="b">
            <v>0</v>
          </cell>
          <cell r="BU102" t="b">
            <v>0</v>
          </cell>
          <cell r="BX102">
            <v>0</v>
          </cell>
        </row>
        <row r="103">
          <cell r="BU103" t="b">
            <v>0</v>
          </cell>
          <cell r="BX103">
            <v>0</v>
          </cell>
        </row>
        <row r="104">
          <cell r="A104" t="str">
            <v>DragonLance</v>
          </cell>
          <cell r="BU104" t="b">
            <v>0</v>
          </cell>
          <cell r="BX104">
            <v>0</v>
          </cell>
        </row>
        <row r="105">
          <cell r="A105" t="str">
            <v>DLCS</v>
          </cell>
          <cell r="B105" t="b">
            <v>0</v>
          </cell>
          <cell r="BU105" t="b">
            <v>0</v>
          </cell>
          <cell r="BX105">
            <v>0</v>
          </cell>
        </row>
        <row r="106">
          <cell r="A106" t="str">
            <v>AoM</v>
          </cell>
          <cell r="B106" t="b">
            <v>0</v>
          </cell>
          <cell r="BU106" t="b">
            <v>0</v>
          </cell>
          <cell r="BX106">
            <v>0</v>
          </cell>
        </row>
        <row r="107">
          <cell r="A107" t="str">
            <v>BoK</v>
          </cell>
          <cell r="B107" t="b">
            <v>0</v>
          </cell>
          <cell r="BU107" t="b">
            <v>0</v>
          </cell>
          <cell r="BX107">
            <v>0</v>
          </cell>
        </row>
        <row r="108">
          <cell r="BU108" t="b">
            <v>0</v>
          </cell>
          <cell r="BX108">
            <v>0</v>
          </cell>
        </row>
        <row r="109">
          <cell r="A109" t="str">
            <v>Living Greyhawk</v>
          </cell>
          <cell r="BU109" t="b">
            <v>0</v>
          </cell>
          <cell r="BX109">
            <v>0</v>
          </cell>
        </row>
        <row r="110">
          <cell r="A110" t="str">
            <v>Living Greyhawk</v>
          </cell>
          <cell r="B110" t="b">
            <v>0</v>
          </cell>
          <cell r="BU110" t="b">
            <v>0</v>
          </cell>
          <cell r="BX110">
            <v>0</v>
          </cell>
        </row>
        <row r="111">
          <cell r="A111" t="str">
            <v>DMag</v>
          </cell>
          <cell r="B111" t="b">
            <v>0</v>
          </cell>
          <cell r="BU111" t="b">
            <v>0</v>
          </cell>
          <cell r="BX111">
            <v>0</v>
          </cell>
        </row>
        <row r="112">
          <cell r="BU112" t="b">
            <v>0</v>
          </cell>
          <cell r="BX112">
            <v>0</v>
          </cell>
        </row>
        <row r="113">
          <cell r="A113" t="str">
            <v>Third Party</v>
          </cell>
          <cell r="BU113" t="b">
            <v>0</v>
          </cell>
          <cell r="BX113">
            <v>0</v>
          </cell>
        </row>
        <row r="114">
          <cell r="A114" t="str">
            <v>PC</v>
          </cell>
          <cell r="B114" t="b">
            <v>0</v>
          </cell>
          <cell r="BU114" t="b">
            <v>0</v>
          </cell>
          <cell r="BX114">
            <v>0</v>
          </cell>
        </row>
        <row r="115">
          <cell r="B115" t="b">
            <v>0</v>
          </cell>
          <cell r="BU115" t="b">
            <v>0</v>
          </cell>
          <cell r="BX115">
            <v>0</v>
          </cell>
        </row>
        <row r="116">
          <cell r="B116" t="b">
            <v>0</v>
          </cell>
          <cell r="BU116" t="b">
            <v>0</v>
          </cell>
          <cell r="BX116">
            <v>0</v>
          </cell>
        </row>
        <row r="117">
          <cell r="B117" t="b">
            <v>0</v>
          </cell>
          <cell r="BU117" t="b">
            <v>0</v>
          </cell>
          <cell r="BX117">
            <v>0</v>
          </cell>
        </row>
        <row r="118">
          <cell r="B118" t="b">
            <v>0</v>
          </cell>
          <cell r="BU118" t="b">
            <v>0</v>
          </cell>
          <cell r="BX118">
            <v>0</v>
          </cell>
        </row>
        <row r="119">
          <cell r="BU119" t="b">
            <v>0</v>
          </cell>
          <cell r="BX119">
            <v>0</v>
          </cell>
        </row>
        <row r="120">
          <cell r="BU120" t="b">
            <v>0</v>
          </cell>
          <cell r="BX120">
            <v>0</v>
          </cell>
        </row>
        <row r="121">
          <cell r="A121" t="str">
            <v>Oriental Adventures</v>
          </cell>
          <cell r="B121" t="b">
            <v>0</v>
          </cell>
          <cell r="BU121" t="b">
            <v>0</v>
          </cell>
        </row>
        <row r="122">
          <cell r="A122" t="str">
            <v>Dragon Compendium</v>
          </cell>
          <cell r="B122" t="b">
            <v>0</v>
          </cell>
          <cell r="BU122" t="b">
            <v>0</v>
          </cell>
        </row>
        <row r="123">
          <cell r="A123" t="str">
            <v>Sword and Fist</v>
          </cell>
          <cell r="B123" t="b">
            <v>0</v>
          </cell>
          <cell r="BU123" t="b">
            <v>0</v>
          </cell>
        </row>
        <row r="124">
          <cell r="BU124" t="b">
            <v>0</v>
          </cell>
        </row>
        <row r="125">
          <cell r="BU125" t="b">
            <v>0</v>
          </cell>
        </row>
        <row r="126">
          <cell r="BU126" t="b">
            <v>0</v>
          </cell>
        </row>
        <row r="127">
          <cell r="BU127" t="b">
            <v>0</v>
          </cell>
        </row>
        <row r="128">
          <cell r="BU128" t="b">
            <v>0</v>
          </cell>
        </row>
        <row r="129">
          <cell r="BU129" t="b">
            <v>0</v>
          </cell>
        </row>
        <row r="130">
          <cell r="BU130" t="b">
            <v>0</v>
          </cell>
        </row>
        <row r="131">
          <cell r="BU131" t="b">
            <v>0</v>
          </cell>
        </row>
        <row r="132">
          <cell r="BU132" t="b">
            <v>0</v>
          </cell>
        </row>
        <row r="133">
          <cell r="BU133" t="b">
            <v>0</v>
          </cell>
        </row>
        <row r="134">
          <cell r="BU134" t="b">
            <v>0</v>
          </cell>
        </row>
        <row r="135">
          <cell r="BU135" t="b">
            <v>0</v>
          </cell>
        </row>
        <row r="136">
          <cell r="BU136" t="b">
            <v>0</v>
          </cell>
        </row>
        <row r="137">
          <cell r="BU137" t="b">
            <v>0</v>
          </cell>
        </row>
        <row r="138">
          <cell r="BU138" t="b">
            <v>0</v>
          </cell>
        </row>
        <row r="139">
          <cell r="BU139" t="b">
            <v>0</v>
          </cell>
        </row>
        <row r="140">
          <cell r="BU140" t="b">
            <v>0</v>
          </cell>
        </row>
        <row r="141">
          <cell r="BU141" t="b">
            <v>0</v>
          </cell>
        </row>
        <row r="142">
          <cell r="BU142" t="b">
            <v>0</v>
          </cell>
        </row>
        <row r="143">
          <cell r="BU143" t="b">
            <v>0</v>
          </cell>
        </row>
        <row r="144">
          <cell r="BU144" t="b">
            <v>0</v>
          </cell>
        </row>
        <row r="145">
          <cell r="BU145" t="b">
            <v>0</v>
          </cell>
        </row>
        <row r="146">
          <cell r="BU146" t="b">
            <v>0</v>
          </cell>
        </row>
        <row r="147">
          <cell r="BU147" t="b">
            <v>0</v>
          </cell>
        </row>
        <row r="148">
          <cell r="BU148" t="b">
            <v>0</v>
          </cell>
        </row>
        <row r="149">
          <cell r="BU149" t="b">
            <v>0</v>
          </cell>
        </row>
        <row r="150">
          <cell r="BU150" t="b">
            <v>0</v>
          </cell>
        </row>
        <row r="151">
          <cell r="BU151" t="b">
            <v>0</v>
          </cell>
        </row>
        <row r="152">
          <cell r="BU152" t="b">
            <v>0</v>
          </cell>
        </row>
        <row r="153">
          <cell r="BU153" t="b">
            <v>0</v>
          </cell>
        </row>
        <row r="154">
          <cell r="BU154" t="b">
            <v>0</v>
          </cell>
        </row>
        <row r="155">
          <cell r="BU155" t="b">
            <v>0</v>
          </cell>
        </row>
        <row r="156">
          <cell r="BU156" t="b">
            <v>0</v>
          </cell>
        </row>
        <row r="157">
          <cell r="BU157" t="b">
            <v>0</v>
          </cell>
        </row>
        <row r="158">
          <cell r="BU158" t="b">
            <v>0</v>
          </cell>
        </row>
        <row r="159">
          <cell r="BU159" t="b">
            <v>0</v>
          </cell>
        </row>
        <row r="160">
          <cell r="BU160" t="b">
            <v>0</v>
          </cell>
        </row>
        <row r="161">
          <cell r="BU161" t="b">
            <v>0</v>
          </cell>
        </row>
        <row r="162">
          <cell r="BU162" t="b">
            <v>0</v>
          </cell>
        </row>
        <row r="163">
          <cell r="BU163" t="b">
            <v>0</v>
          </cell>
        </row>
        <row r="164">
          <cell r="BU164" t="b">
            <v>0</v>
          </cell>
        </row>
        <row r="165">
          <cell r="BU165" t="b">
            <v>0</v>
          </cell>
        </row>
        <row r="166">
          <cell r="BU166" t="b">
            <v>0</v>
          </cell>
        </row>
        <row r="167">
          <cell r="BU167" t="b">
            <v>0</v>
          </cell>
        </row>
        <row r="168">
          <cell r="BU168" t="b">
            <v>0</v>
          </cell>
        </row>
        <row r="169">
          <cell r="BU169" t="b">
            <v>0</v>
          </cell>
        </row>
        <row r="170">
          <cell r="BU170" t="b">
            <v>0</v>
          </cell>
        </row>
        <row r="171">
          <cell r="BU171" t="b">
            <v>0</v>
          </cell>
        </row>
        <row r="172">
          <cell r="BU172" t="b">
            <v>0</v>
          </cell>
        </row>
        <row r="173">
          <cell r="BU173" t="b">
            <v>0</v>
          </cell>
        </row>
        <row r="174">
          <cell r="BU174" t="b">
            <v>0</v>
          </cell>
          <cell r="BV174">
            <v>1</v>
          </cell>
        </row>
        <row r="175">
          <cell r="BU175" t="b">
            <v>0</v>
          </cell>
          <cell r="BV175">
            <v>1</v>
          </cell>
        </row>
        <row r="176">
          <cell r="BU176" t="b">
            <v>0</v>
          </cell>
        </row>
        <row r="177">
          <cell r="BU177" t="b">
            <v>0</v>
          </cell>
        </row>
        <row r="178">
          <cell r="B178">
            <v>1</v>
          </cell>
          <cell r="BU178" t="b">
            <v>0</v>
          </cell>
        </row>
        <row r="179">
          <cell r="BU179" t="b">
            <v>0</v>
          </cell>
        </row>
        <row r="180">
          <cell r="BU180" t="b">
            <v>0</v>
          </cell>
        </row>
        <row r="181">
          <cell r="BU181" t="b">
            <v>0</v>
          </cell>
        </row>
        <row r="182">
          <cell r="BU182" t="b">
            <v>0</v>
          </cell>
        </row>
        <row r="183">
          <cell r="BU183" t="b">
            <v>0</v>
          </cell>
        </row>
        <row r="184">
          <cell r="F184" t="b">
            <v>0</v>
          </cell>
          <cell r="BU184" t="b">
            <v>0</v>
          </cell>
        </row>
        <row r="185">
          <cell r="F185" t="b">
            <v>0</v>
          </cell>
          <cell r="BU185" t="b">
            <v>0</v>
          </cell>
        </row>
        <row r="186">
          <cell r="F186" t="b">
            <v>0</v>
          </cell>
          <cell r="BU186" t="b">
            <v>0</v>
          </cell>
        </row>
        <row r="187">
          <cell r="F187" t="b">
            <v>0</v>
          </cell>
          <cell r="AF187">
            <v>1</v>
          </cell>
          <cell r="BU187" t="b">
            <v>0</v>
          </cell>
        </row>
        <row r="188">
          <cell r="F188" t="b">
            <v>0</v>
          </cell>
          <cell r="AF188">
            <v>1</v>
          </cell>
          <cell r="BU188" t="b">
            <v>0</v>
          </cell>
        </row>
        <row r="189">
          <cell r="F189" t="b">
            <v>0</v>
          </cell>
          <cell r="BU189" t="b">
            <v>0</v>
          </cell>
        </row>
        <row r="190">
          <cell r="F190" t="b">
            <v>0</v>
          </cell>
          <cell r="BU190" t="b">
            <v>0</v>
          </cell>
        </row>
        <row r="191">
          <cell r="F191" t="b">
            <v>0</v>
          </cell>
          <cell r="BU191" t="b">
            <v>0</v>
          </cell>
        </row>
        <row r="192">
          <cell r="F192" t="b">
            <v>0</v>
          </cell>
          <cell r="BU192" t="b">
            <v>0</v>
          </cell>
        </row>
        <row r="193">
          <cell r="F193" t="b">
            <v>0</v>
          </cell>
          <cell r="BU193" t="b">
            <v>0</v>
          </cell>
        </row>
        <row r="194">
          <cell r="F194" t="b">
            <v>0</v>
          </cell>
          <cell r="BU194" t="b">
            <v>0</v>
          </cell>
        </row>
        <row r="195">
          <cell r="F195" t="b">
            <v>0</v>
          </cell>
          <cell r="BU195" t="b">
            <v>0</v>
          </cell>
        </row>
        <row r="196">
          <cell r="BU196" t="b">
            <v>0</v>
          </cell>
        </row>
        <row r="197">
          <cell r="BU197" t="b">
            <v>0</v>
          </cell>
        </row>
        <row r="198">
          <cell r="BU198" t="b">
            <v>0</v>
          </cell>
        </row>
        <row r="199">
          <cell r="BU199" t="b">
            <v>0</v>
          </cell>
          <cell r="BV199">
            <v>1</v>
          </cell>
        </row>
        <row r="200">
          <cell r="BU200" t="b">
            <v>0</v>
          </cell>
        </row>
        <row r="201">
          <cell r="BU201" t="b">
            <v>0</v>
          </cell>
        </row>
        <row r="202">
          <cell r="BU202" t="b">
            <v>0</v>
          </cell>
        </row>
        <row r="203">
          <cell r="BU203" t="b">
            <v>0</v>
          </cell>
        </row>
        <row r="204">
          <cell r="BU204" t="b">
            <v>0</v>
          </cell>
        </row>
        <row r="205">
          <cell r="BU205" t="b">
            <v>0</v>
          </cell>
        </row>
        <row r="206">
          <cell r="BU206" t="b">
            <v>0</v>
          </cell>
        </row>
        <row r="207">
          <cell r="BU207" t="b">
            <v>0</v>
          </cell>
        </row>
        <row r="208">
          <cell r="BU208" t="b">
            <v>0</v>
          </cell>
        </row>
        <row r="209">
          <cell r="BU209" t="b">
            <v>0</v>
          </cell>
        </row>
      </sheetData>
      <sheetData sheetId="1">
        <row r="2">
          <cell r="I2" t="e">
            <v>#REF!</v>
          </cell>
        </row>
      </sheetData>
      <sheetData sheetId="2">
        <row r="2">
          <cell r="I2" t="b">
            <v>0</v>
          </cell>
        </row>
      </sheetData>
      <sheetData sheetId="3">
        <row r="2">
          <cell r="L2">
            <v>1</v>
          </cell>
          <cell r="R2">
            <v>0.5</v>
          </cell>
        </row>
        <row r="3">
          <cell r="L3">
            <v>1</v>
          </cell>
        </row>
        <row r="4">
          <cell r="L4">
            <v>1</v>
          </cell>
          <cell r="R4">
            <v>0.34</v>
          </cell>
        </row>
        <row r="5">
          <cell r="L5">
            <v>1</v>
          </cell>
          <cell r="R5">
            <v>0.34</v>
          </cell>
        </row>
        <row r="6">
          <cell r="L6">
            <v>1</v>
          </cell>
          <cell r="R6">
            <v>0.34</v>
          </cell>
        </row>
        <row r="8">
          <cell r="L8">
            <v>1</v>
          </cell>
        </row>
        <row r="9">
          <cell r="L9">
            <v>1</v>
          </cell>
        </row>
        <row r="10">
          <cell r="L10">
            <v>1</v>
          </cell>
        </row>
        <row r="11">
          <cell r="L11">
            <v>1</v>
          </cell>
        </row>
        <row r="12">
          <cell r="L12">
            <v>1</v>
          </cell>
        </row>
        <row r="13">
          <cell r="L13">
            <v>1</v>
          </cell>
        </row>
        <row r="14">
          <cell r="L14">
            <v>1</v>
          </cell>
        </row>
        <row r="15">
          <cell r="L15">
            <v>1</v>
          </cell>
        </row>
        <row r="16">
          <cell r="L16">
            <v>1</v>
          </cell>
        </row>
        <row r="17">
          <cell r="L17">
            <v>1</v>
          </cell>
        </row>
        <row r="18">
          <cell r="L18">
            <v>1</v>
          </cell>
        </row>
        <row r="19">
          <cell r="L19">
            <v>1</v>
          </cell>
        </row>
        <row r="20">
          <cell r="L20">
            <v>1</v>
          </cell>
        </row>
        <row r="21">
          <cell r="L21">
            <v>1</v>
          </cell>
        </row>
        <row r="22">
          <cell r="L22">
            <v>1</v>
          </cell>
        </row>
        <row r="23">
          <cell r="L23">
            <v>1</v>
          </cell>
        </row>
        <row r="24">
          <cell r="L24">
            <v>1</v>
          </cell>
        </row>
        <row r="25">
          <cell r="L25">
            <v>1</v>
          </cell>
        </row>
        <row r="26">
          <cell r="L26">
            <v>1</v>
          </cell>
        </row>
        <row r="27">
          <cell r="L27">
            <v>1</v>
          </cell>
        </row>
        <row r="28">
          <cell r="L28">
            <v>1</v>
          </cell>
        </row>
        <row r="29">
          <cell r="L29">
            <v>1</v>
          </cell>
        </row>
        <row r="30">
          <cell r="L30">
            <v>1</v>
          </cell>
        </row>
        <row r="31">
          <cell r="L31">
            <v>1</v>
          </cell>
        </row>
        <row r="32">
          <cell r="L32">
            <v>1</v>
          </cell>
        </row>
        <row r="33">
          <cell r="L33">
            <v>1</v>
          </cell>
        </row>
        <row r="34">
          <cell r="L34">
            <v>1</v>
          </cell>
        </row>
        <row r="35">
          <cell r="L35">
            <v>1</v>
          </cell>
        </row>
        <row r="36">
          <cell r="L36">
            <v>1</v>
          </cell>
        </row>
        <row r="37">
          <cell r="L37">
            <v>1</v>
          </cell>
        </row>
        <row r="38">
          <cell r="L38">
            <v>1</v>
          </cell>
        </row>
        <row r="39">
          <cell r="L39">
            <v>1</v>
          </cell>
        </row>
        <row r="40">
          <cell r="L40">
            <v>1</v>
          </cell>
        </row>
        <row r="41">
          <cell r="L41">
            <v>1</v>
          </cell>
        </row>
        <row r="42">
          <cell r="L42">
            <v>1</v>
          </cell>
        </row>
        <row r="43">
          <cell r="L43">
            <v>1</v>
          </cell>
        </row>
        <row r="44">
          <cell r="L44">
            <v>1</v>
          </cell>
        </row>
        <row r="45">
          <cell r="L45">
            <v>1</v>
          </cell>
        </row>
        <row r="46">
          <cell r="L46">
            <v>1</v>
          </cell>
        </row>
        <row r="47">
          <cell r="L47">
            <v>1</v>
          </cell>
        </row>
        <row r="48">
          <cell r="L48">
            <v>1</v>
          </cell>
        </row>
        <row r="49">
          <cell r="L49">
            <v>1</v>
          </cell>
        </row>
        <row r="50">
          <cell r="L50">
            <v>1</v>
          </cell>
        </row>
        <row r="51">
          <cell r="L51">
            <v>1</v>
          </cell>
        </row>
        <row r="52">
          <cell r="L52">
            <v>1</v>
          </cell>
        </row>
        <row r="53">
          <cell r="L53">
            <v>1</v>
          </cell>
        </row>
        <row r="54">
          <cell r="L54">
            <v>1</v>
          </cell>
        </row>
        <row r="55">
          <cell r="L55">
            <v>1</v>
          </cell>
        </row>
        <row r="56">
          <cell r="L56">
            <v>1</v>
          </cell>
        </row>
        <row r="57">
          <cell r="L57">
            <v>1</v>
          </cell>
        </row>
        <row r="58">
          <cell r="L58">
            <v>1</v>
          </cell>
        </row>
        <row r="59">
          <cell r="L59">
            <v>1</v>
          </cell>
        </row>
        <row r="60">
          <cell r="L60">
            <v>1</v>
          </cell>
        </row>
        <row r="61">
          <cell r="L61">
            <v>1</v>
          </cell>
        </row>
        <row r="62">
          <cell r="L62">
            <v>1</v>
          </cell>
        </row>
        <row r="63">
          <cell r="L63">
            <v>1</v>
          </cell>
        </row>
        <row r="64">
          <cell r="L64">
            <v>1</v>
          </cell>
        </row>
        <row r="65">
          <cell r="L65">
            <v>1</v>
          </cell>
        </row>
        <row r="66">
          <cell r="L66">
            <v>1</v>
          </cell>
        </row>
        <row r="67">
          <cell r="L67">
            <v>1</v>
          </cell>
        </row>
        <row r="68">
          <cell r="L68">
            <v>1</v>
          </cell>
        </row>
        <row r="69">
          <cell r="L69">
            <v>1</v>
          </cell>
        </row>
        <row r="70">
          <cell r="L70">
            <v>1</v>
          </cell>
        </row>
        <row r="72">
          <cell r="L72">
            <v>1</v>
          </cell>
        </row>
        <row r="73">
          <cell r="L73">
            <v>1</v>
          </cell>
        </row>
        <row r="74">
          <cell r="L74">
            <v>1</v>
          </cell>
        </row>
        <row r="75">
          <cell r="L75">
            <v>1</v>
          </cell>
        </row>
        <row r="76">
          <cell r="L76">
            <v>1</v>
          </cell>
        </row>
        <row r="77">
          <cell r="L77">
            <v>1</v>
          </cell>
        </row>
        <row r="78">
          <cell r="L78">
            <v>1</v>
          </cell>
        </row>
        <row r="79">
          <cell r="L79">
            <v>1</v>
          </cell>
        </row>
        <row r="80">
          <cell r="L80">
            <v>1</v>
          </cell>
        </row>
        <row r="81">
          <cell r="L81">
            <v>1</v>
          </cell>
        </row>
      </sheetData>
      <sheetData sheetId="4">
        <row r="3">
          <cell r="P3" t="e">
            <v>#NAME?</v>
          </cell>
        </row>
        <row r="4">
          <cell r="P4" t="e">
            <v>#NAME?</v>
          </cell>
        </row>
        <row r="5">
          <cell r="P5" t="e">
            <v>#NAME?</v>
          </cell>
        </row>
        <row r="6">
          <cell r="P6" t="e">
            <v>#NAME?</v>
          </cell>
        </row>
        <row r="7">
          <cell r="P7" t="e">
            <v>#NAME?</v>
          </cell>
        </row>
        <row r="8">
          <cell r="P8" t="e">
            <v>#NAME?</v>
          </cell>
        </row>
        <row r="9">
          <cell r="P9" t="e">
            <v>#NAME?</v>
          </cell>
        </row>
        <row r="10">
          <cell r="P10" t="e">
            <v>#NAME?</v>
          </cell>
        </row>
        <row r="11">
          <cell r="P11" t="e">
            <v>#NAME?</v>
          </cell>
        </row>
        <row r="12">
          <cell r="P12" t="e">
            <v>#NAME?</v>
          </cell>
        </row>
        <row r="13">
          <cell r="P13" t="e">
            <v>#NAME?</v>
          </cell>
        </row>
        <row r="14">
          <cell r="P14" t="e">
            <v>#NAME?</v>
          </cell>
        </row>
        <row r="15">
          <cell r="P15" t="e">
            <v>#NAME?</v>
          </cell>
        </row>
        <row r="16">
          <cell r="P16" t="e">
            <v>#NAME?</v>
          </cell>
        </row>
        <row r="17">
          <cell r="P17" t="e">
            <v>#NAME?</v>
          </cell>
        </row>
        <row r="18">
          <cell r="P18" t="e">
            <v>#NAME?</v>
          </cell>
        </row>
        <row r="19">
          <cell r="P19" t="e">
            <v>#NAME?</v>
          </cell>
        </row>
        <row r="20">
          <cell r="P20" t="e">
            <v>#NAME?</v>
          </cell>
        </row>
        <row r="21">
          <cell r="P21" t="e">
            <v>#NAME?</v>
          </cell>
        </row>
        <row r="22">
          <cell r="P22" t="e">
            <v>#NAME?</v>
          </cell>
        </row>
        <row r="23">
          <cell r="P23" t="e">
            <v>#NAME?</v>
          </cell>
        </row>
        <row r="24">
          <cell r="P24" t="e">
            <v>#NAME?</v>
          </cell>
        </row>
        <row r="25">
          <cell r="P25" t="e">
            <v>#NAME?</v>
          </cell>
        </row>
        <row r="26">
          <cell r="P26" t="e">
            <v>#NAME?</v>
          </cell>
        </row>
        <row r="27">
          <cell r="P27" t="e">
            <v>#NAME?</v>
          </cell>
        </row>
        <row r="28">
          <cell r="P28" t="e">
            <v>#NAME?</v>
          </cell>
        </row>
        <row r="29">
          <cell r="P29" t="e">
            <v>#NAME?</v>
          </cell>
        </row>
        <row r="30">
          <cell r="P30" t="e">
            <v>#NAME?</v>
          </cell>
        </row>
        <row r="31">
          <cell r="P31" t="e">
            <v>#NAME?</v>
          </cell>
        </row>
        <row r="32">
          <cell r="P32" t="e">
            <v>#NAME?</v>
          </cell>
        </row>
        <row r="33">
          <cell r="P33" t="e">
            <v>#NAME?</v>
          </cell>
        </row>
        <row r="34">
          <cell r="P34" t="e">
            <v>#NAME?</v>
          </cell>
        </row>
        <row r="35">
          <cell r="P35" t="e">
            <v>#NAME?</v>
          </cell>
        </row>
        <row r="36">
          <cell r="P36" t="e">
            <v>#NAME?</v>
          </cell>
        </row>
        <row r="37">
          <cell r="P37" t="e">
            <v>#NAME?</v>
          </cell>
        </row>
        <row r="38">
          <cell r="P38" t="e">
            <v>#NAME?</v>
          </cell>
        </row>
        <row r="39">
          <cell r="P39" t="e">
            <v>#NAME?</v>
          </cell>
        </row>
        <row r="40">
          <cell r="P40" t="e">
            <v>#NAME?</v>
          </cell>
        </row>
        <row r="41">
          <cell r="P41" t="e">
            <v>#NAME?</v>
          </cell>
        </row>
        <row r="42">
          <cell r="P42" t="e">
            <v>#NAME?</v>
          </cell>
        </row>
        <row r="43">
          <cell r="P43" t="e">
            <v>#NAME?</v>
          </cell>
        </row>
        <row r="44">
          <cell r="P44" t="e">
            <v>#NAME?</v>
          </cell>
        </row>
        <row r="45">
          <cell r="P45" t="e">
            <v>#NAME?</v>
          </cell>
        </row>
        <row r="46">
          <cell r="P46" t="e">
            <v>#NAME?</v>
          </cell>
        </row>
        <row r="47">
          <cell r="P47" t="e">
            <v>#NAME?</v>
          </cell>
        </row>
        <row r="48">
          <cell r="P48" t="e">
            <v>#NAME?</v>
          </cell>
        </row>
        <row r="49">
          <cell r="P49" t="e">
            <v>#NAME?</v>
          </cell>
        </row>
        <row r="50">
          <cell r="P50" t="e">
            <v>#NAME?</v>
          </cell>
        </row>
        <row r="51">
          <cell r="P51" t="e">
            <v>#NAME?</v>
          </cell>
        </row>
        <row r="52">
          <cell r="P52" t="e">
            <v>#NAME?</v>
          </cell>
        </row>
        <row r="53">
          <cell r="P53" t="e">
            <v>#NAME?</v>
          </cell>
        </row>
        <row r="54">
          <cell r="P54" t="e">
            <v>#NAME?</v>
          </cell>
        </row>
        <row r="55">
          <cell r="P55" t="e">
            <v>#NAME?</v>
          </cell>
        </row>
        <row r="56">
          <cell r="P56" t="e">
            <v>#NAME?</v>
          </cell>
        </row>
        <row r="57">
          <cell r="P57" t="e">
            <v>#NAME?</v>
          </cell>
        </row>
        <row r="58">
          <cell r="P58" t="e">
            <v>#NAME?</v>
          </cell>
        </row>
        <row r="59">
          <cell r="P59" t="e">
            <v>#NAME?</v>
          </cell>
        </row>
        <row r="60">
          <cell r="P60" t="e">
            <v>#NAME?</v>
          </cell>
        </row>
        <row r="61">
          <cell r="P61" t="e">
            <v>#NAME?</v>
          </cell>
        </row>
        <row r="62">
          <cell r="P62" t="e">
            <v>#NAME?</v>
          </cell>
        </row>
        <row r="63">
          <cell r="P63" t="e">
            <v>#NAME?</v>
          </cell>
        </row>
        <row r="64">
          <cell r="P64" t="e">
            <v>#NAME?</v>
          </cell>
        </row>
        <row r="65">
          <cell r="P65" t="e">
            <v>#NAME?</v>
          </cell>
        </row>
        <row r="66">
          <cell r="P66" t="e">
            <v>#NAME?</v>
          </cell>
        </row>
        <row r="67">
          <cell r="P67" t="e">
            <v>#NAME?</v>
          </cell>
        </row>
        <row r="68">
          <cell r="P68" t="e">
            <v>#NAME?</v>
          </cell>
        </row>
        <row r="69">
          <cell r="P69" t="e">
            <v>#NAME?</v>
          </cell>
        </row>
        <row r="70">
          <cell r="P70" t="e">
            <v>#NAME?</v>
          </cell>
        </row>
        <row r="71">
          <cell r="P71" t="e">
            <v>#NAME?</v>
          </cell>
        </row>
        <row r="72">
          <cell r="P72" t="e">
            <v>#NAME?</v>
          </cell>
        </row>
        <row r="73">
          <cell r="P73" t="e">
            <v>#NAME?</v>
          </cell>
        </row>
        <row r="74">
          <cell r="P74" t="e">
            <v>#NAME?</v>
          </cell>
        </row>
        <row r="75">
          <cell r="P75" t="e">
            <v>#NAME?</v>
          </cell>
        </row>
        <row r="76">
          <cell r="P76" t="e">
            <v>#NAME?</v>
          </cell>
        </row>
        <row r="77">
          <cell r="P77" t="e">
            <v>#NAME?</v>
          </cell>
        </row>
        <row r="78">
          <cell r="P78" t="e">
            <v>#NAME?</v>
          </cell>
        </row>
        <row r="79">
          <cell r="P79" t="e">
            <v>#NAME?</v>
          </cell>
        </row>
        <row r="80">
          <cell r="P80" t="e">
            <v>#NAME?</v>
          </cell>
        </row>
        <row r="81">
          <cell r="P81" t="e">
            <v>#NAME?</v>
          </cell>
        </row>
        <row r="82">
          <cell r="P82" t="e">
            <v>#NAME?</v>
          </cell>
        </row>
        <row r="83">
          <cell r="P83" t="e">
            <v>#NAME?</v>
          </cell>
        </row>
        <row r="84">
          <cell r="P84" t="e">
            <v>#NAME?</v>
          </cell>
        </row>
        <row r="85">
          <cell r="P85" t="e">
            <v>#NAME?</v>
          </cell>
        </row>
        <row r="86">
          <cell r="P86" t="e">
            <v>#NAME?</v>
          </cell>
        </row>
        <row r="87">
          <cell r="P87" t="e">
            <v>#NAME?</v>
          </cell>
        </row>
        <row r="88">
          <cell r="P88" t="e">
            <v>#NAME?</v>
          </cell>
        </row>
        <row r="89">
          <cell r="P89" t="e">
            <v>#NAME?</v>
          </cell>
        </row>
        <row r="90">
          <cell r="P90" t="e">
            <v>#NAME?</v>
          </cell>
        </row>
        <row r="91">
          <cell r="P91" t="e">
            <v>#NAME?</v>
          </cell>
        </row>
        <row r="92">
          <cell r="P92" t="e">
            <v>#NAME?</v>
          </cell>
        </row>
        <row r="93">
          <cell r="P93" t="e">
            <v>#NAME?</v>
          </cell>
        </row>
        <row r="94">
          <cell r="P94" t="e">
            <v>#NAME?</v>
          </cell>
        </row>
        <row r="95">
          <cell r="P95" t="e">
            <v>#NAME?</v>
          </cell>
        </row>
        <row r="96">
          <cell r="P96" t="e">
            <v>#NAME?</v>
          </cell>
        </row>
        <row r="97">
          <cell r="P97" t="e">
            <v>#NAME?</v>
          </cell>
        </row>
        <row r="98">
          <cell r="P98" t="e">
            <v>#NAME?</v>
          </cell>
        </row>
        <row r="99">
          <cell r="P99" t="e">
            <v>#NAME?</v>
          </cell>
        </row>
        <row r="100">
          <cell r="P100" t="e">
            <v>#NAME?</v>
          </cell>
        </row>
        <row r="101">
          <cell r="P101" t="e">
            <v>#NAME?</v>
          </cell>
        </row>
        <row r="102">
          <cell r="P102" t="e">
            <v>#NAME?</v>
          </cell>
        </row>
        <row r="103">
          <cell r="P103" t="e">
            <v>#NAME?</v>
          </cell>
        </row>
        <row r="104">
          <cell r="P104" t="e">
            <v>#NAME?</v>
          </cell>
        </row>
        <row r="105">
          <cell r="P105" t="e">
            <v>#NAME?</v>
          </cell>
        </row>
        <row r="106">
          <cell r="P106" t="e">
            <v>#NAME?</v>
          </cell>
        </row>
        <row r="107">
          <cell r="P107" t="e">
            <v>#NAME?</v>
          </cell>
        </row>
        <row r="108">
          <cell r="P108" t="e">
            <v>#NAME?</v>
          </cell>
        </row>
        <row r="109">
          <cell r="P109" t="e">
            <v>#NAME?</v>
          </cell>
        </row>
        <row r="110">
          <cell r="P110" t="e">
            <v>#NAME?</v>
          </cell>
        </row>
        <row r="111">
          <cell r="P111" t="e">
            <v>#NAME?</v>
          </cell>
        </row>
        <row r="112">
          <cell r="P112" t="e">
            <v>#NAME?</v>
          </cell>
        </row>
        <row r="113">
          <cell r="P113" t="e">
            <v>#NAME?</v>
          </cell>
        </row>
        <row r="114">
          <cell r="P114" t="e">
            <v>#NAME?</v>
          </cell>
        </row>
        <row r="115">
          <cell r="P115" t="e">
            <v>#NAME?</v>
          </cell>
        </row>
        <row r="116">
          <cell r="P116" t="e">
            <v>#NAME?</v>
          </cell>
        </row>
        <row r="117">
          <cell r="P117" t="e">
            <v>#NAME?</v>
          </cell>
        </row>
        <row r="118">
          <cell r="P118" t="e">
            <v>#NAME?</v>
          </cell>
        </row>
        <row r="119">
          <cell r="P119" t="e">
            <v>#NAME?</v>
          </cell>
        </row>
        <row r="120">
          <cell r="P120" t="e">
            <v>#NAME?</v>
          </cell>
        </row>
        <row r="121">
          <cell r="P121" t="e">
            <v>#NAME?</v>
          </cell>
        </row>
        <row r="122">
          <cell r="P122" t="e">
            <v>#NAME?</v>
          </cell>
        </row>
        <row r="123">
          <cell r="P123" t="e">
            <v>#NAME?</v>
          </cell>
        </row>
        <row r="124">
          <cell r="P124" t="e">
            <v>#NAME?</v>
          </cell>
        </row>
        <row r="125">
          <cell r="P125" t="e">
            <v>#NAME?</v>
          </cell>
        </row>
        <row r="126">
          <cell r="P126" t="e">
            <v>#NAME?</v>
          </cell>
        </row>
        <row r="127">
          <cell r="P127" t="e">
            <v>#NAME?</v>
          </cell>
        </row>
        <row r="128">
          <cell r="P128" t="e">
            <v>#NAME?</v>
          </cell>
        </row>
        <row r="129">
          <cell r="P129" t="e">
            <v>#NAME?</v>
          </cell>
        </row>
        <row r="130">
          <cell r="P130" t="e">
            <v>#NAME?</v>
          </cell>
        </row>
        <row r="131">
          <cell r="P131" t="e">
            <v>#NAME?</v>
          </cell>
        </row>
        <row r="132">
          <cell r="P132" t="e">
            <v>#NAME?</v>
          </cell>
        </row>
        <row r="133">
          <cell r="P133" t="e">
            <v>#NAME?</v>
          </cell>
        </row>
        <row r="134">
          <cell r="P134" t="e">
            <v>#NAME?</v>
          </cell>
        </row>
        <row r="135">
          <cell r="P135" t="e">
            <v>#NAME?</v>
          </cell>
        </row>
        <row r="136">
          <cell r="P136" t="e">
            <v>#NAME?</v>
          </cell>
        </row>
        <row r="137">
          <cell r="P137" t="e">
            <v>#NAME?</v>
          </cell>
        </row>
        <row r="138">
          <cell r="P138" t="e">
            <v>#NAME?</v>
          </cell>
        </row>
        <row r="139">
          <cell r="P139" t="e">
            <v>#NAME?</v>
          </cell>
        </row>
        <row r="140">
          <cell r="P140" t="e">
            <v>#NAME?</v>
          </cell>
        </row>
        <row r="141">
          <cell r="P141" t="e">
            <v>#NAME?</v>
          </cell>
        </row>
        <row r="142">
          <cell r="P142" t="e">
            <v>#NAME?</v>
          </cell>
        </row>
        <row r="143">
          <cell r="P143" t="e">
            <v>#NAME?</v>
          </cell>
        </row>
        <row r="144">
          <cell r="P144" t="e">
            <v>#NAME?</v>
          </cell>
        </row>
        <row r="145">
          <cell r="P145" t="e">
            <v>#NAME?</v>
          </cell>
        </row>
        <row r="146">
          <cell r="P146" t="e">
            <v>#NAME?</v>
          </cell>
        </row>
        <row r="147">
          <cell r="P147" t="e">
            <v>#NAME?</v>
          </cell>
        </row>
        <row r="148">
          <cell r="P148" t="e">
            <v>#NAME?</v>
          </cell>
        </row>
        <row r="149">
          <cell r="P149" t="e">
            <v>#NAME?</v>
          </cell>
        </row>
        <row r="150">
          <cell r="P150" t="e">
            <v>#NAME?</v>
          </cell>
        </row>
        <row r="151">
          <cell r="P151" t="e">
            <v>#NAME?</v>
          </cell>
        </row>
        <row r="152">
          <cell r="P152" t="e">
            <v>#NAME?</v>
          </cell>
        </row>
        <row r="153">
          <cell r="P153" t="e">
            <v>#NAME?</v>
          </cell>
        </row>
        <row r="154">
          <cell r="P154" t="e">
            <v>#NAME?</v>
          </cell>
        </row>
        <row r="155">
          <cell r="P155" t="e">
            <v>#NAME?</v>
          </cell>
        </row>
        <row r="156">
          <cell r="P156" t="e">
            <v>#NAME?</v>
          </cell>
        </row>
        <row r="157">
          <cell r="P157" t="e">
            <v>#NAME?</v>
          </cell>
        </row>
        <row r="158">
          <cell r="P158" t="e">
            <v>#NAME?</v>
          </cell>
        </row>
        <row r="159">
          <cell r="P159" t="e">
            <v>#NAME?</v>
          </cell>
        </row>
        <row r="160">
          <cell r="P160" t="e">
            <v>#NAME?</v>
          </cell>
        </row>
        <row r="161">
          <cell r="P161" t="e">
            <v>#NAME?</v>
          </cell>
        </row>
        <row r="162">
          <cell r="P162" t="e">
            <v>#NAME?</v>
          </cell>
        </row>
        <row r="163">
          <cell r="P163" t="e">
            <v>#NAME?</v>
          </cell>
        </row>
        <row r="164">
          <cell r="P164" t="e">
            <v>#NAME?</v>
          </cell>
        </row>
        <row r="165">
          <cell r="P165" t="e">
            <v>#NAME?</v>
          </cell>
        </row>
        <row r="166">
          <cell r="P166" t="e">
            <v>#NAME?</v>
          </cell>
        </row>
        <row r="167">
          <cell r="P167" t="e">
            <v>#NAME?</v>
          </cell>
        </row>
        <row r="168">
          <cell r="P168" t="e">
            <v>#NAME?</v>
          </cell>
        </row>
        <row r="169">
          <cell r="P169" t="e">
            <v>#NAME?</v>
          </cell>
        </row>
        <row r="170">
          <cell r="P170" t="e">
            <v>#NAME?</v>
          </cell>
        </row>
        <row r="171">
          <cell r="P171" t="e">
            <v>#NAME?</v>
          </cell>
        </row>
        <row r="172">
          <cell r="P172" t="e">
            <v>#NAME?</v>
          </cell>
        </row>
        <row r="173">
          <cell r="P173" t="e">
            <v>#NAME?</v>
          </cell>
        </row>
        <row r="174">
          <cell r="P174" t="e">
            <v>#NAME?</v>
          </cell>
        </row>
        <row r="175">
          <cell r="P175" t="e">
            <v>#NAME?</v>
          </cell>
        </row>
        <row r="176">
          <cell r="P176" t="e">
            <v>#NAME?</v>
          </cell>
        </row>
        <row r="177">
          <cell r="P177" t="e">
            <v>#NAME?</v>
          </cell>
        </row>
        <row r="178">
          <cell r="P178" t="e">
            <v>#NAME?</v>
          </cell>
        </row>
        <row r="179">
          <cell r="P179" t="e">
            <v>#NAME?</v>
          </cell>
        </row>
        <row r="180">
          <cell r="P180" t="e">
            <v>#NAME?</v>
          </cell>
        </row>
        <row r="181">
          <cell r="P181" t="e">
            <v>#NAME?</v>
          </cell>
        </row>
        <row r="182">
          <cell r="P182" t="e">
            <v>#NAME?</v>
          </cell>
        </row>
        <row r="183">
          <cell r="P183" t="e">
            <v>#NAME?</v>
          </cell>
        </row>
        <row r="184">
          <cell r="P184" t="e">
            <v>#NAME?</v>
          </cell>
        </row>
        <row r="185">
          <cell r="P185" t="e">
            <v>#NAME?</v>
          </cell>
        </row>
        <row r="186">
          <cell r="P186" t="e">
            <v>#NAME?</v>
          </cell>
        </row>
        <row r="187">
          <cell r="P187" t="e">
            <v>#NAME?</v>
          </cell>
        </row>
        <row r="188">
          <cell r="P188" t="e">
            <v>#NAME?</v>
          </cell>
        </row>
        <row r="189">
          <cell r="P189" t="e">
            <v>#NAME?</v>
          </cell>
        </row>
        <row r="190">
          <cell r="P190" t="e">
            <v>#NAME?</v>
          </cell>
        </row>
        <row r="191">
          <cell r="P191" t="e">
            <v>#NAME?</v>
          </cell>
        </row>
        <row r="192">
          <cell r="P192" t="e">
            <v>#NAME?</v>
          </cell>
        </row>
        <row r="193">
          <cell r="P193" t="e">
            <v>#NAME?</v>
          </cell>
        </row>
        <row r="194">
          <cell r="P194" t="e">
            <v>#NAME?</v>
          </cell>
        </row>
        <row r="195">
          <cell r="P195" t="e">
            <v>#NAME?</v>
          </cell>
        </row>
        <row r="196">
          <cell r="P196" t="e">
            <v>#NAME?</v>
          </cell>
        </row>
        <row r="197">
          <cell r="P197" t="e">
            <v>#NAME?</v>
          </cell>
        </row>
        <row r="198">
          <cell r="P198" t="e">
            <v>#NAME?</v>
          </cell>
        </row>
        <row r="199">
          <cell r="P199" t="e">
            <v>#NAME?</v>
          </cell>
        </row>
        <row r="200">
          <cell r="P200" t="e">
            <v>#NAME?</v>
          </cell>
        </row>
        <row r="201">
          <cell r="P201" t="e">
            <v>#NAME?</v>
          </cell>
        </row>
        <row r="202">
          <cell r="P202" t="e">
            <v>#NAME?</v>
          </cell>
        </row>
        <row r="203">
          <cell r="P203" t="str">
            <v>Other (not calculated)</v>
          </cell>
        </row>
      </sheetData>
      <sheetData sheetId="5" refreshError="1"/>
      <sheetData sheetId="6" refreshError="1"/>
      <sheetData sheetId="7">
        <row r="1">
          <cell r="J1" t="str">
            <v>Abr</v>
          </cell>
          <cell r="K1" t="str">
            <v>Sourcebook Title*</v>
          </cell>
          <cell r="L1" t="str">
            <v>Publish Date</v>
          </cell>
          <cell r="M1" t="str">
            <v>Status</v>
          </cell>
          <cell r="N1" t="str">
            <v>Category</v>
          </cell>
          <cell r="O1" t="str">
            <v>Setting</v>
          </cell>
          <cell r="P1" t="str">
            <v>Selected</v>
          </cell>
          <cell r="Q1">
            <v>63</v>
          </cell>
          <cell r="R1" t="str">
            <v>Feats Src List</v>
          </cell>
        </row>
        <row r="2">
          <cell r="H2" t="str">
            <v>v7.4.0.1</v>
          </cell>
          <cell r="J2" t="str">
            <v>AoM</v>
          </cell>
          <cell r="K2" t="str">
            <v>Age of Mortals</v>
          </cell>
          <cell r="L2">
            <v>37865</v>
          </cell>
          <cell r="M2" t="str">
            <v>FUL</v>
          </cell>
          <cell r="N2" t="str">
            <v>ACC</v>
          </cell>
          <cell r="O2" t="str">
            <v>DL</v>
          </cell>
          <cell r="P2" t="b">
            <v>0</v>
          </cell>
          <cell r="Q2">
            <v>46</v>
          </cell>
          <cell r="R2" t="str">
            <v>Player's Handbook</v>
          </cell>
        </row>
        <row r="3">
          <cell r="J3" t="str">
            <v>An</v>
          </cell>
          <cell r="K3" t="str">
            <v>Anauroch: The Empire of Shade</v>
          </cell>
          <cell r="L3">
            <v>39387</v>
          </cell>
          <cell r="M3" t="str">
            <v>UNK</v>
          </cell>
          <cell r="N3" t="str">
            <v>ADV</v>
          </cell>
          <cell r="O3" t="str">
            <v>FR</v>
          </cell>
          <cell r="P3" t="b">
            <v>0</v>
          </cell>
          <cell r="R3" t="str">
            <v>Player's Handbook II</v>
          </cell>
        </row>
        <row r="4">
          <cell r="J4" t="str">
            <v>AE</v>
          </cell>
          <cell r="K4" t="str">
            <v>Arms and Equipment Guide</v>
          </cell>
          <cell r="L4">
            <v>37681</v>
          </cell>
          <cell r="M4" t="str">
            <v>UNK</v>
          </cell>
          <cell r="N4" t="str">
            <v>ACC</v>
          </cell>
          <cell r="O4" t="str">
            <v>DD</v>
          </cell>
          <cell r="P4" t="b">
            <v>0</v>
          </cell>
          <cell r="R4" t="str">
            <v>Complete Warrior</v>
          </cell>
        </row>
        <row r="5">
          <cell r="J5" t="str">
            <v>BFK</v>
          </cell>
          <cell r="K5" t="str">
            <v>Barrow of the Forgotten King</v>
          </cell>
          <cell r="L5">
            <v>39114</v>
          </cell>
          <cell r="M5" t="str">
            <v>UNK</v>
          </cell>
          <cell r="N5" t="str">
            <v>ADV</v>
          </cell>
          <cell r="O5" t="str">
            <v>DD</v>
          </cell>
          <cell r="P5" t="b">
            <v>0</v>
          </cell>
          <cell r="Q5" t="str">
            <v/>
          </cell>
          <cell r="R5" t="str">
            <v>Complete Divine</v>
          </cell>
        </row>
        <row r="6">
          <cell r="J6" t="str">
            <v>BB</v>
          </cell>
          <cell r="K6" t="str">
            <v>Bastion of Broken Souls</v>
          </cell>
          <cell r="L6">
            <v>37316</v>
          </cell>
          <cell r="M6" t="str">
            <v>UNK</v>
          </cell>
          <cell r="N6" t="str">
            <v>ADV</v>
          </cell>
          <cell r="O6" t="str">
            <v>DD</v>
          </cell>
          <cell r="P6" t="b">
            <v>0</v>
          </cell>
          <cell r="Q6" t="str">
            <v/>
          </cell>
          <cell r="R6" t="str">
            <v>Complete Arcane</v>
          </cell>
        </row>
        <row r="7">
          <cell r="J7" t="str">
            <v>BoK</v>
          </cell>
          <cell r="K7" t="str">
            <v>Bestiary of Krynn</v>
          </cell>
          <cell r="L7">
            <v>39234</v>
          </cell>
          <cell r="M7" t="str">
            <v>FUL</v>
          </cell>
          <cell r="N7" t="str">
            <v>MON</v>
          </cell>
          <cell r="O7" t="str">
            <v>DL</v>
          </cell>
          <cell r="P7" t="b">
            <v>0</v>
          </cell>
          <cell r="Q7" t="str">
            <v/>
          </cell>
          <cell r="R7" t="str">
            <v>Complete Adventurer</v>
          </cell>
        </row>
        <row r="8">
          <cell r="J8" t="str">
            <v>BoED</v>
          </cell>
          <cell r="K8" t="str">
            <v>Book of Exalted Deeds</v>
          </cell>
          <cell r="L8">
            <v>37895</v>
          </cell>
          <cell r="M8" t="str">
            <v>FUL</v>
          </cell>
          <cell r="N8" t="str">
            <v>ACC</v>
          </cell>
          <cell r="O8" t="str">
            <v>DD</v>
          </cell>
          <cell r="P8" t="b">
            <v>0</v>
          </cell>
          <cell r="Q8">
            <v>30</v>
          </cell>
          <cell r="R8" t="str">
            <v>Complete Psionic</v>
          </cell>
        </row>
        <row r="9">
          <cell r="J9" t="str">
            <v>BoVD</v>
          </cell>
          <cell r="K9" t="str">
            <v>Book of Vile Darkness</v>
          </cell>
          <cell r="L9">
            <v>37530</v>
          </cell>
          <cell r="M9" t="str">
            <v>FUL</v>
          </cell>
          <cell r="N9" t="str">
            <v>ACC</v>
          </cell>
          <cell r="O9" t="str">
            <v>DD</v>
          </cell>
          <cell r="P9" t="b">
            <v>0</v>
          </cell>
          <cell r="Q9">
            <v>29</v>
          </cell>
          <cell r="R9" t="str">
            <v>Complete Mage</v>
          </cell>
        </row>
        <row r="10">
          <cell r="A10" t="str">
            <v>Abr*</v>
          </cell>
          <cell r="B10" t="str">
            <v>Settings</v>
          </cell>
          <cell r="C10" t="str">
            <v>Default Sourcebooks</v>
          </cell>
          <cell r="D10" t="str">
            <v>Seq</v>
          </cell>
          <cell r="E10" t="str">
            <v>List</v>
          </cell>
          <cell r="J10" t="str">
            <v>CoD</v>
          </cell>
          <cell r="K10" t="str">
            <v>Champions of Darkness</v>
          </cell>
          <cell r="L10">
            <v>37543</v>
          </cell>
          <cell r="M10" t="str">
            <v>FUL</v>
          </cell>
          <cell r="N10" t="str">
            <v>ACC</v>
          </cell>
          <cell r="O10" t="str">
            <v>RV</v>
          </cell>
          <cell r="P10" t="b">
            <v>0</v>
          </cell>
          <cell r="Q10">
            <v>60</v>
          </cell>
          <cell r="R10" t="str">
            <v>Complete Scoundrel</v>
          </cell>
        </row>
        <row r="11">
          <cell r="A11" t="str">
            <v>DD</v>
          </cell>
          <cell r="B11" t="str">
            <v>Generic 3.5 D&amp;D</v>
          </cell>
          <cell r="C11" t="str">
            <v>DMG,PH,MIC,MP,UA</v>
          </cell>
          <cell r="D11">
            <v>1</v>
          </cell>
          <cell r="E11" t="str">
            <v>Generic 3.5 D&amp;D</v>
          </cell>
          <cell r="H11">
            <v>8</v>
          </cell>
          <cell r="J11" t="str">
            <v>CR</v>
          </cell>
          <cell r="K11" t="str">
            <v>Champions of Ruin</v>
          </cell>
          <cell r="L11">
            <v>38473</v>
          </cell>
          <cell r="M11" t="str">
            <v>FUL</v>
          </cell>
          <cell r="N11" t="str">
            <v>ACC</v>
          </cell>
          <cell r="O11" t="str">
            <v>FR</v>
          </cell>
          <cell r="P11" t="b">
            <v>0</v>
          </cell>
          <cell r="Q11">
            <v>35</v>
          </cell>
          <cell r="R11" t="str">
            <v>Complete Champion</v>
          </cell>
        </row>
        <row r="12">
          <cell r="A12" t="str">
            <v>DL</v>
          </cell>
          <cell r="B12" t="str">
            <v>Dragonlance</v>
          </cell>
          <cell r="C12" t="str">
            <v>DCS,DMG,MIC,MP,PH,UA</v>
          </cell>
          <cell r="D12">
            <v>7</v>
          </cell>
          <cell r="E12" t="str">
            <v>Living Greyhawk</v>
          </cell>
          <cell r="H12" t="str">
            <v>DD</v>
          </cell>
          <cell r="J12" t="str">
            <v>CV</v>
          </cell>
          <cell r="K12" t="str">
            <v>Champions of Valor</v>
          </cell>
          <cell r="L12">
            <v>38657</v>
          </cell>
          <cell r="M12" t="str">
            <v>FUL</v>
          </cell>
          <cell r="N12" t="str">
            <v>ACC</v>
          </cell>
          <cell r="O12" t="str">
            <v>FR</v>
          </cell>
          <cell r="P12" t="b">
            <v>0</v>
          </cell>
          <cell r="Q12">
            <v>36</v>
          </cell>
          <cell r="R12" t="str">
            <v>Races of Stone</v>
          </cell>
        </row>
        <row r="13">
          <cell r="A13" t="str">
            <v>EB</v>
          </cell>
          <cell r="B13" t="str">
            <v>Eberron</v>
          </cell>
          <cell r="C13" t="str">
            <v>DMG,ECS,MIC,MP,PH,SM,UA</v>
          </cell>
          <cell r="D13">
            <v>4</v>
          </cell>
          <cell r="E13" t="str">
            <v>Forgotten Realms</v>
          </cell>
          <cell r="J13" t="str">
            <v>CSW</v>
          </cell>
          <cell r="K13" t="str">
            <v>City of Splendors: Waterdeep</v>
          </cell>
          <cell r="L13">
            <v>38504</v>
          </cell>
          <cell r="M13" t="str">
            <v>FUL</v>
          </cell>
          <cell r="N13" t="str">
            <v>ACC</v>
          </cell>
          <cell r="O13" t="str">
            <v>FR</v>
          </cell>
          <cell r="P13" t="b">
            <v>0</v>
          </cell>
          <cell r="Q13">
            <v>37</v>
          </cell>
          <cell r="R13" t="str">
            <v>Races of Destiny</v>
          </cell>
        </row>
        <row r="14">
          <cell r="A14" t="str">
            <v>FR</v>
          </cell>
          <cell r="B14" t="str">
            <v>Forgotten Realms</v>
          </cell>
          <cell r="C14" t="str">
            <v>DMG,FRCS,MIC,MP,PG,PH,UA</v>
          </cell>
          <cell r="D14">
            <v>3</v>
          </cell>
          <cell r="E14" t="str">
            <v>Eberron</v>
          </cell>
          <cell r="H14">
            <v>10</v>
          </cell>
          <cell r="J14" t="str">
            <v>CSQ</v>
          </cell>
          <cell r="K14" t="str">
            <v>City of the Spider Queen</v>
          </cell>
          <cell r="L14">
            <v>37500</v>
          </cell>
          <cell r="M14" t="str">
            <v>UNK</v>
          </cell>
          <cell r="N14" t="str">
            <v>ADV</v>
          </cell>
          <cell r="O14" t="str">
            <v>FR</v>
          </cell>
          <cell r="P14" t="b">
            <v>0</v>
          </cell>
          <cell r="Q14" t="str">
            <v/>
          </cell>
          <cell r="R14" t="str">
            <v>Races of the Wild</v>
          </cell>
        </row>
        <row r="15">
          <cell r="A15" t="str">
            <v>LG</v>
          </cell>
          <cell r="B15" t="str">
            <v>Living Greyhawk</v>
          </cell>
          <cell r="C15" t="str">
            <v>DMG,LGCS,LGD,MIC,MP,PH,UA</v>
          </cell>
          <cell r="D15">
            <v>2</v>
          </cell>
          <cell r="E15" t="str">
            <v>Rokugan</v>
          </cell>
          <cell r="H15">
            <v>2</v>
          </cell>
          <cell r="J15" t="str">
            <v>Ci</v>
          </cell>
          <cell r="K15" t="str">
            <v>Cityscape</v>
          </cell>
          <cell r="L15">
            <v>39022</v>
          </cell>
          <cell r="M15" t="str">
            <v>FUL</v>
          </cell>
          <cell r="N15" t="str">
            <v>ACC</v>
          </cell>
          <cell r="O15" t="str">
            <v>DD</v>
          </cell>
          <cell r="P15" t="b">
            <v>0</v>
          </cell>
          <cell r="Q15">
            <v>24</v>
          </cell>
          <cell r="R15" t="str">
            <v>Races of the Dragon</v>
          </cell>
        </row>
        <row r="16">
          <cell r="A16" t="str">
            <v>RV</v>
          </cell>
          <cell r="B16" t="str">
            <v>Ravenloft</v>
          </cell>
          <cell r="C16" t="str">
            <v>DMG,MIC,MP,PH,RCS,UA</v>
          </cell>
          <cell r="D16">
            <v>6</v>
          </cell>
          <cell r="E16" t="str">
            <v>Ravenloft</v>
          </cell>
          <cell r="J16" t="str">
            <v>CAd</v>
          </cell>
          <cell r="K16" t="str">
            <v>Complete Adventurer</v>
          </cell>
          <cell r="L16">
            <v>38353</v>
          </cell>
          <cell r="M16" t="str">
            <v>FUL</v>
          </cell>
          <cell r="N16" t="str">
            <v>ACC</v>
          </cell>
          <cell r="O16" t="str">
            <v>DD</v>
          </cell>
          <cell r="P16" t="b">
            <v>0</v>
          </cell>
          <cell r="Q16">
            <v>6</v>
          </cell>
          <cell r="R16" t="str">
            <v>Frostburn</v>
          </cell>
        </row>
        <row r="17">
          <cell r="A17" t="str">
            <v>OA</v>
          </cell>
          <cell r="B17" t="str">
            <v>Rokugan</v>
          </cell>
          <cell r="C17" t="str">
            <v>DMG,PH,MIC,MP,UA,OA</v>
          </cell>
          <cell r="D17">
            <v>5</v>
          </cell>
          <cell r="E17" t="str">
            <v>Dragonlance</v>
          </cell>
          <cell r="H17" t="b">
            <v>0</v>
          </cell>
          <cell r="J17" t="str">
            <v>CAr</v>
          </cell>
          <cell r="K17" t="str">
            <v>Complete Arcane</v>
          </cell>
          <cell r="L17">
            <v>38292</v>
          </cell>
          <cell r="M17" t="str">
            <v>FUL</v>
          </cell>
          <cell r="N17" t="str">
            <v>ACC</v>
          </cell>
          <cell r="O17" t="str">
            <v>DD</v>
          </cell>
          <cell r="P17" t="b">
            <v>0</v>
          </cell>
          <cell r="Q17">
            <v>5</v>
          </cell>
          <cell r="R17" t="str">
            <v>Sandstorm</v>
          </cell>
        </row>
        <row r="18">
          <cell r="J18" t="str">
            <v>CC</v>
          </cell>
          <cell r="K18" t="str">
            <v>Complete Champion</v>
          </cell>
          <cell r="L18">
            <v>39203</v>
          </cell>
          <cell r="M18" t="str">
            <v>FUL</v>
          </cell>
          <cell r="N18" t="str">
            <v>ACC</v>
          </cell>
          <cell r="O18" t="str">
            <v>DD</v>
          </cell>
          <cell r="P18" t="b">
            <v>0</v>
          </cell>
          <cell r="Q18">
            <v>10</v>
          </cell>
          <cell r="R18" t="str">
            <v>Stormwrack</v>
          </cell>
        </row>
        <row r="19">
          <cell r="J19" t="str">
            <v>CD</v>
          </cell>
          <cell r="K19" t="str">
            <v>Complete Divine</v>
          </cell>
          <cell r="L19">
            <v>38108</v>
          </cell>
          <cell r="M19" t="str">
            <v>FUL</v>
          </cell>
          <cell r="N19" t="str">
            <v>ACC</v>
          </cell>
          <cell r="O19" t="str">
            <v>DD</v>
          </cell>
          <cell r="P19" t="b">
            <v>0</v>
          </cell>
          <cell r="Q19">
            <v>4</v>
          </cell>
          <cell r="R19" t="str">
            <v>Heroes of Battle</v>
          </cell>
        </row>
        <row r="20">
          <cell r="J20" t="str">
            <v>CM</v>
          </cell>
          <cell r="K20" t="str">
            <v>Complete Mage</v>
          </cell>
          <cell r="L20">
            <v>38991</v>
          </cell>
          <cell r="M20" t="str">
            <v>FUL</v>
          </cell>
          <cell r="N20" t="str">
            <v>ACC</v>
          </cell>
          <cell r="O20" t="str">
            <v>DD</v>
          </cell>
          <cell r="P20" t="b">
            <v>0</v>
          </cell>
          <cell r="Q20">
            <v>8</v>
          </cell>
          <cell r="R20" t="str">
            <v>Heroes of Horror</v>
          </cell>
        </row>
        <row r="21">
          <cell r="J21" t="str">
            <v>CP</v>
          </cell>
          <cell r="K21" t="str">
            <v>Complete Psionic</v>
          </cell>
          <cell r="L21">
            <v>38808</v>
          </cell>
          <cell r="M21" t="str">
            <v>FUL</v>
          </cell>
          <cell r="N21" t="str">
            <v>ACC</v>
          </cell>
          <cell r="O21" t="str">
            <v>DD</v>
          </cell>
          <cell r="P21" t="b">
            <v>0</v>
          </cell>
          <cell r="Q21">
            <v>7</v>
          </cell>
          <cell r="R21" t="str">
            <v>Tome of Battle</v>
          </cell>
        </row>
        <row r="22">
          <cell r="A22" t="str">
            <v>FUL</v>
          </cell>
          <cell r="H22">
            <v>147</v>
          </cell>
          <cell r="J22" t="str">
            <v>CS</v>
          </cell>
          <cell r="K22" t="str">
            <v>Complete Scoundrel</v>
          </cell>
          <cell r="L22">
            <v>39083</v>
          </cell>
          <cell r="M22" t="str">
            <v>FUL</v>
          </cell>
          <cell r="N22" t="str">
            <v>ACC</v>
          </cell>
          <cell r="O22" t="str">
            <v>DD</v>
          </cell>
          <cell r="P22" t="b">
            <v>0</v>
          </cell>
          <cell r="Q22">
            <v>9</v>
          </cell>
          <cell r="R22" t="str">
            <v>Tome of Magic</v>
          </cell>
        </row>
        <row r="23">
          <cell r="A23" t="str">
            <v>PRT</v>
          </cell>
          <cell r="J23" t="str">
            <v>CW</v>
          </cell>
          <cell r="K23" t="str">
            <v>Complete Warrior</v>
          </cell>
          <cell r="L23">
            <v>37926</v>
          </cell>
          <cell r="M23" t="str">
            <v>FUL</v>
          </cell>
          <cell r="N23" t="str">
            <v>ACC</v>
          </cell>
          <cell r="O23" t="str">
            <v>DD</v>
          </cell>
          <cell r="P23" t="b">
            <v>0</v>
          </cell>
          <cell r="Q23">
            <v>3</v>
          </cell>
          <cell r="R23" t="str">
            <v>Magic of Incarnum</v>
          </cell>
        </row>
        <row r="24">
          <cell r="A24" t="str">
            <v>REQ</v>
          </cell>
          <cell r="J24" t="str">
            <v>Co</v>
          </cell>
          <cell r="K24" t="str">
            <v>Cormyr: The Tearing of the Weave</v>
          </cell>
          <cell r="L24">
            <v>39142</v>
          </cell>
          <cell r="M24" t="str">
            <v>UNK</v>
          </cell>
          <cell r="N24" t="str">
            <v>ADV</v>
          </cell>
          <cell r="O24" t="str">
            <v>FR</v>
          </cell>
          <cell r="P24" t="b">
            <v>0</v>
          </cell>
          <cell r="Q24" t="str">
            <v/>
          </cell>
          <cell r="R24" t="str">
            <v>Dungeonscape</v>
          </cell>
        </row>
        <row r="25">
          <cell r="A25" t="str">
            <v>NOR</v>
          </cell>
          <cell r="J25" t="str">
            <v>DH</v>
          </cell>
          <cell r="K25" t="str">
            <v>Deep Horizon</v>
          </cell>
          <cell r="L25">
            <v>37196</v>
          </cell>
          <cell r="M25" t="str">
            <v>UNK</v>
          </cell>
          <cell r="N25" t="str">
            <v>ADV</v>
          </cell>
          <cell r="O25" t="str">
            <v>DD</v>
          </cell>
          <cell r="P25" t="b">
            <v>0</v>
          </cell>
          <cell r="Q25" t="str">
            <v/>
          </cell>
          <cell r="R25" t="str">
            <v>Cityscape</v>
          </cell>
        </row>
        <row r="26">
          <cell r="A26" t="str">
            <v>OBS</v>
          </cell>
          <cell r="J26" t="str">
            <v>DF</v>
          </cell>
          <cell r="K26" t="str">
            <v>Defenders of the Faith</v>
          </cell>
          <cell r="L26">
            <v>37012</v>
          </cell>
          <cell r="M26" t="str">
            <v>OBS</v>
          </cell>
          <cell r="N26" t="str">
            <v>ACC</v>
          </cell>
          <cell r="O26" t="str">
            <v>DD</v>
          </cell>
          <cell r="P26" t="b">
            <v>0</v>
          </cell>
          <cell r="Q26" t="str">
            <v/>
          </cell>
          <cell r="R26" t="str">
            <v>Miniatures Handbook</v>
          </cell>
        </row>
        <row r="27">
          <cell r="A27" t="str">
            <v>UNK</v>
          </cell>
          <cell r="J27" t="str">
            <v>DD</v>
          </cell>
          <cell r="K27" t="str">
            <v>Deities and Demigods</v>
          </cell>
          <cell r="L27">
            <v>37347</v>
          </cell>
          <cell r="M27" t="str">
            <v>UNK</v>
          </cell>
          <cell r="N27" t="str">
            <v>ACC</v>
          </cell>
          <cell r="O27" t="str">
            <v>DD</v>
          </cell>
          <cell r="P27" t="b">
            <v>0</v>
          </cell>
          <cell r="Q27" t="str">
            <v/>
          </cell>
          <cell r="R27" t="str">
            <v>Expanded Psionics Handbook</v>
          </cell>
        </row>
        <row r="28">
          <cell r="J28" t="str">
            <v>Dr</v>
          </cell>
          <cell r="K28" t="str">
            <v>Draconomicon</v>
          </cell>
          <cell r="L28">
            <v>37926</v>
          </cell>
          <cell r="M28" t="str">
            <v>FUL</v>
          </cell>
          <cell r="N28" t="str">
            <v>MON</v>
          </cell>
          <cell r="O28" t="str">
            <v>DD</v>
          </cell>
          <cell r="P28" t="b">
            <v>0</v>
          </cell>
          <cell r="Q28">
            <v>48</v>
          </cell>
          <cell r="R28" t="str">
            <v>Planar Handbook</v>
          </cell>
        </row>
        <row r="29">
          <cell r="J29" t="str">
            <v>DMag</v>
          </cell>
          <cell r="K29" t="str">
            <v>Dragon Magazine (315, 319)</v>
          </cell>
          <cell r="L29">
            <v>39083</v>
          </cell>
          <cell r="M29" t="str">
            <v>FUL</v>
          </cell>
          <cell r="N29" t="str">
            <v>ACC</v>
          </cell>
          <cell r="O29" t="str">
            <v>LG</v>
          </cell>
          <cell r="P29" t="b">
            <v>0</v>
          </cell>
          <cell r="Q29">
            <v>28</v>
          </cell>
          <cell r="R29" t="str">
            <v>Dragon Magazine (315, 319)</v>
          </cell>
        </row>
        <row r="30">
          <cell r="A30" t="str">
            <v>ACC</v>
          </cell>
          <cell r="J30" t="str">
            <v>DrM</v>
          </cell>
          <cell r="K30" t="str">
            <v>Dragon Magic</v>
          </cell>
          <cell r="L30">
            <v>38961</v>
          </cell>
          <cell r="M30" t="str">
            <v>FUL</v>
          </cell>
          <cell r="N30" t="str">
            <v>MON</v>
          </cell>
          <cell r="O30" t="str">
            <v>DD</v>
          </cell>
          <cell r="P30" t="b">
            <v>0</v>
          </cell>
          <cell r="Q30">
            <v>49</v>
          </cell>
          <cell r="R30" t="str">
            <v>Book of Vile Darkness</v>
          </cell>
        </row>
        <row r="31">
          <cell r="A31" t="str">
            <v>ADV</v>
          </cell>
          <cell r="J31" t="str">
            <v>DCS</v>
          </cell>
          <cell r="K31" t="str">
            <v>Dragonlance Campaign Setting</v>
          </cell>
          <cell r="L31">
            <v>37834</v>
          </cell>
          <cell r="M31" t="str">
            <v>FUL</v>
          </cell>
          <cell r="N31" t="str">
            <v>COR</v>
          </cell>
          <cell r="O31" t="str">
            <v>DL</v>
          </cell>
          <cell r="P31" t="b">
            <v>0</v>
          </cell>
          <cell r="Q31">
            <v>45</v>
          </cell>
          <cell r="R31" t="str">
            <v>Book of Exalted Deeds</v>
          </cell>
        </row>
        <row r="32">
          <cell r="A32" t="str">
            <v>COR</v>
          </cell>
          <cell r="J32" t="str">
            <v>Dra</v>
          </cell>
          <cell r="K32" t="str">
            <v>Dragonmarked</v>
          </cell>
          <cell r="L32">
            <v>39022</v>
          </cell>
          <cell r="M32" t="str">
            <v>UNK</v>
          </cell>
          <cell r="N32" t="str">
            <v>ACC</v>
          </cell>
          <cell r="O32" t="str">
            <v>EB</v>
          </cell>
          <cell r="P32" t="b">
            <v>0</v>
          </cell>
          <cell r="Q32" t="str">
            <v/>
          </cell>
          <cell r="R32" t="str">
            <v>Player's Guide to Faerûn</v>
          </cell>
        </row>
        <row r="33">
          <cell r="A33" t="str">
            <v>MON</v>
          </cell>
          <cell r="J33" t="str">
            <v>DE</v>
          </cell>
          <cell r="K33" t="str">
            <v>Dragons of Eberron</v>
          </cell>
          <cell r="L33">
            <v>39356</v>
          </cell>
          <cell r="M33" t="str">
            <v>UNK</v>
          </cell>
          <cell r="N33" t="str">
            <v>ACC</v>
          </cell>
          <cell r="O33" t="str">
            <v>EB</v>
          </cell>
          <cell r="P33" t="b">
            <v>0</v>
          </cell>
          <cell r="Q33" t="str">
            <v/>
          </cell>
          <cell r="R33" t="str">
            <v>Magic of Faerûn</v>
          </cell>
        </row>
        <row r="34">
          <cell r="A34" t="str">
            <v>TPA</v>
          </cell>
          <cell r="J34" t="str">
            <v>DrF</v>
          </cell>
          <cell r="K34" t="str">
            <v>Dragons of Faerûn</v>
          </cell>
          <cell r="L34">
            <v>38930</v>
          </cell>
          <cell r="M34" t="str">
            <v>UNK</v>
          </cell>
          <cell r="N34" t="str">
            <v>ACC</v>
          </cell>
          <cell r="O34" t="str">
            <v>FR</v>
          </cell>
          <cell r="P34" t="b">
            <v>0</v>
          </cell>
          <cell r="Q34" t="str">
            <v/>
          </cell>
          <cell r="R34" t="str">
            <v>Races of Faerûn</v>
          </cell>
        </row>
        <row r="35">
          <cell r="A35" t="str">
            <v>WEB</v>
          </cell>
          <cell r="J35" t="str">
            <v>DotU</v>
          </cell>
          <cell r="K35" t="str">
            <v>Drow of the Underdark</v>
          </cell>
          <cell r="L35">
            <v>39203</v>
          </cell>
          <cell r="M35" t="str">
            <v>UNK</v>
          </cell>
          <cell r="N35" t="str">
            <v>ACC</v>
          </cell>
          <cell r="O35" t="str">
            <v>DD</v>
          </cell>
          <cell r="P35" t="b">
            <v>0</v>
          </cell>
          <cell r="Q35" t="str">
            <v/>
          </cell>
          <cell r="R35" t="str">
            <v>Underdark</v>
          </cell>
        </row>
        <row r="36">
          <cell r="J36" t="str">
            <v>DMG</v>
          </cell>
          <cell r="K36" t="str">
            <v>Dungeon Master's Guide</v>
          </cell>
          <cell r="L36">
            <v>37803</v>
          </cell>
          <cell r="M36" t="str">
            <v>FUL</v>
          </cell>
          <cell r="N36" t="str">
            <v>COR</v>
          </cell>
          <cell r="O36" t="str">
            <v>DD</v>
          </cell>
          <cell r="P36" t="b">
            <v>1</v>
          </cell>
          <cell r="Q36">
            <v>57</v>
          </cell>
          <cell r="R36" t="str">
            <v>Champions of Ruin</v>
          </cell>
        </row>
        <row r="37">
          <cell r="J37" t="str">
            <v>DMG2</v>
          </cell>
          <cell r="K37" t="str">
            <v>Dungeon Master's Guide II</v>
          </cell>
          <cell r="L37">
            <v>38504</v>
          </cell>
          <cell r="M37" t="str">
            <v>UNK</v>
          </cell>
          <cell r="N37" t="str">
            <v>ACC</v>
          </cell>
          <cell r="O37" t="str">
            <v>DD</v>
          </cell>
          <cell r="P37" t="b">
            <v>0</v>
          </cell>
          <cell r="Q37" t="str">
            <v/>
          </cell>
          <cell r="R37" t="str">
            <v>Champions of Valor</v>
          </cell>
        </row>
        <row r="38">
          <cell r="J38" t="str">
            <v>Du</v>
          </cell>
          <cell r="K38" t="str">
            <v>Dungeonscape</v>
          </cell>
          <cell r="L38">
            <v>39114</v>
          </cell>
          <cell r="M38" t="str">
            <v>FUL</v>
          </cell>
          <cell r="N38" t="str">
            <v>ACC</v>
          </cell>
          <cell r="O38" t="str">
            <v>DD</v>
          </cell>
          <cell r="P38" t="b">
            <v>0</v>
          </cell>
          <cell r="Q38">
            <v>23</v>
          </cell>
          <cell r="R38" t="str">
            <v>City of Splendors: Waterdeep</v>
          </cell>
        </row>
        <row r="39">
          <cell r="J39" t="str">
            <v>ECS</v>
          </cell>
          <cell r="K39" t="str">
            <v>Eberron Campaign Setting</v>
          </cell>
          <cell r="L39">
            <v>38139</v>
          </cell>
          <cell r="M39" t="str">
            <v>FUL</v>
          </cell>
          <cell r="N39" t="str">
            <v>COR</v>
          </cell>
          <cell r="O39" t="str">
            <v>EB</v>
          </cell>
          <cell r="P39" t="b">
            <v>0</v>
          </cell>
          <cell r="Q39">
            <v>38</v>
          </cell>
          <cell r="R39" t="str">
            <v>Eberron Campaign Setting</v>
          </cell>
        </row>
        <row r="40">
          <cell r="J40" t="str">
            <v>ElE</v>
          </cell>
          <cell r="K40" t="str">
            <v>Elder Evils</v>
          </cell>
          <cell r="L40">
            <v>39417</v>
          </cell>
          <cell r="M40" t="str">
            <v>UNK</v>
          </cell>
          <cell r="N40" t="str">
            <v>ACC</v>
          </cell>
          <cell r="O40" t="str">
            <v>DD</v>
          </cell>
          <cell r="P40" t="b">
            <v>0</v>
          </cell>
          <cell r="Q40" t="str">
            <v/>
          </cell>
          <cell r="R40" t="str">
            <v>Races of Eberron</v>
          </cell>
        </row>
        <row r="41">
          <cell r="J41" t="str">
            <v>EA</v>
          </cell>
          <cell r="K41" t="str">
            <v>Enemies and Allies</v>
          </cell>
          <cell r="L41">
            <v>37165</v>
          </cell>
          <cell r="M41" t="str">
            <v>UNK</v>
          </cell>
          <cell r="N41" t="str">
            <v>ACC</v>
          </cell>
          <cell r="O41" t="str">
            <v>DD</v>
          </cell>
          <cell r="P41" t="b">
            <v>0</v>
          </cell>
          <cell r="Q41" t="str">
            <v/>
          </cell>
          <cell r="R41" t="str">
            <v>Sharn: City of Towers</v>
          </cell>
        </row>
        <row r="42">
          <cell r="J42" t="str">
            <v>EL</v>
          </cell>
          <cell r="K42" t="str">
            <v>Epic Level Handbook</v>
          </cell>
          <cell r="L42">
            <v>37438</v>
          </cell>
          <cell r="M42" t="str">
            <v>PRT</v>
          </cell>
          <cell r="N42" t="str">
            <v>ACC</v>
          </cell>
          <cell r="O42" t="str">
            <v>DD</v>
          </cell>
          <cell r="P42" t="b">
            <v>1</v>
          </cell>
          <cell r="Q42">
            <v>56</v>
          </cell>
          <cell r="R42" t="str">
            <v>Secrets of Xen'drik</v>
          </cell>
        </row>
        <row r="43">
          <cell r="J43" t="str">
            <v>EE</v>
          </cell>
          <cell r="K43" t="str">
            <v>Exemplars of Evil</v>
          </cell>
          <cell r="L43">
            <v>39326</v>
          </cell>
          <cell r="M43" t="str">
            <v>UNK</v>
          </cell>
          <cell r="N43" t="str">
            <v>ACC</v>
          </cell>
          <cell r="O43" t="str">
            <v>DD</v>
          </cell>
          <cell r="P43" t="b">
            <v>0</v>
          </cell>
          <cell r="Q43" t="str">
            <v/>
          </cell>
          <cell r="R43" t="str">
            <v>Player's Guide to Eberron</v>
          </cell>
        </row>
        <row r="44">
          <cell r="J44" t="str">
            <v>XPH</v>
          </cell>
          <cell r="K44" t="str">
            <v>Expanded Psionics Handbook</v>
          </cell>
          <cell r="L44">
            <v>38078</v>
          </cell>
          <cell r="M44" t="str">
            <v>FUL</v>
          </cell>
          <cell r="N44" t="str">
            <v>ACC</v>
          </cell>
          <cell r="O44" t="str">
            <v>DD</v>
          </cell>
          <cell r="P44" t="b">
            <v>0</v>
          </cell>
          <cell r="Q44">
            <v>26</v>
          </cell>
          <cell r="R44" t="str">
            <v>Magic of Eberron</v>
          </cell>
        </row>
        <row r="45">
          <cell r="A45" t="str">
            <v>Symbol</v>
          </cell>
          <cell r="B45" t="str">
            <v>Bullet style</v>
          </cell>
          <cell r="C45" t="str">
            <v>Seq</v>
          </cell>
          <cell r="D45" t="str">
            <v>Idx</v>
          </cell>
          <cell r="E45" t="str">
            <v>List</v>
          </cell>
          <cell r="J45" t="str">
            <v>Rav</v>
          </cell>
          <cell r="K45" t="str">
            <v>Expedition to Castle Ravenloft</v>
          </cell>
          <cell r="L45">
            <v>38991</v>
          </cell>
          <cell r="M45" t="str">
            <v>UNK</v>
          </cell>
          <cell r="N45" t="str">
            <v>ADV</v>
          </cell>
          <cell r="O45" t="str">
            <v>RV</v>
          </cell>
          <cell r="P45" t="b">
            <v>0</v>
          </cell>
          <cell r="Q45" t="str">
            <v/>
          </cell>
          <cell r="R45" t="str">
            <v>Secrets of Sarlona</v>
          </cell>
        </row>
        <row r="46">
          <cell r="A46" t="str">
            <v xml:space="preserve">  </v>
          </cell>
          <cell r="B46" t="str">
            <v>none</v>
          </cell>
          <cell r="C46">
            <v>20</v>
          </cell>
          <cell r="D46">
            <v>12</v>
          </cell>
          <cell r="E46" t="str">
            <v>× multiplication</v>
          </cell>
          <cell r="H46">
            <v>45</v>
          </cell>
          <cell r="J46" t="str">
            <v>EDP</v>
          </cell>
          <cell r="K46" t="str">
            <v>Expedition to the Demonweb Pits</v>
          </cell>
          <cell r="L46">
            <v>39173</v>
          </cell>
          <cell r="M46" t="str">
            <v>UNK</v>
          </cell>
          <cell r="N46" t="str">
            <v>ADV</v>
          </cell>
          <cell r="O46" t="str">
            <v>DD</v>
          </cell>
          <cell r="P46" t="b">
            <v>0</v>
          </cell>
          <cell r="Q46" t="str">
            <v/>
          </cell>
          <cell r="R46" t="str">
            <v>Dragonlance Campaign Setting</v>
          </cell>
        </row>
        <row r="47">
          <cell r="A47" t="str">
            <v>#</v>
          </cell>
          <cell r="B47" t="str">
            <v>octothorpe</v>
          </cell>
          <cell r="C47">
            <v>17</v>
          </cell>
          <cell r="D47">
            <v>10</v>
          </cell>
          <cell r="E47" t="str">
            <v>± plus-minus</v>
          </cell>
          <cell r="H47">
            <v>21</v>
          </cell>
          <cell r="J47" t="str">
            <v>ERG</v>
          </cell>
          <cell r="K47" t="str">
            <v>Expedition to the Ruins of Greyhawk</v>
          </cell>
          <cell r="L47">
            <v>39295</v>
          </cell>
          <cell r="M47" t="str">
            <v>UNK</v>
          </cell>
          <cell r="N47" t="str">
            <v>ADV</v>
          </cell>
          <cell r="O47" t="str">
            <v>DD</v>
          </cell>
          <cell r="P47" t="b">
            <v>0</v>
          </cell>
          <cell r="Q47" t="str">
            <v/>
          </cell>
          <cell r="R47" t="str">
            <v>Age of Mortals</v>
          </cell>
        </row>
        <row r="48">
          <cell r="A48" t="str">
            <v>$</v>
          </cell>
          <cell r="B48" t="str">
            <v>dollar</v>
          </cell>
          <cell r="C48">
            <v>10</v>
          </cell>
          <cell r="D48">
            <v>8</v>
          </cell>
          <cell r="E48" t="str">
            <v>+ plus</v>
          </cell>
          <cell r="H48" t="str">
            <v>×</v>
          </cell>
          <cell r="J48" t="str">
            <v>EU</v>
          </cell>
          <cell r="K48" t="str">
            <v>Expedition to Undermountain</v>
          </cell>
          <cell r="L48">
            <v>39234</v>
          </cell>
          <cell r="M48" t="str">
            <v>UNK</v>
          </cell>
          <cell r="N48" t="str">
            <v>ADV</v>
          </cell>
          <cell r="O48" t="str">
            <v>DD</v>
          </cell>
          <cell r="P48" t="b">
            <v>0</v>
          </cell>
          <cell r="Q48" t="str">
            <v/>
          </cell>
          <cell r="R48" t="str">
            <v>Oriental Adventures</v>
          </cell>
        </row>
        <row r="49">
          <cell r="A49" t="str">
            <v>::</v>
          </cell>
          <cell r="B49" t="str">
            <v>double colon</v>
          </cell>
          <cell r="C49">
            <v>6</v>
          </cell>
          <cell r="D49">
            <v>13</v>
          </cell>
          <cell r="E49" t="str">
            <v>÷ division</v>
          </cell>
          <cell r="H49" t="str">
            <v>+</v>
          </cell>
          <cell r="J49" t="str">
            <v>EH</v>
          </cell>
          <cell r="K49" t="str">
            <v>Explorer's Handbook</v>
          </cell>
          <cell r="L49">
            <v>38565</v>
          </cell>
          <cell r="M49" t="str">
            <v>FUL</v>
          </cell>
          <cell r="N49" t="str">
            <v>ACC</v>
          </cell>
          <cell r="O49" t="str">
            <v>EB</v>
          </cell>
          <cell r="P49" t="b">
            <v>0</v>
          </cell>
          <cell r="Q49" t="str">
            <v/>
          </cell>
          <cell r="R49" t="str">
            <v>Draconomicon</v>
          </cell>
        </row>
        <row r="50">
          <cell r="A50" t="str">
            <v>|||</v>
          </cell>
          <cell r="B50" t="str">
            <v>triple vertical bar</v>
          </cell>
          <cell r="C50">
            <v>18</v>
          </cell>
          <cell r="D50">
            <v>6</v>
          </cell>
          <cell r="E50" t="str">
            <v>~ tilde</v>
          </cell>
          <cell r="J50" t="str">
            <v>ELQ</v>
          </cell>
          <cell r="K50" t="str">
            <v>Eyes of the Lich Queen</v>
          </cell>
          <cell r="L50">
            <v>39173</v>
          </cell>
          <cell r="M50" t="str">
            <v>UNK</v>
          </cell>
          <cell r="N50" t="str">
            <v>ADV</v>
          </cell>
          <cell r="O50" t="str">
            <v>DD</v>
          </cell>
          <cell r="P50" t="b">
            <v>0</v>
          </cell>
          <cell r="Q50" t="str">
            <v/>
          </cell>
          <cell r="R50" t="str">
            <v>Dragon Magic</v>
          </cell>
        </row>
        <row r="51">
          <cell r="A51" t="str">
            <v>~</v>
          </cell>
          <cell r="B51" t="str">
            <v>tilde</v>
          </cell>
          <cell r="C51">
            <v>5</v>
          </cell>
          <cell r="D51">
            <v>4</v>
          </cell>
          <cell r="E51" t="str">
            <v>:: double colon</v>
          </cell>
          <cell r="J51" t="str">
            <v>FP</v>
          </cell>
          <cell r="K51" t="str">
            <v>Faiths &amp; Pantheons</v>
          </cell>
          <cell r="L51">
            <v>37377</v>
          </cell>
          <cell r="M51" t="str">
            <v>UNK</v>
          </cell>
          <cell r="N51" t="str">
            <v>ACC</v>
          </cell>
          <cell r="O51" t="str">
            <v>FR</v>
          </cell>
          <cell r="P51" t="b">
            <v>0</v>
          </cell>
          <cell r="Q51" t="str">
            <v/>
          </cell>
          <cell r="R51" t="str">
            <v>Libris Mortis</v>
          </cell>
        </row>
        <row r="52">
          <cell r="A52" t="str">
            <v>¦¦¦</v>
          </cell>
          <cell r="B52" t="str">
            <v>triple broken bar</v>
          </cell>
          <cell r="C52">
            <v>19</v>
          </cell>
          <cell r="D52">
            <v>18</v>
          </cell>
          <cell r="E52" t="str">
            <v>·· double middot</v>
          </cell>
          <cell r="J52" t="str">
            <v>FoE</v>
          </cell>
          <cell r="K52" t="str">
            <v>Faiths of Eberron</v>
          </cell>
          <cell r="L52">
            <v>38961</v>
          </cell>
          <cell r="M52" t="str">
            <v>UNK</v>
          </cell>
          <cell r="N52" t="str">
            <v>ACC</v>
          </cell>
          <cell r="O52" t="str">
            <v>EB</v>
          </cell>
          <cell r="P52" t="b">
            <v>0</v>
          </cell>
          <cell r="Q52" t="str">
            <v/>
          </cell>
          <cell r="R52" t="str">
            <v>Lords of Madness</v>
          </cell>
        </row>
        <row r="53">
          <cell r="A53" t="str">
            <v>+</v>
          </cell>
          <cell r="B53" t="str">
            <v>plus</v>
          </cell>
          <cell r="C53">
            <v>3</v>
          </cell>
          <cell r="D53">
            <v>9</v>
          </cell>
          <cell r="E53" t="str">
            <v>&gt; greater than</v>
          </cell>
          <cell r="J53" t="str">
            <v>CiP</v>
          </cell>
          <cell r="K53" t="str">
            <v>Fantastic Locations: City of Peril</v>
          </cell>
          <cell r="L53">
            <v>39142</v>
          </cell>
          <cell r="M53" t="str">
            <v>UNK</v>
          </cell>
          <cell r="N53" t="str">
            <v>ADV</v>
          </cell>
          <cell r="O53" t="str">
            <v>DD</v>
          </cell>
          <cell r="P53" t="b">
            <v>0</v>
          </cell>
          <cell r="Q53" t="str">
            <v/>
          </cell>
          <cell r="R53" t="str">
            <v>Monster Manual</v>
          </cell>
        </row>
        <row r="54">
          <cell r="A54" t="str">
            <v>&gt;</v>
          </cell>
          <cell r="B54" t="str">
            <v>greater than</v>
          </cell>
          <cell r="C54">
            <v>8</v>
          </cell>
          <cell r="D54">
            <v>11</v>
          </cell>
          <cell r="E54" t="str">
            <v>» double angle quote</v>
          </cell>
          <cell r="J54" t="str">
            <v>FLDG</v>
          </cell>
          <cell r="K54" t="str">
            <v>Fantastic Locations: Dragondown Grotto</v>
          </cell>
          <cell r="L54">
            <v>38899</v>
          </cell>
          <cell r="M54" t="str">
            <v>UNK</v>
          </cell>
          <cell r="N54" t="str">
            <v>ADV</v>
          </cell>
          <cell r="O54" t="str">
            <v>DD</v>
          </cell>
          <cell r="P54" t="b">
            <v>0</v>
          </cell>
          <cell r="Q54" t="str">
            <v/>
          </cell>
          <cell r="R54" t="str">
            <v>Monster Manual IV</v>
          </cell>
        </row>
        <row r="55">
          <cell r="A55" t="str">
            <v>±</v>
          </cell>
          <cell r="B55" t="str">
            <v>plus-minus</v>
          </cell>
          <cell r="C55">
            <v>2</v>
          </cell>
          <cell r="D55">
            <v>3</v>
          </cell>
          <cell r="E55" t="str">
            <v>$ dollar</v>
          </cell>
          <cell r="J55" t="str">
            <v>FLFD</v>
          </cell>
          <cell r="K55" t="str">
            <v>Fantastic Locations: Fane of the Drow</v>
          </cell>
          <cell r="L55">
            <v>38596</v>
          </cell>
          <cell r="M55" t="str">
            <v>UNK</v>
          </cell>
          <cell r="N55" t="str">
            <v>ADV</v>
          </cell>
          <cell r="O55" t="str">
            <v>DD</v>
          </cell>
          <cell r="P55" t="b">
            <v>0</v>
          </cell>
          <cell r="Q55" t="str">
            <v/>
          </cell>
          <cell r="R55" t="str">
            <v>Fiendish Codex II: Tyrants of the Nine Hells</v>
          </cell>
        </row>
        <row r="56">
          <cell r="A56" t="str">
            <v>»</v>
          </cell>
          <cell r="B56" t="str">
            <v>double angle quote</v>
          </cell>
          <cell r="C56">
            <v>9</v>
          </cell>
          <cell r="D56">
            <v>14</v>
          </cell>
          <cell r="E56" t="str">
            <v>¢ cent</v>
          </cell>
          <cell r="J56" t="str">
            <v>FLFR</v>
          </cell>
          <cell r="K56" t="str">
            <v>Fantastic Locations: Fields of Ruin</v>
          </cell>
          <cell r="L56">
            <v>38808</v>
          </cell>
          <cell r="M56" t="str">
            <v>UNK</v>
          </cell>
          <cell r="N56" t="str">
            <v>ADV</v>
          </cell>
          <cell r="O56" t="str">
            <v>DD</v>
          </cell>
          <cell r="P56" t="b">
            <v>0</v>
          </cell>
          <cell r="Q56" t="str">
            <v/>
          </cell>
          <cell r="R56" t="str">
            <v>Savage Species</v>
          </cell>
        </row>
        <row r="57">
          <cell r="A57" t="str">
            <v>×</v>
          </cell>
          <cell r="B57" t="str">
            <v>multiplication</v>
          </cell>
          <cell r="C57">
            <v>1</v>
          </cell>
          <cell r="D57">
            <v>15</v>
          </cell>
          <cell r="E57" t="str">
            <v>£ pound</v>
          </cell>
          <cell r="J57" t="str">
            <v>FLHP</v>
          </cell>
          <cell r="K57" t="str">
            <v>Fantastic Locations: Hellspike Prison</v>
          </cell>
          <cell r="L57">
            <v>38657</v>
          </cell>
          <cell r="M57" t="str">
            <v>UNK</v>
          </cell>
          <cell r="N57" t="str">
            <v>ADV</v>
          </cell>
          <cell r="O57" t="str">
            <v>DD</v>
          </cell>
          <cell r="P57" t="b">
            <v>0</v>
          </cell>
          <cell r="Q57" t="str">
            <v/>
          </cell>
          <cell r="R57" t="str">
            <v>Epic Level Handbook</v>
          </cell>
        </row>
        <row r="58">
          <cell r="A58" t="str">
            <v>÷</v>
          </cell>
          <cell r="B58" t="str">
            <v>division</v>
          </cell>
          <cell r="C58">
            <v>4</v>
          </cell>
          <cell r="D58">
            <v>16</v>
          </cell>
          <cell r="E58" t="str">
            <v>¥ yen</v>
          </cell>
          <cell r="J58" t="str">
            <v>FF</v>
          </cell>
          <cell r="K58" t="str">
            <v>Fiend Folio</v>
          </cell>
          <cell r="L58">
            <v>37712</v>
          </cell>
          <cell r="M58" t="str">
            <v>FUL</v>
          </cell>
          <cell r="N58" t="str">
            <v>MON</v>
          </cell>
          <cell r="O58" t="str">
            <v>DD</v>
          </cell>
          <cell r="P58" t="b">
            <v>0</v>
          </cell>
          <cell r="Q58" t="str">
            <v/>
          </cell>
          <cell r="R58" t="str">
            <v>Dungeon Master's Guide</v>
          </cell>
        </row>
        <row r="59">
          <cell r="A59" t="str">
            <v>¢</v>
          </cell>
          <cell r="B59" t="str">
            <v>cent</v>
          </cell>
          <cell r="C59">
            <v>11</v>
          </cell>
          <cell r="D59">
            <v>17</v>
          </cell>
          <cell r="E59" t="str">
            <v>§ section</v>
          </cell>
          <cell r="J59" t="str">
            <v>FCI</v>
          </cell>
          <cell r="K59" t="str">
            <v>Fiendish Codex I: Hordes of the Abyss</v>
          </cell>
          <cell r="L59">
            <v>38869</v>
          </cell>
          <cell r="M59" t="str">
            <v>UNK</v>
          </cell>
          <cell r="N59" t="str">
            <v>MON</v>
          </cell>
          <cell r="O59" t="str">
            <v>DD</v>
          </cell>
          <cell r="P59" t="b">
            <v>0</v>
          </cell>
          <cell r="Q59" t="str">
            <v/>
          </cell>
          <cell r="R59" t="str">
            <v>Ravenloft Campaign Setting</v>
          </cell>
        </row>
        <row r="60">
          <cell r="A60" t="str">
            <v>£</v>
          </cell>
          <cell r="B60" t="str">
            <v>pound</v>
          </cell>
          <cell r="C60">
            <v>12</v>
          </cell>
          <cell r="D60">
            <v>19</v>
          </cell>
          <cell r="E60" t="str">
            <v>o small o</v>
          </cell>
          <cell r="J60" t="str">
            <v>FCII</v>
          </cell>
          <cell r="K60" t="str">
            <v>Fiendish Codex II: Tyrants of the Nine Hells</v>
          </cell>
          <cell r="L60">
            <v>39052</v>
          </cell>
          <cell r="M60" t="str">
            <v>FUL</v>
          </cell>
          <cell r="N60" t="str">
            <v>MON</v>
          </cell>
          <cell r="O60" t="str">
            <v>DD</v>
          </cell>
          <cell r="P60" t="b">
            <v>0</v>
          </cell>
          <cell r="Q60">
            <v>54</v>
          </cell>
          <cell r="R60" t="str">
            <v>Heroes of Light</v>
          </cell>
        </row>
        <row r="61">
          <cell r="A61" t="str">
            <v>¥</v>
          </cell>
          <cell r="B61" t="str">
            <v>yen</v>
          </cell>
          <cell r="C61">
            <v>13</v>
          </cell>
          <cell r="D61">
            <v>20</v>
          </cell>
          <cell r="E61" t="str">
            <v>ø small o with stroke</v>
          </cell>
          <cell r="J61" t="str">
            <v>FN</v>
          </cell>
          <cell r="K61" t="str">
            <v>Five Nations</v>
          </cell>
          <cell r="L61">
            <v>38534</v>
          </cell>
          <cell r="M61" t="str">
            <v>FUL</v>
          </cell>
          <cell r="N61" t="str">
            <v>ACC</v>
          </cell>
          <cell r="O61" t="str">
            <v>EB</v>
          </cell>
          <cell r="P61" t="b">
            <v>0</v>
          </cell>
          <cell r="Q61" t="str">
            <v/>
          </cell>
          <cell r="R61" t="str">
            <v>Champions of Darkness</v>
          </cell>
        </row>
        <row r="62">
          <cell r="A62" t="str">
            <v>§</v>
          </cell>
          <cell r="B62" t="str">
            <v>section</v>
          </cell>
          <cell r="C62">
            <v>14</v>
          </cell>
          <cell r="D62">
            <v>2</v>
          </cell>
          <cell r="E62" t="str">
            <v># octothorpe</v>
          </cell>
          <cell r="J62" t="str">
            <v>Fo</v>
          </cell>
          <cell r="K62" t="str">
            <v>Forge of Fury, The</v>
          </cell>
          <cell r="L62">
            <v>36831</v>
          </cell>
          <cell r="M62" t="str">
            <v>UNK</v>
          </cell>
          <cell r="N62" t="str">
            <v>ADV</v>
          </cell>
          <cell r="O62" t="str">
            <v>DD</v>
          </cell>
          <cell r="P62" t="b">
            <v>0</v>
          </cell>
          <cell r="Q62" t="str">
            <v/>
          </cell>
          <cell r="R62" t="str">
            <v>Van Richten's Arsenal Vol. 1</v>
          </cell>
        </row>
        <row r="63">
          <cell r="A63" t="str">
            <v>··</v>
          </cell>
          <cell r="B63" t="str">
            <v>double middot</v>
          </cell>
          <cell r="C63">
            <v>7</v>
          </cell>
          <cell r="D63">
            <v>5</v>
          </cell>
          <cell r="E63" t="str">
            <v>||| triple vertical bar</v>
          </cell>
          <cell r="J63" t="str">
            <v>FW</v>
          </cell>
          <cell r="K63" t="str">
            <v>Forge of War, The</v>
          </cell>
          <cell r="L63">
            <v>39234</v>
          </cell>
          <cell r="M63" t="str">
            <v>UNK</v>
          </cell>
          <cell r="N63" t="str">
            <v>ADV</v>
          </cell>
          <cell r="O63" t="str">
            <v>DD</v>
          </cell>
          <cell r="P63" t="b">
            <v>0</v>
          </cell>
          <cell r="Q63" t="str">
            <v/>
          </cell>
          <cell r="R63" t="str">
            <v>Player's Companion</v>
          </cell>
        </row>
        <row r="64">
          <cell r="A64" t="str">
            <v>o</v>
          </cell>
          <cell r="B64" t="str">
            <v>small o</v>
          </cell>
          <cell r="C64">
            <v>15</v>
          </cell>
          <cell r="D64">
            <v>7</v>
          </cell>
          <cell r="E64" t="str">
            <v>¦¦¦ triple broken bar</v>
          </cell>
          <cell r="J64" t="str">
            <v>FRCS</v>
          </cell>
          <cell r="K64" t="str">
            <v>Forgotten Realms Campaign Setting</v>
          </cell>
          <cell r="L64">
            <v>37043</v>
          </cell>
          <cell r="M64" t="str">
            <v>FUL</v>
          </cell>
          <cell r="N64" t="str">
            <v>COR</v>
          </cell>
          <cell r="O64" t="str">
            <v>FR</v>
          </cell>
          <cell r="P64" t="b">
            <v>0</v>
          </cell>
          <cell r="Q64" t="str">
            <v/>
          </cell>
          <cell r="R64" t="str">
            <v>User specified</v>
          </cell>
        </row>
        <row r="65">
          <cell r="A65" t="str">
            <v>ø</v>
          </cell>
          <cell r="B65" t="str">
            <v>small o with stroke</v>
          </cell>
          <cell r="C65">
            <v>16</v>
          </cell>
          <cell r="D65">
            <v>1</v>
          </cell>
          <cell r="E65" t="str">
            <v xml:space="preserve">   none</v>
          </cell>
          <cell r="J65" t="str">
            <v>FY</v>
          </cell>
          <cell r="K65" t="str">
            <v>Fortress of the Yuan-ti</v>
          </cell>
          <cell r="L65">
            <v>39326</v>
          </cell>
          <cell r="M65" t="str">
            <v>UNK</v>
          </cell>
          <cell r="N65" t="str">
            <v>ADV</v>
          </cell>
          <cell r="O65" t="str">
            <v>DD</v>
          </cell>
          <cell r="P65" t="b">
            <v>0</v>
          </cell>
          <cell r="Q65" t="str">
            <v/>
          </cell>
          <cell r="R65" t="str">
            <v/>
          </cell>
        </row>
        <row r="66">
          <cell r="J66" t="str">
            <v>Frost</v>
          </cell>
          <cell r="K66" t="str">
            <v>Frostburn</v>
          </cell>
          <cell r="L66">
            <v>38231</v>
          </cell>
          <cell r="M66" t="str">
            <v>FUL</v>
          </cell>
          <cell r="N66" t="str">
            <v>ACC</v>
          </cell>
          <cell r="O66" t="str">
            <v>DD</v>
          </cell>
          <cell r="P66" t="b">
            <v>0</v>
          </cell>
          <cell r="Q66">
            <v>15</v>
          </cell>
          <cell r="R66" t="str">
            <v/>
          </cell>
        </row>
        <row r="67">
          <cell r="J67" t="str">
            <v>Gh</v>
          </cell>
          <cell r="K67" t="str">
            <v>Ghostwalk</v>
          </cell>
          <cell r="L67">
            <v>37773</v>
          </cell>
          <cell r="M67" t="str">
            <v>UNK</v>
          </cell>
          <cell r="N67" t="str">
            <v>ACC</v>
          </cell>
          <cell r="O67" t="str">
            <v>DD</v>
          </cell>
          <cell r="P67" t="b">
            <v>0</v>
          </cell>
          <cell r="Q67" t="str">
            <v/>
          </cell>
          <cell r="R67" t="str">
            <v/>
          </cell>
        </row>
        <row r="68">
          <cell r="J68" t="str">
            <v>GHR</v>
          </cell>
          <cell r="K68" t="str">
            <v>Grand History of the Realms</v>
          </cell>
          <cell r="L68">
            <v>39326</v>
          </cell>
          <cell r="M68" t="str">
            <v>UNK</v>
          </cell>
          <cell r="N68" t="str">
            <v>ACC</v>
          </cell>
          <cell r="O68" t="str">
            <v>FR</v>
          </cell>
          <cell r="P68" t="b">
            <v>0</v>
          </cell>
          <cell r="Q68" t="str">
            <v/>
          </cell>
          <cell r="R68" t="str">
            <v/>
          </cell>
        </row>
        <row r="69">
          <cell r="J69" t="str">
            <v>GC</v>
          </cell>
          <cell r="K69" t="str">
            <v>Grasp of the Emerald Claw</v>
          </cell>
          <cell r="L69">
            <v>38353</v>
          </cell>
          <cell r="M69" t="str">
            <v>UNK</v>
          </cell>
          <cell r="N69" t="str">
            <v>ADV</v>
          </cell>
          <cell r="O69" t="str">
            <v>DD</v>
          </cell>
          <cell r="P69" t="b">
            <v>0</v>
          </cell>
          <cell r="Q69" t="str">
            <v/>
          </cell>
          <cell r="R69" t="str">
            <v/>
          </cell>
        </row>
        <row r="70">
          <cell r="J70" t="str">
            <v>HN</v>
          </cell>
          <cell r="K70" t="str">
            <v>Heart of Nightfang Spire</v>
          </cell>
          <cell r="L70">
            <v>37104</v>
          </cell>
          <cell r="M70" t="str">
            <v>UNK</v>
          </cell>
          <cell r="N70" t="str">
            <v>ADV</v>
          </cell>
          <cell r="O70" t="str">
            <v>DD</v>
          </cell>
          <cell r="P70" t="b">
            <v>0</v>
          </cell>
          <cell r="Q70" t="str">
            <v/>
          </cell>
          <cell r="R70" t="str">
            <v/>
          </cell>
        </row>
        <row r="71">
          <cell r="J71" t="str">
            <v>HBG</v>
          </cell>
          <cell r="K71" t="str">
            <v>Hero Builder's Guidebook</v>
          </cell>
          <cell r="L71">
            <v>36861</v>
          </cell>
          <cell r="M71" t="str">
            <v>UNK</v>
          </cell>
          <cell r="N71" t="str">
            <v>ACC</v>
          </cell>
          <cell r="O71" t="str">
            <v>DD</v>
          </cell>
          <cell r="P71" t="b">
            <v>0</v>
          </cell>
          <cell r="Q71" t="str">
            <v/>
          </cell>
          <cell r="R71" t="str">
            <v/>
          </cell>
        </row>
        <row r="72">
          <cell r="J72" t="str">
            <v>HB</v>
          </cell>
          <cell r="K72" t="str">
            <v>Heroes of Battle</v>
          </cell>
          <cell r="L72">
            <v>38473</v>
          </cell>
          <cell r="M72" t="str">
            <v>FUL</v>
          </cell>
          <cell r="N72" t="str">
            <v>ACC</v>
          </cell>
          <cell r="O72" t="str">
            <v>DD</v>
          </cell>
          <cell r="P72" t="b">
            <v>0</v>
          </cell>
          <cell r="Q72">
            <v>18</v>
          </cell>
          <cell r="R72" t="str">
            <v/>
          </cell>
        </row>
        <row r="73">
          <cell r="J73" t="str">
            <v>HH</v>
          </cell>
          <cell r="K73" t="str">
            <v>Heroes of Horror</v>
          </cell>
          <cell r="L73">
            <v>38626</v>
          </cell>
          <cell r="M73" t="str">
            <v>FUL</v>
          </cell>
          <cell r="N73" t="str">
            <v>ACC</v>
          </cell>
          <cell r="O73" t="str">
            <v>DD</v>
          </cell>
          <cell r="P73" t="b">
            <v>0</v>
          </cell>
          <cell r="Q73">
            <v>19</v>
          </cell>
          <cell r="R73" t="str">
            <v/>
          </cell>
        </row>
        <row r="74">
          <cell r="J74" t="str">
            <v>HoL</v>
          </cell>
          <cell r="K74" t="str">
            <v>Heroes of Light</v>
          </cell>
          <cell r="L74">
            <v>37561</v>
          </cell>
          <cell r="M74" t="str">
            <v>FUL</v>
          </cell>
          <cell r="N74" t="str">
            <v>ACC</v>
          </cell>
          <cell r="O74" t="str">
            <v>RV</v>
          </cell>
          <cell r="P74" t="b">
            <v>0</v>
          </cell>
          <cell r="Q74">
            <v>59</v>
          </cell>
          <cell r="R74" t="str">
            <v/>
          </cell>
        </row>
        <row r="75">
          <cell r="J75" t="str">
            <v>LM</v>
          </cell>
          <cell r="K75" t="str">
            <v>Libris Mortis</v>
          </cell>
          <cell r="L75">
            <v>38261</v>
          </cell>
          <cell r="M75" t="str">
            <v>FUL</v>
          </cell>
          <cell r="N75" t="str">
            <v>MON</v>
          </cell>
          <cell r="O75" t="str">
            <v>DD</v>
          </cell>
          <cell r="P75" t="b">
            <v>0</v>
          </cell>
          <cell r="Q75">
            <v>50</v>
          </cell>
          <cell r="R75" t="str">
            <v/>
          </cell>
        </row>
        <row r="76">
          <cell r="J76" t="str">
            <v>LGCS</v>
          </cell>
          <cell r="K76" t="str">
            <v>Living Greyhawk Campaign Sourcebook</v>
          </cell>
          <cell r="L76">
            <v>38790</v>
          </cell>
          <cell r="M76" t="str">
            <v>UNK</v>
          </cell>
          <cell r="N76" t="str">
            <v>COR</v>
          </cell>
          <cell r="O76" t="str">
            <v>LG</v>
          </cell>
          <cell r="P76" t="b">
            <v>0</v>
          </cell>
          <cell r="Q76" t="str">
            <v/>
          </cell>
          <cell r="R76" t="str">
            <v/>
          </cell>
        </row>
        <row r="77">
          <cell r="J77" t="str">
            <v>LGD</v>
          </cell>
          <cell r="K77" t="str">
            <v>Living Greyhawk Deities</v>
          </cell>
          <cell r="L77">
            <v>38412</v>
          </cell>
          <cell r="M77" t="str">
            <v>UNK</v>
          </cell>
          <cell r="N77" t="str">
            <v>ACC</v>
          </cell>
          <cell r="O77" t="str">
            <v>LG</v>
          </cell>
          <cell r="P77" t="b">
            <v>0</v>
          </cell>
          <cell r="Q77" t="str">
            <v/>
          </cell>
          <cell r="R77" t="str">
            <v/>
          </cell>
        </row>
        <row r="78">
          <cell r="J78" t="str">
            <v>LF</v>
          </cell>
          <cell r="K78" t="str">
            <v>Lord of the Iron Fortress</v>
          </cell>
          <cell r="L78">
            <v>37257</v>
          </cell>
          <cell r="M78" t="str">
            <v>UNK</v>
          </cell>
          <cell r="N78" t="str">
            <v>ADV</v>
          </cell>
          <cell r="O78" t="str">
            <v>DD</v>
          </cell>
          <cell r="P78" t="b">
            <v>0</v>
          </cell>
          <cell r="Q78" t="str">
            <v/>
          </cell>
          <cell r="R78" t="str">
            <v/>
          </cell>
        </row>
        <row r="79">
          <cell r="J79" t="str">
            <v>LD</v>
          </cell>
          <cell r="K79" t="str">
            <v>Lords of Darkness</v>
          </cell>
          <cell r="L79">
            <v>37196</v>
          </cell>
          <cell r="M79" t="str">
            <v>UNK</v>
          </cell>
          <cell r="N79" t="str">
            <v>ACC</v>
          </cell>
          <cell r="O79" t="str">
            <v>FR</v>
          </cell>
          <cell r="P79" t="b">
            <v>0</v>
          </cell>
          <cell r="Q79" t="str">
            <v/>
          </cell>
          <cell r="R79" t="str">
            <v/>
          </cell>
        </row>
        <row r="80">
          <cell r="J80" t="str">
            <v>LoM</v>
          </cell>
          <cell r="K80" t="str">
            <v>Lords of Madness</v>
          </cell>
          <cell r="L80">
            <v>38443</v>
          </cell>
          <cell r="M80" t="str">
            <v>FUL</v>
          </cell>
          <cell r="N80" t="str">
            <v>MON</v>
          </cell>
          <cell r="O80" t="str">
            <v>DD</v>
          </cell>
          <cell r="P80" t="b">
            <v>0</v>
          </cell>
          <cell r="Q80">
            <v>51</v>
          </cell>
          <cell r="R80" t="str">
            <v/>
          </cell>
        </row>
        <row r="81">
          <cell r="J81" t="str">
            <v>LEoF</v>
          </cell>
          <cell r="K81" t="str">
            <v>Lost Empires of Faerûn</v>
          </cell>
          <cell r="L81">
            <v>38384</v>
          </cell>
          <cell r="M81" t="str">
            <v>UNK</v>
          </cell>
          <cell r="N81" t="str">
            <v>ACC</v>
          </cell>
          <cell r="O81" t="str">
            <v>FR</v>
          </cell>
          <cell r="P81" t="b">
            <v>0</v>
          </cell>
          <cell r="Q81" t="str">
            <v/>
          </cell>
          <cell r="R81" t="str">
            <v/>
          </cell>
        </row>
        <row r="82">
          <cell r="J82" t="str">
            <v>MIC</v>
          </cell>
          <cell r="K82" t="str">
            <v>Magic Item Compendium</v>
          </cell>
          <cell r="L82">
            <v>39142</v>
          </cell>
          <cell r="M82" t="str">
            <v>PRT</v>
          </cell>
          <cell r="N82" t="str">
            <v>ACC</v>
          </cell>
          <cell r="O82" t="str">
            <v>DD</v>
          </cell>
          <cell r="P82" t="b">
            <v>1</v>
          </cell>
          <cell r="Q82" t="str">
            <v/>
          </cell>
          <cell r="R82" t="str">
            <v/>
          </cell>
        </row>
        <row r="83">
          <cell r="J83" t="str">
            <v>MoE</v>
          </cell>
          <cell r="K83" t="str">
            <v>Magic of Eberron</v>
          </cell>
          <cell r="L83">
            <v>38626</v>
          </cell>
          <cell r="M83" t="str">
            <v>FUL</v>
          </cell>
          <cell r="N83" t="str">
            <v>ACC</v>
          </cell>
          <cell r="O83" t="str">
            <v>EB</v>
          </cell>
          <cell r="P83" t="b">
            <v>0</v>
          </cell>
          <cell r="Q83">
            <v>43</v>
          </cell>
          <cell r="R83" t="str">
            <v/>
          </cell>
        </row>
        <row r="84">
          <cell r="J84" t="str">
            <v>MoF</v>
          </cell>
          <cell r="K84" t="str">
            <v>Magic of Faerûn</v>
          </cell>
          <cell r="L84">
            <v>37104</v>
          </cell>
          <cell r="M84" t="str">
            <v>FUL</v>
          </cell>
          <cell r="N84" t="str">
            <v>ACC</v>
          </cell>
          <cell r="O84" t="str">
            <v>FR</v>
          </cell>
          <cell r="P84" t="b">
            <v>0</v>
          </cell>
          <cell r="Q84">
            <v>32</v>
          </cell>
          <cell r="R84" t="str">
            <v/>
          </cell>
        </row>
        <row r="85">
          <cell r="J85" t="str">
            <v>MoI</v>
          </cell>
          <cell r="K85" t="str">
            <v>Magic of Incarnum</v>
          </cell>
          <cell r="L85">
            <v>38596</v>
          </cell>
          <cell r="M85" t="str">
            <v>FUL</v>
          </cell>
          <cell r="N85" t="str">
            <v>ACC</v>
          </cell>
          <cell r="O85" t="str">
            <v>DD</v>
          </cell>
          <cell r="P85" t="b">
            <v>0</v>
          </cell>
          <cell r="Q85">
            <v>22</v>
          </cell>
          <cell r="R85" t="str">
            <v/>
          </cell>
        </row>
        <row r="86">
          <cell r="J86" t="str">
            <v>MotP</v>
          </cell>
          <cell r="K86" t="str">
            <v>Manual of the Planes</v>
          </cell>
          <cell r="L86">
            <v>37135</v>
          </cell>
          <cell r="M86" t="str">
            <v>UNK</v>
          </cell>
          <cell r="N86" t="str">
            <v>ACC</v>
          </cell>
          <cell r="O86" t="str">
            <v>DD</v>
          </cell>
          <cell r="P86" t="b">
            <v>1</v>
          </cell>
          <cell r="Q86" t="str">
            <v/>
          </cell>
          <cell r="R86" t="str">
            <v/>
          </cell>
        </row>
        <row r="87">
          <cell r="J87" t="str">
            <v>MW</v>
          </cell>
          <cell r="K87" t="str">
            <v>Masters of the Wild</v>
          </cell>
          <cell r="L87">
            <v>37288</v>
          </cell>
          <cell r="M87" t="str">
            <v>OBS</v>
          </cell>
          <cell r="N87" t="str">
            <v>ACC</v>
          </cell>
          <cell r="O87" t="str">
            <v>DD</v>
          </cell>
          <cell r="P87" t="b">
            <v>0</v>
          </cell>
          <cell r="Q87" t="str">
            <v/>
          </cell>
          <cell r="R87" t="str">
            <v/>
          </cell>
        </row>
        <row r="88">
          <cell r="J88" t="str">
            <v>MH</v>
          </cell>
          <cell r="K88" t="str">
            <v>Miniatures Handbook</v>
          </cell>
          <cell r="L88">
            <v>37895</v>
          </cell>
          <cell r="M88" t="str">
            <v>FUL</v>
          </cell>
          <cell r="N88" t="str">
            <v>ACC</v>
          </cell>
          <cell r="O88" t="str">
            <v>DD</v>
          </cell>
          <cell r="P88" t="b">
            <v>0</v>
          </cell>
          <cell r="Q88">
            <v>25</v>
          </cell>
          <cell r="R88" t="str">
            <v/>
          </cell>
        </row>
        <row r="89">
          <cell r="J89" t="str">
            <v>MM</v>
          </cell>
          <cell r="K89" t="str">
            <v>Monster Manual</v>
          </cell>
          <cell r="L89">
            <v>37803</v>
          </cell>
          <cell r="M89" t="str">
            <v>FUL</v>
          </cell>
          <cell r="N89" t="str">
            <v>MON</v>
          </cell>
          <cell r="O89" t="str">
            <v>DD</v>
          </cell>
          <cell r="P89" t="b">
            <v>1</v>
          </cell>
          <cell r="Q89">
            <v>52</v>
          </cell>
          <cell r="R89" t="str">
            <v/>
          </cell>
        </row>
        <row r="90">
          <cell r="J90" t="str">
            <v>MM2</v>
          </cell>
          <cell r="K90" t="str">
            <v>Monster Manual II</v>
          </cell>
          <cell r="L90">
            <v>37500</v>
          </cell>
          <cell r="M90" t="str">
            <v>FUL</v>
          </cell>
          <cell r="N90" t="str">
            <v>MON</v>
          </cell>
          <cell r="O90" t="str">
            <v>DD</v>
          </cell>
          <cell r="P90" t="b">
            <v>0</v>
          </cell>
          <cell r="Q90" t="str">
            <v/>
          </cell>
          <cell r="R90" t="str">
            <v/>
          </cell>
        </row>
        <row r="91">
          <cell r="J91" t="str">
            <v>MM3</v>
          </cell>
          <cell r="K91" t="str">
            <v>Monster Manual III</v>
          </cell>
          <cell r="L91">
            <v>38231</v>
          </cell>
          <cell r="M91" t="str">
            <v>FUL</v>
          </cell>
          <cell r="N91" t="str">
            <v>MON</v>
          </cell>
          <cell r="O91" t="str">
            <v>DD</v>
          </cell>
          <cell r="P91" t="b">
            <v>0</v>
          </cell>
          <cell r="Q91" t="str">
            <v/>
          </cell>
          <cell r="R91" t="str">
            <v/>
          </cell>
        </row>
        <row r="92">
          <cell r="J92" t="str">
            <v>MM4</v>
          </cell>
          <cell r="K92" t="str">
            <v>Monster Manual IV</v>
          </cell>
          <cell r="L92">
            <v>38899</v>
          </cell>
          <cell r="M92" t="str">
            <v>FUL</v>
          </cell>
          <cell r="N92" t="str">
            <v>MON</v>
          </cell>
          <cell r="O92" t="str">
            <v>DD</v>
          </cell>
          <cell r="P92" t="b">
            <v>0</v>
          </cell>
          <cell r="Q92">
            <v>53</v>
          </cell>
          <cell r="R92" t="str">
            <v/>
          </cell>
        </row>
        <row r="93">
          <cell r="J93" t="str">
            <v>MM5</v>
          </cell>
          <cell r="K93" t="str">
            <v>Monster Manual V</v>
          </cell>
          <cell r="L93">
            <v>39264</v>
          </cell>
          <cell r="M93" t="str">
            <v>UNK</v>
          </cell>
          <cell r="N93" t="str">
            <v>MON</v>
          </cell>
          <cell r="O93" t="str">
            <v>DD</v>
          </cell>
          <cell r="P93" t="b">
            <v>0</v>
          </cell>
          <cell r="Q93" t="str">
            <v/>
          </cell>
          <cell r="R93" t="str">
            <v/>
          </cell>
        </row>
        <row r="94">
          <cell r="J94" t="str">
            <v>Mon</v>
          </cell>
          <cell r="K94" t="str">
            <v>Monsters of Faerûn</v>
          </cell>
          <cell r="L94">
            <v>36923</v>
          </cell>
          <cell r="M94" t="str">
            <v>UNK</v>
          </cell>
          <cell r="N94" t="str">
            <v>ACC</v>
          </cell>
          <cell r="O94" t="str">
            <v>FR</v>
          </cell>
          <cell r="P94" t="b">
            <v>0</v>
          </cell>
          <cell r="Q94" t="str">
            <v/>
          </cell>
          <cell r="R94" t="str">
            <v/>
          </cell>
        </row>
        <row r="95">
          <cell r="J95" t="str">
            <v>Mys</v>
          </cell>
          <cell r="K95" t="str">
            <v>Mysteries of the Moonsea</v>
          </cell>
          <cell r="L95">
            <v>38869</v>
          </cell>
          <cell r="M95" t="str">
            <v>UNK</v>
          </cell>
          <cell r="N95" t="str">
            <v>ACC</v>
          </cell>
          <cell r="O95" t="str">
            <v>FR</v>
          </cell>
          <cell r="P95" t="b">
            <v>0</v>
          </cell>
          <cell r="Q95" t="str">
            <v/>
          </cell>
          <cell r="R95" t="str">
            <v/>
          </cell>
        </row>
        <row r="96">
          <cell r="J96" t="str">
            <v>OA</v>
          </cell>
          <cell r="K96" t="str">
            <v>Oriental Adventures</v>
          </cell>
          <cell r="L96">
            <v>37165</v>
          </cell>
          <cell r="M96" t="str">
            <v>PRT</v>
          </cell>
          <cell r="N96" t="str">
            <v>ACC</v>
          </cell>
          <cell r="O96" t="str">
            <v>DD</v>
          </cell>
          <cell r="P96" t="b">
            <v>0</v>
          </cell>
          <cell r="Q96">
            <v>47</v>
          </cell>
          <cell r="R96" t="str">
            <v/>
          </cell>
        </row>
        <row r="97">
          <cell r="J97" t="str">
            <v>PlH</v>
          </cell>
          <cell r="K97" t="str">
            <v>Planar Handbook</v>
          </cell>
          <cell r="L97">
            <v>38169</v>
          </cell>
          <cell r="M97" t="str">
            <v>FUL</v>
          </cell>
          <cell r="N97" t="str">
            <v>ACC</v>
          </cell>
          <cell r="O97" t="str">
            <v>DD</v>
          </cell>
          <cell r="P97" t="b">
            <v>1</v>
          </cell>
          <cell r="Q97">
            <v>27</v>
          </cell>
          <cell r="R97" t="str">
            <v/>
          </cell>
        </row>
        <row r="98">
          <cell r="J98" t="str">
            <v>PC</v>
          </cell>
          <cell r="K98" t="str">
            <v>Player's Companion</v>
          </cell>
          <cell r="L98">
            <v>38999</v>
          </cell>
          <cell r="M98" t="str">
            <v>PRT</v>
          </cell>
          <cell r="N98" t="str">
            <v>TPA</v>
          </cell>
          <cell r="O98" t="str">
            <v>DD</v>
          </cell>
          <cell r="P98" t="b">
            <v>0</v>
          </cell>
          <cell r="Q98">
            <v>62</v>
          </cell>
          <cell r="R98" t="str">
            <v/>
          </cell>
        </row>
        <row r="99">
          <cell r="J99" t="str">
            <v>PGtA</v>
          </cell>
          <cell r="K99" t="str">
            <v>Player's Guide to Arcanis</v>
          </cell>
          <cell r="L99">
            <v>38200</v>
          </cell>
          <cell r="M99" t="str">
            <v>UNK</v>
          </cell>
          <cell r="N99" t="str">
            <v>TPA</v>
          </cell>
          <cell r="O99" t="str">
            <v>DD</v>
          </cell>
          <cell r="P99" t="b">
            <v>0</v>
          </cell>
          <cell r="Q99" t="str">
            <v/>
          </cell>
          <cell r="R99" t="str">
            <v/>
          </cell>
        </row>
        <row r="100">
          <cell r="J100" t="str">
            <v>PGtE</v>
          </cell>
          <cell r="K100" t="str">
            <v>Player's Guide to Eberron</v>
          </cell>
          <cell r="L100">
            <v>38718</v>
          </cell>
          <cell r="M100" t="str">
            <v>FUL</v>
          </cell>
          <cell r="N100" t="str">
            <v>ACC</v>
          </cell>
          <cell r="O100" t="str">
            <v>EB</v>
          </cell>
          <cell r="P100" t="b">
            <v>0</v>
          </cell>
          <cell r="Q100">
            <v>42</v>
          </cell>
          <cell r="R100" t="str">
            <v/>
          </cell>
        </row>
        <row r="101">
          <cell r="J101" t="str">
            <v>PGtF</v>
          </cell>
          <cell r="K101" t="str">
            <v>Player's Guide to Faerûn</v>
          </cell>
          <cell r="L101">
            <v>38047</v>
          </cell>
          <cell r="M101" t="str">
            <v>FUL</v>
          </cell>
          <cell r="N101" t="str">
            <v>ACC</v>
          </cell>
          <cell r="O101" t="str">
            <v>FR</v>
          </cell>
          <cell r="P101" t="b">
            <v>1</v>
          </cell>
          <cell r="Q101">
            <v>31</v>
          </cell>
          <cell r="R101" t="str">
            <v/>
          </cell>
        </row>
        <row r="102">
          <cell r="J102" t="str">
            <v>PH</v>
          </cell>
          <cell r="K102" t="str">
            <v>Player's Handbook</v>
          </cell>
          <cell r="L102">
            <v>37803</v>
          </cell>
          <cell r="M102" t="str">
            <v>FUL</v>
          </cell>
          <cell r="N102" t="str">
            <v>COR</v>
          </cell>
          <cell r="O102" t="str">
            <v>DD</v>
          </cell>
          <cell r="P102" t="b">
            <v>1</v>
          </cell>
          <cell r="Q102">
            <v>1</v>
          </cell>
          <cell r="R102" t="str">
            <v/>
          </cell>
        </row>
        <row r="103">
          <cell r="J103" t="str">
            <v>PH2</v>
          </cell>
          <cell r="K103" t="str">
            <v>Player's Handbook II</v>
          </cell>
          <cell r="L103">
            <v>38838</v>
          </cell>
          <cell r="M103" t="str">
            <v>FUL</v>
          </cell>
          <cell r="N103" t="str">
            <v>ACC</v>
          </cell>
          <cell r="O103" t="str">
            <v>DD</v>
          </cell>
          <cell r="P103" t="b">
            <v>0</v>
          </cell>
          <cell r="Q103">
            <v>2</v>
          </cell>
          <cell r="R103" t="str">
            <v/>
          </cell>
        </row>
        <row r="104">
          <cell r="J104" t="str">
            <v>PF</v>
          </cell>
          <cell r="K104" t="str">
            <v>Power of Faerûn</v>
          </cell>
          <cell r="L104">
            <v>38777</v>
          </cell>
          <cell r="M104" t="str">
            <v>UNK</v>
          </cell>
          <cell r="N104" t="str">
            <v>ACC</v>
          </cell>
          <cell r="O104" t="str">
            <v>FR</v>
          </cell>
          <cell r="P104" t="b">
            <v>0</v>
          </cell>
          <cell r="Q104" t="str">
            <v/>
          </cell>
          <cell r="R104" t="str">
            <v/>
          </cell>
        </row>
        <row r="105">
          <cell r="J105" t="str">
            <v>RoD</v>
          </cell>
          <cell r="K105" t="str">
            <v>Races of Destiny</v>
          </cell>
          <cell r="L105">
            <v>38322</v>
          </cell>
          <cell r="M105" t="str">
            <v>FUL</v>
          </cell>
          <cell r="N105" t="str">
            <v>ACC</v>
          </cell>
          <cell r="O105" t="str">
            <v>DD</v>
          </cell>
          <cell r="P105" t="b">
            <v>0</v>
          </cell>
          <cell r="Q105">
            <v>12</v>
          </cell>
          <cell r="R105" t="str">
            <v/>
          </cell>
        </row>
        <row r="106">
          <cell r="J106" t="str">
            <v>RoE</v>
          </cell>
          <cell r="K106" t="str">
            <v>Races of Eberron</v>
          </cell>
          <cell r="L106">
            <v>38443</v>
          </cell>
          <cell r="M106" t="str">
            <v>FUL</v>
          </cell>
          <cell r="N106" t="str">
            <v>ACC</v>
          </cell>
          <cell r="O106" t="str">
            <v>EB</v>
          </cell>
          <cell r="P106" t="b">
            <v>0</v>
          </cell>
          <cell r="Q106">
            <v>39</v>
          </cell>
          <cell r="R106" t="str">
            <v/>
          </cell>
        </row>
        <row r="107">
          <cell r="J107" t="str">
            <v>RoF</v>
          </cell>
          <cell r="K107" t="str">
            <v>Races of Faerûn</v>
          </cell>
          <cell r="L107">
            <v>37681</v>
          </cell>
          <cell r="M107" t="str">
            <v>FUL</v>
          </cell>
          <cell r="N107" t="str">
            <v>ACC</v>
          </cell>
          <cell r="O107" t="str">
            <v>FR</v>
          </cell>
          <cell r="P107" t="b">
            <v>0</v>
          </cell>
          <cell r="Q107">
            <v>33</v>
          </cell>
          <cell r="R107" t="str">
            <v/>
          </cell>
        </row>
        <row r="108">
          <cell r="J108" t="str">
            <v>RoS</v>
          </cell>
          <cell r="K108" t="str">
            <v>Races of Stone</v>
          </cell>
          <cell r="L108">
            <v>38200</v>
          </cell>
          <cell r="M108" t="str">
            <v>FUL</v>
          </cell>
          <cell r="N108" t="str">
            <v>ACC</v>
          </cell>
          <cell r="O108" t="str">
            <v>DD</v>
          </cell>
          <cell r="P108" t="b">
            <v>0</v>
          </cell>
          <cell r="Q108">
            <v>11</v>
          </cell>
          <cell r="R108" t="str">
            <v/>
          </cell>
        </row>
        <row r="109">
          <cell r="J109" t="str">
            <v>RotD</v>
          </cell>
          <cell r="K109" t="str">
            <v>Races of the Dragon</v>
          </cell>
          <cell r="L109">
            <v>38718</v>
          </cell>
          <cell r="M109" t="str">
            <v>FUL</v>
          </cell>
          <cell r="N109" t="str">
            <v>ACC</v>
          </cell>
          <cell r="O109" t="str">
            <v>DD</v>
          </cell>
          <cell r="P109" t="b">
            <v>1</v>
          </cell>
          <cell r="Q109">
            <v>14</v>
          </cell>
          <cell r="R109" t="str">
            <v/>
          </cell>
        </row>
        <row r="110">
          <cell r="J110" t="str">
            <v>RotW</v>
          </cell>
          <cell r="K110" t="str">
            <v>Races of the Wild</v>
          </cell>
          <cell r="L110">
            <v>38384</v>
          </cell>
          <cell r="M110" t="str">
            <v>FUL</v>
          </cell>
          <cell r="N110" t="str">
            <v>ACC</v>
          </cell>
          <cell r="O110" t="str">
            <v>DD</v>
          </cell>
          <cell r="P110" t="b">
            <v>0</v>
          </cell>
          <cell r="Q110">
            <v>13</v>
          </cell>
          <cell r="R110" t="str">
            <v/>
          </cell>
        </row>
        <row r="111">
          <cell r="J111" t="str">
            <v>RCS</v>
          </cell>
          <cell r="K111" t="str">
            <v>Ravenloft Campaign Setting</v>
          </cell>
          <cell r="L111">
            <v>37179</v>
          </cell>
          <cell r="M111" t="str">
            <v>FUL</v>
          </cell>
          <cell r="N111" t="str">
            <v>COR</v>
          </cell>
          <cell r="O111" t="str">
            <v>RV</v>
          </cell>
          <cell r="P111" t="b">
            <v>0</v>
          </cell>
          <cell r="Q111">
            <v>58</v>
          </cell>
          <cell r="R111" t="str">
            <v/>
          </cell>
        </row>
        <row r="112">
          <cell r="J112" t="str">
            <v>RH</v>
          </cell>
          <cell r="K112" t="str">
            <v>Red Hand of Doom</v>
          </cell>
          <cell r="L112">
            <v>38749</v>
          </cell>
          <cell r="M112" t="str">
            <v>UNK</v>
          </cell>
          <cell r="N112" t="str">
            <v>ADV</v>
          </cell>
          <cell r="O112" t="str">
            <v>DD</v>
          </cell>
          <cell r="P112" t="b">
            <v>0</v>
          </cell>
          <cell r="Q112" t="str">
            <v/>
          </cell>
          <cell r="R112" t="str">
            <v/>
          </cell>
        </row>
        <row r="113">
          <cell r="J113" t="str">
            <v>RT</v>
          </cell>
          <cell r="K113" t="str">
            <v>Return to the Temple of Elemental Evil</v>
          </cell>
          <cell r="L113">
            <v>37043</v>
          </cell>
          <cell r="M113" t="str">
            <v>UNK</v>
          </cell>
          <cell r="N113" t="str">
            <v>ADV</v>
          </cell>
          <cell r="O113" t="str">
            <v>DD</v>
          </cell>
          <cell r="P113" t="b">
            <v>0</v>
          </cell>
          <cell r="Q113" t="str">
            <v/>
          </cell>
          <cell r="R113" t="str">
            <v/>
          </cell>
        </row>
        <row r="114">
          <cell r="J114" t="str">
            <v>RC</v>
          </cell>
          <cell r="K114" t="str">
            <v>Rules Compendium</v>
          </cell>
          <cell r="L114">
            <v>39356</v>
          </cell>
          <cell r="M114" t="str">
            <v>UNK</v>
          </cell>
          <cell r="N114" t="str">
            <v>ACC</v>
          </cell>
          <cell r="O114" t="str">
            <v>DD</v>
          </cell>
          <cell r="P114" t="b">
            <v>0</v>
          </cell>
          <cell r="Q114" t="str">
            <v/>
          </cell>
          <cell r="R114" t="str">
            <v/>
          </cell>
        </row>
        <row r="115">
          <cell r="J115" t="str">
            <v>Sand</v>
          </cell>
          <cell r="K115" t="str">
            <v>Sandstorm</v>
          </cell>
          <cell r="L115">
            <v>38412</v>
          </cell>
          <cell r="M115" t="str">
            <v>FUL</v>
          </cell>
          <cell r="N115" t="str">
            <v>ACC</v>
          </cell>
          <cell r="O115" t="str">
            <v>DD</v>
          </cell>
          <cell r="P115" t="b">
            <v>0</v>
          </cell>
          <cell r="Q115">
            <v>16</v>
          </cell>
          <cell r="R115" t="str">
            <v/>
          </cell>
        </row>
        <row r="116">
          <cell r="J116" t="str">
            <v>Sand</v>
          </cell>
          <cell r="K116" t="str">
            <v>Savage Species</v>
          </cell>
          <cell r="L116">
            <v>37653</v>
          </cell>
          <cell r="M116" t="str">
            <v>FUL</v>
          </cell>
          <cell r="N116" t="str">
            <v>MON</v>
          </cell>
          <cell r="O116" t="str">
            <v>DD</v>
          </cell>
          <cell r="P116" t="b">
            <v>0</v>
          </cell>
          <cell r="Q116">
            <v>55</v>
          </cell>
          <cell r="R116" t="str">
            <v/>
          </cell>
        </row>
        <row r="117">
          <cell r="J117" t="str">
            <v>SHH</v>
          </cell>
          <cell r="K117" t="str">
            <v>Scourge of the Howling Horde</v>
          </cell>
          <cell r="L117">
            <v>39022</v>
          </cell>
          <cell r="M117" t="str">
            <v>UNK</v>
          </cell>
          <cell r="N117" t="str">
            <v>ADV</v>
          </cell>
          <cell r="O117" t="str">
            <v>DD</v>
          </cell>
          <cell r="P117" t="b">
            <v>0</v>
          </cell>
          <cell r="Q117" t="str">
            <v/>
          </cell>
          <cell r="R117" t="str">
            <v/>
          </cell>
        </row>
        <row r="118">
          <cell r="J118" t="str">
            <v>SoS</v>
          </cell>
          <cell r="K118" t="str">
            <v>Secrets of Sarlona</v>
          </cell>
          <cell r="L118">
            <v>39114</v>
          </cell>
          <cell r="M118" t="str">
            <v>UNK</v>
          </cell>
          <cell r="N118" t="str">
            <v>ADV</v>
          </cell>
          <cell r="O118" t="str">
            <v>DD</v>
          </cell>
          <cell r="P118" t="b">
            <v>0</v>
          </cell>
          <cell r="Q118">
            <v>44</v>
          </cell>
          <cell r="R118" t="str">
            <v/>
          </cell>
        </row>
        <row r="119">
          <cell r="J119" t="str">
            <v>SoX</v>
          </cell>
          <cell r="K119" t="str">
            <v>Secrets of Xen'drik</v>
          </cell>
          <cell r="L119">
            <v>38899</v>
          </cell>
          <cell r="M119" t="str">
            <v>FUL</v>
          </cell>
          <cell r="N119" t="str">
            <v>ACC</v>
          </cell>
          <cell r="O119" t="str">
            <v>EB</v>
          </cell>
          <cell r="P119" t="b">
            <v>0</v>
          </cell>
          <cell r="Q119">
            <v>41</v>
          </cell>
          <cell r="R119" t="str">
            <v/>
          </cell>
        </row>
        <row r="120">
          <cell r="J120" t="str">
            <v>SK</v>
          </cell>
          <cell r="K120" t="str">
            <v>Serpent Kingdoms</v>
          </cell>
          <cell r="L120">
            <v>38169</v>
          </cell>
          <cell r="M120" t="str">
            <v>UNK</v>
          </cell>
          <cell r="N120" t="str">
            <v>ACC</v>
          </cell>
          <cell r="O120" t="str">
            <v>FR</v>
          </cell>
          <cell r="P120" t="b">
            <v>0</v>
          </cell>
          <cell r="Q120" t="str">
            <v/>
          </cell>
          <cell r="R120" t="str">
            <v/>
          </cell>
        </row>
        <row r="121">
          <cell r="J121" t="str">
            <v>SSL</v>
          </cell>
          <cell r="K121" t="str">
            <v>Shadowdale: The Scouring of the Land</v>
          </cell>
          <cell r="L121">
            <v>39264</v>
          </cell>
          <cell r="M121" t="str">
            <v>UNK</v>
          </cell>
          <cell r="N121" t="str">
            <v>ADV</v>
          </cell>
          <cell r="O121" t="str">
            <v>FR</v>
          </cell>
          <cell r="P121" t="b">
            <v>0</v>
          </cell>
          <cell r="Q121" t="str">
            <v/>
          </cell>
          <cell r="R121" t="str">
            <v/>
          </cell>
        </row>
        <row r="122">
          <cell r="J122" t="str">
            <v>SL</v>
          </cell>
          <cell r="K122" t="str">
            <v>Shadows of the Last War</v>
          </cell>
          <cell r="L122">
            <v>38169</v>
          </cell>
          <cell r="M122" t="str">
            <v>UNK</v>
          </cell>
          <cell r="N122" t="str">
            <v>ADV</v>
          </cell>
          <cell r="O122" t="str">
            <v>DD</v>
          </cell>
          <cell r="P122" t="b">
            <v>0</v>
          </cell>
          <cell r="Q122" t="str">
            <v/>
          </cell>
          <cell r="R122" t="str">
            <v/>
          </cell>
        </row>
        <row r="123">
          <cell r="J123" t="str">
            <v>Sh</v>
          </cell>
          <cell r="K123" t="str">
            <v>Sharn: City of Towers</v>
          </cell>
          <cell r="L123">
            <v>38292</v>
          </cell>
          <cell r="M123" t="str">
            <v>FUL</v>
          </cell>
          <cell r="N123" t="str">
            <v>ACC</v>
          </cell>
          <cell r="O123" t="str">
            <v>EB</v>
          </cell>
          <cell r="P123" t="b">
            <v>0</v>
          </cell>
          <cell r="Q123">
            <v>40</v>
          </cell>
          <cell r="R123" t="str">
            <v/>
          </cell>
        </row>
        <row r="124">
          <cell r="J124" t="str">
            <v>ShG</v>
          </cell>
          <cell r="K124" t="str">
            <v>Shattered Gates of Slaughtergarde, The</v>
          </cell>
          <cell r="L124">
            <v>39052</v>
          </cell>
          <cell r="M124" t="str">
            <v>UNK</v>
          </cell>
          <cell r="N124" t="str">
            <v>ADV</v>
          </cell>
          <cell r="O124" t="str">
            <v>DD</v>
          </cell>
          <cell r="P124" t="b">
            <v>0</v>
          </cell>
          <cell r="Q124" t="str">
            <v/>
          </cell>
          <cell r="R124" t="str">
            <v/>
          </cell>
        </row>
        <row r="125">
          <cell r="J125" t="str">
            <v>ShS</v>
          </cell>
          <cell r="K125" t="str">
            <v>Shining South</v>
          </cell>
          <cell r="L125">
            <v>38261</v>
          </cell>
          <cell r="M125" t="str">
            <v>UNK</v>
          </cell>
          <cell r="N125" t="str">
            <v>ACC</v>
          </cell>
          <cell r="O125" t="str">
            <v>FR</v>
          </cell>
          <cell r="P125" t="b">
            <v>0</v>
          </cell>
          <cell r="Q125" t="str">
            <v/>
          </cell>
          <cell r="R125" t="str">
            <v/>
          </cell>
        </row>
        <row r="126">
          <cell r="J126" t="str">
            <v>SM</v>
          </cell>
          <cell r="K126" t="str">
            <v>Silver Marches</v>
          </cell>
          <cell r="L126">
            <v>37438</v>
          </cell>
          <cell r="M126" t="str">
            <v>PRT</v>
          </cell>
          <cell r="N126" t="str">
            <v>ACC</v>
          </cell>
          <cell r="O126" t="str">
            <v>FR</v>
          </cell>
          <cell r="P126" t="b">
            <v>0</v>
          </cell>
          <cell r="Q126" t="str">
            <v/>
          </cell>
          <cell r="R126" t="str">
            <v/>
          </cell>
        </row>
        <row r="127">
          <cell r="J127" t="str">
            <v>SiS</v>
          </cell>
          <cell r="K127" t="str">
            <v>Sinister Spire, The</v>
          </cell>
          <cell r="L127">
            <v>39234</v>
          </cell>
          <cell r="M127" t="str">
            <v>UNK</v>
          </cell>
          <cell r="N127" t="str">
            <v>ADV</v>
          </cell>
          <cell r="O127" t="str">
            <v>DD</v>
          </cell>
          <cell r="P127" t="b">
            <v>0</v>
          </cell>
          <cell r="Q127" t="str">
            <v/>
          </cell>
          <cell r="R127" t="str">
            <v/>
          </cell>
        </row>
        <row r="128">
          <cell r="J128" t="str">
            <v>SaS</v>
          </cell>
          <cell r="K128" t="str">
            <v>Song and Silence</v>
          </cell>
          <cell r="L128">
            <v>37226</v>
          </cell>
          <cell r="M128" t="str">
            <v>OBS</v>
          </cell>
          <cell r="N128" t="str">
            <v>ACC</v>
          </cell>
          <cell r="O128" t="str">
            <v>DD</v>
          </cell>
          <cell r="P128" t="b">
            <v>0</v>
          </cell>
          <cell r="Q128" t="str">
            <v/>
          </cell>
          <cell r="R128" t="str">
            <v/>
          </cell>
        </row>
        <row r="129">
          <cell r="J129" t="str">
            <v>SG</v>
          </cell>
          <cell r="K129" t="str">
            <v>Sons of Gruumsh</v>
          </cell>
          <cell r="L129">
            <v>38596</v>
          </cell>
          <cell r="M129" t="str">
            <v>UNK</v>
          </cell>
          <cell r="N129" t="str">
            <v>ADV</v>
          </cell>
          <cell r="O129" t="str">
            <v>DD</v>
          </cell>
          <cell r="P129" t="b">
            <v>0</v>
          </cell>
          <cell r="Q129" t="str">
            <v/>
          </cell>
          <cell r="R129" t="str">
            <v/>
          </cell>
        </row>
        <row r="130">
          <cell r="J130" t="str">
            <v>SD</v>
          </cell>
          <cell r="K130" t="str">
            <v>Speaker in Dreams, The</v>
          </cell>
          <cell r="L130">
            <v>36892</v>
          </cell>
          <cell r="M130" t="str">
            <v>FUL</v>
          </cell>
          <cell r="N130" t="str">
            <v>ADV</v>
          </cell>
          <cell r="O130" t="str">
            <v>DD</v>
          </cell>
          <cell r="P130" t="b">
            <v>0</v>
          </cell>
          <cell r="Q130" t="str">
            <v/>
          </cell>
          <cell r="R130" t="str">
            <v/>
          </cell>
        </row>
        <row r="131">
          <cell r="J131" t="str">
            <v>SpC</v>
          </cell>
          <cell r="K131" t="str">
            <v>Spell Compendium</v>
          </cell>
          <cell r="L131">
            <v>38687</v>
          </cell>
          <cell r="M131" t="str">
            <v>FUL</v>
          </cell>
          <cell r="N131" t="str">
            <v>ACC</v>
          </cell>
          <cell r="O131" t="str">
            <v>DD</v>
          </cell>
          <cell r="P131" t="b">
            <v>0</v>
          </cell>
          <cell r="Q131" t="str">
            <v/>
          </cell>
          <cell r="R131" t="str">
            <v/>
          </cell>
        </row>
        <row r="132">
          <cell r="J132" t="str">
            <v>StS</v>
          </cell>
          <cell r="K132" t="str">
            <v>Standing Stone, The</v>
          </cell>
          <cell r="L132">
            <v>36982</v>
          </cell>
          <cell r="M132" t="str">
            <v>UNK</v>
          </cell>
          <cell r="N132" t="str">
            <v>ADV</v>
          </cell>
          <cell r="O132" t="str">
            <v>DD</v>
          </cell>
          <cell r="P132" t="b">
            <v>0</v>
          </cell>
          <cell r="Q132" t="str">
            <v/>
          </cell>
          <cell r="R132" t="str">
            <v/>
          </cell>
        </row>
        <row r="133">
          <cell r="J133" t="str">
            <v>Sto</v>
          </cell>
          <cell r="K133" t="str">
            <v>Stormwrack</v>
          </cell>
          <cell r="L133">
            <v>38565</v>
          </cell>
          <cell r="M133" t="str">
            <v>FUL</v>
          </cell>
          <cell r="N133" t="str">
            <v>ACC</v>
          </cell>
          <cell r="O133" t="str">
            <v>DD</v>
          </cell>
          <cell r="P133" t="b">
            <v>0</v>
          </cell>
          <cell r="Q133">
            <v>17</v>
          </cell>
          <cell r="R133" t="str">
            <v/>
          </cell>
        </row>
        <row r="134">
          <cell r="J134" t="str">
            <v>SB</v>
          </cell>
          <cell r="K134" t="str">
            <v>Stronghold Builder's Guidebook</v>
          </cell>
          <cell r="L134">
            <v>37377</v>
          </cell>
          <cell r="M134" t="str">
            <v>UNK</v>
          </cell>
          <cell r="N134" t="str">
            <v>ACC</v>
          </cell>
          <cell r="O134" t="str">
            <v>DD</v>
          </cell>
          <cell r="P134" t="b">
            <v>0</v>
          </cell>
          <cell r="Q134" t="str">
            <v/>
          </cell>
          <cell r="R134" t="str">
            <v/>
          </cell>
        </row>
        <row r="135">
          <cell r="J135" t="str">
            <v>SC</v>
          </cell>
          <cell r="K135" t="str">
            <v>Sunless Citadel, The</v>
          </cell>
          <cell r="L135">
            <v>36739</v>
          </cell>
          <cell r="M135" t="str">
            <v>UNK</v>
          </cell>
          <cell r="N135" t="str">
            <v>ADV</v>
          </cell>
          <cell r="O135" t="str">
            <v>DD</v>
          </cell>
          <cell r="P135" t="b">
            <v>0</v>
          </cell>
          <cell r="Q135" t="str">
            <v/>
          </cell>
          <cell r="R135" t="str">
            <v/>
          </cell>
        </row>
        <row r="136">
          <cell r="J136" t="str">
            <v>SF</v>
          </cell>
          <cell r="K136" t="str">
            <v>Sword and Fist</v>
          </cell>
          <cell r="L136">
            <v>36892</v>
          </cell>
          <cell r="M136" t="str">
            <v>OBS</v>
          </cell>
          <cell r="N136" t="str">
            <v>ACC</v>
          </cell>
          <cell r="O136" t="str">
            <v>DD</v>
          </cell>
          <cell r="P136" t="b">
            <v>0</v>
          </cell>
          <cell r="Q136" t="str">
            <v/>
          </cell>
          <cell r="R136" t="str">
            <v/>
          </cell>
        </row>
        <row r="137">
          <cell r="J137" t="str">
            <v>TB</v>
          </cell>
          <cell r="K137" t="str">
            <v>Tome and Blood</v>
          </cell>
          <cell r="L137">
            <v>37073</v>
          </cell>
          <cell r="M137" t="str">
            <v>OBS</v>
          </cell>
          <cell r="N137" t="str">
            <v>ACC</v>
          </cell>
          <cell r="O137" t="str">
            <v>DD</v>
          </cell>
          <cell r="P137" t="b">
            <v>0</v>
          </cell>
          <cell r="Q137" t="str">
            <v/>
          </cell>
          <cell r="R137" t="str">
            <v/>
          </cell>
        </row>
        <row r="138">
          <cell r="J138" t="str">
            <v>ToB</v>
          </cell>
          <cell r="K138" t="str">
            <v>Tome of Battle</v>
          </cell>
          <cell r="L138">
            <v>38930</v>
          </cell>
          <cell r="M138" t="str">
            <v>FUL</v>
          </cell>
          <cell r="N138" t="str">
            <v>ACC</v>
          </cell>
          <cell r="O138" t="str">
            <v>DD</v>
          </cell>
          <cell r="P138" t="b">
            <v>0</v>
          </cell>
          <cell r="Q138">
            <v>20</v>
          </cell>
          <cell r="R138" t="str">
            <v/>
          </cell>
        </row>
        <row r="139">
          <cell r="J139" t="str">
            <v>ToM</v>
          </cell>
          <cell r="K139" t="str">
            <v>Tome of Magic</v>
          </cell>
          <cell r="L139">
            <v>38777</v>
          </cell>
          <cell r="M139" t="str">
            <v>PRT</v>
          </cell>
          <cell r="N139" t="str">
            <v>ACC</v>
          </cell>
          <cell r="O139" t="str">
            <v>DD</v>
          </cell>
          <cell r="P139" t="b">
            <v>0</v>
          </cell>
          <cell r="Q139">
            <v>21</v>
          </cell>
          <cell r="R139" t="str">
            <v/>
          </cell>
        </row>
        <row r="140">
          <cell r="J140" t="str">
            <v>TT</v>
          </cell>
          <cell r="K140" t="str">
            <v>Twilight Tomb, The</v>
          </cell>
          <cell r="L140">
            <v>38961</v>
          </cell>
          <cell r="M140" t="str">
            <v>UNK</v>
          </cell>
          <cell r="N140" t="str">
            <v>ADV</v>
          </cell>
          <cell r="O140" t="str">
            <v>DD</v>
          </cell>
          <cell r="P140" t="b">
            <v>0</v>
          </cell>
          <cell r="Q140" t="str">
            <v/>
          </cell>
          <cell r="R140" t="str">
            <v/>
          </cell>
        </row>
        <row r="141">
          <cell r="J141" t="str">
            <v>Una</v>
          </cell>
          <cell r="K141" t="str">
            <v>Unapproachable East</v>
          </cell>
          <cell r="L141">
            <v>37742</v>
          </cell>
          <cell r="M141" t="str">
            <v>UNK</v>
          </cell>
          <cell r="N141" t="str">
            <v>ACC</v>
          </cell>
          <cell r="O141" t="str">
            <v>FR</v>
          </cell>
          <cell r="P141" t="b">
            <v>0</v>
          </cell>
          <cell r="Q141" t="str">
            <v/>
          </cell>
          <cell r="R141" t="str">
            <v/>
          </cell>
        </row>
        <row r="142">
          <cell r="J142" t="str">
            <v>Und</v>
          </cell>
          <cell r="K142" t="str">
            <v>Underdark</v>
          </cell>
          <cell r="L142">
            <v>37895</v>
          </cell>
          <cell r="M142" t="str">
            <v>FUL</v>
          </cell>
          <cell r="N142" t="str">
            <v>ACC</v>
          </cell>
          <cell r="O142" t="str">
            <v>FR</v>
          </cell>
          <cell r="P142" t="b">
            <v>0</v>
          </cell>
          <cell r="Q142">
            <v>34</v>
          </cell>
          <cell r="R142" t="str">
            <v/>
          </cell>
        </row>
        <row r="143">
          <cell r="J143" t="str">
            <v>UA</v>
          </cell>
          <cell r="K143" t="str">
            <v>Unearthed Arcana</v>
          </cell>
          <cell r="L143">
            <v>38018</v>
          </cell>
          <cell r="M143" t="str">
            <v>PRT</v>
          </cell>
          <cell r="N143" t="str">
            <v>ACC</v>
          </cell>
          <cell r="O143" t="str">
            <v>DD</v>
          </cell>
          <cell r="P143" t="b">
            <v>1</v>
          </cell>
          <cell r="Q143" t="str">
            <v/>
          </cell>
          <cell r="R143" t="str">
            <v/>
          </cell>
        </row>
        <row r="144">
          <cell r="J144" t="str">
            <v>CUST</v>
          </cell>
          <cell r="K144" t="str">
            <v>User specified</v>
          </cell>
          <cell r="L144">
            <v>40190</v>
          </cell>
          <cell r="M144" t="str">
            <v>UNK</v>
          </cell>
          <cell r="N144" t="str">
            <v>TPA</v>
          </cell>
          <cell r="O144" t="str">
            <v>DD</v>
          </cell>
          <cell r="P144" t="b">
            <v>0</v>
          </cell>
          <cell r="Q144">
            <v>63</v>
          </cell>
          <cell r="R144" t="str">
            <v/>
          </cell>
        </row>
        <row r="145">
          <cell r="J145" t="str">
            <v>VRA1</v>
          </cell>
          <cell r="K145" t="str">
            <v>Van Richten's Arsenal Vol. 1</v>
          </cell>
          <cell r="L145">
            <v>37408</v>
          </cell>
          <cell r="M145" t="str">
            <v>FUL</v>
          </cell>
          <cell r="N145" t="str">
            <v>ACC</v>
          </cell>
          <cell r="O145" t="str">
            <v>RV</v>
          </cell>
          <cell r="P145" t="b">
            <v>0</v>
          </cell>
          <cell r="Q145">
            <v>61</v>
          </cell>
          <cell r="R145" t="str">
            <v/>
          </cell>
        </row>
        <row r="146">
          <cell r="J146" t="str">
            <v>VGD</v>
          </cell>
          <cell r="K146" t="str">
            <v>Voyage of the Golden Dragon</v>
          </cell>
          <cell r="L146">
            <v>38808</v>
          </cell>
          <cell r="M146" t="str">
            <v>UNK</v>
          </cell>
          <cell r="N146" t="str">
            <v>ADV</v>
          </cell>
          <cell r="O146" t="str">
            <v>DD</v>
          </cell>
          <cell r="P146" t="b">
            <v>0</v>
          </cell>
          <cell r="Q146" t="str">
            <v/>
          </cell>
          <cell r="R146" t="str">
            <v/>
          </cell>
        </row>
        <row r="147">
          <cell r="J147" t="str">
            <v>WB</v>
          </cell>
          <cell r="K147" t="str">
            <v>Whispers of the Vampire's Blade</v>
          </cell>
          <cell r="L147">
            <v>38231</v>
          </cell>
          <cell r="M147" t="str">
            <v>UNK</v>
          </cell>
          <cell r="N147" t="str">
            <v>ADV</v>
          </cell>
          <cell r="O147" t="str">
            <v>DD</v>
          </cell>
          <cell r="P147" t="b">
            <v>0</v>
          </cell>
          <cell r="Q147" t="str">
            <v/>
          </cell>
          <cell r="R147" t="str">
            <v/>
          </cell>
        </row>
        <row r="148">
          <cell r="Q148" t="str">
            <v/>
          </cell>
        </row>
      </sheetData>
      <sheetData sheetId="8">
        <row r="2">
          <cell r="A2" t="str">
            <v>Ability</v>
          </cell>
        </row>
        <row r="3">
          <cell r="A3" t="str">
            <v>Strength</v>
          </cell>
          <cell r="B3">
            <v>8</v>
          </cell>
          <cell r="BN3">
            <v>8</v>
          </cell>
          <cell r="BO3">
            <v>-1</v>
          </cell>
          <cell r="CE3" t="str">
            <v>Str</v>
          </cell>
          <cell r="CG3">
            <v>8</v>
          </cell>
          <cell r="CQ3" t="str">
            <v>Str 8 (-1)</v>
          </cell>
          <cell r="CT3">
            <v>0</v>
          </cell>
        </row>
        <row r="4">
          <cell r="A4" t="str">
            <v>Dexterity</v>
          </cell>
          <cell r="B4">
            <v>8</v>
          </cell>
          <cell r="BN4">
            <v>8</v>
          </cell>
          <cell r="BO4">
            <v>-1</v>
          </cell>
          <cell r="CE4" t="str">
            <v>Dex</v>
          </cell>
          <cell r="CG4">
            <v>8</v>
          </cell>
          <cell r="CQ4" t="str">
            <v>Dex 8 (-1)</v>
          </cell>
        </row>
        <row r="5">
          <cell r="A5" t="str">
            <v>Constitution</v>
          </cell>
          <cell r="B5">
            <v>8</v>
          </cell>
          <cell r="BN5">
            <v>10</v>
          </cell>
          <cell r="BO5">
            <v>0</v>
          </cell>
          <cell r="CE5" t="str">
            <v>Con</v>
          </cell>
          <cell r="CG5">
            <v>10</v>
          </cell>
          <cell r="CQ5" t="str">
            <v>Con 10 (+0)</v>
          </cell>
        </row>
        <row r="6">
          <cell r="A6" t="str">
            <v>Intelligence</v>
          </cell>
          <cell r="B6">
            <v>8</v>
          </cell>
          <cell r="BN6">
            <v>8</v>
          </cell>
          <cell r="BO6">
            <v>-1</v>
          </cell>
          <cell r="CE6" t="str">
            <v>Int</v>
          </cell>
          <cell r="CG6">
            <v>8</v>
          </cell>
          <cell r="CQ6" t="str">
            <v>Int 8 (-1)</v>
          </cell>
        </row>
        <row r="7">
          <cell r="A7" t="str">
            <v>Wisdom</v>
          </cell>
          <cell r="BN7">
            <v>8</v>
          </cell>
          <cell r="BO7">
            <v>-1</v>
          </cell>
          <cell r="CE7" t="str">
            <v>Wis</v>
          </cell>
          <cell r="CG7">
            <v>8</v>
          </cell>
          <cell r="CQ7" t="str">
            <v>Wis 8 (-1)</v>
          </cell>
        </row>
        <row r="8">
          <cell r="A8" t="str">
            <v>Charisma</v>
          </cell>
          <cell r="BN8">
            <v>6</v>
          </cell>
          <cell r="BO8">
            <v>-2</v>
          </cell>
          <cell r="CE8" t="str">
            <v>Cha</v>
          </cell>
          <cell r="CG8">
            <v>6</v>
          </cell>
          <cell r="CQ8" t="str">
            <v>Cha 6 (-2)</v>
          </cell>
        </row>
        <row r="12">
          <cell r="CH12">
            <v>3</v>
          </cell>
        </row>
        <row r="19">
          <cell r="CH19">
            <v>40</v>
          </cell>
        </row>
        <row r="24">
          <cell r="CH24">
            <v>53</v>
          </cell>
          <cell r="CK24">
            <v>0</v>
          </cell>
          <cell r="CN24">
            <v>0</v>
          </cell>
        </row>
        <row r="27">
          <cell r="CE27" t="b">
            <v>0</v>
          </cell>
        </row>
        <row r="28">
          <cell r="CE28" t="b">
            <v>0</v>
          </cell>
        </row>
        <row r="34">
          <cell r="CD34" t="str">
            <v>Alignment*</v>
          </cell>
          <cell r="CE34" t="str">
            <v>Abr</v>
          </cell>
          <cell r="CF34" t="str">
            <v>OneStep rule (base)</v>
          </cell>
          <cell r="CG34" t="str">
            <v>OneStep rule (actual)</v>
          </cell>
          <cell r="CH34" t="str">
            <v>Seq</v>
          </cell>
          <cell r="CI34" t="str">
            <v>List</v>
          </cell>
        </row>
        <row r="35">
          <cell r="CD35" t="str">
            <v>Chaotic Evil</v>
          </cell>
          <cell r="CE35" t="str">
            <v>CE</v>
          </cell>
          <cell r="CF35" t="b">
            <v>0</v>
          </cell>
          <cell r="CG35" t="b">
            <v>0</v>
          </cell>
          <cell r="CH35">
            <v>9</v>
          </cell>
          <cell r="CI35" t="str">
            <v>Lawful Good</v>
          </cell>
          <cell r="CM35" t="str">
            <v>L</v>
          </cell>
          <cell r="CP35" t="b">
            <v>0</v>
          </cell>
        </row>
        <row r="36">
          <cell r="CD36" t="str">
            <v>Chaotic Good</v>
          </cell>
          <cell r="CE36" t="str">
            <v>CG</v>
          </cell>
          <cell r="CF36" t="b">
            <v>0</v>
          </cell>
          <cell r="CG36" t="b">
            <v>0</v>
          </cell>
          <cell r="CH36">
            <v>3</v>
          </cell>
          <cell r="CI36" t="str">
            <v>Neutral Good</v>
          </cell>
          <cell r="CM36" t="str">
            <v>G</v>
          </cell>
          <cell r="CP36" t="b">
            <v>0</v>
          </cell>
        </row>
        <row r="37">
          <cell r="CD37" t="str">
            <v>Chaotic Neutral</v>
          </cell>
          <cell r="CE37" t="str">
            <v>CN</v>
          </cell>
          <cell r="CF37" t="b">
            <v>0</v>
          </cell>
          <cell r="CG37" t="b">
            <v>0</v>
          </cell>
          <cell r="CH37">
            <v>6</v>
          </cell>
          <cell r="CI37" t="str">
            <v>Chaotic Good</v>
          </cell>
          <cell r="CM37" t="str">
            <v>LG</v>
          </cell>
          <cell r="CP37" t="b">
            <v>1</v>
          </cell>
        </row>
        <row r="38">
          <cell r="CD38" t="str">
            <v>Lawful Evil</v>
          </cell>
          <cell r="CE38" t="str">
            <v>LE</v>
          </cell>
          <cell r="CF38" t="b">
            <v>0</v>
          </cell>
          <cell r="CG38" t="b">
            <v>0</v>
          </cell>
          <cell r="CH38">
            <v>7</v>
          </cell>
          <cell r="CI38" t="str">
            <v>Lawful Neutral</v>
          </cell>
          <cell r="CM38" t="str">
            <v>Lawful Good</v>
          </cell>
          <cell r="CP38" t="b">
            <v>1</v>
          </cell>
        </row>
        <row r="39">
          <cell r="E39" t="e">
            <v>#N/A</v>
          </cell>
          <cell r="CD39" t="str">
            <v>Lawful Good</v>
          </cell>
          <cell r="CE39" t="str">
            <v>LG</v>
          </cell>
          <cell r="CF39" t="b">
            <v>1</v>
          </cell>
          <cell r="CG39" t="b">
            <v>1</v>
          </cell>
          <cell r="CH39">
            <v>1</v>
          </cell>
          <cell r="CI39" t="str">
            <v>Neutral</v>
          </cell>
          <cell r="CK39">
            <v>34</v>
          </cell>
          <cell r="CP39" t="b">
            <v>0</v>
          </cell>
        </row>
        <row r="40">
          <cell r="CD40" t="str">
            <v>Lawful Neutral</v>
          </cell>
          <cell r="CE40" t="str">
            <v>LN</v>
          </cell>
          <cell r="CF40" t="b">
            <v>1</v>
          </cell>
          <cell r="CG40" t="b">
            <v>1</v>
          </cell>
          <cell r="CH40">
            <v>4</v>
          </cell>
          <cell r="CI40" t="str">
            <v>Chaotic Neutral</v>
          </cell>
          <cell r="CP40" t="b">
            <v>1</v>
          </cell>
        </row>
        <row r="41">
          <cell r="CD41" t="str">
            <v>Neutral</v>
          </cell>
          <cell r="CE41" t="str">
            <v>N</v>
          </cell>
          <cell r="CF41" t="b">
            <v>0</v>
          </cell>
          <cell r="CG41" t="b">
            <v>0</v>
          </cell>
          <cell r="CH41">
            <v>5</v>
          </cell>
          <cell r="CI41" t="str">
            <v>Lawful Evil</v>
          </cell>
          <cell r="CM41" t="b">
            <v>0</v>
          </cell>
          <cell r="CP41" t="b">
            <v>0</v>
          </cell>
        </row>
        <row r="42">
          <cell r="CD42" t="str">
            <v>Neutral Evil</v>
          </cell>
          <cell r="CE42" t="str">
            <v>NE</v>
          </cell>
          <cell r="CF42" t="b">
            <v>0</v>
          </cell>
          <cell r="CG42" t="b">
            <v>0</v>
          </cell>
          <cell r="CH42">
            <v>8</v>
          </cell>
          <cell r="CI42" t="str">
            <v>Neutral Evil</v>
          </cell>
          <cell r="CM42" t="b">
            <v>0</v>
          </cell>
          <cell r="CP42" t="b">
            <v>0</v>
          </cell>
        </row>
        <row r="43">
          <cell r="CD43" t="str">
            <v>Neutral Good</v>
          </cell>
          <cell r="CE43" t="str">
            <v>NG</v>
          </cell>
          <cell r="CF43" t="b">
            <v>1</v>
          </cell>
          <cell r="CG43" t="b">
            <v>1</v>
          </cell>
          <cell r="CH43">
            <v>2</v>
          </cell>
          <cell r="CI43" t="str">
            <v>Chaotic Evil</v>
          </cell>
          <cell r="CP43" t="b">
            <v>1</v>
          </cell>
        </row>
      </sheetData>
      <sheetData sheetId="9">
        <row r="1">
          <cell r="H1">
            <v>94</v>
          </cell>
        </row>
        <row r="2">
          <cell r="B2" t="str">
            <v>Dwarf, Hill</v>
          </cell>
          <cell r="H2" t="str">
            <v>Select a Race/Creature</v>
          </cell>
        </row>
        <row r="3">
          <cell r="B3">
            <v>73</v>
          </cell>
          <cell r="H3" t="str">
            <v>Aasimar [RoD]</v>
          </cell>
        </row>
        <row r="4">
          <cell r="B4" t="str">
            <v>Medium</v>
          </cell>
          <cell r="H4" t="str">
            <v>Archon, Hound [MM]</v>
          </cell>
        </row>
        <row r="5">
          <cell r="B5" t="str">
            <v>Humanoid</v>
          </cell>
          <cell r="H5" t="str">
            <v>Archon, Trumpet [MM]</v>
          </cell>
        </row>
        <row r="6">
          <cell r="B6" t="str">
            <v>Dwarf</v>
          </cell>
          <cell r="H6" t="str">
            <v>Azer [MM]</v>
          </cell>
        </row>
        <row r="7">
          <cell r="B7">
            <v>0</v>
          </cell>
          <cell r="H7" t="str">
            <v>Barbazu (Bearded Devil) [MM]</v>
          </cell>
        </row>
        <row r="8">
          <cell r="B8">
            <v>20</v>
          </cell>
          <cell r="H8" t="str">
            <v>Bariaur [PlH]</v>
          </cell>
        </row>
        <row r="9">
          <cell r="B9">
            <v>0</v>
          </cell>
          <cell r="H9" t="str">
            <v>Bueroza [FCII]</v>
          </cell>
        </row>
        <row r="10">
          <cell r="B10">
            <v>0</v>
          </cell>
          <cell r="H10" t="str">
            <v>Bugbear [MM]</v>
          </cell>
        </row>
        <row r="11">
          <cell r="B11">
            <v>0</v>
          </cell>
          <cell r="H11" t="str">
            <v>Buomman [PlH]</v>
          </cell>
        </row>
        <row r="12">
          <cell r="B12">
            <v>0</v>
          </cell>
          <cell r="H12" t="str">
            <v>Centaur [MM]</v>
          </cell>
        </row>
        <row r="13">
          <cell r="B13">
            <v>0</v>
          </cell>
          <cell r="H13" t="str">
            <v>Dogai (Assassin Devil) [FCII]</v>
          </cell>
        </row>
        <row r="14">
          <cell r="B14">
            <v>0</v>
          </cell>
          <cell r="H14" t="str">
            <v>Doppelganger [RoD]</v>
          </cell>
        </row>
        <row r="15">
          <cell r="B15" t="str">
            <v/>
          </cell>
          <cell r="H15" t="str">
            <v>Dragonborn of Bahamut [RotD]</v>
          </cell>
        </row>
        <row r="16">
          <cell r="H16" t="str">
            <v>Dwarf, Deep [MM]</v>
          </cell>
        </row>
        <row r="17">
          <cell r="B17" t="str">
            <v/>
          </cell>
          <cell r="H17" t="str">
            <v>Dwarf, Duergar [MM]</v>
          </cell>
        </row>
        <row r="18">
          <cell r="H18" t="str">
            <v>Dwarf, Gold [PGtF]</v>
          </cell>
        </row>
        <row r="19">
          <cell r="H19" t="str">
            <v>Dwarf, Gray [PGtF]</v>
          </cell>
        </row>
        <row r="20">
          <cell r="B20" t="str">
            <v/>
          </cell>
          <cell r="H20" t="str">
            <v>Dwarf, Hill [PHB]</v>
          </cell>
        </row>
        <row r="21">
          <cell r="B21" t="str">
            <v>60</v>
          </cell>
          <cell r="H21" t="str">
            <v>Dwarf, Mountain [MM]</v>
          </cell>
        </row>
        <row r="22">
          <cell r="H22" t="str">
            <v>Dwarf, Shield [PGtF]</v>
          </cell>
        </row>
        <row r="23">
          <cell r="B23" t="str">
            <v/>
          </cell>
          <cell r="H23" t="str">
            <v>Elf, Aquatic [MM]</v>
          </cell>
        </row>
        <row r="24">
          <cell r="B24" t="str">
            <v/>
          </cell>
          <cell r="H24" t="str">
            <v>Elf, Drow [MM]</v>
          </cell>
        </row>
        <row r="25">
          <cell r="B25" t="str">
            <v/>
          </cell>
          <cell r="H25" t="str">
            <v>Elf, Gray [MM]</v>
          </cell>
        </row>
        <row r="26">
          <cell r="B26" t="str">
            <v/>
          </cell>
          <cell r="H26" t="str">
            <v>Elf, High [PHB]</v>
          </cell>
        </row>
        <row r="27">
          <cell r="B27" t="str">
            <v/>
          </cell>
          <cell r="H27" t="str">
            <v>Elf, Moon [PGtF]</v>
          </cell>
        </row>
        <row r="28">
          <cell r="H28" t="str">
            <v>Elf, Sun [PGtF]</v>
          </cell>
        </row>
        <row r="29">
          <cell r="B29">
            <v>0</v>
          </cell>
          <cell r="H29" t="str">
            <v>Elf, Wild [MM]</v>
          </cell>
        </row>
        <row r="30">
          <cell r="H30" t="str">
            <v>Elf, Wood [MM]</v>
          </cell>
        </row>
        <row r="31">
          <cell r="B31">
            <v>0</v>
          </cell>
          <cell r="H31" t="str">
            <v>Erinyes [MM]</v>
          </cell>
        </row>
        <row r="32">
          <cell r="B32">
            <v>0</v>
          </cell>
          <cell r="H32" t="str">
            <v>Ettin [MM]</v>
          </cell>
        </row>
        <row r="33">
          <cell r="B33">
            <v>2</v>
          </cell>
          <cell r="H33" t="str">
            <v>Falxugon (Harvester Devil) [FCII]</v>
          </cell>
        </row>
        <row r="34">
          <cell r="B34">
            <v>0</v>
          </cell>
          <cell r="H34" t="str">
            <v>Gargoyle [MM]</v>
          </cell>
        </row>
        <row r="35">
          <cell r="B35">
            <v>0</v>
          </cell>
          <cell r="H35" t="str">
            <v>Genasi, Air [PGtF]</v>
          </cell>
        </row>
        <row r="36">
          <cell r="B36">
            <v>-2</v>
          </cell>
          <cell r="H36" t="str">
            <v>Genasi, Earth [PGtF]</v>
          </cell>
        </row>
        <row r="37">
          <cell r="H37" t="str">
            <v>Genasi, Fire [PGtF]</v>
          </cell>
        </row>
        <row r="38">
          <cell r="H38" t="str">
            <v>Genasi, Water [PGtF]</v>
          </cell>
        </row>
        <row r="39">
          <cell r="B39">
            <v>-8</v>
          </cell>
          <cell r="H39" t="str">
            <v>Giant, Fire [MM]</v>
          </cell>
        </row>
        <row r="40">
          <cell r="B40">
            <v>-10</v>
          </cell>
          <cell r="H40" t="str">
            <v>Giant, Frost [MM]</v>
          </cell>
        </row>
        <row r="41">
          <cell r="H41" t="str">
            <v>Giant, Hill [MM]</v>
          </cell>
        </row>
        <row r="42">
          <cell r="H42" t="str">
            <v>Giant, Stone [MM]</v>
          </cell>
        </row>
        <row r="43">
          <cell r="B43" t="str">
            <v/>
          </cell>
          <cell r="H43" t="str">
            <v>Githyanki [MM]</v>
          </cell>
        </row>
        <row r="44">
          <cell r="H44" t="str">
            <v>Githzerai [MM]</v>
          </cell>
        </row>
        <row r="45">
          <cell r="H45" t="str">
            <v>Gnoll [MM]</v>
          </cell>
        </row>
        <row r="46">
          <cell r="B46" t="str">
            <v/>
          </cell>
          <cell r="H46" t="str">
            <v>Gnome, Deep [PGtF]</v>
          </cell>
        </row>
        <row r="47">
          <cell r="B47" t="str">
            <v>Common, Dwarven</v>
          </cell>
          <cell r="H47" t="str">
            <v>Gnome, Forest [MM]</v>
          </cell>
        </row>
        <row r="48">
          <cell r="B48" t="str">
            <v>Giant, Gnome, Goblin, Orc, Terran, Undercommon</v>
          </cell>
          <cell r="H48" t="str">
            <v>Gnome, Rock [PHB]</v>
          </cell>
        </row>
        <row r="49">
          <cell r="B49">
            <v>0</v>
          </cell>
          <cell r="H49" t="str">
            <v>Gnome, Svirfneblin [MM]</v>
          </cell>
        </row>
        <row r="50">
          <cell r="H50" t="str">
            <v>Goblin [MM]</v>
          </cell>
        </row>
        <row r="51">
          <cell r="B51">
            <v>0</v>
          </cell>
          <cell r="H51" t="str">
            <v>Grig [MM]</v>
          </cell>
        </row>
        <row r="52">
          <cell r="B52" t="str">
            <v>Fighter</v>
          </cell>
          <cell r="H52" t="str">
            <v>Grimlock [MM]</v>
          </cell>
        </row>
        <row r="53">
          <cell r="B53" t="str">
            <v>40+3d6/5d6/7d6</v>
          </cell>
          <cell r="H53" t="str">
            <v>Half-Elf [PHB]</v>
          </cell>
        </row>
        <row r="54">
          <cell r="B54" t="str">
            <v>3'9"/3'7"+2d4</v>
          </cell>
          <cell r="H54" t="str">
            <v>Half-Elf, Drow [PGtF]</v>
          </cell>
        </row>
        <row r="55">
          <cell r="B55" t="str">
            <v>130/100+2d6</v>
          </cell>
          <cell r="H55" t="str">
            <v>Halfling, Deep [MM]</v>
          </cell>
        </row>
        <row r="56">
          <cell r="H56" t="str">
            <v>Halfling, Lightfoot [PHB]</v>
          </cell>
        </row>
        <row r="57">
          <cell r="H57" t="str">
            <v>Halfling, Tallfellow [MM]</v>
          </cell>
        </row>
        <row r="58">
          <cell r="H58" t="str">
            <v>Half-Ogre [RoD]</v>
          </cell>
        </row>
        <row r="59">
          <cell r="H59" t="str">
            <v>Half-Orc [PHB]</v>
          </cell>
        </row>
        <row r="60">
          <cell r="H60" t="str">
            <v>Hellbred [FCII]</v>
          </cell>
        </row>
        <row r="61">
          <cell r="H61" t="str">
            <v>Hobgoblin [MM]</v>
          </cell>
        </row>
        <row r="62">
          <cell r="H62" t="str">
            <v>Human [PHB]</v>
          </cell>
        </row>
        <row r="63">
          <cell r="H63" t="str">
            <v>Janni [MM]</v>
          </cell>
        </row>
        <row r="64">
          <cell r="H64" t="str">
            <v>Kobold [MM]</v>
          </cell>
        </row>
        <row r="65">
          <cell r="H65" t="str">
            <v>Kuo-Toa [MM]</v>
          </cell>
        </row>
        <row r="66">
          <cell r="H66" t="str">
            <v>Kyton (Chain Devil) [MM]</v>
          </cell>
        </row>
        <row r="67">
          <cell r="H67" t="str">
            <v>Lizardfolk [MM]</v>
          </cell>
        </row>
        <row r="68">
          <cell r="H68" t="str">
            <v>Locathah [MM]</v>
          </cell>
        </row>
        <row r="69">
          <cell r="H69" t="str">
            <v>Mephling, Air [PlH]</v>
          </cell>
        </row>
        <row r="70">
          <cell r="H70" t="str">
            <v>Mephling, Earth [PlH]</v>
          </cell>
        </row>
        <row r="71">
          <cell r="H71" t="str">
            <v>Mephling, Fire [PlH]</v>
          </cell>
        </row>
        <row r="72">
          <cell r="H72" t="str">
            <v>Mephling, Water [PlH]</v>
          </cell>
        </row>
        <row r="73">
          <cell r="H73" t="str">
            <v>Merfolk [MM]</v>
          </cell>
        </row>
        <row r="74">
          <cell r="H74" t="str">
            <v>Merregon (Legion Devil) [FCII]</v>
          </cell>
        </row>
        <row r="75">
          <cell r="H75" t="str">
            <v>Mind Flayer [MM]</v>
          </cell>
        </row>
        <row r="76">
          <cell r="H76" t="str">
            <v>Minotaur [MM]</v>
          </cell>
        </row>
        <row r="77">
          <cell r="H77" t="str">
            <v>Narzugon [FCII]</v>
          </cell>
        </row>
        <row r="78">
          <cell r="H78" t="str">
            <v>Neraph [PlH]</v>
          </cell>
        </row>
        <row r="79">
          <cell r="H79" t="str">
            <v>Nixie [MM]</v>
          </cell>
        </row>
        <row r="80">
          <cell r="H80" t="str">
            <v>Ogre [MM]</v>
          </cell>
        </row>
        <row r="81">
          <cell r="H81" t="str">
            <v>Ogre Mage [MM]</v>
          </cell>
        </row>
        <row r="82">
          <cell r="H82" t="str">
            <v>Orc [MM]</v>
          </cell>
        </row>
        <row r="83">
          <cell r="H83" t="str">
            <v>Pixie [MM]</v>
          </cell>
        </row>
        <row r="84">
          <cell r="H84" t="str">
            <v>Rakshasa [MM]</v>
          </cell>
        </row>
        <row r="85">
          <cell r="H85" t="str">
            <v>Satyr [MM]</v>
          </cell>
        </row>
        <row r="86">
          <cell r="H86" t="str">
            <v>Shadowswyft [PlH]</v>
          </cell>
        </row>
        <row r="87">
          <cell r="H87" t="str">
            <v>Spiker [PlH]</v>
          </cell>
        </row>
        <row r="88">
          <cell r="H88" t="str">
            <v>Tiefling [RoD]</v>
          </cell>
        </row>
        <row r="89">
          <cell r="H89" t="str">
            <v>Troglodyte [MM]</v>
          </cell>
        </row>
        <row r="90">
          <cell r="H90" t="str">
            <v>Troll [MM]</v>
          </cell>
        </row>
        <row r="91">
          <cell r="H91" t="str">
            <v>Wildren [PlH]</v>
          </cell>
        </row>
        <row r="92">
          <cell r="H92" t="str">
            <v>Yuan-Ti, Abomination [MM]</v>
          </cell>
        </row>
        <row r="93">
          <cell r="H93" t="str">
            <v>Yuan-Ti, Halfblood [MM]</v>
          </cell>
        </row>
        <row r="94">
          <cell r="H94" t="str">
            <v>Yuan-Ti, Pureblood [MM]</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t="str">
            <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row r="249">
          <cell r="H249" t="str">
            <v/>
          </cell>
        </row>
        <row r="250">
          <cell r="H250" t="str">
            <v/>
          </cell>
        </row>
        <row r="251">
          <cell r="H251" t="str">
            <v/>
          </cell>
        </row>
        <row r="252">
          <cell r="H252" t="str">
            <v/>
          </cell>
        </row>
        <row r="253">
          <cell r="H253" t="str">
            <v/>
          </cell>
        </row>
        <row r="254">
          <cell r="H254" t="str">
            <v/>
          </cell>
        </row>
        <row r="255">
          <cell r="H255" t="str">
            <v/>
          </cell>
        </row>
        <row r="256">
          <cell r="H256" t="str">
            <v/>
          </cell>
        </row>
        <row r="257">
          <cell r="H257" t="str">
            <v/>
          </cell>
        </row>
        <row r="258">
          <cell r="H258" t="str">
            <v/>
          </cell>
        </row>
        <row r="259">
          <cell r="H259" t="str">
            <v/>
          </cell>
        </row>
        <row r="260">
          <cell r="H260" t="str">
            <v/>
          </cell>
        </row>
        <row r="261">
          <cell r="H261" t="str">
            <v/>
          </cell>
        </row>
        <row r="262">
          <cell r="H262" t="str">
            <v/>
          </cell>
        </row>
        <row r="263">
          <cell r="H263" t="str">
            <v/>
          </cell>
        </row>
        <row r="264">
          <cell r="H264" t="str">
            <v/>
          </cell>
        </row>
        <row r="265">
          <cell r="H265" t="str">
            <v/>
          </cell>
        </row>
        <row r="266">
          <cell r="H266" t="str">
            <v/>
          </cell>
        </row>
        <row r="267">
          <cell r="H267" t="str">
            <v/>
          </cell>
        </row>
        <row r="268">
          <cell r="H268" t="str">
            <v/>
          </cell>
        </row>
        <row r="269">
          <cell r="H269" t="str">
            <v/>
          </cell>
        </row>
        <row r="270">
          <cell r="H270" t="str">
            <v/>
          </cell>
        </row>
        <row r="271">
          <cell r="H271" t="str">
            <v/>
          </cell>
        </row>
        <row r="272">
          <cell r="H272" t="str">
            <v/>
          </cell>
        </row>
        <row r="273">
          <cell r="H273" t="str">
            <v/>
          </cell>
        </row>
        <row r="274">
          <cell r="H274" t="str">
            <v/>
          </cell>
        </row>
        <row r="275">
          <cell r="H275" t="str">
            <v/>
          </cell>
        </row>
        <row r="276">
          <cell r="H276" t="str">
            <v/>
          </cell>
        </row>
        <row r="277">
          <cell r="H277" t="str">
            <v/>
          </cell>
        </row>
        <row r="278">
          <cell r="H278" t="str">
            <v/>
          </cell>
        </row>
        <row r="279">
          <cell r="H279" t="str">
            <v/>
          </cell>
        </row>
        <row r="280">
          <cell r="H280" t="str">
            <v/>
          </cell>
        </row>
        <row r="281">
          <cell r="H281" t="str">
            <v/>
          </cell>
        </row>
        <row r="282">
          <cell r="H282" t="str">
            <v/>
          </cell>
        </row>
        <row r="283">
          <cell r="H283" t="str">
            <v/>
          </cell>
        </row>
        <row r="284">
          <cell r="H284" t="str">
            <v/>
          </cell>
        </row>
        <row r="285">
          <cell r="H285" t="str">
            <v/>
          </cell>
        </row>
        <row r="286">
          <cell r="H286" t="str">
            <v/>
          </cell>
        </row>
        <row r="287">
          <cell r="H287" t="str">
            <v/>
          </cell>
        </row>
        <row r="288">
          <cell r="H288" t="str">
            <v/>
          </cell>
        </row>
        <row r="289">
          <cell r="H289" t="str">
            <v/>
          </cell>
        </row>
        <row r="290">
          <cell r="H290" t="str">
            <v/>
          </cell>
        </row>
        <row r="291">
          <cell r="H291" t="str">
            <v/>
          </cell>
        </row>
        <row r="292">
          <cell r="H292" t="str">
            <v/>
          </cell>
        </row>
        <row r="293">
          <cell r="H293" t="str">
            <v/>
          </cell>
        </row>
        <row r="294">
          <cell r="H294" t="str">
            <v/>
          </cell>
        </row>
        <row r="295">
          <cell r="H295" t="str">
            <v/>
          </cell>
        </row>
        <row r="296">
          <cell r="H296" t="str">
            <v/>
          </cell>
        </row>
        <row r="297">
          <cell r="H297" t="str">
            <v/>
          </cell>
        </row>
        <row r="298">
          <cell r="H298" t="str">
            <v/>
          </cell>
        </row>
        <row r="299">
          <cell r="H299" t="str">
            <v/>
          </cell>
        </row>
        <row r="300">
          <cell r="H300" t="str">
            <v/>
          </cell>
        </row>
        <row r="301">
          <cell r="H301" t="str">
            <v/>
          </cell>
        </row>
        <row r="302">
          <cell r="H302" t="str">
            <v/>
          </cell>
        </row>
        <row r="303">
          <cell r="H303" t="str">
            <v/>
          </cell>
        </row>
        <row r="304">
          <cell r="H304" t="str">
            <v/>
          </cell>
        </row>
        <row r="305">
          <cell r="H305" t="str">
            <v/>
          </cell>
        </row>
        <row r="306">
          <cell r="H306" t="str">
            <v/>
          </cell>
        </row>
        <row r="307">
          <cell r="H307" t="str">
            <v/>
          </cell>
        </row>
        <row r="308">
          <cell r="H308" t="str">
            <v/>
          </cell>
        </row>
        <row r="309">
          <cell r="H309" t="str">
            <v/>
          </cell>
        </row>
        <row r="310">
          <cell r="H310" t="str">
            <v/>
          </cell>
        </row>
        <row r="311">
          <cell r="H311" t="str">
            <v/>
          </cell>
        </row>
        <row r="312">
          <cell r="H312" t="str">
            <v/>
          </cell>
        </row>
        <row r="313">
          <cell r="H313" t="str">
            <v/>
          </cell>
        </row>
        <row r="314">
          <cell r="H314" t="str">
            <v/>
          </cell>
        </row>
        <row r="315">
          <cell r="H315" t="str">
            <v/>
          </cell>
        </row>
        <row r="316">
          <cell r="H316" t="str">
            <v/>
          </cell>
        </row>
        <row r="317">
          <cell r="H317" t="str">
            <v/>
          </cell>
        </row>
        <row r="318">
          <cell r="H318" t="str">
            <v/>
          </cell>
        </row>
        <row r="319">
          <cell r="H319" t="str">
            <v/>
          </cell>
        </row>
        <row r="320">
          <cell r="H320" t="str">
            <v/>
          </cell>
        </row>
        <row r="321">
          <cell r="H321" t="str">
            <v/>
          </cell>
        </row>
        <row r="322">
          <cell r="H322" t="str">
            <v/>
          </cell>
        </row>
        <row r="323">
          <cell r="H323" t="str">
            <v/>
          </cell>
        </row>
        <row r="324">
          <cell r="H324" t="str">
            <v/>
          </cell>
        </row>
        <row r="325">
          <cell r="H325" t="str">
            <v/>
          </cell>
        </row>
        <row r="326">
          <cell r="H326" t="str">
            <v/>
          </cell>
        </row>
        <row r="327">
          <cell r="H327" t="str">
            <v/>
          </cell>
        </row>
        <row r="328">
          <cell r="H328" t="str">
            <v/>
          </cell>
        </row>
        <row r="329">
          <cell r="H329" t="str">
            <v/>
          </cell>
        </row>
        <row r="330">
          <cell r="H330" t="str">
            <v/>
          </cell>
        </row>
        <row r="331">
          <cell r="H331" t="str">
            <v/>
          </cell>
        </row>
        <row r="332">
          <cell r="H332" t="str">
            <v/>
          </cell>
        </row>
        <row r="333">
          <cell r="H333" t="str">
            <v/>
          </cell>
        </row>
        <row r="334">
          <cell r="H334" t="str">
            <v/>
          </cell>
        </row>
        <row r="335">
          <cell r="H335" t="str">
            <v/>
          </cell>
        </row>
        <row r="336">
          <cell r="H336" t="str">
            <v/>
          </cell>
        </row>
        <row r="337">
          <cell r="H337" t="str">
            <v/>
          </cell>
        </row>
        <row r="338">
          <cell r="H338" t="str">
            <v/>
          </cell>
        </row>
        <row r="339">
          <cell r="H339" t="str">
            <v/>
          </cell>
        </row>
        <row r="340">
          <cell r="H340" t="str">
            <v/>
          </cell>
        </row>
        <row r="341">
          <cell r="H341" t="str">
            <v/>
          </cell>
        </row>
        <row r="342">
          <cell r="H342" t="str">
            <v/>
          </cell>
        </row>
        <row r="343">
          <cell r="H343" t="str">
            <v/>
          </cell>
        </row>
        <row r="344">
          <cell r="H344" t="str">
            <v/>
          </cell>
        </row>
        <row r="345">
          <cell r="H345" t="str">
            <v/>
          </cell>
        </row>
        <row r="346">
          <cell r="H346" t="str">
            <v/>
          </cell>
        </row>
        <row r="347">
          <cell r="H347" t="str">
            <v/>
          </cell>
        </row>
        <row r="348">
          <cell r="H348" t="str">
            <v/>
          </cell>
        </row>
        <row r="349">
          <cell r="H349" t="str">
            <v/>
          </cell>
        </row>
        <row r="350">
          <cell r="H350" t="str">
            <v/>
          </cell>
        </row>
        <row r="351">
          <cell r="H351" t="str">
            <v/>
          </cell>
        </row>
        <row r="352">
          <cell r="H352" t="str">
            <v/>
          </cell>
        </row>
        <row r="353">
          <cell r="H353" t="str">
            <v/>
          </cell>
        </row>
        <row r="354">
          <cell r="H354" t="str">
            <v/>
          </cell>
        </row>
        <row r="355">
          <cell r="H355" t="str">
            <v/>
          </cell>
        </row>
        <row r="356">
          <cell r="H356" t="str">
            <v/>
          </cell>
        </row>
        <row r="357">
          <cell r="H357" t="str">
            <v/>
          </cell>
        </row>
        <row r="358">
          <cell r="H358" t="str">
            <v/>
          </cell>
        </row>
        <row r="359">
          <cell r="H359" t="str">
            <v/>
          </cell>
        </row>
        <row r="360">
          <cell r="H360" t="str">
            <v/>
          </cell>
        </row>
        <row r="361">
          <cell r="H361" t="str">
            <v/>
          </cell>
        </row>
        <row r="362">
          <cell r="H362" t="str">
            <v/>
          </cell>
        </row>
        <row r="363">
          <cell r="H363" t="str">
            <v/>
          </cell>
        </row>
        <row r="364">
          <cell r="H364" t="str">
            <v/>
          </cell>
        </row>
        <row r="365">
          <cell r="H365" t="str">
            <v/>
          </cell>
        </row>
        <row r="366">
          <cell r="H366" t="str">
            <v/>
          </cell>
        </row>
        <row r="367">
          <cell r="H367" t="str">
            <v/>
          </cell>
        </row>
        <row r="368">
          <cell r="H368" t="str">
            <v/>
          </cell>
        </row>
        <row r="369">
          <cell r="H369" t="str">
            <v/>
          </cell>
        </row>
        <row r="370">
          <cell r="H370" t="str">
            <v/>
          </cell>
        </row>
        <row r="371">
          <cell r="H371" t="str">
            <v/>
          </cell>
        </row>
        <row r="372">
          <cell r="H372" t="str">
            <v/>
          </cell>
        </row>
        <row r="373">
          <cell r="H373" t="str">
            <v/>
          </cell>
        </row>
        <row r="374">
          <cell r="H374" t="str">
            <v/>
          </cell>
        </row>
        <row r="375">
          <cell r="H375" t="str">
            <v/>
          </cell>
        </row>
        <row r="376">
          <cell r="H376" t="str">
            <v/>
          </cell>
        </row>
        <row r="377">
          <cell r="H377" t="str">
            <v/>
          </cell>
        </row>
        <row r="378">
          <cell r="H378" t="str">
            <v/>
          </cell>
        </row>
        <row r="379">
          <cell r="H379" t="str">
            <v/>
          </cell>
        </row>
        <row r="380">
          <cell r="H380" t="str">
            <v/>
          </cell>
        </row>
        <row r="381">
          <cell r="H381" t="str">
            <v/>
          </cell>
        </row>
        <row r="382">
          <cell r="H382" t="str">
            <v/>
          </cell>
        </row>
        <row r="383">
          <cell r="H383" t="str">
            <v/>
          </cell>
        </row>
        <row r="384">
          <cell r="H384" t="str">
            <v/>
          </cell>
        </row>
        <row r="385">
          <cell r="H385" t="str">
            <v/>
          </cell>
        </row>
        <row r="386">
          <cell r="H386" t="str">
            <v/>
          </cell>
        </row>
        <row r="387">
          <cell r="H387" t="str">
            <v/>
          </cell>
        </row>
        <row r="388">
          <cell r="H388" t="str">
            <v/>
          </cell>
        </row>
        <row r="389">
          <cell r="H389" t="str">
            <v/>
          </cell>
        </row>
        <row r="390">
          <cell r="H390" t="str">
            <v/>
          </cell>
        </row>
        <row r="391">
          <cell r="H391" t="str">
            <v/>
          </cell>
        </row>
        <row r="392">
          <cell r="H392" t="str">
            <v/>
          </cell>
        </row>
        <row r="393">
          <cell r="H393" t="str">
            <v/>
          </cell>
        </row>
        <row r="394">
          <cell r="H394" t="str">
            <v/>
          </cell>
        </row>
        <row r="395">
          <cell r="H395" t="str">
            <v/>
          </cell>
        </row>
        <row r="396">
          <cell r="H396" t="str">
            <v/>
          </cell>
        </row>
        <row r="397">
          <cell r="H397" t="str">
            <v/>
          </cell>
        </row>
        <row r="398">
          <cell r="H398" t="str">
            <v/>
          </cell>
        </row>
        <row r="399">
          <cell r="H399" t="str">
            <v/>
          </cell>
        </row>
        <row r="400">
          <cell r="H400" t="str">
            <v/>
          </cell>
        </row>
        <row r="401">
          <cell r="H401" t="str">
            <v/>
          </cell>
        </row>
        <row r="402">
          <cell r="H402" t="str">
            <v/>
          </cell>
        </row>
        <row r="403">
          <cell r="H403" t="str">
            <v/>
          </cell>
        </row>
        <row r="404">
          <cell r="H404" t="str">
            <v/>
          </cell>
        </row>
        <row r="405">
          <cell r="H405" t="str">
            <v/>
          </cell>
        </row>
        <row r="406">
          <cell r="H406" t="str">
            <v/>
          </cell>
        </row>
        <row r="407">
          <cell r="H407" t="str">
            <v/>
          </cell>
        </row>
        <row r="408">
          <cell r="H408" t="str">
            <v/>
          </cell>
        </row>
        <row r="409">
          <cell r="H409" t="str">
            <v/>
          </cell>
        </row>
        <row r="410">
          <cell r="H410" t="str">
            <v/>
          </cell>
        </row>
        <row r="411">
          <cell r="H411" t="str">
            <v/>
          </cell>
        </row>
        <row r="412">
          <cell r="H412" t="str">
            <v/>
          </cell>
        </row>
        <row r="413">
          <cell r="H413" t="str">
            <v/>
          </cell>
        </row>
        <row r="414">
          <cell r="H414" t="str">
            <v/>
          </cell>
        </row>
        <row r="415">
          <cell r="H415" t="str">
            <v/>
          </cell>
        </row>
        <row r="416">
          <cell r="H416" t="str">
            <v/>
          </cell>
        </row>
        <row r="417">
          <cell r="H417" t="str">
            <v/>
          </cell>
        </row>
        <row r="418">
          <cell r="H418" t="str">
            <v/>
          </cell>
        </row>
        <row r="419">
          <cell r="H419" t="str">
            <v/>
          </cell>
        </row>
        <row r="420">
          <cell r="H420" t="str">
            <v/>
          </cell>
        </row>
        <row r="421">
          <cell r="H421" t="str">
            <v/>
          </cell>
        </row>
        <row r="422">
          <cell r="H422" t="str">
            <v/>
          </cell>
        </row>
        <row r="423">
          <cell r="H423" t="str">
            <v/>
          </cell>
        </row>
        <row r="424">
          <cell r="H424" t="str">
            <v/>
          </cell>
        </row>
        <row r="425">
          <cell r="H425" t="str">
            <v/>
          </cell>
        </row>
        <row r="426">
          <cell r="H426" t="str">
            <v/>
          </cell>
        </row>
        <row r="427">
          <cell r="H427" t="str">
            <v/>
          </cell>
        </row>
        <row r="428">
          <cell r="H428" t="str">
            <v/>
          </cell>
        </row>
        <row r="429">
          <cell r="H429" t="str">
            <v/>
          </cell>
        </row>
        <row r="430">
          <cell r="H430" t="str">
            <v/>
          </cell>
        </row>
        <row r="431">
          <cell r="H431" t="str">
            <v/>
          </cell>
        </row>
        <row r="432">
          <cell r="H432" t="str">
            <v/>
          </cell>
        </row>
        <row r="433">
          <cell r="H433" t="str">
            <v/>
          </cell>
        </row>
        <row r="434">
          <cell r="H434" t="str">
            <v/>
          </cell>
        </row>
        <row r="435">
          <cell r="H435" t="str">
            <v/>
          </cell>
        </row>
        <row r="436">
          <cell r="H436" t="str">
            <v/>
          </cell>
        </row>
        <row r="437">
          <cell r="H437" t="str">
            <v/>
          </cell>
        </row>
        <row r="438">
          <cell r="H438" t="str">
            <v/>
          </cell>
        </row>
        <row r="439">
          <cell r="H439" t="str">
            <v/>
          </cell>
        </row>
        <row r="440">
          <cell r="H440" t="str">
            <v/>
          </cell>
        </row>
        <row r="441">
          <cell r="H441" t="str">
            <v/>
          </cell>
        </row>
        <row r="442">
          <cell r="H442" t="str">
            <v/>
          </cell>
        </row>
        <row r="443">
          <cell r="H443" t="str">
            <v/>
          </cell>
        </row>
        <row r="444">
          <cell r="H444" t="str">
            <v/>
          </cell>
        </row>
        <row r="445">
          <cell r="H445" t="str">
            <v/>
          </cell>
        </row>
        <row r="446">
          <cell r="H446" t="str">
            <v/>
          </cell>
        </row>
        <row r="447">
          <cell r="H447" t="str">
            <v/>
          </cell>
        </row>
        <row r="448">
          <cell r="H448" t="str">
            <v/>
          </cell>
        </row>
        <row r="449">
          <cell r="H449" t="str">
            <v/>
          </cell>
        </row>
        <row r="450">
          <cell r="H450" t="str">
            <v/>
          </cell>
        </row>
        <row r="451">
          <cell r="H451" t="str">
            <v/>
          </cell>
        </row>
        <row r="452">
          <cell r="H452" t="str">
            <v/>
          </cell>
        </row>
        <row r="453">
          <cell r="H453" t="str">
            <v/>
          </cell>
        </row>
        <row r="454">
          <cell r="H454" t="str">
            <v/>
          </cell>
        </row>
        <row r="455">
          <cell r="H455" t="str">
            <v/>
          </cell>
        </row>
        <row r="456">
          <cell r="H456" t="str">
            <v/>
          </cell>
        </row>
        <row r="457">
          <cell r="H457" t="str">
            <v/>
          </cell>
        </row>
        <row r="458">
          <cell r="H458" t="str">
            <v/>
          </cell>
        </row>
        <row r="459">
          <cell r="H459" t="str">
            <v/>
          </cell>
        </row>
        <row r="460">
          <cell r="H460" t="str">
            <v/>
          </cell>
        </row>
        <row r="461">
          <cell r="H461" t="str">
            <v/>
          </cell>
        </row>
        <row r="462">
          <cell r="H462" t="str">
            <v/>
          </cell>
        </row>
        <row r="463">
          <cell r="H463" t="str">
            <v/>
          </cell>
        </row>
        <row r="464">
          <cell r="H464" t="str">
            <v/>
          </cell>
        </row>
        <row r="465">
          <cell r="H465" t="str">
            <v/>
          </cell>
        </row>
        <row r="466">
          <cell r="H466" t="str">
            <v/>
          </cell>
        </row>
        <row r="467">
          <cell r="H467" t="str">
            <v/>
          </cell>
        </row>
        <row r="468">
          <cell r="H468" t="str">
            <v/>
          </cell>
        </row>
        <row r="469">
          <cell r="H469" t="str">
            <v/>
          </cell>
        </row>
        <row r="470">
          <cell r="H470" t="str">
            <v/>
          </cell>
        </row>
        <row r="471">
          <cell r="H471" t="str">
            <v/>
          </cell>
        </row>
        <row r="472">
          <cell r="H472" t="str">
            <v/>
          </cell>
        </row>
        <row r="473">
          <cell r="H473" t="str">
            <v/>
          </cell>
        </row>
        <row r="474">
          <cell r="H474" t="str">
            <v/>
          </cell>
        </row>
        <row r="475">
          <cell r="H475" t="str">
            <v/>
          </cell>
        </row>
        <row r="476">
          <cell r="H476" t="str">
            <v/>
          </cell>
        </row>
        <row r="477">
          <cell r="H477" t="str">
            <v/>
          </cell>
        </row>
        <row r="478">
          <cell r="H478" t="str">
            <v/>
          </cell>
        </row>
        <row r="479">
          <cell r="H479" t="str">
            <v/>
          </cell>
        </row>
        <row r="480">
          <cell r="H480" t="str">
            <v/>
          </cell>
        </row>
        <row r="481">
          <cell r="H481" t="str">
            <v/>
          </cell>
        </row>
        <row r="482">
          <cell r="H482" t="str">
            <v/>
          </cell>
        </row>
        <row r="483">
          <cell r="H483" t="str">
            <v/>
          </cell>
        </row>
        <row r="484">
          <cell r="H484" t="str">
            <v/>
          </cell>
        </row>
        <row r="485">
          <cell r="H485" t="str">
            <v/>
          </cell>
        </row>
        <row r="486">
          <cell r="H486" t="str">
            <v/>
          </cell>
        </row>
        <row r="487">
          <cell r="H487" t="str">
            <v/>
          </cell>
        </row>
        <row r="488">
          <cell r="H488" t="str">
            <v/>
          </cell>
        </row>
        <row r="489">
          <cell r="H489" t="str">
            <v/>
          </cell>
        </row>
        <row r="490">
          <cell r="H490" t="str">
            <v/>
          </cell>
        </row>
        <row r="491">
          <cell r="H491" t="str">
            <v/>
          </cell>
        </row>
        <row r="492">
          <cell r="H492" t="str">
            <v/>
          </cell>
        </row>
        <row r="493">
          <cell r="H493" t="str">
            <v/>
          </cell>
        </row>
        <row r="494">
          <cell r="H494" t="str">
            <v/>
          </cell>
        </row>
        <row r="495">
          <cell r="H495" t="str">
            <v/>
          </cell>
        </row>
        <row r="496">
          <cell r="H496" t="str">
            <v/>
          </cell>
        </row>
        <row r="497">
          <cell r="H497" t="str">
            <v/>
          </cell>
        </row>
        <row r="498">
          <cell r="H498" t="str">
            <v/>
          </cell>
        </row>
        <row r="499">
          <cell r="H499" t="str">
            <v/>
          </cell>
        </row>
        <row r="500">
          <cell r="H500" t="str">
            <v/>
          </cell>
        </row>
        <row r="501">
          <cell r="H501" t="str">
            <v/>
          </cell>
        </row>
        <row r="502">
          <cell r="H502" t="str">
            <v/>
          </cell>
        </row>
        <row r="503">
          <cell r="H503" t="str">
            <v/>
          </cell>
        </row>
        <row r="504">
          <cell r="H504" t="str">
            <v/>
          </cell>
        </row>
        <row r="505">
          <cell r="H505" t="str">
            <v/>
          </cell>
        </row>
        <row r="506">
          <cell r="H506" t="str">
            <v/>
          </cell>
        </row>
        <row r="507">
          <cell r="H507" t="str">
            <v/>
          </cell>
        </row>
        <row r="508">
          <cell r="H508" t="str">
            <v/>
          </cell>
        </row>
        <row r="509">
          <cell r="H509" t="str">
            <v/>
          </cell>
        </row>
        <row r="510">
          <cell r="H510" t="str">
            <v/>
          </cell>
        </row>
        <row r="511">
          <cell r="H511" t="str">
            <v/>
          </cell>
        </row>
        <row r="512">
          <cell r="H512" t="str">
            <v/>
          </cell>
        </row>
        <row r="513">
          <cell r="H513" t="str">
            <v/>
          </cell>
        </row>
        <row r="514">
          <cell r="H514" t="str">
            <v/>
          </cell>
        </row>
        <row r="515">
          <cell r="H515" t="str">
            <v/>
          </cell>
        </row>
        <row r="516">
          <cell r="H516" t="str">
            <v/>
          </cell>
        </row>
        <row r="517">
          <cell r="H517" t="str">
            <v/>
          </cell>
        </row>
        <row r="518">
          <cell r="H518" t="str">
            <v/>
          </cell>
        </row>
        <row r="519">
          <cell r="H519" t="str">
            <v/>
          </cell>
        </row>
        <row r="520">
          <cell r="H520" t="str">
            <v/>
          </cell>
        </row>
        <row r="521">
          <cell r="H521" t="str">
            <v/>
          </cell>
        </row>
        <row r="522">
          <cell r="H522" t="str">
            <v/>
          </cell>
        </row>
        <row r="523">
          <cell r="H523" t="str">
            <v/>
          </cell>
        </row>
        <row r="524">
          <cell r="H524" t="str">
            <v/>
          </cell>
        </row>
        <row r="525">
          <cell r="H525" t="str">
            <v/>
          </cell>
        </row>
        <row r="526">
          <cell r="H526" t="str">
            <v/>
          </cell>
        </row>
        <row r="527">
          <cell r="H527" t="str">
            <v/>
          </cell>
        </row>
        <row r="528">
          <cell r="H528" t="str">
            <v/>
          </cell>
        </row>
        <row r="529">
          <cell r="H529" t="str">
            <v/>
          </cell>
        </row>
        <row r="530">
          <cell r="H530" t="str">
            <v/>
          </cell>
        </row>
        <row r="531">
          <cell r="H531" t="str">
            <v/>
          </cell>
        </row>
        <row r="532">
          <cell r="H532" t="str">
            <v/>
          </cell>
        </row>
        <row r="533">
          <cell r="H533" t="str">
            <v/>
          </cell>
        </row>
        <row r="534">
          <cell r="H534" t="str">
            <v/>
          </cell>
        </row>
        <row r="535">
          <cell r="H535" t="str">
            <v/>
          </cell>
        </row>
        <row r="536">
          <cell r="H536" t="str">
            <v/>
          </cell>
        </row>
        <row r="537">
          <cell r="H537" t="str">
            <v/>
          </cell>
        </row>
        <row r="538">
          <cell r="H538" t="str">
            <v/>
          </cell>
        </row>
        <row r="539">
          <cell r="H539" t="str">
            <v/>
          </cell>
        </row>
        <row r="540">
          <cell r="H540" t="str">
            <v/>
          </cell>
        </row>
        <row r="541">
          <cell r="H541" t="str">
            <v/>
          </cell>
        </row>
        <row r="542">
          <cell r="H542" t="str">
            <v/>
          </cell>
        </row>
        <row r="543">
          <cell r="H543" t="str">
            <v/>
          </cell>
        </row>
        <row r="544">
          <cell r="H544" t="str">
            <v/>
          </cell>
        </row>
        <row r="545">
          <cell r="H545" t="str">
            <v/>
          </cell>
        </row>
        <row r="546">
          <cell r="H546" t="str">
            <v/>
          </cell>
        </row>
        <row r="547">
          <cell r="H547" t="str">
            <v/>
          </cell>
        </row>
        <row r="548">
          <cell r="H548" t="str">
            <v/>
          </cell>
        </row>
        <row r="549">
          <cell r="H549" t="str">
            <v/>
          </cell>
        </row>
        <row r="550">
          <cell r="H550" t="str">
            <v/>
          </cell>
        </row>
        <row r="551">
          <cell r="H551" t="str">
            <v/>
          </cell>
        </row>
        <row r="552">
          <cell r="H552" t="str">
            <v/>
          </cell>
        </row>
        <row r="553">
          <cell r="H553" t="str">
            <v/>
          </cell>
        </row>
        <row r="554">
          <cell r="H554" t="str">
            <v/>
          </cell>
        </row>
        <row r="555">
          <cell r="H555" t="str">
            <v/>
          </cell>
        </row>
        <row r="556">
          <cell r="H556" t="str">
            <v/>
          </cell>
        </row>
        <row r="557">
          <cell r="H557" t="str">
            <v/>
          </cell>
        </row>
        <row r="558">
          <cell r="H558" t="str">
            <v/>
          </cell>
        </row>
        <row r="559">
          <cell r="H559" t="str">
            <v/>
          </cell>
        </row>
        <row r="560">
          <cell r="H560" t="str">
            <v/>
          </cell>
        </row>
        <row r="561">
          <cell r="H561" t="str">
            <v/>
          </cell>
        </row>
        <row r="562">
          <cell r="H562" t="str">
            <v/>
          </cell>
        </row>
        <row r="563">
          <cell r="H563" t="str">
            <v/>
          </cell>
        </row>
        <row r="564">
          <cell r="H564" t="str">
            <v/>
          </cell>
        </row>
        <row r="565">
          <cell r="H565" t="str">
            <v/>
          </cell>
        </row>
        <row r="566">
          <cell r="H566" t="str">
            <v/>
          </cell>
        </row>
        <row r="567">
          <cell r="H567" t="str">
            <v/>
          </cell>
        </row>
        <row r="568">
          <cell r="H568" t="str">
            <v/>
          </cell>
        </row>
        <row r="569">
          <cell r="H569" t="str">
            <v/>
          </cell>
        </row>
        <row r="570">
          <cell r="H570" t="str">
            <v/>
          </cell>
        </row>
        <row r="571">
          <cell r="H571" t="str">
            <v/>
          </cell>
        </row>
        <row r="572">
          <cell r="H572" t="str">
            <v/>
          </cell>
        </row>
        <row r="573">
          <cell r="H573" t="str">
            <v/>
          </cell>
        </row>
        <row r="574">
          <cell r="H574" t="str">
            <v/>
          </cell>
        </row>
        <row r="575">
          <cell r="H575" t="str">
            <v/>
          </cell>
        </row>
        <row r="576">
          <cell r="H576" t="str">
            <v/>
          </cell>
        </row>
        <row r="577">
          <cell r="H577" t="str">
            <v/>
          </cell>
        </row>
        <row r="578">
          <cell r="H578" t="str">
            <v/>
          </cell>
        </row>
        <row r="579">
          <cell r="H579" t="str">
            <v/>
          </cell>
        </row>
        <row r="580">
          <cell r="H580" t="str">
            <v/>
          </cell>
        </row>
        <row r="581">
          <cell r="H581" t="str">
            <v/>
          </cell>
        </row>
        <row r="582">
          <cell r="H582" t="str">
            <v/>
          </cell>
        </row>
        <row r="583">
          <cell r="H583" t="str">
            <v/>
          </cell>
        </row>
        <row r="584">
          <cell r="H584" t="str">
            <v/>
          </cell>
        </row>
        <row r="585">
          <cell r="H585" t="str">
            <v/>
          </cell>
        </row>
        <row r="586">
          <cell r="H586" t="str">
            <v/>
          </cell>
        </row>
        <row r="587">
          <cell r="H587" t="str">
            <v/>
          </cell>
        </row>
        <row r="588">
          <cell r="H588" t="str">
            <v/>
          </cell>
        </row>
        <row r="589">
          <cell r="H589" t="str">
            <v/>
          </cell>
        </row>
        <row r="590">
          <cell r="H590" t="str">
            <v/>
          </cell>
        </row>
        <row r="591">
          <cell r="H591" t="str">
            <v/>
          </cell>
        </row>
        <row r="592">
          <cell r="H592" t="str">
            <v/>
          </cell>
        </row>
        <row r="593">
          <cell r="H593" t="str">
            <v/>
          </cell>
        </row>
        <row r="594">
          <cell r="H594" t="str">
            <v/>
          </cell>
        </row>
        <row r="595">
          <cell r="H595" t="str">
            <v/>
          </cell>
        </row>
        <row r="596">
          <cell r="H596" t="str">
            <v/>
          </cell>
        </row>
        <row r="597">
          <cell r="H597" t="str">
            <v/>
          </cell>
        </row>
        <row r="598">
          <cell r="H598" t="str">
            <v/>
          </cell>
        </row>
        <row r="599">
          <cell r="H599" t="str">
            <v/>
          </cell>
        </row>
        <row r="600">
          <cell r="H600" t="str">
            <v/>
          </cell>
        </row>
        <row r="601">
          <cell r="H601" t="str">
            <v/>
          </cell>
        </row>
        <row r="602">
          <cell r="H602" t="str">
            <v/>
          </cell>
        </row>
        <row r="603">
          <cell r="H603" t="str">
            <v/>
          </cell>
        </row>
        <row r="604">
          <cell r="H604" t="str">
            <v/>
          </cell>
        </row>
        <row r="605">
          <cell r="H605" t="str">
            <v/>
          </cell>
        </row>
        <row r="606">
          <cell r="H606" t="str">
            <v/>
          </cell>
        </row>
        <row r="607">
          <cell r="H607" t="str">
            <v/>
          </cell>
        </row>
        <row r="608">
          <cell r="H608" t="str">
            <v/>
          </cell>
        </row>
        <row r="609">
          <cell r="H609" t="str">
            <v/>
          </cell>
        </row>
        <row r="610">
          <cell r="H610" t="str">
            <v/>
          </cell>
        </row>
        <row r="611">
          <cell r="H611" t="str">
            <v/>
          </cell>
        </row>
        <row r="612">
          <cell r="H612" t="str">
            <v/>
          </cell>
        </row>
        <row r="613">
          <cell r="H613" t="str">
            <v/>
          </cell>
        </row>
        <row r="614">
          <cell r="H614" t="str">
            <v/>
          </cell>
        </row>
        <row r="615">
          <cell r="H615" t="str">
            <v/>
          </cell>
        </row>
        <row r="616">
          <cell r="H616" t="str">
            <v/>
          </cell>
        </row>
        <row r="617">
          <cell r="H617" t="str">
            <v/>
          </cell>
        </row>
        <row r="618">
          <cell r="H618" t="str">
            <v/>
          </cell>
        </row>
        <row r="619">
          <cell r="H619" t="str">
            <v/>
          </cell>
        </row>
        <row r="620">
          <cell r="H620" t="str">
            <v/>
          </cell>
        </row>
        <row r="621">
          <cell r="H621" t="str">
            <v/>
          </cell>
        </row>
        <row r="622">
          <cell r="H622" t="str">
            <v/>
          </cell>
        </row>
        <row r="623">
          <cell r="H623" t="str">
            <v/>
          </cell>
        </row>
        <row r="624">
          <cell r="H624" t="str">
            <v/>
          </cell>
        </row>
        <row r="625">
          <cell r="H625" t="str">
            <v/>
          </cell>
        </row>
        <row r="626">
          <cell r="H626" t="str">
            <v/>
          </cell>
        </row>
        <row r="627">
          <cell r="H627" t="str">
            <v/>
          </cell>
        </row>
        <row r="628">
          <cell r="H628" t="str">
            <v/>
          </cell>
        </row>
        <row r="629">
          <cell r="H629" t="str">
            <v/>
          </cell>
        </row>
        <row r="630">
          <cell r="H630" t="str">
            <v/>
          </cell>
        </row>
        <row r="631">
          <cell r="H631" t="str">
            <v/>
          </cell>
        </row>
        <row r="632">
          <cell r="H632" t="str">
            <v/>
          </cell>
        </row>
        <row r="633">
          <cell r="H633" t="str">
            <v/>
          </cell>
        </row>
        <row r="634">
          <cell r="H634" t="str">
            <v/>
          </cell>
        </row>
        <row r="635">
          <cell r="H635" t="str">
            <v/>
          </cell>
        </row>
        <row r="636">
          <cell r="H636" t="str">
            <v/>
          </cell>
        </row>
        <row r="637">
          <cell r="H637" t="str">
            <v/>
          </cell>
        </row>
        <row r="638">
          <cell r="H638" t="str">
            <v/>
          </cell>
        </row>
        <row r="639">
          <cell r="H639" t="str">
            <v/>
          </cell>
        </row>
        <row r="640">
          <cell r="H640" t="str">
            <v/>
          </cell>
        </row>
        <row r="641">
          <cell r="H641" t="str">
            <v/>
          </cell>
        </row>
        <row r="642">
          <cell r="H642" t="str">
            <v/>
          </cell>
        </row>
        <row r="643">
          <cell r="H643" t="str">
            <v/>
          </cell>
        </row>
        <row r="644">
          <cell r="H644" t="str">
            <v/>
          </cell>
        </row>
        <row r="645">
          <cell r="H645" t="str">
            <v/>
          </cell>
        </row>
        <row r="646">
          <cell r="H646" t="str">
            <v/>
          </cell>
        </row>
        <row r="647">
          <cell r="H647" t="str">
            <v/>
          </cell>
        </row>
        <row r="648">
          <cell r="H648" t="str">
            <v/>
          </cell>
        </row>
        <row r="649">
          <cell r="H649" t="str">
            <v/>
          </cell>
        </row>
        <row r="650">
          <cell r="H650" t="str">
            <v/>
          </cell>
        </row>
        <row r="651">
          <cell r="H651" t="str">
            <v/>
          </cell>
        </row>
        <row r="652">
          <cell r="H652" t="str">
            <v/>
          </cell>
        </row>
        <row r="653">
          <cell r="H653" t="str">
            <v/>
          </cell>
        </row>
        <row r="654">
          <cell r="H654" t="str">
            <v/>
          </cell>
        </row>
        <row r="655">
          <cell r="H655" t="str">
            <v/>
          </cell>
        </row>
        <row r="656">
          <cell r="H656" t="str">
            <v/>
          </cell>
        </row>
        <row r="657">
          <cell r="H657" t="str">
            <v/>
          </cell>
        </row>
        <row r="658">
          <cell r="H658" t="str">
            <v/>
          </cell>
        </row>
        <row r="659">
          <cell r="H659" t="str">
            <v/>
          </cell>
        </row>
        <row r="660">
          <cell r="H660" t="str">
            <v/>
          </cell>
        </row>
        <row r="661">
          <cell r="H661" t="str">
            <v/>
          </cell>
        </row>
        <row r="662">
          <cell r="H662" t="str">
            <v/>
          </cell>
        </row>
        <row r="663">
          <cell r="H663" t="str">
            <v/>
          </cell>
        </row>
        <row r="664">
          <cell r="H664" t="str">
            <v/>
          </cell>
        </row>
        <row r="665">
          <cell r="H665" t="str">
            <v/>
          </cell>
        </row>
        <row r="666">
          <cell r="H666" t="str">
            <v/>
          </cell>
        </row>
        <row r="667">
          <cell r="H667" t="str">
            <v/>
          </cell>
        </row>
        <row r="668">
          <cell r="H668" t="str">
            <v/>
          </cell>
        </row>
        <row r="669">
          <cell r="H669" t="str">
            <v/>
          </cell>
        </row>
        <row r="670">
          <cell r="H670" t="str">
            <v/>
          </cell>
        </row>
        <row r="671">
          <cell r="H671" t="str">
            <v/>
          </cell>
        </row>
        <row r="672">
          <cell r="H672" t="str">
            <v/>
          </cell>
        </row>
        <row r="673">
          <cell r="H673" t="str">
            <v/>
          </cell>
        </row>
        <row r="674">
          <cell r="H674" t="str">
            <v/>
          </cell>
        </row>
        <row r="675">
          <cell r="H675" t="str">
            <v/>
          </cell>
        </row>
        <row r="676">
          <cell r="H676" t="str">
            <v/>
          </cell>
        </row>
        <row r="677">
          <cell r="H677" t="str">
            <v/>
          </cell>
        </row>
        <row r="678">
          <cell r="H678" t="str">
            <v/>
          </cell>
        </row>
        <row r="679">
          <cell r="H679" t="str">
            <v/>
          </cell>
        </row>
        <row r="680">
          <cell r="H680" t="str">
            <v/>
          </cell>
        </row>
        <row r="681">
          <cell r="H681" t="str">
            <v/>
          </cell>
        </row>
        <row r="682">
          <cell r="H682" t="str">
            <v/>
          </cell>
        </row>
        <row r="683">
          <cell r="H683" t="str">
            <v/>
          </cell>
        </row>
        <row r="684">
          <cell r="H684" t="str">
            <v/>
          </cell>
        </row>
        <row r="685">
          <cell r="H685" t="str">
            <v/>
          </cell>
        </row>
        <row r="686">
          <cell r="H686" t="str">
            <v/>
          </cell>
        </row>
        <row r="687">
          <cell r="H687" t="str">
            <v/>
          </cell>
        </row>
        <row r="688">
          <cell r="H688" t="str">
            <v/>
          </cell>
        </row>
        <row r="689">
          <cell r="H689" t="str">
            <v/>
          </cell>
        </row>
        <row r="690">
          <cell r="H690" t="str">
            <v/>
          </cell>
        </row>
        <row r="691">
          <cell r="H691" t="str">
            <v/>
          </cell>
        </row>
        <row r="692">
          <cell r="H692" t="str">
            <v/>
          </cell>
        </row>
        <row r="693">
          <cell r="H693" t="str">
            <v/>
          </cell>
        </row>
        <row r="694">
          <cell r="H694" t="str">
            <v/>
          </cell>
        </row>
        <row r="695">
          <cell r="H695" t="str">
            <v/>
          </cell>
        </row>
        <row r="696">
          <cell r="H696" t="str">
            <v/>
          </cell>
        </row>
        <row r="697">
          <cell r="H697" t="str">
            <v/>
          </cell>
        </row>
        <row r="698">
          <cell r="H698" t="str">
            <v/>
          </cell>
        </row>
        <row r="699">
          <cell r="H699" t="str">
            <v/>
          </cell>
        </row>
        <row r="700">
          <cell r="H700" t="str">
            <v/>
          </cell>
        </row>
        <row r="701">
          <cell r="H701" t="str">
            <v/>
          </cell>
        </row>
        <row r="702">
          <cell r="H702" t="str">
            <v/>
          </cell>
        </row>
        <row r="703">
          <cell r="H703" t="str">
            <v/>
          </cell>
        </row>
        <row r="704">
          <cell r="H704" t="str">
            <v/>
          </cell>
        </row>
        <row r="705">
          <cell r="H705" t="str">
            <v/>
          </cell>
        </row>
        <row r="706">
          <cell r="H706" t="str">
            <v/>
          </cell>
        </row>
        <row r="707">
          <cell r="H707" t="str">
            <v/>
          </cell>
        </row>
        <row r="708">
          <cell r="H708" t="str">
            <v/>
          </cell>
        </row>
        <row r="709">
          <cell r="H709" t="str">
            <v/>
          </cell>
        </row>
        <row r="710">
          <cell r="H710" t="str">
            <v/>
          </cell>
        </row>
        <row r="711">
          <cell r="H711" t="str">
            <v/>
          </cell>
        </row>
        <row r="712">
          <cell r="H712" t="str">
            <v/>
          </cell>
        </row>
        <row r="713">
          <cell r="H713" t="str">
            <v/>
          </cell>
        </row>
        <row r="714">
          <cell r="H714" t="str">
            <v/>
          </cell>
        </row>
        <row r="715">
          <cell r="H715" t="str">
            <v/>
          </cell>
        </row>
        <row r="716">
          <cell r="H716" t="str">
            <v/>
          </cell>
        </row>
        <row r="717">
          <cell r="H717" t="str">
            <v/>
          </cell>
        </row>
        <row r="718">
          <cell r="H718" t="str">
            <v/>
          </cell>
        </row>
        <row r="719">
          <cell r="H719" t="str">
            <v/>
          </cell>
        </row>
        <row r="720">
          <cell r="H720" t="str">
            <v/>
          </cell>
        </row>
        <row r="721">
          <cell r="H721" t="str">
            <v/>
          </cell>
        </row>
        <row r="722">
          <cell r="H722" t="str">
            <v/>
          </cell>
        </row>
        <row r="723">
          <cell r="H723" t="str">
            <v/>
          </cell>
        </row>
        <row r="724">
          <cell r="H724" t="str">
            <v/>
          </cell>
        </row>
        <row r="725">
          <cell r="H725" t="str">
            <v/>
          </cell>
        </row>
        <row r="726">
          <cell r="H726" t="str">
            <v/>
          </cell>
        </row>
        <row r="727">
          <cell r="H727" t="str">
            <v/>
          </cell>
        </row>
        <row r="728">
          <cell r="H728" t="str">
            <v/>
          </cell>
        </row>
        <row r="729">
          <cell r="H729" t="str">
            <v/>
          </cell>
        </row>
        <row r="730">
          <cell r="H730" t="str">
            <v/>
          </cell>
        </row>
        <row r="731">
          <cell r="H731" t="str">
            <v/>
          </cell>
        </row>
        <row r="732">
          <cell r="H732" t="str">
            <v/>
          </cell>
        </row>
        <row r="733">
          <cell r="H733" t="str">
            <v/>
          </cell>
        </row>
        <row r="734">
          <cell r="H734" t="str">
            <v/>
          </cell>
        </row>
        <row r="735">
          <cell r="H735" t="str">
            <v/>
          </cell>
        </row>
        <row r="736">
          <cell r="H736" t="str">
            <v/>
          </cell>
        </row>
        <row r="737">
          <cell r="H737" t="str">
            <v/>
          </cell>
        </row>
        <row r="738">
          <cell r="H738" t="str">
            <v/>
          </cell>
        </row>
        <row r="739">
          <cell r="H739" t="str">
            <v/>
          </cell>
        </row>
        <row r="740">
          <cell r="H740" t="str">
            <v/>
          </cell>
        </row>
        <row r="741">
          <cell r="H741" t="str">
            <v/>
          </cell>
        </row>
        <row r="742">
          <cell r="H742" t="str">
            <v/>
          </cell>
        </row>
        <row r="743">
          <cell r="H743" t="str">
            <v/>
          </cell>
        </row>
        <row r="744">
          <cell r="H744" t="str">
            <v/>
          </cell>
        </row>
        <row r="745">
          <cell r="H745" t="str">
            <v/>
          </cell>
        </row>
        <row r="746">
          <cell r="H746" t="str">
            <v/>
          </cell>
        </row>
        <row r="747">
          <cell r="H747" t="str">
            <v/>
          </cell>
        </row>
        <row r="748">
          <cell r="H748" t="str">
            <v/>
          </cell>
        </row>
        <row r="749">
          <cell r="H749" t="str">
            <v/>
          </cell>
        </row>
        <row r="750">
          <cell r="H750" t="str">
            <v/>
          </cell>
        </row>
        <row r="751">
          <cell r="H751" t="str">
            <v/>
          </cell>
        </row>
        <row r="752">
          <cell r="H752" t="str">
            <v/>
          </cell>
        </row>
        <row r="753">
          <cell r="H753" t="str">
            <v/>
          </cell>
        </row>
        <row r="754">
          <cell r="H754" t="str">
            <v/>
          </cell>
        </row>
        <row r="755">
          <cell r="H755" t="str">
            <v/>
          </cell>
        </row>
        <row r="756">
          <cell r="H756" t="str">
            <v/>
          </cell>
        </row>
        <row r="757">
          <cell r="H757" t="str">
            <v/>
          </cell>
        </row>
        <row r="758">
          <cell r="H758" t="str">
            <v/>
          </cell>
        </row>
        <row r="759">
          <cell r="H759" t="str">
            <v/>
          </cell>
        </row>
        <row r="760">
          <cell r="H760" t="str">
            <v/>
          </cell>
        </row>
        <row r="761">
          <cell r="H761" t="str">
            <v/>
          </cell>
        </row>
        <row r="762">
          <cell r="H762" t="str">
            <v/>
          </cell>
        </row>
        <row r="763">
          <cell r="H763" t="str">
            <v/>
          </cell>
        </row>
        <row r="764">
          <cell r="H764" t="str">
            <v/>
          </cell>
        </row>
        <row r="765">
          <cell r="H765" t="str">
            <v/>
          </cell>
        </row>
        <row r="766">
          <cell r="H766" t="str">
            <v/>
          </cell>
        </row>
        <row r="767">
          <cell r="H767" t="str">
            <v/>
          </cell>
        </row>
        <row r="768">
          <cell r="H768" t="str">
            <v/>
          </cell>
        </row>
        <row r="769">
          <cell r="H769" t="str">
            <v/>
          </cell>
        </row>
        <row r="770">
          <cell r="H770" t="str">
            <v/>
          </cell>
        </row>
        <row r="771">
          <cell r="H771" t="str">
            <v/>
          </cell>
        </row>
        <row r="772">
          <cell r="H772" t="str">
            <v/>
          </cell>
        </row>
        <row r="773">
          <cell r="H773" t="str">
            <v/>
          </cell>
        </row>
        <row r="774">
          <cell r="H774" t="str">
            <v/>
          </cell>
        </row>
        <row r="775">
          <cell r="H775" t="str">
            <v/>
          </cell>
        </row>
        <row r="776">
          <cell r="H776" t="str">
            <v/>
          </cell>
        </row>
        <row r="777">
          <cell r="H777" t="str">
            <v/>
          </cell>
        </row>
        <row r="778">
          <cell r="H778" t="str">
            <v/>
          </cell>
        </row>
        <row r="779">
          <cell r="H779" t="str">
            <v/>
          </cell>
        </row>
        <row r="780">
          <cell r="H780" t="str">
            <v/>
          </cell>
        </row>
        <row r="781">
          <cell r="H781" t="str">
            <v/>
          </cell>
        </row>
        <row r="782">
          <cell r="H782" t="str">
            <v/>
          </cell>
        </row>
        <row r="783">
          <cell r="H783" t="str">
            <v/>
          </cell>
        </row>
        <row r="784">
          <cell r="H784" t="str">
            <v/>
          </cell>
        </row>
        <row r="785">
          <cell r="H785" t="str">
            <v/>
          </cell>
        </row>
        <row r="786">
          <cell r="H786" t="str">
            <v/>
          </cell>
        </row>
        <row r="787">
          <cell r="H787" t="str">
            <v/>
          </cell>
        </row>
        <row r="788">
          <cell r="H788" t="str">
            <v/>
          </cell>
        </row>
        <row r="789">
          <cell r="H789" t="str">
            <v/>
          </cell>
        </row>
        <row r="790">
          <cell r="H790" t="str">
            <v/>
          </cell>
        </row>
        <row r="791">
          <cell r="H791" t="str">
            <v/>
          </cell>
        </row>
        <row r="792">
          <cell r="H792" t="str">
            <v/>
          </cell>
        </row>
        <row r="793">
          <cell r="H793" t="str">
            <v/>
          </cell>
        </row>
        <row r="794">
          <cell r="H794" t="str">
            <v/>
          </cell>
        </row>
        <row r="795">
          <cell r="H795" t="str">
            <v/>
          </cell>
        </row>
        <row r="796">
          <cell r="H796" t="str">
            <v/>
          </cell>
        </row>
        <row r="797">
          <cell r="H797" t="str">
            <v/>
          </cell>
        </row>
        <row r="798">
          <cell r="H798" t="str">
            <v/>
          </cell>
        </row>
        <row r="799">
          <cell r="H799" t="str">
            <v/>
          </cell>
        </row>
        <row r="800">
          <cell r="H800" t="str">
            <v/>
          </cell>
        </row>
        <row r="801">
          <cell r="H801" t="str">
            <v/>
          </cell>
        </row>
        <row r="802">
          <cell r="H802" t="str">
            <v/>
          </cell>
        </row>
        <row r="803">
          <cell r="H803" t="str">
            <v/>
          </cell>
        </row>
        <row r="804">
          <cell r="H804" t="str">
            <v/>
          </cell>
        </row>
        <row r="805">
          <cell r="H805" t="str">
            <v/>
          </cell>
        </row>
        <row r="806">
          <cell r="H806" t="str">
            <v/>
          </cell>
        </row>
        <row r="807">
          <cell r="H807" t="str">
            <v/>
          </cell>
        </row>
        <row r="808">
          <cell r="H808" t="str">
            <v/>
          </cell>
        </row>
        <row r="809">
          <cell r="H809" t="str">
            <v/>
          </cell>
        </row>
        <row r="810">
          <cell r="H810" t="str">
            <v/>
          </cell>
        </row>
        <row r="811">
          <cell r="H811" t="str">
            <v/>
          </cell>
        </row>
        <row r="812">
          <cell r="H812" t="str">
            <v/>
          </cell>
        </row>
        <row r="813">
          <cell r="H813" t="str">
            <v/>
          </cell>
        </row>
        <row r="814">
          <cell r="H814" t="str">
            <v/>
          </cell>
        </row>
        <row r="815">
          <cell r="H815" t="str">
            <v/>
          </cell>
        </row>
        <row r="816">
          <cell r="H816" t="str">
            <v/>
          </cell>
        </row>
        <row r="817">
          <cell r="H817" t="str">
            <v/>
          </cell>
        </row>
        <row r="818">
          <cell r="H818" t="str">
            <v/>
          </cell>
        </row>
        <row r="819">
          <cell r="H819" t="str">
            <v/>
          </cell>
        </row>
        <row r="820">
          <cell r="H820" t="str">
            <v/>
          </cell>
        </row>
        <row r="821">
          <cell r="H821" t="str">
            <v/>
          </cell>
        </row>
        <row r="822">
          <cell r="H822" t="str">
            <v/>
          </cell>
        </row>
        <row r="823">
          <cell r="H823" t="str">
            <v/>
          </cell>
        </row>
        <row r="824">
          <cell r="H824" t="str">
            <v/>
          </cell>
        </row>
        <row r="825">
          <cell r="H825" t="str">
            <v/>
          </cell>
        </row>
        <row r="826">
          <cell r="H826" t="str">
            <v/>
          </cell>
        </row>
        <row r="827">
          <cell r="H827" t="str">
            <v/>
          </cell>
        </row>
        <row r="828">
          <cell r="H828" t="str">
            <v/>
          </cell>
        </row>
        <row r="829">
          <cell r="H829" t="str">
            <v/>
          </cell>
        </row>
        <row r="830">
          <cell r="H830" t="str">
            <v/>
          </cell>
        </row>
        <row r="831">
          <cell r="H831" t="str">
            <v/>
          </cell>
        </row>
        <row r="832">
          <cell r="H832" t="str">
            <v/>
          </cell>
        </row>
        <row r="833">
          <cell r="H833" t="str">
            <v/>
          </cell>
        </row>
        <row r="834">
          <cell r="H834" t="str">
            <v/>
          </cell>
        </row>
        <row r="835">
          <cell r="H835" t="str">
            <v/>
          </cell>
        </row>
        <row r="836">
          <cell r="H836" t="str">
            <v/>
          </cell>
        </row>
        <row r="837">
          <cell r="H837" t="str">
            <v/>
          </cell>
        </row>
        <row r="838">
          <cell r="H838" t="str">
            <v/>
          </cell>
        </row>
        <row r="839">
          <cell r="H839" t="str">
            <v/>
          </cell>
        </row>
        <row r="840">
          <cell r="H840" t="str">
            <v/>
          </cell>
        </row>
        <row r="841">
          <cell r="H841" t="str">
            <v/>
          </cell>
        </row>
        <row r="842">
          <cell r="H842" t="str">
            <v/>
          </cell>
        </row>
        <row r="843">
          <cell r="H843" t="str">
            <v/>
          </cell>
        </row>
        <row r="844">
          <cell r="H844" t="str">
            <v/>
          </cell>
        </row>
        <row r="845">
          <cell r="H845" t="str">
            <v/>
          </cell>
        </row>
        <row r="846">
          <cell r="H846" t="str">
            <v/>
          </cell>
        </row>
        <row r="847">
          <cell r="H847" t="str">
            <v/>
          </cell>
        </row>
        <row r="848">
          <cell r="H848" t="str">
            <v/>
          </cell>
        </row>
        <row r="849">
          <cell r="H849" t="str">
            <v/>
          </cell>
        </row>
        <row r="850">
          <cell r="H850" t="str">
            <v/>
          </cell>
        </row>
        <row r="851">
          <cell r="H851" t="str">
            <v/>
          </cell>
        </row>
        <row r="852">
          <cell r="H852" t="str">
            <v/>
          </cell>
        </row>
        <row r="853">
          <cell r="H853" t="str">
            <v/>
          </cell>
        </row>
        <row r="854">
          <cell r="H854" t="str">
            <v/>
          </cell>
        </row>
        <row r="855">
          <cell r="H855" t="str">
            <v/>
          </cell>
        </row>
        <row r="856">
          <cell r="H856" t="str">
            <v/>
          </cell>
        </row>
        <row r="857">
          <cell r="H857" t="str">
            <v/>
          </cell>
        </row>
        <row r="858">
          <cell r="H858" t="str">
            <v/>
          </cell>
        </row>
        <row r="859">
          <cell r="H859" t="str">
            <v/>
          </cell>
        </row>
        <row r="860">
          <cell r="H860" t="str">
            <v/>
          </cell>
        </row>
        <row r="861">
          <cell r="H861" t="str">
            <v/>
          </cell>
        </row>
        <row r="862">
          <cell r="H862" t="str">
            <v/>
          </cell>
        </row>
        <row r="863">
          <cell r="H863" t="str">
            <v/>
          </cell>
        </row>
        <row r="864">
          <cell r="H864" t="str">
            <v/>
          </cell>
        </row>
        <row r="865">
          <cell r="H865" t="str">
            <v/>
          </cell>
        </row>
        <row r="866">
          <cell r="H866" t="str">
            <v/>
          </cell>
        </row>
        <row r="867">
          <cell r="H867" t="str">
            <v/>
          </cell>
        </row>
        <row r="868">
          <cell r="H868" t="str">
            <v/>
          </cell>
        </row>
        <row r="869">
          <cell r="H869" t="str">
            <v/>
          </cell>
        </row>
        <row r="870">
          <cell r="H870" t="str">
            <v/>
          </cell>
        </row>
        <row r="871">
          <cell r="H871" t="str">
            <v/>
          </cell>
        </row>
        <row r="872">
          <cell r="H872" t="str">
            <v/>
          </cell>
        </row>
        <row r="873">
          <cell r="H873" t="str">
            <v/>
          </cell>
        </row>
        <row r="874">
          <cell r="H874" t="str">
            <v/>
          </cell>
        </row>
        <row r="875">
          <cell r="H875" t="str">
            <v/>
          </cell>
        </row>
        <row r="876">
          <cell r="H876" t="str">
            <v/>
          </cell>
        </row>
        <row r="877">
          <cell r="H877" t="str">
            <v/>
          </cell>
        </row>
        <row r="878">
          <cell r="H878" t="str">
            <v/>
          </cell>
        </row>
        <row r="879">
          <cell r="H879" t="str">
            <v/>
          </cell>
        </row>
        <row r="880">
          <cell r="H880" t="str">
            <v/>
          </cell>
        </row>
        <row r="881">
          <cell r="H881" t="str">
            <v/>
          </cell>
        </row>
        <row r="882">
          <cell r="H882" t="str">
            <v/>
          </cell>
        </row>
        <row r="883">
          <cell r="H883" t="str">
            <v/>
          </cell>
        </row>
        <row r="884">
          <cell r="H884" t="str">
            <v/>
          </cell>
        </row>
        <row r="885">
          <cell r="H885" t="str">
            <v/>
          </cell>
        </row>
        <row r="886">
          <cell r="H886" t="str">
            <v/>
          </cell>
        </row>
        <row r="887">
          <cell r="H887" t="str">
            <v/>
          </cell>
        </row>
        <row r="888">
          <cell r="H888" t="str">
            <v/>
          </cell>
        </row>
        <row r="889">
          <cell r="H889" t="str">
            <v/>
          </cell>
        </row>
        <row r="890">
          <cell r="H890" t="str">
            <v/>
          </cell>
        </row>
        <row r="891">
          <cell r="H891" t="str">
            <v/>
          </cell>
        </row>
        <row r="892">
          <cell r="H892" t="str">
            <v/>
          </cell>
        </row>
        <row r="893">
          <cell r="H893" t="str">
            <v/>
          </cell>
        </row>
        <row r="894">
          <cell r="H894" t="str">
            <v/>
          </cell>
        </row>
        <row r="895">
          <cell r="H895" t="str">
            <v/>
          </cell>
        </row>
        <row r="896">
          <cell r="H896" t="str">
            <v/>
          </cell>
        </row>
        <row r="897">
          <cell r="H897" t="str">
            <v/>
          </cell>
        </row>
        <row r="898">
          <cell r="H898" t="str">
            <v/>
          </cell>
        </row>
        <row r="899">
          <cell r="H899" t="str">
            <v/>
          </cell>
        </row>
        <row r="900">
          <cell r="H900" t="str">
            <v/>
          </cell>
        </row>
        <row r="901">
          <cell r="H901" t="str">
            <v/>
          </cell>
        </row>
        <row r="902">
          <cell r="H902" t="str">
            <v/>
          </cell>
        </row>
        <row r="903">
          <cell r="H903" t="str">
            <v/>
          </cell>
        </row>
        <row r="904">
          <cell r="H904" t="str">
            <v/>
          </cell>
        </row>
        <row r="905">
          <cell r="H905" t="str">
            <v/>
          </cell>
        </row>
        <row r="906">
          <cell r="H906" t="str">
            <v/>
          </cell>
        </row>
        <row r="907">
          <cell r="H907" t="str">
            <v/>
          </cell>
        </row>
        <row r="908">
          <cell r="H908" t="str">
            <v/>
          </cell>
        </row>
        <row r="909">
          <cell r="H909" t="str">
            <v/>
          </cell>
        </row>
        <row r="910">
          <cell r="H910" t="str">
            <v/>
          </cell>
        </row>
        <row r="911">
          <cell r="H911" t="str">
            <v/>
          </cell>
        </row>
        <row r="912">
          <cell r="H912" t="str">
            <v/>
          </cell>
        </row>
        <row r="913">
          <cell r="H913" t="str">
            <v/>
          </cell>
        </row>
        <row r="914">
          <cell r="H914" t="str">
            <v/>
          </cell>
        </row>
        <row r="915">
          <cell r="H915" t="str">
            <v/>
          </cell>
        </row>
        <row r="916">
          <cell r="H916" t="str">
            <v/>
          </cell>
        </row>
        <row r="917">
          <cell r="H917" t="str">
            <v/>
          </cell>
        </row>
        <row r="918">
          <cell r="H918" t="str">
            <v/>
          </cell>
        </row>
        <row r="919">
          <cell r="H919" t="str">
            <v/>
          </cell>
        </row>
        <row r="920">
          <cell r="H920" t="str">
            <v/>
          </cell>
        </row>
        <row r="921">
          <cell r="H921" t="str">
            <v/>
          </cell>
        </row>
        <row r="922">
          <cell r="H922" t="str">
            <v/>
          </cell>
        </row>
        <row r="923">
          <cell r="H923" t="str">
            <v/>
          </cell>
        </row>
        <row r="924">
          <cell r="H924" t="str">
            <v/>
          </cell>
        </row>
        <row r="925">
          <cell r="H925" t="str">
            <v/>
          </cell>
        </row>
        <row r="926">
          <cell r="H926" t="str">
            <v/>
          </cell>
        </row>
        <row r="927">
          <cell r="H927" t="str">
            <v/>
          </cell>
        </row>
        <row r="928">
          <cell r="H928" t="str">
            <v/>
          </cell>
        </row>
        <row r="929">
          <cell r="H929" t="str">
            <v/>
          </cell>
        </row>
        <row r="930">
          <cell r="H930" t="str">
            <v/>
          </cell>
        </row>
        <row r="931">
          <cell r="H931" t="str">
            <v/>
          </cell>
        </row>
        <row r="932">
          <cell r="H932" t="str">
            <v/>
          </cell>
        </row>
        <row r="933">
          <cell r="H933" t="str">
            <v/>
          </cell>
        </row>
        <row r="934">
          <cell r="H934" t="str">
            <v/>
          </cell>
        </row>
        <row r="935">
          <cell r="H935" t="str">
            <v/>
          </cell>
        </row>
        <row r="936">
          <cell r="H936" t="str">
            <v/>
          </cell>
        </row>
        <row r="937">
          <cell r="H937" t="str">
            <v/>
          </cell>
        </row>
        <row r="938">
          <cell r="H938" t="str">
            <v/>
          </cell>
        </row>
        <row r="939">
          <cell r="H939" t="str">
            <v/>
          </cell>
        </row>
        <row r="940">
          <cell r="H940" t="str">
            <v/>
          </cell>
        </row>
        <row r="941">
          <cell r="H941" t="str">
            <v/>
          </cell>
        </row>
        <row r="942">
          <cell r="H942" t="str">
            <v/>
          </cell>
        </row>
        <row r="943">
          <cell r="H943" t="str">
            <v/>
          </cell>
        </row>
        <row r="944">
          <cell r="H944" t="str">
            <v/>
          </cell>
        </row>
        <row r="945">
          <cell r="H945" t="str">
            <v/>
          </cell>
        </row>
        <row r="946">
          <cell r="H946" t="str">
            <v/>
          </cell>
        </row>
        <row r="947">
          <cell r="H947" t="str">
            <v/>
          </cell>
        </row>
        <row r="948">
          <cell r="H948" t="str">
            <v/>
          </cell>
        </row>
        <row r="949">
          <cell r="H949" t="str">
            <v/>
          </cell>
        </row>
        <row r="950">
          <cell r="H950" t="str">
            <v/>
          </cell>
        </row>
        <row r="951">
          <cell r="H951" t="str">
            <v/>
          </cell>
        </row>
        <row r="952">
          <cell r="H952" t="str">
            <v/>
          </cell>
        </row>
        <row r="953">
          <cell r="H953" t="str">
            <v/>
          </cell>
        </row>
        <row r="954">
          <cell r="H954" t="str">
            <v/>
          </cell>
        </row>
        <row r="955">
          <cell r="H955" t="str">
            <v/>
          </cell>
        </row>
        <row r="956">
          <cell r="H956" t="str">
            <v/>
          </cell>
        </row>
        <row r="957">
          <cell r="H957" t="str">
            <v/>
          </cell>
        </row>
        <row r="958">
          <cell r="H958" t="str">
            <v/>
          </cell>
        </row>
        <row r="959">
          <cell r="H959" t="str">
            <v/>
          </cell>
        </row>
        <row r="960">
          <cell r="H960" t="str">
            <v/>
          </cell>
        </row>
        <row r="961">
          <cell r="H961" t="str">
            <v/>
          </cell>
        </row>
        <row r="962">
          <cell r="H962" t="str">
            <v/>
          </cell>
        </row>
        <row r="963">
          <cell r="H963" t="str">
            <v/>
          </cell>
        </row>
        <row r="964">
          <cell r="H964" t="str">
            <v/>
          </cell>
        </row>
        <row r="965">
          <cell r="H965" t="str">
            <v/>
          </cell>
        </row>
        <row r="966">
          <cell r="H966" t="str">
            <v/>
          </cell>
        </row>
        <row r="967">
          <cell r="H967" t="str">
            <v/>
          </cell>
        </row>
        <row r="968">
          <cell r="H968" t="str">
            <v/>
          </cell>
        </row>
        <row r="969">
          <cell r="H969" t="str">
            <v/>
          </cell>
        </row>
        <row r="970">
          <cell r="H970" t="str">
            <v/>
          </cell>
        </row>
        <row r="971">
          <cell r="H971" t="str">
            <v/>
          </cell>
        </row>
        <row r="972">
          <cell r="H972" t="str">
            <v/>
          </cell>
        </row>
        <row r="973">
          <cell r="H973" t="str">
            <v/>
          </cell>
        </row>
        <row r="974">
          <cell r="H974" t="str">
            <v/>
          </cell>
        </row>
        <row r="975">
          <cell r="H975" t="str">
            <v/>
          </cell>
        </row>
        <row r="976">
          <cell r="H976" t="str">
            <v/>
          </cell>
        </row>
        <row r="977">
          <cell r="H977" t="str">
            <v/>
          </cell>
        </row>
        <row r="978">
          <cell r="H978" t="str">
            <v/>
          </cell>
        </row>
        <row r="979">
          <cell r="H979" t="str">
            <v/>
          </cell>
        </row>
        <row r="980">
          <cell r="H980" t="str">
            <v/>
          </cell>
        </row>
        <row r="981">
          <cell r="H981" t="str">
            <v/>
          </cell>
        </row>
        <row r="982">
          <cell r="H982" t="str">
            <v/>
          </cell>
        </row>
        <row r="983">
          <cell r="H983" t="str">
            <v/>
          </cell>
        </row>
        <row r="984">
          <cell r="H984" t="str">
            <v/>
          </cell>
        </row>
        <row r="985">
          <cell r="H985" t="str">
            <v/>
          </cell>
        </row>
        <row r="986">
          <cell r="H986" t="str">
            <v/>
          </cell>
        </row>
        <row r="987">
          <cell r="H987" t="str">
            <v/>
          </cell>
        </row>
        <row r="988">
          <cell r="H988" t="str">
            <v/>
          </cell>
        </row>
        <row r="989">
          <cell r="H989" t="str">
            <v/>
          </cell>
        </row>
        <row r="990">
          <cell r="H990" t="str">
            <v/>
          </cell>
        </row>
        <row r="991">
          <cell r="H991" t="str">
            <v/>
          </cell>
        </row>
        <row r="992">
          <cell r="H992" t="str">
            <v/>
          </cell>
        </row>
        <row r="993">
          <cell r="H993" t="str">
            <v/>
          </cell>
        </row>
        <row r="994">
          <cell r="H994" t="str">
            <v/>
          </cell>
        </row>
        <row r="995">
          <cell r="H995" t="str">
            <v/>
          </cell>
        </row>
        <row r="996">
          <cell r="H996" t="str">
            <v/>
          </cell>
        </row>
        <row r="997">
          <cell r="H997" t="str">
            <v/>
          </cell>
        </row>
        <row r="998">
          <cell r="H998" t="str">
            <v/>
          </cell>
        </row>
        <row r="999">
          <cell r="H999" t="str">
            <v/>
          </cell>
        </row>
        <row r="1000">
          <cell r="H1000" t="str">
            <v/>
          </cell>
        </row>
        <row r="1001">
          <cell r="H1001" t="str">
            <v/>
          </cell>
        </row>
        <row r="1002">
          <cell r="H1002" t="str">
            <v/>
          </cell>
        </row>
        <row r="1003">
          <cell r="H1003" t="str">
            <v/>
          </cell>
        </row>
        <row r="1004">
          <cell r="H1004" t="str">
            <v/>
          </cell>
        </row>
        <row r="1005">
          <cell r="H1005" t="str">
            <v/>
          </cell>
        </row>
        <row r="1006">
          <cell r="H1006" t="str">
            <v/>
          </cell>
        </row>
        <row r="1007">
          <cell r="H1007" t="str">
            <v/>
          </cell>
        </row>
        <row r="1008">
          <cell r="H1008" t="str">
            <v/>
          </cell>
        </row>
        <row r="1009">
          <cell r="H1009" t="str">
            <v/>
          </cell>
        </row>
        <row r="1010">
          <cell r="H1010" t="str">
            <v/>
          </cell>
        </row>
        <row r="1011">
          <cell r="H1011" t="str">
            <v/>
          </cell>
        </row>
        <row r="1012">
          <cell r="H1012" t="str">
            <v/>
          </cell>
        </row>
        <row r="1013">
          <cell r="H1013" t="str">
            <v/>
          </cell>
        </row>
        <row r="1014">
          <cell r="H1014" t="str">
            <v/>
          </cell>
        </row>
        <row r="1015">
          <cell r="H1015" t="str">
            <v/>
          </cell>
        </row>
        <row r="1016">
          <cell r="H1016" t="str">
            <v/>
          </cell>
        </row>
        <row r="1017">
          <cell r="H1017" t="str">
            <v/>
          </cell>
        </row>
        <row r="1018">
          <cell r="H1018" t="str">
            <v/>
          </cell>
        </row>
        <row r="1019">
          <cell r="H1019" t="str">
            <v/>
          </cell>
        </row>
        <row r="1020">
          <cell r="H1020" t="str">
            <v/>
          </cell>
        </row>
        <row r="1021">
          <cell r="H1021" t="str">
            <v/>
          </cell>
        </row>
        <row r="1022">
          <cell r="H1022" t="str">
            <v/>
          </cell>
        </row>
        <row r="1023">
          <cell r="H1023" t="str">
            <v/>
          </cell>
        </row>
        <row r="1024">
          <cell r="H1024" t="str">
            <v/>
          </cell>
        </row>
      </sheetData>
      <sheetData sheetId="10">
        <row r="1">
          <cell r="C1" t="e">
            <v>#N/A</v>
          </cell>
          <cell r="F1" t="e">
            <v>#N/A</v>
          </cell>
          <cell r="M1" t="e">
            <v>#N/A</v>
          </cell>
          <cell r="N1" t="e">
            <v>#N/A</v>
          </cell>
          <cell r="O1" t="e">
            <v>#N/A</v>
          </cell>
          <cell r="X1" t="e">
            <v>#N/A</v>
          </cell>
          <cell r="Y1" t="e">
            <v>#N/A</v>
          </cell>
          <cell r="AA1" t="e">
            <v>#N/A</v>
          </cell>
          <cell r="AB1" t="e">
            <v>#N/A</v>
          </cell>
          <cell r="AC1" t="e">
            <v>#N/A</v>
          </cell>
          <cell r="AD1" t="e">
            <v>#N/A</v>
          </cell>
          <cell r="AE1" t="e">
            <v>#N/A</v>
          </cell>
          <cell r="AF1" t="e">
            <v>#N/A</v>
          </cell>
          <cell r="AG1" t="e">
            <v>#N/A</v>
          </cell>
          <cell r="AH1" t="e">
            <v>#N/A</v>
          </cell>
          <cell r="AI1" t="e">
            <v>#N/A</v>
          </cell>
          <cell r="AJ1" t="e">
            <v>#N/A</v>
          </cell>
          <cell r="AK1" t="e">
            <v>#N/A</v>
          </cell>
          <cell r="AL1" t="e">
            <v>#N/A</v>
          </cell>
          <cell r="AN1" t="e">
            <v>#N/A</v>
          </cell>
          <cell r="AO1" t="e">
            <v>#N/A</v>
          </cell>
          <cell r="AP1" t="e">
            <v>#N/A</v>
          </cell>
          <cell r="AQ1" t="e">
            <v>#N/A</v>
          </cell>
          <cell r="AR1" t="e">
            <v>#N/A</v>
          </cell>
          <cell r="AS1" t="e">
            <v>#N/A</v>
          </cell>
          <cell r="AT1" t="e">
            <v>#N/A</v>
          </cell>
          <cell r="AU1" t="e">
            <v>#N/A</v>
          </cell>
          <cell r="AV1" t="e">
            <v>#N/A</v>
          </cell>
          <cell r="AW1" t="e">
            <v>#N/A</v>
          </cell>
          <cell r="AX1" t="e">
            <v>#N/A</v>
          </cell>
          <cell r="BB1" t="e">
            <v>#N/A</v>
          </cell>
          <cell r="BD1" t="e">
            <v>#N/A</v>
          </cell>
        </row>
        <row r="2">
          <cell r="M2" t="e">
            <v>#N/A</v>
          </cell>
          <cell r="N2" t="e">
            <v>#N/A</v>
          </cell>
          <cell r="AA2" t="e">
            <v>#N/A</v>
          </cell>
          <cell r="AB2" t="e">
            <v>#N/A</v>
          </cell>
          <cell r="AC2" t="e">
            <v>#N/A</v>
          </cell>
        </row>
        <row r="3">
          <cell r="C3" t="e">
            <v>#N/A</v>
          </cell>
          <cell r="F3" t="e">
            <v>#N/A</v>
          </cell>
          <cell r="M3" t="e">
            <v>#N/A</v>
          </cell>
          <cell r="N3" t="e">
            <v>#N/A</v>
          </cell>
          <cell r="X3" t="e">
            <v>#N/A</v>
          </cell>
          <cell r="Y3" t="e">
            <v>#N/A</v>
          </cell>
          <cell r="AA3" t="e">
            <v>#N/A</v>
          </cell>
          <cell r="AB3" t="e">
            <v>#N/A</v>
          </cell>
          <cell r="AC3" t="e">
            <v>#N/A</v>
          </cell>
          <cell r="AD3" t="e">
            <v>#N/A</v>
          </cell>
          <cell r="AE3" t="e">
            <v>#N/A</v>
          </cell>
          <cell r="AF3" t="e">
            <v>#N/A</v>
          </cell>
          <cell r="AX3" t="e">
            <v>#N/A</v>
          </cell>
          <cell r="BB3" t="e">
            <v>#N/A</v>
          </cell>
          <cell r="BD3" t="e">
            <v>#N/A</v>
          </cell>
          <cell r="BG3" t="e">
            <v>#N/A</v>
          </cell>
        </row>
        <row r="4">
          <cell r="W4">
            <v>23</v>
          </cell>
          <cell r="AA4">
            <v>27</v>
          </cell>
          <cell r="AB4">
            <v>28</v>
          </cell>
          <cell r="AC4">
            <v>29</v>
          </cell>
          <cell r="AY4">
            <v>51</v>
          </cell>
          <cell r="BD4">
            <v>56</v>
          </cell>
          <cell r="BJ4">
            <v>62</v>
          </cell>
        </row>
        <row r="6">
          <cell r="A6" t="str">
            <v>Creature</v>
          </cell>
          <cell r="B6" t="str">
            <v>Short Description</v>
          </cell>
          <cell r="C6" t="str">
            <v>Size</v>
          </cell>
          <cell r="D6" t="str">
            <v>Type</v>
          </cell>
          <cell r="E6" t="str">
            <v>Subtype</v>
          </cell>
          <cell r="F6" t="str">
            <v>HD</v>
          </cell>
          <cell r="G6" t="str">
            <v>Land Speed</v>
          </cell>
          <cell r="H6" t="str">
            <v>Burrow</v>
          </cell>
          <cell r="I6" t="str">
            <v>Climb</v>
          </cell>
          <cell r="J6" t="str">
            <v>Fly</v>
          </cell>
          <cell r="K6" t="str">
            <v>Maneuverability</v>
          </cell>
          <cell r="L6" t="str">
            <v>Swim</v>
          </cell>
          <cell r="M6" t="str">
            <v>Natural Armor</v>
          </cell>
          <cell r="N6" t="str">
            <v>Natural Attacks</v>
          </cell>
          <cell r="O6" t="str">
            <v>Natural Attacks Dmg</v>
          </cell>
          <cell r="P6" t="str">
            <v>Special Attacks</v>
          </cell>
          <cell r="Q6" t="str">
            <v>Spell-Like Abilities</v>
          </cell>
          <cell r="R6" t="str">
            <v>Psionics Abilities</v>
          </cell>
          <cell r="S6" t="str">
            <v>LowLight</v>
          </cell>
          <cell r="T6" t="str">
            <v>Darkvision</v>
          </cell>
          <cell r="U6" t="str">
            <v>Immunities</v>
          </cell>
          <cell r="V6" t="str">
            <v>Vulnerabilities</v>
          </cell>
          <cell r="W6" t="str">
            <v>Energy Resistance</v>
          </cell>
          <cell r="X6" t="str">
            <v>Spell Resistance</v>
          </cell>
          <cell r="Y6" t="str">
            <v>DR</v>
          </cell>
          <cell r="Z6" t="str">
            <v>Fast Healing</v>
          </cell>
          <cell r="AA6" t="str">
            <v>Str</v>
          </cell>
          <cell r="AB6" t="str">
            <v>Dex</v>
          </cell>
          <cell r="AC6" t="str">
            <v>Con</v>
          </cell>
          <cell r="AD6" t="str">
            <v>Int</v>
          </cell>
          <cell r="AE6" t="str">
            <v>Wis</v>
          </cell>
          <cell r="AF6" t="str">
            <v>Cha</v>
          </cell>
          <cell r="AG6" t="str">
            <v xml:space="preserve"> Balance</v>
          </cell>
          <cell r="AH6" t="str">
            <v xml:space="preserve"> Bluff</v>
          </cell>
          <cell r="AI6" t="str">
            <v xml:space="preserve"> Climb</v>
          </cell>
          <cell r="AJ6" t="str">
            <v xml:space="preserve"> Diplomacy</v>
          </cell>
          <cell r="AK6" t="str">
            <v xml:space="preserve"> Disguise</v>
          </cell>
          <cell r="AL6" t="str">
            <v xml:space="preserve"> Hide</v>
          </cell>
          <cell r="AM6" t="str">
            <v>Iaijutsu Focus</v>
          </cell>
          <cell r="AN6" t="str">
            <v xml:space="preserve"> Intimidate</v>
          </cell>
          <cell r="AO6" t="str">
            <v xml:space="preserve"> Jump</v>
          </cell>
          <cell r="AP6" t="str">
            <v xml:space="preserve"> Listen</v>
          </cell>
          <cell r="AQ6" t="str">
            <v xml:space="preserve"> Move Silently</v>
          </cell>
          <cell r="AR6" t="str">
            <v xml:space="preserve"> Search</v>
          </cell>
          <cell r="AS6" t="str">
            <v xml:space="preserve"> Sense Motive</v>
          </cell>
          <cell r="AT6" t="str">
            <v xml:space="preserve"> Spellcraft</v>
          </cell>
          <cell r="AU6" t="str">
            <v xml:space="preserve"> Spot</v>
          </cell>
          <cell r="AV6" t="str">
            <v xml:space="preserve"> Survival</v>
          </cell>
          <cell r="AW6" t="str">
            <v xml:space="preserve"> Swim</v>
          </cell>
          <cell r="AX6" t="str">
            <v>Bonus Feats</v>
          </cell>
          <cell r="AY6" t="str">
            <v>Automatic Languages</v>
          </cell>
          <cell r="AZ6" t="str">
            <v>Bonus Languages</v>
          </cell>
          <cell r="BA6" t="str">
            <v>CR Adj</v>
          </cell>
          <cell r="BB6" t="str">
            <v>Alignment</v>
          </cell>
          <cell r="BC6" t="str">
            <v>Lvl Adj.</v>
          </cell>
          <cell r="BD6" t="str">
            <v>Special Abilities</v>
          </cell>
          <cell r="BF6" t="str">
            <v>Familiar Level</v>
          </cell>
          <cell r="BG6" t="str">
            <v>Companion Level</v>
          </cell>
          <cell r="BH6" t="str">
            <v>Familiar Type</v>
          </cell>
          <cell r="BI6" t="str">
            <v>Companion  Type</v>
          </cell>
          <cell r="BJ6" t="str">
            <v>Special</v>
          </cell>
          <cell r="BK6" t="str">
            <v>Index</v>
          </cell>
          <cell r="BL6" t="str">
            <v>Species</v>
          </cell>
          <cell r="BM6" t="str">
            <v>Src</v>
          </cell>
          <cell r="BN6" t="str">
            <v>Pg</v>
          </cell>
          <cell r="BO6" t="str">
            <v>AltSrc</v>
          </cell>
          <cell r="BP6" t="str">
            <v>Src Sel</v>
          </cell>
          <cell r="BQ6" t="str">
            <v>Lycan Prereq</v>
          </cell>
          <cell r="BR6" t="str">
            <v>Lycan Available</v>
          </cell>
          <cell r="BS6">
            <v>6</v>
          </cell>
          <cell r="BT6">
            <v>6</v>
          </cell>
          <cell r="BU6" t="str">
            <v>Familiar Prereq</v>
          </cell>
          <cell r="BV6" t="str">
            <v>Familiar Available</v>
          </cell>
          <cell r="BW6">
            <v>6</v>
          </cell>
          <cell r="BX6" t="str">
            <v>Select Familiar</v>
          </cell>
          <cell r="BY6" t="str">
            <v>Companion Prereq</v>
          </cell>
          <cell r="BZ6" t="str">
            <v>Companion Available</v>
          </cell>
          <cell r="CA6">
            <v>6</v>
          </cell>
          <cell r="CB6" t="str">
            <v>Select Companion</v>
          </cell>
          <cell r="CC6" t="str">
            <v>Wild Shape Prereq</v>
          </cell>
          <cell r="CD6" t="str">
            <v>Wild Shape Available</v>
          </cell>
          <cell r="CE6">
            <v>6</v>
          </cell>
          <cell r="CF6" t="str">
            <v>Select Wild Shape Form</v>
          </cell>
          <cell r="CG6" t="str">
            <v>Dragon Prereq</v>
          </cell>
          <cell r="CJ6" t="str">
            <v>Select Dragon</v>
          </cell>
        </row>
        <row r="7">
          <cell r="A7" t="str">
            <v>Ankheg</v>
          </cell>
          <cell r="D7" t="str">
            <v>Magical Beast</v>
          </cell>
          <cell r="N7" t="str">
            <v/>
          </cell>
          <cell r="BG7">
            <v>7</v>
          </cell>
          <cell r="BM7" t="str">
            <v>MM</v>
          </cell>
          <cell r="BN7">
            <v>14</v>
          </cell>
          <cell r="BP7" t="b">
            <v>1</v>
          </cell>
          <cell r="BQ7" t="b">
            <v>0</v>
          </cell>
          <cell r="BR7" t="b">
            <v>0</v>
          </cell>
          <cell r="BS7">
            <v>6</v>
          </cell>
          <cell r="BT7" t="str">
            <v/>
          </cell>
          <cell r="BV7" t="b">
            <v>0</v>
          </cell>
          <cell r="BW7">
            <v>6</v>
          </cell>
          <cell r="BX7" t="str">
            <v>Bat</v>
          </cell>
          <cell r="BY7" t="b">
            <v>0</v>
          </cell>
          <cell r="BZ7" t="b">
            <v>0</v>
          </cell>
          <cell r="CA7">
            <v>6</v>
          </cell>
          <cell r="CB7" t="str">
            <v/>
          </cell>
          <cell r="CD7" t="b">
            <v>0</v>
          </cell>
          <cell r="CE7">
            <v>6</v>
          </cell>
          <cell r="CF7" t="str">
            <v/>
          </cell>
          <cell r="CJ7" t="str">
            <v>Black</v>
          </cell>
          <cell r="CN7">
            <v>209</v>
          </cell>
        </row>
        <row r="8">
          <cell r="A8" t="str">
            <v>Ape</v>
          </cell>
          <cell r="C8" t="str">
            <v>Large</v>
          </cell>
          <cell r="D8" t="str">
            <v>Animal</v>
          </cell>
          <cell r="F8">
            <v>4</v>
          </cell>
          <cell r="G8">
            <v>30</v>
          </cell>
          <cell r="I8">
            <v>30</v>
          </cell>
          <cell r="M8">
            <v>3</v>
          </cell>
          <cell r="N8" t="str">
            <v>2 Claws+4+0+1,Bite+4+0+0</v>
          </cell>
          <cell r="S8" t="str">
            <v>normal</v>
          </cell>
          <cell r="AA8">
            <v>21</v>
          </cell>
          <cell r="AB8">
            <v>15</v>
          </cell>
          <cell r="AC8">
            <v>14</v>
          </cell>
          <cell r="AD8">
            <v>2</v>
          </cell>
          <cell r="AE8">
            <v>12</v>
          </cell>
          <cell r="AF8">
            <v>7</v>
          </cell>
          <cell r="AG8" t="str">
            <v>climb+8,listen,spot</v>
          </cell>
          <cell r="AX8" t="str">
            <v>Alertness;Toughness</v>
          </cell>
          <cell r="BD8" t="str">
            <v>Scent</v>
          </cell>
          <cell r="BG8">
            <v>4</v>
          </cell>
          <cell r="BM8" t="str">
            <v>MM</v>
          </cell>
          <cell r="BN8">
            <v>268</v>
          </cell>
          <cell r="BP8" t="b">
            <v>1</v>
          </cell>
          <cell r="BQ8" t="b">
            <v>0</v>
          </cell>
          <cell r="BR8" t="b">
            <v>0</v>
          </cell>
          <cell r="BS8">
            <v>6</v>
          </cell>
          <cell r="BT8" t="str">
            <v/>
          </cell>
          <cell r="BV8" t="b">
            <v>0</v>
          </cell>
          <cell r="BW8">
            <v>6</v>
          </cell>
          <cell r="BX8" t="str">
            <v>Cat</v>
          </cell>
          <cell r="BY8" t="b">
            <v>1</v>
          </cell>
          <cell r="BZ8" t="b">
            <v>0</v>
          </cell>
          <cell r="CA8">
            <v>6</v>
          </cell>
          <cell r="CB8" t="str">
            <v/>
          </cell>
          <cell r="CD8" t="b">
            <v>0</v>
          </cell>
          <cell r="CE8">
            <v>6</v>
          </cell>
          <cell r="CF8" t="str">
            <v/>
          </cell>
          <cell r="CJ8" t="str">
            <v>Blue</v>
          </cell>
          <cell r="CN8">
            <v>0</v>
          </cell>
        </row>
        <row r="9">
          <cell r="A9" t="str">
            <v>Archon, Lantern</v>
          </cell>
          <cell r="C9" t="str">
            <v>Small</v>
          </cell>
          <cell r="D9" t="str">
            <v>Outsider</v>
          </cell>
          <cell r="F9">
            <v>1</v>
          </cell>
          <cell r="J9">
            <v>60</v>
          </cell>
          <cell r="K9" t="str">
            <v>perfect</v>
          </cell>
          <cell r="M9">
            <v>4</v>
          </cell>
          <cell r="N9" t="str">
            <v>2 light rays+6+0-1</v>
          </cell>
          <cell r="O9" t="str">
            <v>1d6;</v>
          </cell>
          <cell r="T9">
            <v>60</v>
          </cell>
          <cell r="U9" t="str">
            <v>electricity,petrification</v>
          </cell>
          <cell r="Y9" t="str">
            <v>10/evil and magic</v>
          </cell>
          <cell r="AA9">
            <v>1</v>
          </cell>
          <cell r="AB9">
            <v>11</v>
          </cell>
          <cell r="AC9">
            <v>10</v>
          </cell>
          <cell r="AD9">
            <v>6</v>
          </cell>
          <cell r="AE9">
            <v>11</v>
          </cell>
          <cell r="AF9">
            <v>10</v>
          </cell>
          <cell r="AG9" t="str">
            <v>0;0</v>
          </cell>
          <cell r="AH9" t="str">
            <v>0;0</v>
          </cell>
          <cell r="AI9" t="str">
            <v>0;0</v>
          </cell>
          <cell r="AJ9" t="str">
            <v>4;0</v>
          </cell>
          <cell r="AK9" t="str">
            <v>0;0</v>
          </cell>
          <cell r="AL9" t="str">
            <v>6;4</v>
          </cell>
          <cell r="AN9" t="str">
            <v>0;0</v>
          </cell>
          <cell r="AO9" t="str">
            <v>0;0</v>
          </cell>
          <cell r="AP9" t="str">
            <v>4;0</v>
          </cell>
          <cell r="AQ9" t="str">
            <v>0;0</v>
          </cell>
          <cell r="AR9" t="str">
            <v>0;0</v>
          </cell>
          <cell r="AS9" t="str">
            <v>4;0</v>
          </cell>
          <cell r="AT9" t="str">
            <v>0;0</v>
          </cell>
          <cell r="AU9" t="str">
            <v>4;0</v>
          </cell>
          <cell r="AV9" t="str">
            <v>0;0</v>
          </cell>
          <cell r="AW9" t="str">
            <v>0;0</v>
          </cell>
          <cell r="AX9" t="str">
            <v>Improved Initiative</v>
          </cell>
          <cell r="BB9" t="str">
            <v>Lawful Good</v>
          </cell>
          <cell r="BD9" t="str">
            <v>Spell-like abilities;Aura of menace;magic circle agaist evil;Teleport;Tongues</v>
          </cell>
          <cell r="BF9">
            <v>7</v>
          </cell>
          <cell r="BH9" t="str">
            <v>Celestial, Planar</v>
          </cell>
          <cell r="BM9" t="str">
            <v>MM</v>
          </cell>
          <cell r="BN9">
            <v>16</v>
          </cell>
          <cell r="BO9" t="str">
            <v>PlH</v>
          </cell>
          <cell r="BP9" t="b">
            <v>1</v>
          </cell>
          <cell r="BQ9" t="b">
            <v>0</v>
          </cell>
          <cell r="BR9" t="b">
            <v>0</v>
          </cell>
          <cell r="BS9">
            <v>6</v>
          </cell>
          <cell r="BT9" t="str">
            <v/>
          </cell>
          <cell r="BU9" t="b">
            <v>0</v>
          </cell>
          <cell r="BV9" t="b">
            <v>0</v>
          </cell>
          <cell r="BW9">
            <v>6</v>
          </cell>
          <cell r="BX9" t="str">
            <v>Hawk</v>
          </cell>
          <cell r="BZ9" t="b">
            <v>0</v>
          </cell>
          <cell r="CA9">
            <v>6</v>
          </cell>
          <cell r="CB9" t="str">
            <v/>
          </cell>
          <cell r="CD9" t="b">
            <v>0</v>
          </cell>
          <cell r="CE9">
            <v>6</v>
          </cell>
          <cell r="CF9" t="str">
            <v/>
          </cell>
          <cell r="CJ9" t="str">
            <v>Brass</v>
          </cell>
          <cell r="CN9">
            <v>11</v>
          </cell>
        </row>
        <row r="10">
          <cell r="A10" t="str">
            <v>Asperi</v>
          </cell>
          <cell r="D10" t="str">
            <v>Magical Beast</v>
          </cell>
          <cell r="N10" t="str">
            <v/>
          </cell>
          <cell r="BG10">
            <v>7</v>
          </cell>
          <cell r="BM10" t="str">
            <v>MM2</v>
          </cell>
          <cell r="BN10">
            <v>25</v>
          </cell>
          <cell r="BP10" t="b">
            <v>0</v>
          </cell>
          <cell r="BQ10" t="b">
            <v>0</v>
          </cell>
          <cell r="BR10" t="b">
            <v>0</v>
          </cell>
          <cell r="BS10">
            <v>6</v>
          </cell>
          <cell r="BT10" t="str">
            <v/>
          </cell>
          <cell r="BV10" t="b">
            <v>0</v>
          </cell>
          <cell r="BW10">
            <v>6</v>
          </cell>
          <cell r="BX10" t="str">
            <v>Lizard</v>
          </cell>
          <cell r="BY10" t="b">
            <v>0</v>
          </cell>
          <cell r="BZ10" t="b">
            <v>0</v>
          </cell>
          <cell r="CA10">
            <v>6</v>
          </cell>
          <cell r="CB10" t="str">
            <v/>
          </cell>
          <cell r="CD10" t="b">
            <v>0</v>
          </cell>
          <cell r="CE10">
            <v>6</v>
          </cell>
          <cell r="CF10" t="str">
            <v/>
          </cell>
          <cell r="CJ10" t="str">
            <v>Bronze</v>
          </cell>
          <cell r="CN10">
            <v>0</v>
          </cell>
          <cell r="CP10">
            <v>1</v>
          </cell>
          <cell r="CQ10">
            <v>0</v>
          </cell>
          <cell r="CR10">
            <v>0</v>
          </cell>
          <cell r="CS10">
            <v>0</v>
          </cell>
          <cell r="CT10" t="str">
            <v>Link;Share Spells</v>
          </cell>
        </row>
        <row r="11">
          <cell r="A11" t="str">
            <v>Baboon</v>
          </cell>
          <cell r="C11" t="str">
            <v>Medium</v>
          </cell>
          <cell r="D11" t="str">
            <v>Animal</v>
          </cell>
          <cell r="F11">
            <v>1</v>
          </cell>
          <cell r="G11">
            <v>40</v>
          </cell>
          <cell r="I11">
            <v>30</v>
          </cell>
          <cell r="M11">
            <v>1</v>
          </cell>
          <cell r="N11" t="str">
            <v>Bite+5+0+2</v>
          </cell>
          <cell r="S11" t="str">
            <v>normal</v>
          </cell>
          <cell r="AA11">
            <v>15</v>
          </cell>
          <cell r="AB11">
            <v>14</v>
          </cell>
          <cell r="AC11">
            <v>12</v>
          </cell>
          <cell r="AD11">
            <v>2</v>
          </cell>
          <cell r="AE11">
            <v>12</v>
          </cell>
          <cell r="AF11">
            <v>4</v>
          </cell>
          <cell r="BG11">
            <v>1</v>
          </cell>
          <cell r="BM11" t="str">
            <v>MM</v>
          </cell>
          <cell r="BN11">
            <v>268</v>
          </cell>
          <cell r="BP11" t="b">
            <v>1</v>
          </cell>
          <cell r="BQ11" t="b">
            <v>0</v>
          </cell>
          <cell r="BR11" t="b">
            <v>0</v>
          </cell>
          <cell r="BS11">
            <v>6</v>
          </cell>
          <cell r="BT11" t="str">
            <v/>
          </cell>
          <cell r="BV11" t="b">
            <v>0</v>
          </cell>
          <cell r="BW11">
            <v>6</v>
          </cell>
          <cell r="BX11" t="str">
            <v>Owl</v>
          </cell>
          <cell r="BY11" t="b">
            <v>0</v>
          </cell>
          <cell r="BZ11" t="b">
            <v>0</v>
          </cell>
          <cell r="CA11">
            <v>6</v>
          </cell>
          <cell r="CB11" t="str">
            <v/>
          </cell>
          <cell r="CD11" t="b">
            <v>0</v>
          </cell>
          <cell r="CE11">
            <v>6</v>
          </cell>
          <cell r="CF11" t="str">
            <v/>
          </cell>
          <cell r="CJ11" t="str">
            <v>Copper</v>
          </cell>
          <cell r="CN11">
            <v>0</v>
          </cell>
          <cell r="CP11">
            <v>2</v>
          </cell>
          <cell r="CQ11">
            <v>0</v>
          </cell>
          <cell r="CR11">
            <v>0</v>
          </cell>
          <cell r="CS11">
            <v>0</v>
          </cell>
        </row>
        <row r="12">
          <cell r="A12" t="str">
            <v>Badger</v>
          </cell>
          <cell r="C12" t="str">
            <v>Small</v>
          </cell>
          <cell r="D12" t="str">
            <v>Animal</v>
          </cell>
          <cell r="F12">
            <v>1</v>
          </cell>
          <cell r="G12">
            <v>30</v>
          </cell>
          <cell r="H12">
            <v>10</v>
          </cell>
          <cell r="M12">
            <v>1</v>
          </cell>
          <cell r="N12" t="str">
            <v>2 Claws+3+0+1,Bite+4+0+0</v>
          </cell>
          <cell r="S12" t="str">
            <v>normal</v>
          </cell>
          <cell r="AA12">
            <v>8</v>
          </cell>
          <cell r="AB12">
            <v>17</v>
          </cell>
          <cell r="AC12">
            <v>15</v>
          </cell>
          <cell r="AD12">
            <v>3</v>
          </cell>
          <cell r="AE12">
            <v>12</v>
          </cell>
          <cell r="AF12">
            <v>6</v>
          </cell>
          <cell r="BG12">
            <v>1</v>
          </cell>
          <cell r="BM12" t="str">
            <v>MM</v>
          </cell>
          <cell r="BN12">
            <v>268</v>
          </cell>
          <cell r="BP12" t="b">
            <v>1</v>
          </cell>
          <cell r="BQ12" t="b">
            <v>0</v>
          </cell>
          <cell r="BR12" t="b">
            <v>0</v>
          </cell>
          <cell r="BS12">
            <v>6</v>
          </cell>
          <cell r="BT12" t="str">
            <v/>
          </cell>
          <cell r="BV12" t="b">
            <v>0</v>
          </cell>
          <cell r="BW12">
            <v>6</v>
          </cell>
          <cell r="BX12" t="str">
            <v>Rat</v>
          </cell>
          <cell r="BY12" t="b">
            <v>1</v>
          </cell>
          <cell r="BZ12" t="b">
            <v>0</v>
          </cell>
          <cell r="CA12">
            <v>6</v>
          </cell>
          <cell r="CB12" t="str">
            <v/>
          </cell>
          <cell r="CD12" t="b">
            <v>0</v>
          </cell>
          <cell r="CE12">
            <v>6</v>
          </cell>
          <cell r="CF12" t="str">
            <v/>
          </cell>
          <cell r="CJ12" t="str">
            <v>Force</v>
          </cell>
          <cell r="CN12">
            <v>12</v>
          </cell>
          <cell r="CP12">
            <v>3</v>
          </cell>
          <cell r="CQ12">
            <v>2</v>
          </cell>
          <cell r="CR12">
            <v>2</v>
          </cell>
          <cell r="CS12">
            <v>1</v>
          </cell>
          <cell r="CT12" t="str">
            <v>Evasion</v>
          </cell>
        </row>
        <row r="13">
          <cell r="A13" t="str">
            <v>Basilisk</v>
          </cell>
          <cell r="D13" t="str">
            <v>Magical Beast</v>
          </cell>
          <cell r="N13" t="str">
            <v/>
          </cell>
          <cell r="BG13">
            <v>10</v>
          </cell>
          <cell r="BM13" t="str">
            <v>MM</v>
          </cell>
          <cell r="BN13">
            <v>23</v>
          </cell>
          <cell r="BP13" t="b">
            <v>1</v>
          </cell>
          <cell r="BQ13" t="b">
            <v>0</v>
          </cell>
          <cell r="BR13" t="b">
            <v>0</v>
          </cell>
          <cell r="BS13">
            <v>6</v>
          </cell>
          <cell r="BT13" t="str">
            <v/>
          </cell>
          <cell r="BV13" t="b">
            <v>0</v>
          </cell>
          <cell r="BW13">
            <v>6</v>
          </cell>
          <cell r="BX13" t="str">
            <v>Raven</v>
          </cell>
          <cell r="BY13" t="b">
            <v>0</v>
          </cell>
          <cell r="BZ13" t="b">
            <v>0</v>
          </cell>
          <cell r="CA13">
            <v>6</v>
          </cell>
          <cell r="CB13" t="str">
            <v/>
          </cell>
          <cell r="CD13" t="b">
            <v>0</v>
          </cell>
          <cell r="CE13">
            <v>6</v>
          </cell>
          <cell r="CF13" t="str">
            <v/>
          </cell>
          <cell r="CJ13" t="str">
            <v>Gold</v>
          </cell>
          <cell r="CP13">
            <v>4</v>
          </cell>
          <cell r="CQ13">
            <v>2</v>
          </cell>
          <cell r="CR13">
            <v>2</v>
          </cell>
          <cell r="CS13">
            <v>1</v>
          </cell>
        </row>
        <row r="14">
          <cell r="A14" t="str">
            <v>Bat</v>
          </cell>
          <cell r="C14" t="str">
            <v>Diminutive</v>
          </cell>
          <cell r="D14" t="str">
            <v>Animal</v>
          </cell>
          <cell r="F14">
            <v>0.25</v>
          </cell>
          <cell r="G14">
            <v>5</v>
          </cell>
          <cell r="J14">
            <v>40</v>
          </cell>
          <cell r="K14" t="str">
            <v>good</v>
          </cell>
          <cell r="M14">
            <v>0</v>
          </cell>
          <cell r="O14" t="str">
            <v xml:space="preserve"> ;</v>
          </cell>
          <cell r="S14" t="str">
            <v>normal</v>
          </cell>
          <cell r="AA14">
            <v>1</v>
          </cell>
          <cell r="AB14">
            <v>15</v>
          </cell>
          <cell r="AC14">
            <v>10</v>
          </cell>
          <cell r="AD14">
            <v>2</v>
          </cell>
          <cell r="AE14">
            <v>14</v>
          </cell>
          <cell r="AF14">
            <v>4</v>
          </cell>
          <cell r="AG14" t="str">
            <v>0;0</v>
          </cell>
          <cell r="AH14" t="str">
            <v>0;0</v>
          </cell>
          <cell r="AI14" t="str">
            <v>0;0</v>
          </cell>
          <cell r="AJ14" t="str">
            <v>0;0</v>
          </cell>
          <cell r="AK14" t="str">
            <v>0;0</v>
          </cell>
          <cell r="AL14" t="str">
            <v>0;12</v>
          </cell>
          <cell r="AN14" t="str">
            <v>0;0</v>
          </cell>
          <cell r="AO14" t="str">
            <v>0;-12</v>
          </cell>
          <cell r="AP14" t="str">
            <v>0;6</v>
          </cell>
          <cell r="AQ14" t="str">
            <v>4;0</v>
          </cell>
          <cell r="AR14" t="str">
            <v>0;0</v>
          </cell>
          <cell r="AS14" t="str">
            <v>0;0</v>
          </cell>
          <cell r="AT14" t="str">
            <v>0;0</v>
          </cell>
          <cell r="AU14" t="str">
            <v>0;6</v>
          </cell>
          <cell r="AV14" t="str">
            <v>0;0</v>
          </cell>
          <cell r="AW14" t="str">
            <v>0;0</v>
          </cell>
          <cell r="AX14" t="str">
            <v>Alertness</v>
          </cell>
          <cell r="BA14">
            <v>0</v>
          </cell>
          <cell r="BB14" t="str">
            <v>Neutral</v>
          </cell>
          <cell r="BD14" t="str">
            <v>Blindsense 10"</v>
          </cell>
          <cell r="BF14">
            <v>1</v>
          </cell>
          <cell r="BH14" t="str">
            <v>Normal</v>
          </cell>
          <cell r="BM14" t="str">
            <v>MM</v>
          </cell>
          <cell r="BN14">
            <v>268</v>
          </cell>
          <cell r="BP14" t="b">
            <v>1</v>
          </cell>
          <cell r="BQ14" t="b">
            <v>1</v>
          </cell>
          <cell r="BR14" t="b">
            <v>0</v>
          </cell>
          <cell r="BS14">
            <v>6</v>
          </cell>
          <cell r="BT14" t="str">
            <v/>
          </cell>
          <cell r="BV14" t="b">
            <v>1</v>
          </cell>
          <cell r="BW14">
            <v>7</v>
          </cell>
          <cell r="BX14" t="str">
            <v>Snake, Tiny Viper</v>
          </cell>
          <cell r="BZ14" t="b">
            <v>0</v>
          </cell>
          <cell r="CA14">
            <v>6</v>
          </cell>
          <cell r="CB14" t="str">
            <v/>
          </cell>
          <cell r="CD14" t="b">
            <v>0</v>
          </cell>
          <cell r="CE14">
            <v>6</v>
          </cell>
          <cell r="CF14" t="str">
            <v/>
          </cell>
          <cell r="CJ14" t="str">
            <v>Green</v>
          </cell>
          <cell r="CP14">
            <v>5</v>
          </cell>
          <cell r="CQ14">
            <v>2</v>
          </cell>
          <cell r="CR14">
            <v>2</v>
          </cell>
          <cell r="CS14">
            <v>1</v>
          </cell>
        </row>
        <row r="15">
          <cell r="A15" t="str">
            <v>Bear, Black</v>
          </cell>
          <cell r="C15" t="str">
            <v>Medium</v>
          </cell>
          <cell r="D15" t="str">
            <v>Animal</v>
          </cell>
          <cell r="F15">
            <v>3</v>
          </cell>
          <cell r="G15">
            <v>40</v>
          </cell>
          <cell r="M15">
            <v>2</v>
          </cell>
          <cell r="N15" t="str">
            <v>2 Claws+4+0+1,Bite+5+0+0</v>
          </cell>
          <cell r="O15" t="str">
            <v>1d4;1d6</v>
          </cell>
          <cell r="S15" t="str">
            <v>normal</v>
          </cell>
          <cell r="AA15">
            <v>19</v>
          </cell>
          <cell r="AB15">
            <v>13</v>
          </cell>
          <cell r="AC15">
            <v>15</v>
          </cell>
          <cell r="AD15">
            <v>2</v>
          </cell>
          <cell r="AE15">
            <v>12</v>
          </cell>
          <cell r="AF15">
            <v>6</v>
          </cell>
          <cell r="BG15">
            <v>4</v>
          </cell>
          <cell r="BM15" t="str">
            <v>MM</v>
          </cell>
          <cell r="BN15">
            <v>269</v>
          </cell>
          <cell r="BP15" t="b">
            <v>1</v>
          </cell>
          <cell r="BQ15" t="b">
            <v>0</v>
          </cell>
          <cell r="BR15" t="b">
            <v>0</v>
          </cell>
          <cell r="BS15">
            <v>6</v>
          </cell>
          <cell r="BT15" t="str">
            <v/>
          </cell>
          <cell r="BV15" t="b">
            <v>0</v>
          </cell>
          <cell r="BW15">
            <v>7</v>
          </cell>
          <cell r="BX15" t="str">
            <v>Toad</v>
          </cell>
          <cell r="BY15" t="b">
            <v>1</v>
          </cell>
          <cell r="BZ15" t="b">
            <v>0</v>
          </cell>
          <cell r="CA15">
            <v>6</v>
          </cell>
          <cell r="CB15" t="str">
            <v/>
          </cell>
          <cell r="CD15" t="b">
            <v>0</v>
          </cell>
          <cell r="CE15">
            <v>6</v>
          </cell>
          <cell r="CF15" t="str">
            <v/>
          </cell>
          <cell r="CJ15" t="str">
            <v>Prismatic</v>
          </cell>
          <cell r="CP15">
            <v>6</v>
          </cell>
          <cell r="CQ15">
            <v>4</v>
          </cell>
          <cell r="CR15">
            <v>4</v>
          </cell>
          <cell r="CS15">
            <v>2</v>
          </cell>
          <cell r="CT15" t="str">
            <v>Devotion</v>
          </cell>
        </row>
        <row r="16">
          <cell r="A16" t="str">
            <v>Bear, Brown</v>
          </cell>
          <cell r="C16" t="str">
            <v>Large</v>
          </cell>
          <cell r="D16" t="str">
            <v>Animal</v>
          </cell>
          <cell r="F16">
            <v>6</v>
          </cell>
          <cell r="G16">
            <v>40</v>
          </cell>
          <cell r="M16">
            <v>2</v>
          </cell>
          <cell r="N16" t="str">
            <v>2 Claws+5+0+1,Bite+6-1+0</v>
          </cell>
          <cell r="S16" t="str">
            <v>normal</v>
          </cell>
          <cell r="AA16">
            <v>27</v>
          </cell>
          <cell r="AB16">
            <v>13</v>
          </cell>
          <cell r="AC16">
            <v>19</v>
          </cell>
          <cell r="AD16">
            <v>2</v>
          </cell>
          <cell r="AE16">
            <v>12</v>
          </cell>
          <cell r="AF16">
            <v>6</v>
          </cell>
          <cell r="AG16" t="str">
            <v>listen,spot,swim</v>
          </cell>
          <cell r="BA16">
            <v>4</v>
          </cell>
          <cell r="BB16" t="str">
            <v>Lawful Good</v>
          </cell>
          <cell r="BG16">
            <v>7</v>
          </cell>
          <cell r="BM16" t="str">
            <v>MM</v>
          </cell>
          <cell r="BN16">
            <v>269</v>
          </cell>
          <cell r="BP16" t="b">
            <v>1</v>
          </cell>
          <cell r="BQ16" t="b">
            <v>1</v>
          </cell>
          <cell r="BR16" t="b">
            <v>0</v>
          </cell>
          <cell r="BS16">
            <v>6</v>
          </cell>
          <cell r="BT16" t="str">
            <v/>
          </cell>
          <cell r="BV16" t="b">
            <v>0</v>
          </cell>
          <cell r="BW16">
            <v>7</v>
          </cell>
          <cell r="BX16" t="str">
            <v>Weasel</v>
          </cell>
          <cell r="BY16" t="b">
            <v>1</v>
          </cell>
          <cell r="BZ16" t="b">
            <v>0</v>
          </cell>
          <cell r="CA16">
            <v>6</v>
          </cell>
          <cell r="CB16" t="str">
            <v/>
          </cell>
          <cell r="CD16" t="b">
            <v>0</v>
          </cell>
          <cell r="CE16">
            <v>6</v>
          </cell>
          <cell r="CF16" t="str">
            <v/>
          </cell>
          <cell r="CJ16" t="str">
            <v>Red</v>
          </cell>
          <cell r="CP16">
            <v>7</v>
          </cell>
          <cell r="CQ16">
            <v>4</v>
          </cell>
          <cell r="CR16">
            <v>4</v>
          </cell>
          <cell r="CS16">
            <v>2</v>
          </cell>
        </row>
        <row r="17">
          <cell r="A17" t="str">
            <v>Bear, Polar</v>
          </cell>
          <cell r="C17" t="str">
            <v>Large</v>
          </cell>
          <cell r="D17" t="str">
            <v>Animal</v>
          </cell>
          <cell r="F17">
            <v>8</v>
          </cell>
          <cell r="G17">
            <v>40</v>
          </cell>
          <cell r="L17">
            <v>30</v>
          </cell>
          <cell r="M17">
            <v>5</v>
          </cell>
          <cell r="N17" t="str">
            <v>2 Claws+5+0+1,Bite+7+0+0</v>
          </cell>
          <cell r="O17" t="str">
            <v>1d8;2d8</v>
          </cell>
          <cell r="S17" t="str">
            <v>normal</v>
          </cell>
          <cell r="AA17">
            <v>27</v>
          </cell>
          <cell r="AB17">
            <v>13</v>
          </cell>
          <cell r="AC17">
            <v>19</v>
          </cell>
          <cell r="AD17">
            <v>2</v>
          </cell>
          <cell r="AE17">
            <v>12</v>
          </cell>
          <cell r="AF17">
            <v>6</v>
          </cell>
          <cell r="BG17">
            <v>10</v>
          </cell>
          <cell r="BM17" t="str">
            <v>MM</v>
          </cell>
          <cell r="BN17">
            <v>269</v>
          </cell>
          <cell r="BP17" t="b">
            <v>1</v>
          </cell>
          <cell r="BQ17" t="b">
            <v>0</v>
          </cell>
          <cell r="BR17" t="b">
            <v>0</v>
          </cell>
          <cell r="BS17">
            <v>6</v>
          </cell>
          <cell r="BT17" t="str">
            <v/>
          </cell>
          <cell r="BV17" t="b">
            <v>0</v>
          </cell>
          <cell r="BW17">
            <v>7</v>
          </cell>
          <cell r="BX17" t="str">
            <v>Custom Familiar</v>
          </cell>
          <cell r="BY17" t="b">
            <v>1</v>
          </cell>
          <cell r="BZ17" t="b">
            <v>0</v>
          </cell>
          <cell r="CA17">
            <v>6</v>
          </cell>
          <cell r="CB17" t="str">
            <v/>
          </cell>
          <cell r="CD17" t="b">
            <v>0</v>
          </cell>
          <cell r="CE17">
            <v>6</v>
          </cell>
          <cell r="CF17" t="str">
            <v/>
          </cell>
          <cell r="CJ17" t="str">
            <v>Silver</v>
          </cell>
          <cell r="CP17">
            <v>8</v>
          </cell>
          <cell r="CQ17">
            <v>4</v>
          </cell>
          <cell r="CR17">
            <v>4</v>
          </cell>
          <cell r="CS17">
            <v>2</v>
          </cell>
        </row>
        <row r="18">
          <cell r="A18" t="str">
            <v>Bison</v>
          </cell>
          <cell r="C18" t="str">
            <v>Large</v>
          </cell>
          <cell r="D18" t="str">
            <v>Animal</v>
          </cell>
          <cell r="N18" t="str">
            <v/>
          </cell>
          <cell r="BG18">
            <v>4</v>
          </cell>
          <cell r="BM18" t="str">
            <v>MM</v>
          </cell>
          <cell r="BN18">
            <v>269</v>
          </cell>
          <cell r="BP18" t="b">
            <v>1</v>
          </cell>
          <cell r="BQ18" t="b">
            <v>0</v>
          </cell>
          <cell r="BR18" t="b">
            <v>0</v>
          </cell>
          <cell r="BS18">
            <v>6</v>
          </cell>
          <cell r="BT18" t="str">
            <v/>
          </cell>
          <cell r="BV18" t="b">
            <v>0</v>
          </cell>
          <cell r="BW18">
            <v>7</v>
          </cell>
          <cell r="BX18" t="str">
            <v/>
          </cell>
          <cell r="BY18" t="b">
            <v>1</v>
          </cell>
          <cell r="BZ18" t="b">
            <v>0</v>
          </cell>
          <cell r="CA18">
            <v>6</v>
          </cell>
          <cell r="CB18" t="str">
            <v/>
          </cell>
          <cell r="CD18" t="b">
            <v>0</v>
          </cell>
          <cell r="CE18">
            <v>6</v>
          </cell>
          <cell r="CF18" t="str">
            <v/>
          </cell>
          <cell r="CJ18" t="str">
            <v>White</v>
          </cell>
          <cell r="CP18">
            <v>9</v>
          </cell>
          <cell r="CQ18">
            <v>6</v>
          </cell>
          <cell r="CR18">
            <v>6</v>
          </cell>
          <cell r="CS18">
            <v>3</v>
          </cell>
          <cell r="CT18" t="str">
            <v>Multiattack</v>
          </cell>
        </row>
        <row r="19">
          <cell r="A19" t="str">
            <v>Blink Dog</v>
          </cell>
          <cell r="C19" t="str">
            <v>Medium</v>
          </cell>
          <cell r="D19" t="str">
            <v>Magical Beast</v>
          </cell>
          <cell r="F19">
            <v>4</v>
          </cell>
          <cell r="G19">
            <v>40</v>
          </cell>
          <cell r="M19">
            <v>3</v>
          </cell>
          <cell r="N19" t="str">
            <v>Bite+5+0+2</v>
          </cell>
          <cell r="O19" t="str">
            <v>1d6;</v>
          </cell>
          <cell r="S19" t="str">
            <v>normal</v>
          </cell>
          <cell r="T19">
            <v>60</v>
          </cell>
          <cell r="AA19">
            <v>10</v>
          </cell>
          <cell r="AB19">
            <v>17</v>
          </cell>
          <cell r="AC19">
            <v>10</v>
          </cell>
          <cell r="AD19">
            <v>10</v>
          </cell>
          <cell r="AE19">
            <v>13</v>
          </cell>
          <cell r="AF19">
            <v>11</v>
          </cell>
          <cell r="AG19" t="str">
            <v>0;0</v>
          </cell>
          <cell r="AH19" t="str">
            <v>0;0</v>
          </cell>
          <cell r="AI19" t="str">
            <v>0;0</v>
          </cell>
          <cell r="AJ19" t="str">
            <v>0;0</v>
          </cell>
          <cell r="AK19" t="str">
            <v>0;0</v>
          </cell>
          <cell r="AL19" t="str">
            <v>0;0</v>
          </cell>
          <cell r="AN19" t="str">
            <v>0;0</v>
          </cell>
          <cell r="AO19" t="str">
            <v>0;4</v>
          </cell>
          <cell r="AP19" t="str">
            <v>4;0</v>
          </cell>
          <cell r="AQ19" t="str">
            <v>0;0</v>
          </cell>
          <cell r="AR19" t="str">
            <v>0;0</v>
          </cell>
          <cell r="AS19" t="str">
            <v>2;0</v>
          </cell>
          <cell r="AT19" t="str">
            <v>0;0</v>
          </cell>
          <cell r="AU19" t="str">
            <v>4;0</v>
          </cell>
          <cell r="AV19" t="str">
            <v>3;0</v>
          </cell>
          <cell r="AW19" t="str">
            <v>0;0</v>
          </cell>
          <cell r="AX19" t="str">
            <v>Iron Will;Run;Track;</v>
          </cell>
          <cell r="BB19" t="str">
            <v>Lawful Good</v>
          </cell>
          <cell r="BD19" t="str">
            <v>Blink;Dimension Door;Scent</v>
          </cell>
          <cell r="BF19">
            <v>5</v>
          </cell>
          <cell r="BG19">
            <v>4</v>
          </cell>
          <cell r="BH19" t="str">
            <v>Improved</v>
          </cell>
          <cell r="BM19" t="str">
            <v>MM</v>
          </cell>
          <cell r="BN19">
            <v>28</v>
          </cell>
          <cell r="BO19" t="str">
            <v>CW</v>
          </cell>
          <cell r="BP19" t="b">
            <v>1</v>
          </cell>
          <cell r="BQ19" t="b">
            <v>0</v>
          </cell>
          <cell r="BR19" t="b">
            <v>0</v>
          </cell>
          <cell r="BS19">
            <v>6</v>
          </cell>
          <cell r="BT19" t="str">
            <v/>
          </cell>
          <cell r="BU19" t="b">
            <v>0</v>
          </cell>
          <cell r="BV19" t="b">
            <v>0</v>
          </cell>
          <cell r="BW19">
            <v>7</v>
          </cell>
          <cell r="BX19" t="str">
            <v/>
          </cell>
          <cell r="BY19" t="b">
            <v>0</v>
          </cell>
          <cell r="BZ19" t="b">
            <v>0</v>
          </cell>
          <cell r="CA19">
            <v>6</v>
          </cell>
          <cell r="CB19" t="str">
            <v/>
          </cell>
          <cell r="CC19" t="b">
            <v>0</v>
          </cell>
          <cell r="CD19" t="b">
            <v>0</v>
          </cell>
          <cell r="CE19">
            <v>6</v>
          </cell>
          <cell r="CF19" t="str">
            <v/>
          </cell>
          <cell r="CJ19" t="str">
            <v/>
          </cell>
          <cell r="CP19">
            <v>10</v>
          </cell>
          <cell r="CQ19">
            <v>6</v>
          </cell>
          <cell r="CR19">
            <v>6</v>
          </cell>
          <cell r="CS19">
            <v>3</v>
          </cell>
        </row>
        <row r="20">
          <cell r="A20" t="str">
            <v>Boar</v>
          </cell>
          <cell r="C20" t="str">
            <v>Medium</v>
          </cell>
          <cell r="D20" t="str">
            <v>Animal</v>
          </cell>
          <cell r="F20">
            <v>3</v>
          </cell>
          <cell r="G20">
            <v>40</v>
          </cell>
          <cell r="M20">
            <v>2</v>
          </cell>
          <cell r="N20" t="str">
            <v>Gore+6+0+2</v>
          </cell>
          <cell r="S20" t="str">
            <v>normal</v>
          </cell>
          <cell r="AA20">
            <v>15</v>
          </cell>
          <cell r="AB20">
            <v>10</v>
          </cell>
          <cell r="AC20">
            <v>17</v>
          </cell>
          <cell r="AD20">
            <v>2</v>
          </cell>
          <cell r="AE20">
            <v>13</v>
          </cell>
          <cell r="AF20">
            <v>4</v>
          </cell>
          <cell r="AG20" t="str">
            <v>listen,spot</v>
          </cell>
          <cell r="BA20">
            <v>3</v>
          </cell>
          <cell r="BB20" t="str">
            <v>Neutral</v>
          </cell>
          <cell r="BG20">
            <v>4</v>
          </cell>
          <cell r="BM20" t="str">
            <v>MM</v>
          </cell>
          <cell r="BN20">
            <v>270</v>
          </cell>
          <cell r="BP20" t="b">
            <v>1</v>
          </cell>
          <cell r="BQ20" t="b">
            <v>1</v>
          </cell>
          <cell r="BR20" t="b">
            <v>0</v>
          </cell>
          <cell r="BS20">
            <v>6</v>
          </cell>
          <cell r="BT20" t="str">
            <v/>
          </cell>
          <cell r="BV20" t="b">
            <v>0</v>
          </cell>
          <cell r="BW20">
            <v>7</v>
          </cell>
          <cell r="BX20" t="str">
            <v/>
          </cell>
          <cell r="BY20" t="b">
            <v>1</v>
          </cell>
          <cell r="BZ20" t="b">
            <v>0</v>
          </cell>
          <cell r="CA20">
            <v>6</v>
          </cell>
          <cell r="CB20" t="str">
            <v/>
          </cell>
          <cell r="CD20" t="b">
            <v>0</v>
          </cell>
          <cell r="CE20">
            <v>6</v>
          </cell>
          <cell r="CF20" t="str">
            <v/>
          </cell>
          <cell r="CJ20" t="str">
            <v/>
          </cell>
          <cell r="CP20">
            <v>11</v>
          </cell>
          <cell r="CQ20">
            <v>6</v>
          </cell>
          <cell r="CR20">
            <v>6</v>
          </cell>
          <cell r="CS20">
            <v>3</v>
          </cell>
        </row>
        <row r="21">
          <cell r="A21" t="str">
            <v>Bull</v>
          </cell>
          <cell r="C21" t="str">
            <v>Large</v>
          </cell>
          <cell r="D21" t="str">
            <v>Animal</v>
          </cell>
          <cell r="N21" t="str">
            <v/>
          </cell>
          <cell r="BG21">
            <v>7</v>
          </cell>
          <cell r="BM21" t="str">
            <v>PGtA</v>
          </cell>
          <cell r="BP21" t="b">
            <v>0</v>
          </cell>
          <cell r="BQ21" t="b">
            <v>0</v>
          </cell>
          <cell r="BR21" t="b">
            <v>0</v>
          </cell>
          <cell r="BS21">
            <v>6</v>
          </cell>
          <cell r="BT21" t="str">
            <v/>
          </cell>
          <cell r="BV21" t="b">
            <v>0</v>
          </cell>
          <cell r="BW21">
            <v>7</v>
          </cell>
          <cell r="BX21" t="str">
            <v/>
          </cell>
          <cell r="BY21" t="b">
            <v>1</v>
          </cell>
          <cell r="BZ21" t="b">
            <v>0</v>
          </cell>
          <cell r="CA21">
            <v>6</v>
          </cell>
          <cell r="CB21" t="str">
            <v/>
          </cell>
          <cell r="CD21" t="b">
            <v>0</v>
          </cell>
          <cell r="CE21">
            <v>6</v>
          </cell>
          <cell r="CF21" t="str">
            <v/>
          </cell>
          <cell r="CJ21" t="str">
            <v/>
          </cell>
          <cell r="CP21">
            <v>12</v>
          </cell>
          <cell r="CQ21">
            <v>8</v>
          </cell>
          <cell r="CR21">
            <v>8</v>
          </cell>
          <cell r="CS21">
            <v>4</v>
          </cell>
        </row>
        <row r="22">
          <cell r="A22" t="str">
            <v>Bullete</v>
          </cell>
          <cell r="D22" t="str">
            <v>Magical Beast</v>
          </cell>
          <cell r="N22" t="str">
            <v/>
          </cell>
          <cell r="BG22">
            <v>13</v>
          </cell>
          <cell r="BM22" t="str">
            <v>MM</v>
          </cell>
          <cell r="BN22">
            <v>30</v>
          </cell>
          <cell r="BP22" t="b">
            <v>1</v>
          </cell>
          <cell r="BQ22" t="b">
            <v>0</v>
          </cell>
          <cell r="BR22" t="b">
            <v>0</v>
          </cell>
          <cell r="BS22">
            <v>6</v>
          </cell>
          <cell r="BT22" t="str">
            <v/>
          </cell>
          <cell r="BV22" t="b">
            <v>0</v>
          </cell>
          <cell r="BW22">
            <v>7</v>
          </cell>
          <cell r="BX22" t="str">
            <v/>
          </cell>
          <cell r="BY22" t="b">
            <v>0</v>
          </cell>
          <cell r="BZ22" t="b">
            <v>0</v>
          </cell>
          <cell r="CA22">
            <v>6</v>
          </cell>
          <cell r="CB22" t="str">
            <v/>
          </cell>
          <cell r="CD22" t="b">
            <v>0</v>
          </cell>
          <cell r="CE22">
            <v>6</v>
          </cell>
          <cell r="CF22" t="str">
            <v/>
          </cell>
          <cell r="CJ22" t="str">
            <v/>
          </cell>
          <cell r="CP22">
            <v>13</v>
          </cell>
          <cell r="CQ22">
            <v>8</v>
          </cell>
          <cell r="CR22">
            <v>8</v>
          </cell>
          <cell r="CS22">
            <v>4</v>
          </cell>
        </row>
        <row r="23">
          <cell r="A23" t="str">
            <v>Camel</v>
          </cell>
          <cell r="C23" t="str">
            <v>Large</v>
          </cell>
          <cell r="D23" t="str">
            <v>Animal</v>
          </cell>
          <cell r="N23" t="str">
            <v/>
          </cell>
          <cell r="BG23">
            <v>1</v>
          </cell>
          <cell r="BM23" t="str">
            <v>MM</v>
          </cell>
          <cell r="BN23">
            <v>270</v>
          </cell>
          <cell r="BP23" t="b">
            <v>1</v>
          </cell>
          <cell r="BQ23" t="b">
            <v>0</v>
          </cell>
          <cell r="BR23" t="b">
            <v>0</v>
          </cell>
          <cell r="BS23">
            <v>6</v>
          </cell>
          <cell r="BT23" t="str">
            <v/>
          </cell>
          <cell r="BV23" t="b">
            <v>0</v>
          </cell>
          <cell r="BW23">
            <v>7</v>
          </cell>
          <cell r="BX23" t="str">
            <v/>
          </cell>
          <cell r="BY23" t="b">
            <v>1</v>
          </cell>
          <cell r="BZ23" t="b">
            <v>0</v>
          </cell>
          <cell r="CA23">
            <v>6</v>
          </cell>
          <cell r="CB23" t="str">
            <v/>
          </cell>
          <cell r="CD23" t="b">
            <v>0</v>
          </cell>
          <cell r="CE23">
            <v>6</v>
          </cell>
          <cell r="CF23" t="str">
            <v/>
          </cell>
          <cell r="CJ23" t="str">
            <v/>
          </cell>
          <cell r="CP23">
            <v>14</v>
          </cell>
          <cell r="CQ23">
            <v>8</v>
          </cell>
          <cell r="CR23">
            <v>8</v>
          </cell>
          <cell r="CS23">
            <v>4</v>
          </cell>
        </row>
        <row r="24">
          <cell r="A24" t="str">
            <v>Carp</v>
          </cell>
          <cell r="C24" t="str">
            <v>Diminutive</v>
          </cell>
          <cell r="D24" t="str">
            <v>Animal</v>
          </cell>
          <cell r="E24" t="str">
            <v>Aquatic</v>
          </cell>
          <cell r="F24">
            <v>1</v>
          </cell>
          <cell r="L24">
            <v>10</v>
          </cell>
          <cell r="S24" t="str">
            <v>normal</v>
          </cell>
          <cell r="AA24">
            <v>1</v>
          </cell>
          <cell r="AB24">
            <v>20</v>
          </cell>
          <cell r="AC24">
            <v>10</v>
          </cell>
          <cell r="BM24" t="str">
            <v>OA</v>
          </cell>
          <cell r="BP24" t="b">
            <v>0</v>
          </cell>
          <cell r="BQ24" t="b">
            <v>0</v>
          </cell>
          <cell r="BR24" t="b">
            <v>0</v>
          </cell>
          <cell r="BS24">
            <v>6</v>
          </cell>
          <cell r="BT24" t="str">
            <v/>
          </cell>
          <cell r="BV24" t="b">
            <v>0</v>
          </cell>
          <cell r="BW24">
            <v>7</v>
          </cell>
          <cell r="BX24" t="str">
            <v/>
          </cell>
          <cell r="BZ24" t="b">
            <v>0</v>
          </cell>
          <cell r="CA24">
            <v>6</v>
          </cell>
          <cell r="CB24" t="str">
            <v/>
          </cell>
          <cell r="CD24" t="b">
            <v>0</v>
          </cell>
          <cell r="CE24">
            <v>6</v>
          </cell>
          <cell r="CF24" t="str">
            <v/>
          </cell>
          <cell r="CJ24" t="str">
            <v/>
          </cell>
          <cell r="CP24">
            <v>15</v>
          </cell>
          <cell r="CQ24">
            <v>10</v>
          </cell>
          <cell r="CR24">
            <v>10</v>
          </cell>
          <cell r="CS24">
            <v>5</v>
          </cell>
          <cell r="CT24" t="str">
            <v>Improved Evasion</v>
          </cell>
        </row>
        <row r="25">
          <cell r="A25" t="str">
            <v>Cat</v>
          </cell>
          <cell r="C25" t="str">
            <v>Tiny</v>
          </cell>
          <cell r="D25" t="str">
            <v>Animal</v>
          </cell>
          <cell r="F25">
            <v>0.5</v>
          </cell>
          <cell r="G25">
            <v>30</v>
          </cell>
          <cell r="M25">
            <v>0</v>
          </cell>
          <cell r="N25" t="str">
            <v>2 Claws+4+0+1,Bite+5+0+0</v>
          </cell>
          <cell r="O25" t="str">
            <v>1d2;1d3;</v>
          </cell>
          <cell r="S25" t="str">
            <v>normal</v>
          </cell>
          <cell r="AA25">
            <v>3</v>
          </cell>
          <cell r="AB25">
            <v>15</v>
          </cell>
          <cell r="AC25">
            <v>10</v>
          </cell>
          <cell r="AD25">
            <v>2</v>
          </cell>
          <cell r="AE25">
            <v>12</v>
          </cell>
          <cell r="AF25">
            <v>7</v>
          </cell>
          <cell r="AG25" t="str">
            <v>0;8</v>
          </cell>
          <cell r="AH25" t="str">
            <v>0;0</v>
          </cell>
          <cell r="AI25" t="str">
            <v>0;4</v>
          </cell>
          <cell r="AJ25" t="str">
            <v>0;0</v>
          </cell>
          <cell r="AK25" t="str">
            <v>0;0</v>
          </cell>
          <cell r="AL25" t="str">
            <v>0;12</v>
          </cell>
          <cell r="AN25" t="str">
            <v>0;0</v>
          </cell>
          <cell r="AO25" t="str">
            <v>0;8</v>
          </cell>
          <cell r="AP25" t="str">
            <v>2;0</v>
          </cell>
          <cell r="AQ25" t="str">
            <v>0;4</v>
          </cell>
          <cell r="AR25" t="str">
            <v>0;0</v>
          </cell>
          <cell r="AS25" t="str">
            <v>0;0</v>
          </cell>
          <cell r="AT25" t="str">
            <v>0;0</v>
          </cell>
          <cell r="AU25" t="str">
            <v>2;0</v>
          </cell>
          <cell r="AV25" t="str">
            <v>0;0</v>
          </cell>
          <cell r="AW25" t="str">
            <v>0;0</v>
          </cell>
          <cell r="AX25" t="str">
            <v>Weapon Finesse</v>
          </cell>
          <cell r="BA25">
            <v>0</v>
          </cell>
          <cell r="BB25" t="str">
            <v>Neutral</v>
          </cell>
          <cell r="BD25" t="str">
            <v>Scent</v>
          </cell>
          <cell r="BF25">
            <v>1</v>
          </cell>
          <cell r="BH25" t="str">
            <v>Normal</v>
          </cell>
          <cell r="BM25" t="str">
            <v>MM</v>
          </cell>
          <cell r="BN25">
            <v>270</v>
          </cell>
          <cell r="BP25" t="b">
            <v>1</v>
          </cell>
          <cell r="BQ25" t="b">
            <v>0</v>
          </cell>
          <cell r="BR25" t="b">
            <v>0</v>
          </cell>
          <cell r="BS25">
            <v>6</v>
          </cell>
          <cell r="BT25" t="str">
            <v/>
          </cell>
          <cell r="BV25" t="b">
            <v>1</v>
          </cell>
          <cell r="BW25">
            <v>8</v>
          </cell>
          <cell r="BX25" t="str">
            <v/>
          </cell>
          <cell r="BZ25" t="b">
            <v>0</v>
          </cell>
          <cell r="CA25">
            <v>6</v>
          </cell>
          <cell r="CB25" t="str">
            <v/>
          </cell>
          <cell r="CD25" t="b">
            <v>0</v>
          </cell>
          <cell r="CE25">
            <v>6</v>
          </cell>
          <cell r="CF25" t="str">
            <v/>
          </cell>
          <cell r="CJ25" t="str">
            <v/>
          </cell>
          <cell r="CP25">
            <v>16</v>
          </cell>
          <cell r="CQ25">
            <v>10</v>
          </cell>
          <cell r="CR25">
            <v>10</v>
          </cell>
          <cell r="CS25">
            <v>5</v>
          </cell>
        </row>
        <row r="26">
          <cell r="A26" t="str">
            <v>Cheetah</v>
          </cell>
          <cell r="C26" t="str">
            <v>Medium</v>
          </cell>
          <cell r="D26" t="str">
            <v>Animal</v>
          </cell>
          <cell r="F26">
            <v>3</v>
          </cell>
          <cell r="G26">
            <v>50</v>
          </cell>
          <cell r="M26">
            <v>1</v>
          </cell>
          <cell r="N26" t="str">
            <v>Bite+5+0+1,2 Claws+2+0+0</v>
          </cell>
          <cell r="S26" t="str">
            <v>normal</v>
          </cell>
          <cell r="AA26">
            <v>16</v>
          </cell>
          <cell r="AB26">
            <v>19</v>
          </cell>
          <cell r="AC26">
            <v>15</v>
          </cell>
          <cell r="AD26">
            <v>2</v>
          </cell>
          <cell r="AE26">
            <v>12</v>
          </cell>
          <cell r="AF26">
            <v>6</v>
          </cell>
          <cell r="BG26">
            <v>4</v>
          </cell>
          <cell r="BM26" t="str">
            <v>MM</v>
          </cell>
          <cell r="BN26">
            <v>271</v>
          </cell>
          <cell r="BP26" t="b">
            <v>1</v>
          </cell>
          <cell r="BQ26" t="b">
            <v>0</v>
          </cell>
          <cell r="BR26" t="b">
            <v>0</v>
          </cell>
          <cell r="BS26">
            <v>6</v>
          </cell>
          <cell r="BT26" t="str">
            <v/>
          </cell>
          <cell r="BV26" t="b">
            <v>0</v>
          </cell>
          <cell r="BW26">
            <v>8</v>
          </cell>
          <cell r="BX26" t="str">
            <v/>
          </cell>
          <cell r="BY26" t="b">
            <v>1</v>
          </cell>
          <cell r="BZ26" t="b">
            <v>0</v>
          </cell>
          <cell r="CA26">
            <v>6</v>
          </cell>
          <cell r="CB26" t="str">
            <v/>
          </cell>
          <cell r="CD26" t="b">
            <v>0</v>
          </cell>
          <cell r="CE26">
            <v>6</v>
          </cell>
          <cell r="CF26" t="str">
            <v/>
          </cell>
          <cell r="CJ26" t="str">
            <v/>
          </cell>
          <cell r="CP26">
            <v>17</v>
          </cell>
          <cell r="CQ26">
            <v>10</v>
          </cell>
          <cell r="CR26">
            <v>10</v>
          </cell>
          <cell r="CS26">
            <v>5</v>
          </cell>
        </row>
        <row r="27">
          <cell r="A27" t="str">
            <v>Chimera</v>
          </cell>
          <cell r="D27" t="str">
            <v>Magical Beast</v>
          </cell>
          <cell r="N27" t="str">
            <v/>
          </cell>
          <cell r="BG27">
            <v>13</v>
          </cell>
          <cell r="BM27" t="str">
            <v>MM</v>
          </cell>
          <cell r="BN27">
            <v>34</v>
          </cell>
          <cell r="BP27" t="b">
            <v>1</v>
          </cell>
          <cell r="BQ27" t="b">
            <v>0</v>
          </cell>
          <cell r="BR27" t="b">
            <v>0</v>
          </cell>
          <cell r="BS27">
            <v>6</v>
          </cell>
          <cell r="BT27" t="str">
            <v/>
          </cell>
          <cell r="BV27" t="b">
            <v>0</v>
          </cell>
          <cell r="BW27">
            <v>8</v>
          </cell>
          <cell r="BX27" t="str">
            <v/>
          </cell>
          <cell r="BY27" t="b">
            <v>0</v>
          </cell>
          <cell r="BZ27" t="b">
            <v>0</v>
          </cell>
          <cell r="CA27">
            <v>6</v>
          </cell>
          <cell r="CB27" t="str">
            <v/>
          </cell>
          <cell r="CD27" t="b">
            <v>0</v>
          </cell>
          <cell r="CE27">
            <v>6</v>
          </cell>
          <cell r="CF27" t="str">
            <v/>
          </cell>
          <cell r="CJ27" t="str">
            <v/>
          </cell>
          <cell r="CP27">
            <v>18</v>
          </cell>
          <cell r="CQ27">
            <v>12</v>
          </cell>
          <cell r="CR27">
            <v>12</v>
          </cell>
          <cell r="CS27">
            <v>6</v>
          </cell>
        </row>
        <row r="28">
          <cell r="A28" t="str">
            <v>Clockwork Mender</v>
          </cell>
          <cell r="C28" t="str">
            <v>Tiny</v>
          </cell>
          <cell r="D28" t="str">
            <v>Magical Beast</v>
          </cell>
          <cell r="F28">
            <v>1</v>
          </cell>
          <cell r="G28">
            <v>10</v>
          </cell>
          <cell r="J28">
            <v>30</v>
          </cell>
          <cell r="K28" t="str">
            <v>perfect</v>
          </cell>
          <cell r="M28">
            <v>2</v>
          </cell>
          <cell r="N28" t="str">
            <v>Sting</v>
          </cell>
          <cell r="O28" t="str">
            <v>1d2;</v>
          </cell>
          <cell r="S28" t="str">
            <v>normal</v>
          </cell>
          <cell r="T28">
            <v>60</v>
          </cell>
          <cell r="AA28">
            <v>3</v>
          </cell>
          <cell r="AB28">
            <v>19</v>
          </cell>
          <cell r="AC28" t="str">
            <v>-</v>
          </cell>
          <cell r="AD28">
            <v>4</v>
          </cell>
          <cell r="AE28">
            <v>12</v>
          </cell>
          <cell r="AF28">
            <v>10</v>
          </cell>
          <cell r="AG28" t="str">
            <v>0;0</v>
          </cell>
          <cell r="AH28" t="str">
            <v>0;0</v>
          </cell>
          <cell r="AI28" t="str">
            <v>0;0</v>
          </cell>
          <cell r="AJ28" t="str">
            <v>0;0</v>
          </cell>
          <cell r="AK28" t="str">
            <v>0;0</v>
          </cell>
          <cell r="AL28" t="str">
            <v>0;12</v>
          </cell>
          <cell r="AN28" t="str">
            <v>0;0</v>
          </cell>
          <cell r="AO28" t="str">
            <v>0;0</v>
          </cell>
          <cell r="AP28" t="str">
            <v>0;1</v>
          </cell>
          <cell r="AQ28" t="str">
            <v>0;0</v>
          </cell>
          <cell r="AR28" t="str">
            <v>0;0</v>
          </cell>
          <cell r="AS28" t="str">
            <v>0;0</v>
          </cell>
          <cell r="AT28" t="str">
            <v>0;0</v>
          </cell>
          <cell r="AU28" t="str">
            <v>0;1</v>
          </cell>
          <cell r="AV28" t="str">
            <v>0;0</v>
          </cell>
          <cell r="AW28" t="str">
            <v>0;0</v>
          </cell>
          <cell r="AX28" t="str">
            <v>Spring Attack;Weapon Finesse;</v>
          </cell>
          <cell r="BB28" t="str">
            <v>Lawful Neutral</v>
          </cell>
          <cell r="BD28" t="str">
            <v>Construct Immunities;Aligned Strike;Poison;Repairing Touch</v>
          </cell>
          <cell r="BF28">
            <v>5</v>
          </cell>
          <cell r="BH28" t="str">
            <v>Improved</v>
          </cell>
          <cell r="BM28" t="str">
            <v>MM4</v>
          </cell>
          <cell r="BP28" t="b">
            <v>0</v>
          </cell>
          <cell r="BQ28" t="b">
            <v>0</v>
          </cell>
          <cell r="BR28" t="b">
            <v>0</v>
          </cell>
          <cell r="BS28">
            <v>6</v>
          </cell>
          <cell r="BT28" t="str">
            <v/>
          </cell>
          <cell r="BU28" t="b">
            <v>1</v>
          </cell>
          <cell r="BV28" t="b">
            <v>0</v>
          </cell>
          <cell r="BW28">
            <v>8</v>
          </cell>
          <cell r="BX28" t="str">
            <v/>
          </cell>
          <cell r="BZ28" t="b">
            <v>0</v>
          </cell>
          <cell r="CA28">
            <v>6</v>
          </cell>
          <cell r="CB28" t="str">
            <v/>
          </cell>
          <cell r="CD28" t="b">
            <v>0</v>
          </cell>
          <cell r="CE28">
            <v>6</v>
          </cell>
          <cell r="CF28" t="str">
            <v/>
          </cell>
          <cell r="CJ28" t="str">
            <v/>
          </cell>
          <cell r="CP28">
            <v>19</v>
          </cell>
          <cell r="CQ28">
            <v>12</v>
          </cell>
          <cell r="CR28">
            <v>12</v>
          </cell>
          <cell r="CS28">
            <v>6</v>
          </cell>
        </row>
        <row r="29">
          <cell r="A29" t="str">
            <v>Cockatrice</v>
          </cell>
          <cell r="D29" t="str">
            <v>Magical Beast</v>
          </cell>
          <cell r="N29" t="str">
            <v/>
          </cell>
          <cell r="BG29">
            <v>7</v>
          </cell>
          <cell r="BM29" t="str">
            <v>MM</v>
          </cell>
          <cell r="BN29">
            <v>37</v>
          </cell>
          <cell r="BP29" t="b">
            <v>1</v>
          </cell>
          <cell r="BQ29" t="b">
            <v>0</v>
          </cell>
          <cell r="BR29" t="b">
            <v>0</v>
          </cell>
          <cell r="BS29">
            <v>6</v>
          </cell>
          <cell r="BT29" t="str">
            <v/>
          </cell>
          <cell r="BV29" t="b">
            <v>0</v>
          </cell>
          <cell r="BW29">
            <v>8</v>
          </cell>
          <cell r="BX29" t="str">
            <v/>
          </cell>
          <cell r="BY29" t="b">
            <v>0</v>
          </cell>
          <cell r="BZ29" t="b">
            <v>0</v>
          </cell>
          <cell r="CA29">
            <v>6</v>
          </cell>
          <cell r="CB29" t="str">
            <v/>
          </cell>
          <cell r="CD29" t="b">
            <v>0</v>
          </cell>
          <cell r="CE29">
            <v>6</v>
          </cell>
          <cell r="CF29" t="str">
            <v/>
          </cell>
          <cell r="CJ29" t="str">
            <v/>
          </cell>
          <cell r="CP29">
            <v>20</v>
          </cell>
          <cell r="CQ29">
            <v>12</v>
          </cell>
          <cell r="CR29">
            <v>12</v>
          </cell>
          <cell r="CS29">
            <v>6</v>
          </cell>
        </row>
        <row r="30">
          <cell r="A30" t="str">
            <v>Crab</v>
          </cell>
          <cell r="C30" t="str">
            <v>Diminutive</v>
          </cell>
          <cell r="D30" t="str">
            <v>Animal</v>
          </cell>
          <cell r="F30">
            <v>1</v>
          </cell>
          <cell r="G30">
            <v>15</v>
          </cell>
          <cell r="M30">
            <v>1</v>
          </cell>
          <cell r="N30" t="str">
            <v>2 Claws+5+0+1</v>
          </cell>
          <cell r="S30" t="str">
            <v>normal</v>
          </cell>
          <cell r="AA30">
            <v>1</v>
          </cell>
          <cell r="AB30">
            <v>17</v>
          </cell>
          <cell r="AC30">
            <v>10</v>
          </cell>
          <cell r="BM30" t="str">
            <v>OA</v>
          </cell>
          <cell r="BP30" t="b">
            <v>0</v>
          </cell>
          <cell r="BQ30" t="b">
            <v>0</v>
          </cell>
          <cell r="BR30" t="b">
            <v>0</v>
          </cell>
          <cell r="BS30">
            <v>6</v>
          </cell>
          <cell r="BT30" t="str">
            <v/>
          </cell>
          <cell r="BV30" t="b">
            <v>0</v>
          </cell>
          <cell r="BW30">
            <v>8</v>
          </cell>
          <cell r="BX30" t="str">
            <v/>
          </cell>
          <cell r="BZ30" t="b">
            <v>0</v>
          </cell>
          <cell r="CA30">
            <v>6</v>
          </cell>
          <cell r="CB30" t="str">
            <v/>
          </cell>
          <cell r="CD30" t="b">
            <v>0</v>
          </cell>
          <cell r="CE30">
            <v>6</v>
          </cell>
          <cell r="CF30" t="str">
            <v/>
          </cell>
          <cell r="CJ30" t="str">
            <v/>
          </cell>
        </row>
        <row r="31">
          <cell r="A31" t="str">
            <v>Crane</v>
          </cell>
          <cell r="C31" t="str">
            <v>Small</v>
          </cell>
          <cell r="D31" t="str">
            <v>Animal</v>
          </cell>
          <cell r="F31">
            <v>1</v>
          </cell>
          <cell r="G31">
            <v>5</v>
          </cell>
          <cell r="J31">
            <v>60</v>
          </cell>
          <cell r="K31" t="str">
            <v>average</v>
          </cell>
          <cell r="N31" t="str">
            <v>Bite+5+0+2</v>
          </cell>
          <cell r="S31" t="str">
            <v>normal</v>
          </cell>
          <cell r="AA31">
            <v>6</v>
          </cell>
          <cell r="AB31">
            <v>16</v>
          </cell>
          <cell r="AC31">
            <v>10</v>
          </cell>
          <cell r="BM31" t="str">
            <v>OA</v>
          </cell>
          <cell r="BP31" t="b">
            <v>0</v>
          </cell>
          <cell r="BQ31" t="b">
            <v>0</v>
          </cell>
          <cell r="BR31" t="b">
            <v>0</v>
          </cell>
          <cell r="BS31">
            <v>6</v>
          </cell>
          <cell r="BT31" t="str">
            <v/>
          </cell>
          <cell r="BV31" t="b">
            <v>0</v>
          </cell>
          <cell r="BW31">
            <v>8</v>
          </cell>
          <cell r="BX31" t="str">
            <v/>
          </cell>
          <cell r="BZ31" t="b">
            <v>0</v>
          </cell>
          <cell r="CA31">
            <v>6</v>
          </cell>
          <cell r="CB31" t="str">
            <v/>
          </cell>
          <cell r="CD31" t="b">
            <v>0</v>
          </cell>
          <cell r="CE31">
            <v>6</v>
          </cell>
          <cell r="CF31" t="str">
            <v/>
          </cell>
          <cell r="CJ31" t="str">
            <v/>
          </cell>
        </row>
        <row r="32">
          <cell r="A32" t="str">
            <v>Crocodile</v>
          </cell>
          <cell r="C32" t="str">
            <v>Medium</v>
          </cell>
          <cell r="D32" t="str">
            <v>Animal</v>
          </cell>
          <cell r="F32">
            <v>3</v>
          </cell>
          <cell r="G32">
            <v>20</v>
          </cell>
          <cell r="L32">
            <v>30</v>
          </cell>
          <cell r="M32">
            <v>4</v>
          </cell>
          <cell r="N32" t="str">
            <v>Bite+6+0+2,Tail Slap+8+0+2</v>
          </cell>
          <cell r="S32" t="str">
            <v>normal</v>
          </cell>
          <cell r="AA32">
            <v>19</v>
          </cell>
          <cell r="AB32">
            <v>12</v>
          </cell>
          <cell r="AC32">
            <v>17</v>
          </cell>
          <cell r="AD32">
            <v>1</v>
          </cell>
          <cell r="AE32">
            <v>12</v>
          </cell>
          <cell r="AF32">
            <v>2</v>
          </cell>
          <cell r="BG32">
            <v>4</v>
          </cell>
          <cell r="BM32" t="str">
            <v>MM</v>
          </cell>
          <cell r="BN32">
            <v>271</v>
          </cell>
          <cell r="BP32" t="b">
            <v>1</v>
          </cell>
          <cell r="BQ32" t="b">
            <v>0</v>
          </cell>
          <cell r="BR32" t="b">
            <v>0</v>
          </cell>
          <cell r="BS32">
            <v>6</v>
          </cell>
          <cell r="BT32" t="str">
            <v/>
          </cell>
          <cell r="BV32" t="b">
            <v>0</v>
          </cell>
          <cell r="BW32">
            <v>8</v>
          </cell>
          <cell r="BX32" t="str">
            <v/>
          </cell>
          <cell r="BZ32" t="b">
            <v>0</v>
          </cell>
          <cell r="CA32">
            <v>6</v>
          </cell>
          <cell r="CB32" t="str">
            <v/>
          </cell>
          <cell r="CD32" t="b">
            <v>0</v>
          </cell>
          <cell r="CE32">
            <v>6</v>
          </cell>
          <cell r="CF32" t="str">
            <v/>
          </cell>
          <cell r="CJ32" t="str">
            <v/>
          </cell>
        </row>
        <row r="33">
          <cell r="A33" t="str">
            <v>Crocodile, Giant</v>
          </cell>
          <cell r="C33" t="str">
            <v>Huge</v>
          </cell>
          <cell r="D33" t="str">
            <v>Animal</v>
          </cell>
          <cell r="F33">
            <v>7</v>
          </cell>
          <cell r="G33">
            <v>20</v>
          </cell>
          <cell r="L33">
            <v>30</v>
          </cell>
          <cell r="M33">
            <v>7</v>
          </cell>
          <cell r="N33" t="str">
            <v>Bite+14+0+2,Tail Slap+13+0+2</v>
          </cell>
          <cell r="S33" t="str">
            <v>normal</v>
          </cell>
          <cell r="AA33">
            <v>27</v>
          </cell>
          <cell r="AB33">
            <v>12</v>
          </cell>
          <cell r="AC33">
            <v>19</v>
          </cell>
          <cell r="AD33">
            <v>1</v>
          </cell>
          <cell r="AE33">
            <v>12</v>
          </cell>
          <cell r="AF33">
            <v>2</v>
          </cell>
          <cell r="BG33">
            <v>7</v>
          </cell>
          <cell r="BM33" t="str">
            <v>MM</v>
          </cell>
          <cell r="BN33">
            <v>271</v>
          </cell>
          <cell r="BP33" t="b">
            <v>1</v>
          </cell>
          <cell r="BQ33" t="b">
            <v>0</v>
          </cell>
          <cell r="BR33" t="b">
            <v>0</v>
          </cell>
          <cell r="BS33">
            <v>6</v>
          </cell>
          <cell r="BT33" t="str">
            <v/>
          </cell>
          <cell r="BV33" t="b">
            <v>0</v>
          </cell>
          <cell r="BW33">
            <v>8</v>
          </cell>
          <cell r="BX33" t="str">
            <v/>
          </cell>
          <cell r="BY33" t="b">
            <v>1</v>
          </cell>
          <cell r="BZ33" t="b">
            <v>0</v>
          </cell>
          <cell r="CA33">
            <v>6</v>
          </cell>
          <cell r="CB33" t="str">
            <v/>
          </cell>
          <cell r="CD33" t="b">
            <v>0</v>
          </cell>
          <cell r="CE33">
            <v>6</v>
          </cell>
          <cell r="CF33" t="str">
            <v/>
          </cell>
          <cell r="CJ33" t="str">
            <v/>
          </cell>
        </row>
        <row r="34">
          <cell r="A34" t="str">
            <v>Darkmantle</v>
          </cell>
          <cell r="D34" t="str">
            <v>Magical Beast</v>
          </cell>
          <cell r="N34" t="str">
            <v/>
          </cell>
          <cell r="BG34">
            <v>1</v>
          </cell>
          <cell r="BM34" t="str">
            <v>MM</v>
          </cell>
          <cell r="BN34">
            <v>38</v>
          </cell>
          <cell r="BP34" t="b">
            <v>1</v>
          </cell>
          <cell r="BQ34" t="b">
            <v>0</v>
          </cell>
          <cell r="BR34" t="b">
            <v>0</v>
          </cell>
          <cell r="BS34">
            <v>6</v>
          </cell>
          <cell r="BT34" t="str">
            <v/>
          </cell>
          <cell r="BV34" t="b">
            <v>0</v>
          </cell>
          <cell r="BW34">
            <v>8</v>
          </cell>
          <cell r="BX34" t="str">
            <v/>
          </cell>
          <cell r="BY34" t="b">
            <v>0</v>
          </cell>
          <cell r="BZ34" t="b">
            <v>0</v>
          </cell>
          <cell r="CA34">
            <v>6</v>
          </cell>
          <cell r="CB34" t="str">
            <v/>
          </cell>
          <cell r="CD34" t="b">
            <v>0</v>
          </cell>
          <cell r="CE34">
            <v>6</v>
          </cell>
          <cell r="CF34" t="str">
            <v/>
          </cell>
          <cell r="CJ34" t="str">
            <v/>
          </cell>
        </row>
        <row r="35">
          <cell r="A35" t="str">
            <v>Deathfang</v>
          </cell>
          <cell r="C35" t="str">
            <v>Small</v>
          </cell>
          <cell r="D35" t="str">
            <v>Magical Beast</v>
          </cell>
          <cell r="F35">
            <v>1</v>
          </cell>
          <cell r="G35">
            <v>20</v>
          </cell>
          <cell r="I35">
            <v>20</v>
          </cell>
          <cell r="J35">
            <v>20</v>
          </cell>
          <cell r="K35" t="str">
            <v>avg</v>
          </cell>
          <cell r="M35">
            <v>3</v>
          </cell>
          <cell r="N35" t="str">
            <v>Bite;</v>
          </cell>
          <cell r="O35" t="str">
            <v>1d3;</v>
          </cell>
          <cell r="AA35">
            <v>6</v>
          </cell>
          <cell r="AB35">
            <v>17</v>
          </cell>
          <cell r="AC35" t="str">
            <v>-</v>
          </cell>
          <cell r="AD35">
            <v>1</v>
          </cell>
          <cell r="AE35">
            <v>12</v>
          </cell>
          <cell r="AF35">
            <v>2</v>
          </cell>
          <cell r="AG35" t="str">
            <v>0;8</v>
          </cell>
          <cell r="AH35" t="str">
            <v>0;0</v>
          </cell>
          <cell r="AI35" t="str">
            <v>1;8</v>
          </cell>
          <cell r="AJ35" t="str">
            <v>0;0</v>
          </cell>
          <cell r="AK35" t="str">
            <v>0;0</v>
          </cell>
          <cell r="AL35" t="str">
            <v>1;8</v>
          </cell>
          <cell r="AN35" t="str">
            <v>0;0</v>
          </cell>
          <cell r="AO35" t="str">
            <v>0;-6</v>
          </cell>
          <cell r="AP35" t="str">
            <v>1;6</v>
          </cell>
          <cell r="AQ35" t="str">
            <v>0;0</v>
          </cell>
          <cell r="AR35" t="str">
            <v>0;0</v>
          </cell>
          <cell r="AS35" t="str">
            <v>0;0</v>
          </cell>
          <cell r="AT35" t="str">
            <v>0;0</v>
          </cell>
          <cell r="AU35" t="str">
            <v>1;6</v>
          </cell>
          <cell r="AV35" t="str">
            <v>0;0</v>
          </cell>
          <cell r="AW35" t="str">
            <v>0;0</v>
          </cell>
          <cell r="AX35" t="str">
            <v>Alertness;Weapon Finesse;</v>
          </cell>
          <cell r="BB35" t="str">
            <v>Neutral Evil</v>
          </cell>
          <cell r="BD35" t="str">
            <v>Chilling Bite;Improved Grab;Constrict;Undead</v>
          </cell>
          <cell r="BF35">
            <v>9</v>
          </cell>
          <cell r="BH35" t="str">
            <v>Improved</v>
          </cell>
          <cell r="BM35" t="str">
            <v>RoF</v>
          </cell>
          <cell r="BO35" t="str">
            <v>PGtF</v>
          </cell>
          <cell r="BP35" t="b">
            <v>1</v>
          </cell>
          <cell r="BQ35" t="b">
            <v>0</v>
          </cell>
          <cell r="BR35" t="b">
            <v>0</v>
          </cell>
          <cell r="BS35">
            <v>6</v>
          </cell>
          <cell r="BT35" t="str">
            <v/>
          </cell>
          <cell r="BU35" t="b">
            <v>0</v>
          </cell>
          <cell r="BV35" t="b">
            <v>0</v>
          </cell>
          <cell r="BW35">
            <v>8</v>
          </cell>
          <cell r="BX35" t="str">
            <v/>
          </cell>
          <cell r="BZ35" t="b">
            <v>0</v>
          </cell>
          <cell r="CA35">
            <v>6</v>
          </cell>
          <cell r="CB35" t="str">
            <v/>
          </cell>
          <cell r="CD35" t="b">
            <v>0</v>
          </cell>
          <cell r="CE35">
            <v>6</v>
          </cell>
          <cell r="CF35" t="str">
            <v/>
          </cell>
          <cell r="CJ35" t="str">
            <v/>
          </cell>
        </row>
        <row r="36">
          <cell r="A36" t="str">
            <v>Deinonychus</v>
          </cell>
          <cell r="C36" t="str">
            <v>Medium</v>
          </cell>
          <cell r="D36" t="str">
            <v>Animal</v>
          </cell>
          <cell r="F36">
            <v>4</v>
          </cell>
          <cell r="G36">
            <v>60</v>
          </cell>
          <cell r="M36">
            <v>5</v>
          </cell>
          <cell r="N36" t="str">
            <v>Talons+6+0+1,2 Foreclaws+3+0+0,Bite+9+0+0</v>
          </cell>
          <cell r="S36" t="str">
            <v>normal</v>
          </cell>
          <cell r="AA36">
            <v>19</v>
          </cell>
          <cell r="AB36">
            <v>15</v>
          </cell>
          <cell r="AC36">
            <v>19</v>
          </cell>
          <cell r="AD36">
            <v>2</v>
          </cell>
          <cell r="AE36">
            <v>12</v>
          </cell>
          <cell r="AF36">
            <v>10</v>
          </cell>
          <cell r="BG36">
            <v>7</v>
          </cell>
          <cell r="BL36" t="str">
            <v>Dinosaur</v>
          </cell>
          <cell r="BM36" t="str">
            <v>MM</v>
          </cell>
          <cell r="BN36">
            <v>60</v>
          </cell>
          <cell r="BP36" t="b">
            <v>1</v>
          </cell>
          <cell r="BQ36" t="b">
            <v>0</v>
          </cell>
          <cell r="BR36" t="b">
            <v>0</v>
          </cell>
          <cell r="BS36">
            <v>6</v>
          </cell>
          <cell r="BT36" t="str">
            <v/>
          </cell>
          <cell r="BV36" t="b">
            <v>0</v>
          </cell>
          <cell r="BW36">
            <v>8</v>
          </cell>
          <cell r="BX36" t="str">
            <v/>
          </cell>
          <cell r="BY36" t="b">
            <v>1</v>
          </cell>
          <cell r="BZ36" t="b">
            <v>0</v>
          </cell>
          <cell r="CA36">
            <v>6</v>
          </cell>
          <cell r="CB36" t="str">
            <v/>
          </cell>
          <cell r="CD36" t="b">
            <v>0</v>
          </cell>
          <cell r="CE36">
            <v>6</v>
          </cell>
          <cell r="CF36" t="str">
            <v/>
          </cell>
          <cell r="CJ36" t="str">
            <v/>
          </cell>
        </row>
        <row r="37">
          <cell r="A37" t="str">
            <v>Digester</v>
          </cell>
          <cell r="D37" t="str">
            <v>Magical Beast</v>
          </cell>
          <cell r="N37" t="str">
            <v/>
          </cell>
          <cell r="BG37">
            <v>10</v>
          </cell>
          <cell r="BM37" t="str">
            <v>MM</v>
          </cell>
          <cell r="BN37">
            <v>59</v>
          </cell>
          <cell r="BP37" t="b">
            <v>1</v>
          </cell>
          <cell r="BQ37" t="b">
            <v>0</v>
          </cell>
          <cell r="BR37" t="b">
            <v>0</v>
          </cell>
          <cell r="BS37">
            <v>6</v>
          </cell>
          <cell r="BT37" t="str">
            <v/>
          </cell>
          <cell r="BV37" t="b">
            <v>0</v>
          </cell>
          <cell r="BW37">
            <v>8</v>
          </cell>
          <cell r="BX37" t="str">
            <v/>
          </cell>
          <cell r="BY37" t="b">
            <v>0</v>
          </cell>
          <cell r="BZ37" t="b">
            <v>0</v>
          </cell>
          <cell r="CA37">
            <v>6</v>
          </cell>
          <cell r="CB37" t="str">
            <v/>
          </cell>
          <cell r="CD37" t="b">
            <v>0</v>
          </cell>
          <cell r="CE37">
            <v>6</v>
          </cell>
          <cell r="CF37" t="str">
            <v/>
          </cell>
          <cell r="CJ37" t="str">
            <v/>
          </cell>
        </row>
        <row r="38">
          <cell r="A38" t="str">
            <v>Dire Ape</v>
          </cell>
          <cell r="C38" t="str">
            <v>Large</v>
          </cell>
          <cell r="D38" t="str">
            <v>Animal</v>
          </cell>
          <cell r="F38">
            <v>5</v>
          </cell>
          <cell r="G38">
            <v>30</v>
          </cell>
          <cell r="I38">
            <v>15</v>
          </cell>
          <cell r="M38">
            <v>4</v>
          </cell>
          <cell r="N38" t="str">
            <v>2 Claws+4+0+1,Bite+5+0+0</v>
          </cell>
          <cell r="S38" t="str">
            <v>normal</v>
          </cell>
          <cell r="AA38">
            <v>22</v>
          </cell>
          <cell r="AB38">
            <v>15</v>
          </cell>
          <cell r="AC38">
            <v>14</v>
          </cell>
          <cell r="AD38">
            <v>2</v>
          </cell>
          <cell r="AE38">
            <v>12</v>
          </cell>
          <cell r="AF38">
            <v>7</v>
          </cell>
          <cell r="BG38">
            <v>7</v>
          </cell>
          <cell r="BL38" t="str">
            <v>Dire Animal</v>
          </cell>
          <cell r="BM38" t="str">
            <v>MM</v>
          </cell>
          <cell r="BN38">
            <v>62</v>
          </cell>
          <cell r="BP38" t="b">
            <v>1</v>
          </cell>
          <cell r="BQ38" t="b">
            <v>0</v>
          </cell>
          <cell r="BR38" t="b">
            <v>0</v>
          </cell>
          <cell r="BS38">
            <v>6</v>
          </cell>
          <cell r="BT38" t="str">
            <v/>
          </cell>
          <cell r="BV38" t="b">
            <v>0</v>
          </cell>
          <cell r="BW38">
            <v>8</v>
          </cell>
          <cell r="BX38" t="str">
            <v/>
          </cell>
          <cell r="BY38" t="b">
            <v>1</v>
          </cell>
          <cell r="BZ38" t="b">
            <v>0</v>
          </cell>
          <cell r="CA38">
            <v>6</v>
          </cell>
          <cell r="CB38" t="str">
            <v/>
          </cell>
          <cell r="CD38" t="b">
            <v>0</v>
          </cell>
          <cell r="CE38">
            <v>6</v>
          </cell>
          <cell r="CF38" t="str">
            <v/>
          </cell>
          <cell r="CJ38" t="str">
            <v/>
          </cell>
        </row>
        <row r="39">
          <cell r="A39" t="str">
            <v>Dire Badger</v>
          </cell>
          <cell r="C39" t="str">
            <v>Medium</v>
          </cell>
          <cell r="D39" t="str">
            <v>Animal</v>
          </cell>
          <cell r="F39">
            <v>3</v>
          </cell>
          <cell r="G39">
            <v>30</v>
          </cell>
          <cell r="H39">
            <v>10</v>
          </cell>
          <cell r="M39">
            <v>3</v>
          </cell>
          <cell r="N39" t="str">
            <v>2 Claws+4+0+1,Bite+5+0+0</v>
          </cell>
          <cell r="S39" t="str">
            <v>normal</v>
          </cell>
          <cell r="AA39">
            <v>14</v>
          </cell>
          <cell r="AB39">
            <v>17</v>
          </cell>
          <cell r="AC39">
            <v>19</v>
          </cell>
          <cell r="AD39">
            <v>2</v>
          </cell>
          <cell r="AE39">
            <v>12</v>
          </cell>
          <cell r="AF39">
            <v>10</v>
          </cell>
          <cell r="BG39">
            <v>4</v>
          </cell>
          <cell r="BL39" t="str">
            <v>Dire Animal</v>
          </cell>
          <cell r="BM39" t="str">
            <v>MM</v>
          </cell>
          <cell r="BN39">
            <v>62</v>
          </cell>
          <cell r="BP39" t="b">
            <v>1</v>
          </cell>
          <cell r="BQ39" t="b">
            <v>0</v>
          </cell>
          <cell r="BR39" t="b">
            <v>0</v>
          </cell>
          <cell r="BS39">
            <v>6</v>
          </cell>
          <cell r="BT39" t="str">
            <v/>
          </cell>
          <cell r="BV39" t="b">
            <v>0</v>
          </cell>
          <cell r="BW39">
            <v>8</v>
          </cell>
          <cell r="BX39" t="str">
            <v/>
          </cell>
          <cell r="BY39" t="b">
            <v>1</v>
          </cell>
          <cell r="BZ39" t="b">
            <v>0</v>
          </cell>
          <cell r="CA39">
            <v>6</v>
          </cell>
          <cell r="CB39" t="str">
            <v/>
          </cell>
          <cell r="CD39" t="b">
            <v>0</v>
          </cell>
          <cell r="CE39">
            <v>6</v>
          </cell>
          <cell r="CF39" t="str">
            <v/>
          </cell>
          <cell r="CJ39" t="str">
            <v/>
          </cell>
        </row>
        <row r="40">
          <cell r="A40" t="str">
            <v>Dire Bat</v>
          </cell>
          <cell r="C40" t="str">
            <v>Large</v>
          </cell>
          <cell r="D40" t="str">
            <v>Animal</v>
          </cell>
          <cell r="F40">
            <v>4</v>
          </cell>
          <cell r="G40">
            <v>20</v>
          </cell>
          <cell r="J40">
            <v>40</v>
          </cell>
          <cell r="K40" t="str">
            <v>good</v>
          </cell>
          <cell r="M40">
            <v>5</v>
          </cell>
          <cell r="N40" t="str">
            <v>Bite+5+0+2</v>
          </cell>
          <cell r="S40" t="str">
            <v>normal</v>
          </cell>
          <cell r="AA40">
            <v>17</v>
          </cell>
          <cell r="AB40">
            <v>22</v>
          </cell>
          <cell r="AC40">
            <v>17</v>
          </cell>
          <cell r="AD40">
            <v>2</v>
          </cell>
          <cell r="AE40">
            <v>14</v>
          </cell>
          <cell r="AF40">
            <v>6</v>
          </cell>
          <cell r="BG40">
            <v>4</v>
          </cell>
          <cell r="BL40" t="str">
            <v>Dire Animal</v>
          </cell>
          <cell r="BM40" t="str">
            <v>MM</v>
          </cell>
          <cell r="BN40">
            <v>62</v>
          </cell>
          <cell r="BP40" t="b">
            <v>1</v>
          </cell>
          <cell r="BQ40" t="b">
            <v>0</v>
          </cell>
          <cell r="BR40" t="b">
            <v>0</v>
          </cell>
          <cell r="BS40">
            <v>6</v>
          </cell>
          <cell r="BT40" t="str">
            <v/>
          </cell>
          <cell r="BV40" t="b">
            <v>0</v>
          </cell>
          <cell r="BW40">
            <v>8</v>
          </cell>
          <cell r="BX40" t="str">
            <v/>
          </cell>
          <cell r="BY40" t="b">
            <v>1</v>
          </cell>
          <cell r="BZ40" t="b">
            <v>0</v>
          </cell>
          <cell r="CA40">
            <v>6</v>
          </cell>
          <cell r="CB40" t="str">
            <v/>
          </cell>
          <cell r="CD40" t="b">
            <v>0</v>
          </cell>
          <cell r="CE40">
            <v>6</v>
          </cell>
          <cell r="CF40" t="str">
            <v/>
          </cell>
          <cell r="CJ40" t="str">
            <v/>
          </cell>
        </row>
        <row r="41">
          <cell r="A41" t="str">
            <v>Dire Bear</v>
          </cell>
          <cell r="C41" t="str">
            <v>Large</v>
          </cell>
          <cell r="D41" t="str">
            <v>Animal</v>
          </cell>
          <cell r="F41">
            <v>12</v>
          </cell>
          <cell r="G41">
            <v>40</v>
          </cell>
          <cell r="M41">
            <v>7</v>
          </cell>
          <cell r="N41" t="str">
            <v>2 Claws+15+0+1,Bite+7+0+0</v>
          </cell>
          <cell r="S41" t="str">
            <v>normal</v>
          </cell>
          <cell r="AA41">
            <v>31</v>
          </cell>
          <cell r="AB41">
            <v>13</v>
          </cell>
          <cell r="AC41">
            <v>19</v>
          </cell>
          <cell r="AD41">
            <v>2</v>
          </cell>
          <cell r="AE41">
            <v>12</v>
          </cell>
          <cell r="AF41">
            <v>10</v>
          </cell>
          <cell r="BG41">
            <v>13</v>
          </cell>
          <cell r="BL41" t="str">
            <v>Dire Animal</v>
          </cell>
          <cell r="BM41" t="str">
            <v>MM</v>
          </cell>
          <cell r="BN41">
            <v>63</v>
          </cell>
          <cell r="BP41" t="b">
            <v>1</v>
          </cell>
          <cell r="BQ41" t="b">
            <v>0</v>
          </cell>
          <cell r="BR41" t="b">
            <v>0</v>
          </cell>
          <cell r="BS41">
            <v>6</v>
          </cell>
          <cell r="BT41" t="str">
            <v/>
          </cell>
          <cell r="BV41" t="b">
            <v>0</v>
          </cell>
          <cell r="BW41">
            <v>8</v>
          </cell>
          <cell r="BX41" t="str">
            <v/>
          </cell>
          <cell r="BY41" t="b">
            <v>1</v>
          </cell>
          <cell r="BZ41" t="b">
            <v>0</v>
          </cell>
          <cell r="CA41">
            <v>6</v>
          </cell>
          <cell r="CB41" t="str">
            <v/>
          </cell>
          <cell r="CD41" t="b">
            <v>0</v>
          </cell>
          <cell r="CE41">
            <v>6</v>
          </cell>
          <cell r="CF41" t="str">
            <v/>
          </cell>
          <cell r="CJ41" t="str">
            <v/>
          </cell>
        </row>
        <row r="42">
          <cell r="A42" t="str">
            <v>Dire Boar</v>
          </cell>
          <cell r="C42" t="str">
            <v>Large</v>
          </cell>
          <cell r="D42" t="str">
            <v>Animal</v>
          </cell>
          <cell r="F42">
            <v>7</v>
          </cell>
          <cell r="G42">
            <v>40</v>
          </cell>
          <cell r="M42">
            <v>6</v>
          </cell>
          <cell r="N42" t="str">
            <v>Gore+5+0+2</v>
          </cell>
          <cell r="S42" t="str">
            <v>normal</v>
          </cell>
          <cell r="AA42">
            <v>27</v>
          </cell>
          <cell r="AB42">
            <v>10</v>
          </cell>
          <cell r="AC42">
            <v>17</v>
          </cell>
          <cell r="AD42">
            <v>2</v>
          </cell>
          <cell r="AE42">
            <v>13</v>
          </cell>
          <cell r="AF42">
            <v>8</v>
          </cell>
          <cell r="AG42" t="str">
            <v>listen,spot</v>
          </cell>
          <cell r="BA42">
            <v>4</v>
          </cell>
          <cell r="BB42" t="str">
            <v>Neutral</v>
          </cell>
          <cell r="BG42">
            <v>7</v>
          </cell>
          <cell r="BL42" t="str">
            <v>Dire Animal</v>
          </cell>
          <cell r="BM42" t="str">
            <v>MM</v>
          </cell>
          <cell r="BN42">
            <v>63</v>
          </cell>
          <cell r="BP42" t="b">
            <v>1</v>
          </cell>
          <cell r="BQ42" t="b">
            <v>1</v>
          </cell>
          <cell r="BR42" t="b">
            <v>0</v>
          </cell>
          <cell r="BS42">
            <v>6</v>
          </cell>
          <cell r="BT42" t="str">
            <v/>
          </cell>
          <cell r="BV42" t="b">
            <v>0</v>
          </cell>
          <cell r="BW42">
            <v>8</v>
          </cell>
          <cell r="BX42" t="str">
            <v/>
          </cell>
          <cell r="BY42" t="b">
            <v>1</v>
          </cell>
          <cell r="BZ42" t="b">
            <v>0</v>
          </cell>
          <cell r="CA42">
            <v>6</v>
          </cell>
          <cell r="CB42" t="str">
            <v/>
          </cell>
          <cell r="CD42" t="b">
            <v>0</v>
          </cell>
          <cell r="CE42">
            <v>6</v>
          </cell>
          <cell r="CF42" t="str">
            <v/>
          </cell>
          <cell r="CJ42" t="str">
            <v/>
          </cell>
        </row>
        <row r="43">
          <cell r="A43" t="str">
            <v>Dire Bull</v>
          </cell>
          <cell r="C43" t="str">
            <v>Large</v>
          </cell>
          <cell r="D43" t="str">
            <v>Animal</v>
          </cell>
          <cell r="N43" t="str">
            <v/>
          </cell>
          <cell r="S43" t="str">
            <v>normal</v>
          </cell>
          <cell r="BG43">
            <v>10</v>
          </cell>
          <cell r="BL43" t="str">
            <v>Dire Animal</v>
          </cell>
          <cell r="BM43" t="str">
            <v>PGtA</v>
          </cell>
          <cell r="BP43" t="b">
            <v>0</v>
          </cell>
          <cell r="BQ43" t="b">
            <v>0</v>
          </cell>
          <cell r="BR43" t="b">
            <v>0</v>
          </cell>
          <cell r="BS43">
            <v>6</v>
          </cell>
          <cell r="BT43" t="str">
            <v/>
          </cell>
          <cell r="BV43" t="b">
            <v>0</v>
          </cell>
          <cell r="BW43">
            <v>8</v>
          </cell>
          <cell r="BX43" t="str">
            <v/>
          </cell>
          <cell r="BY43" t="b">
            <v>1</v>
          </cell>
          <cell r="BZ43" t="b">
            <v>0</v>
          </cell>
          <cell r="CA43">
            <v>6</v>
          </cell>
          <cell r="CB43" t="str">
            <v/>
          </cell>
          <cell r="CD43" t="b">
            <v>0</v>
          </cell>
          <cell r="CE43">
            <v>6</v>
          </cell>
          <cell r="CF43" t="str">
            <v/>
          </cell>
          <cell r="CJ43" t="str">
            <v/>
          </cell>
        </row>
        <row r="44">
          <cell r="A44" t="str">
            <v>Dire Lion</v>
          </cell>
          <cell r="C44" t="str">
            <v>Large</v>
          </cell>
          <cell r="D44" t="str">
            <v>Animal</v>
          </cell>
          <cell r="F44">
            <v>8</v>
          </cell>
          <cell r="G44">
            <v>40</v>
          </cell>
          <cell r="M44">
            <v>4</v>
          </cell>
          <cell r="N44" t="str">
            <v>2 Claws+4+0+1,Bite+5+0+0,Rake+4+0+0</v>
          </cell>
          <cell r="S44" t="str">
            <v>normal</v>
          </cell>
          <cell r="AA44">
            <v>25</v>
          </cell>
          <cell r="AB44">
            <v>15</v>
          </cell>
          <cell r="AC44">
            <v>17</v>
          </cell>
          <cell r="AD44">
            <v>2</v>
          </cell>
          <cell r="AE44">
            <v>12</v>
          </cell>
          <cell r="AF44">
            <v>10</v>
          </cell>
          <cell r="BG44">
            <v>10</v>
          </cell>
          <cell r="BL44" t="str">
            <v>Dire Animal</v>
          </cell>
          <cell r="BM44" t="str">
            <v>MM</v>
          </cell>
          <cell r="BN44">
            <v>63</v>
          </cell>
          <cell r="BP44" t="b">
            <v>1</v>
          </cell>
          <cell r="BQ44" t="b">
            <v>0</v>
          </cell>
          <cell r="BR44" t="b">
            <v>0</v>
          </cell>
          <cell r="BS44">
            <v>6</v>
          </cell>
          <cell r="BT44" t="str">
            <v/>
          </cell>
          <cell r="BV44" t="b">
            <v>0</v>
          </cell>
          <cell r="BW44">
            <v>8</v>
          </cell>
          <cell r="BX44" t="str">
            <v/>
          </cell>
          <cell r="BY44" t="b">
            <v>1</v>
          </cell>
          <cell r="BZ44" t="b">
            <v>0</v>
          </cell>
          <cell r="CA44">
            <v>6</v>
          </cell>
          <cell r="CB44" t="str">
            <v/>
          </cell>
          <cell r="CD44" t="b">
            <v>0</v>
          </cell>
          <cell r="CE44">
            <v>6</v>
          </cell>
          <cell r="CF44" t="str">
            <v/>
          </cell>
          <cell r="CJ44" t="str">
            <v/>
          </cell>
        </row>
        <row r="45">
          <cell r="A45" t="str">
            <v>Dire Ram</v>
          </cell>
          <cell r="C45" t="str">
            <v>Large</v>
          </cell>
          <cell r="D45" t="str">
            <v>Animal</v>
          </cell>
          <cell r="N45" t="str">
            <v/>
          </cell>
          <cell r="S45" t="str">
            <v>normal</v>
          </cell>
          <cell r="BG45">
            <v>7</v>
          </cell>
          <cell r="BL45" t="str">
            <v>Dire Animal</v>
          </cell>
          <cell r="BM45" t="str">
            <v>PGtA</v>
          </cell>
          <cell r="BP45" t="b">
            <v>0</v>
          </cell>
          <cell r="BQ45" t="b">
            <v>0</v>
          </cell>
          <cell r="BR45" t="b">
            <v>0</v>
          </cell>
          <cell r="BS45">
            <v>6</v>
          </cell>
          <cell r="BT45" t="str">
            <v/>
          </cell>
          <cell r="BV45" t="b">
            <v>0</v>
          </cell>
          <cell r="BW45">
            <v>8</v>
          </cell>
          <cell r="BX45" t="str">
            <v/>
          </cell>
          <cell r="BY45" t="b">
            <v>1</v>
          </cell>
          <cell r="BZ45" t="b">
            <v>0</v>
          </cell>
          <cell r="CA45">
            <v>6</v>
          </cell>
          <cell r="CB45" t="str">
            <v/>
          </cell>
          <cell r="CD45" t="b">
            <v>0</v>
          </cell>
          <cell r="CE45">
            <v>6</v>
          </cell>
          <cell r="CF45" t="str">
            <v/>
          </cell>
          <cell r="CJ45" t="str">
            <v/>
          </cell>
        </row>
        <row r="46">
          <cell r="A46" t="str">
            <v>Dire Rat</v>
          </cell>
          <cell r="C46" t="str">
            <v>Small</v>
          </cell>
          <cell r="D46" t="str">
            <v>Animal</v>
          </cell>
          <cell r="F46">
            <v>1</v>
          </cell>
          <cell r="G46">
            <v>40</v>
          </cell>
          <cell r="I46">
            <v>20</v>
          </cell>
          <cell r="M46">
            <v>1</v>
          </cell>
          <cell r="N46" t="str">
            <v>Bite+5+0+2</v>
          </cell>
          <cell r="S46" t="str">
            <v>normal</v>
          </cell>
          <cell r="AA46">
            <v>10</v>
          </cell>
          <cell r="AB46">
            <v>17</v>
          </cell>
          <cell r="AC46">
            <v>12</v>
          </cell>
          <cell r="AD46">
            <v>1</v>
          </cell>
          <cell r="AE46">
            <v>12</v>
          </cell>
          <cell r="AF46">
            <v>4</v>
          </cell>
          <cell r="AG46" t="str">
            <v>climb+8,hide,listen,move silently,spot,swim+8</v>
          </cell>
          <cell r="BA46">
            <v>2</v>
          </cell>
          <cell r="BB46" t="str">
            <v>Neutral</v>
          </cell>
          <cell r="BG46">
            <v>1</v>
          </cell>
          <cell r="BL46" t="str">
            <v>Dire Animal</v>
          </cell>
          <cell r="BM46" t="str">
            <v>MM</v>
          </cell>
          <cell r="BN46">
            <v>64</v>
          </cell>
          <cell r="BP46" t="b">
            <v>1</v>
          </cell>
          <cell r="BQ46" t="b">
            <v>1</v>
          </cell>
          <cell r="BR46" t="b">
            <v>0</v>
          </cell>
          <cell r="BS46">
            <v>6</v>
          </cell>
          <cell r="BT46" t="str">
            <v/>
          </cell>
          <cell r="BV46" t="b">
            <v>0</v>
          </cell>
          <cell r="BW46">
            <v>8</v>
          </cell>
          <cell r="BX46" t="str">
            <v/>
          </cell>
          <cell r="BY46" t="b">
            <v>1</v>
          </cell>
          <cell r="BZ46" t="b">
            <v>0</v>
          </cell>
          <cell r="CA46">
            <v>6</v>
          </cell>
          <cell r="CB46" t="str">
            <v/>
          </cell>
          <cell r="CD46" t="b">
            <v>0</v>
          </cell>
          <cell r="CE46">
            <v>6</v>
          </cell>
          <cell r="CF46" t="str">
            <v/>
          </cell>
          <cell r="CJ46" t="str">
            <v/>
          </cell>
        </row>
        <row r="47">
          <cell r="A47" t="str">
            <v>Dire Shark</v>
          </cell>
          <cell r="C47" t="str">
            <v>Huge</v>
          </cell>
          <cell r="D47" t="str">
            <v>Animal</v>
          </cell>
          <cell r="E47" t="str">
            <v>Aquatic</v>
          </cell>
          <cell r="F47">
            <v>18</v>
          </cell>
          <cell r="L47">
            <v>60</v>
          </cell>
          <cell r="M47">
            <v>7</v>
          </cell>
          <cell r="N47" t="str">
            <v>Bite+14+0+2</v>
          </cell>
          <cell r="S47" t="str">
            <v>normal</v>
          </cell>
          <cell r="AA47">
            <v>23</v>
          </cell>
          <cell r="AB47">
            <v>15</v>
          </cell>
          <cell r="AC47">
            <v>17</v>
          </cell>
          <cell r="AD47">
            <v>1</v>
          </cell>
          <cell r="AE47">
            <v>12</v>
          </cell>
          <cell r="AF47">
            <v>10</v>
          </cell>
          <cell r="BG47">
            <v>16</v>
          </cell>
          <cell r="BL47" t="str">
            <v>Dire Animal</v>
          </cell>
          <cell r="BM47" t="str">
            <v>MM</v>
          </cell>
          <cell r="BN47">
            <v>64</v>
          </cell>
          <cell r="BP47" t="b">
            <v>1</v>
          </cell>
          <cell r="BQ47" t="b">
            <v>0</v>
          </cell>
          <cell r="BR47" t="b">
            <v>0</v>
          </cell>
          <cell r="BS47">
            <v>6</v>
          </cell>
          <cell r="BT47" t="str">
            <v/>
          </cell>
          <cell r="BV47" t="b">
            <v>0</v>
          </cell>
          <cell r="BW47">
            <v>8</v>
          </cell>
          <cell r="BX47" t="str">
            <v/>
          </cell>
          <cell r="BY47" t="b">
            <v>1</v>
          </cell>
          <cell r="BZ47" t="b">
            <v>0</v>
          </cell>
          <cell r="CA47">
            <v>6</v>
          </cell>
          <cell r="CB47" t="str">
            <v/>
          </cell>
          <cell r="CD47" t="b">
            <v>0</v>
          </cell>
          <cell r="CE47">
            <v>6</v>
          </cell>
          <cell r="CF47" t="str">
            <v/>
          </cell>
          <cell r="CJ47" t="str">
            <v/>
          </cell>
        </row>
        <row r="48">
          <cell r="A48" t="str">
            <v>Dire Tiger</v>
          </cell>
          <cell r="C48" t="str">
            <v>Large</v>
          </cell>
          <cell r="D48" t="str">
            <v>Animal</v>
          </cell>
          <cell r="F48">
            <v>16</v>
          </cell>
          <cell r="G48">
            <v>40</v>
          </cell>
          <cell r="M48">
            <v>6</v>
          </cell>
          <cell r="N48" t="str">
            <v>2 Claws+15+0+1,Bite+6+0+0,Rake+15+0+0</v>
          </cell>
          <cell r="S48" t="str">
            <v>normal</v>
          </cell>
          <cell r="AA48">
            <v>25</v>
          </cell>
          <cell r="AB48">
            <v>15</v>
          </cell>
          <cell r="AC48">
            <v>17</v>
          </cell>
          <cell r="AD48">
            <v>2</v>
          </cell>
          <cell r="AE48">
            <v>12</v>
          </cell>
          <cell r="AF48">
            <v>10</v>
          </cell>
          <cell r="BG48">
            <v>16</v>
          </cell>
          <cell r="BL48" t="str">
            <v>Dire Animal</v>
          </cell>
          <cell r="BM48" t="str">
            <v>MM</v>
          </cell>
          <cell r="BN48">
            <v>65</v>
          </cell>
          <cell r="BP48" t="b">
            <v>1</v>
          </cell>
          <cell r="BQ48" t="b">
            <v>0</v>
          </cell>
          <cell r="BR48" t="b">
            <v>0</v>
          </cell>
          <cell r="BS48">
            <v>6</v>
          </cell>
          <cell r="BT48" t="str">
            <v/>
          </cell>
          <cell r="BV48" t="b">
            <v>0</v>
          </cell>
          <cell r="BW48">
            <v>8</v>
          </cell>
          <cell r="BX48" t="str">
            <v/>
          </cell>
          <cell r="BY48" t="b">
            <v>1</v>
          </cell>
          <cell r="BZ48" t="b">
            <v>0</v>
          </cell>
          <cell r="CA48">
            <v>6</v>
          </cell>
          <cell r="CB48" t="str">
            <v/>
          </cell>
          <cell r="CD48" t="b">
            <v>0</v>
          </cell>
          <cell r="CE48">
            <v>6</v>
          </cell>
          <cell r="CF48" t="str">
            <v/>
          </cell>
          <cell r="CJ48" t="str">
            <v/>
          </cell>
        </row>
        <row r="49">
          <cell r="A49" t="str">
            <v>Dire Weasel</v>
          </cell>
          <cell r="C49" t="str">
            <v>Medium</v>
          </cell>
          <cell r="D49" t="str">
            <v>Animal</v>
          </cell>
          <cell r="F49">
            <v>3</v>
          </cell>
          <cell r="G49">
            <v>40</v>
          </cell>
          <cell r="M49">
            <v>2</v>
          </cell>
          <cell r="N49" t="str">
            <v>Bite+5+0+2</v>
          </cell>
          <cell r="S49" t="str">
            <v>normal</v>
          </cell>
          <cell r="AA49">
            <v>14</v>
          </cell>
          <cell r="AB49">
            <v>19</v>
          </cell>
          <cell r="AC49">
            <v>10</v>
          </cell>
          <cell r="AD49">
            <v>2</v>
          </cell>
          <cell r="AE49">
            <v>12</v>
          </cell>
          <cell r="AF49">
            <v>11</v>
          </cell>
          <cell r="BG49">
            <v>4</v>
          </cell>
          <cell r="BL49" t="str">
            <v>Dire Animal</v>
          </cell>
          <cell r="BM49" t="str">
            <v>MM</v>
          </cell>
          <cell r="BN49">
            <v>65</v>
          </cell>
          <cell r="BP49" t="b">
            <v>1</v>
          </cell>
          <cell r="BQ49" t="b">
            <v>0</v>
          </cell>
          <cell r="BR49" t="b">
            <v>0</v>
          </cell>
          <cell r="BS49">
            <v>6</v>
          </cell>
          <cell r="BT49" t="str">
            <v/>
          </cell>
          <cell r="BV49" t="b">
            <v>0</v>
          </cell>
          <cell r="BW49">
            <v>8</v>
          </cell>
          <cell r="BX49" t="str">
            <v/>
          </cell>
          <cell r="BY49" t="b">
            <v>1</v>
          </cell>
          <cell r="BZ49" t="b">
            <v>0</v>
          </cell>
          <cell r="CA49">
            <v>6</v>
          </cell>
          <cell r="CB49" t="str">
            <v/>
          </cell>
          <cell r="CD49" t="b">
            <v>0</v>
          </cell>
          <cell r="CE49">
            <v>6</v>
          </cell>
          <cell r="CF49" t="str">
            <v/>
          </cell>
          <cell r="CJ49" t="str">
            <v/>
          </cell>
        </row>
        <row r="50">
          <cell r="A50" t="str">
            <v>Dire Wolf</v>
          </cell>
          <cell r="C50" t="str">
            <v>Large</v>
          </cell>
          <cell r="D50" t="str">
            <v>Animal</v>
          </cell>
          <cell r="F50">
            <v>6</v>
          </cell>
          <cell r="G50">
            <v>50</v>
          </cell>
          <cell r="M50">
            <v>3</v>
          </cell>
          <cell r="N50" t="str">
            <v>Bite+5+0+2</v>
          </cell>
          <cell r="S50" t="str">
            <v>normal</v>
          </cell>
          <cell r="AA50">
            <v>25</v>
          </cell>
          <cell r="AB50">
            <v>15</v>
          </cell>
          <cell r="AC50">
            <v>17</v>
          </cell>
          <cell r="AD50">
            <v>2</v>
          </cell>
          <cell r="AE50">
            <v>12</v>
          </cell>
          <cell r="AF50">
            <v>10</v>
          </cell>
          <cell r="BG50">
            <v>7</v>
          </cell>
          <cell r="BL50" t="str">
            <v>Dire Animal</v>
          </cell>
          <cell r="BM50" t="str">
            <v>MM</v>
          </cell>
          <cell r="BN50">
            <v>65</v>
          </cell>
          <cell r="BP50" t="b">
            <v>1</v>
          </cell>
          <cell r="BQ50" t="b">
            <v>0</v>
          </cell>
          <cell r="BR50" t="b">
            <v>0</v>
          </cell>
          <cell r="BS50">
            <v>6</v>
          </cell>
          <cell r="BT50" t="str">
            <v/>
          </cell>
          <cell r="BV50" t="b">
            <v>0</v>
          </cell>
          <cell r="BW50">
            <v>8</v>
          </cell>
          <cell r="BX50" t="str">
            <v/>
          </cell>
          <cell r="BY50" t="b">
            <v>1</v>
          </cell>
          <cell r="BZ50" t="b">
            <v>0</v>
          </cell>
          <cell r="CA50">
            <v>6</v>
          </cell>
          <cell r="CB50" t="str">
            <v/>
          </cell>
          <cell r="CD50" t="b">
            <v>0</v>
          </cell>
          <cell r="CE50">
            <v>6</v>
          </cell>
          <cell r="CF50" t="str">
            <v/>
          </cell>
          <cell r="CJ50" t="str">
            <v/>
          </cell>
        </row>
        <row r="51">
          <cell r="A51" t="str">
            <v>Dire Wolf Lizard</v>
          </cell>
          <cell r="N51" t="str">
            <v/>
          </cell>
          <cell r="S51" t="str">
            <v>normal</v>
          </cell>
          <cell r="BG51">
            <v>4</v>
          </cell>
          <cell r="BL51" t="str">
            <v>Dire Animal</v>
          </cell>
          <cell r="BM51" t="str">
            <v>PGtA</v>
          </cell>
          <cell r="BP51" t="b">
            <v>0</v>
          </cell>
          <cell r="BQ51" t="b">
            <v>0</v>
          </cell>
          <cell r="BR51" t="b">
            <v>0</v>
          </cell>
          <cell r="BS51">
            <v>6</v>
          </cell>
          <cell r="BT51" t="str">
            <v/>
          </cell>
          <cell r="BV51" t="b">
            <v>0</v>
          </cell>
          <cell r="BW51">
            <v>8</v>
          </cell>
          <cell r="BX51" t="str">
            <v/>
          </cell>
          <cell r="BY51" t="b">
            <v>1</v>
          </cell>
          <cell r="BZ51" t="b">
            <v>0</v>
          </cell>
          <cell r="CA51">
            <v>6</v>
          </cell>
          <cell r="CB51" t="str">
            <v/>
          </cell>
          <cell r="CD51" t="b">
            <v>0</v>
          </cell>
          <cell r="CE51">
            <v>6</v>
          </cell>
          <cell r="CF51" t="str">
            <v/>
          </cell>
          <cell r="CJ51" t="str">
            <v/>
          </cell>
          <cell r="CN51" t="b">
            <v>1</v>
          </cell>
          <cell r="CQ51" t="str">
            <v/>
          </cell>
        </row>
        <row r="52">
          <cell r="A52" t="str">
            <v>Dire Wolverine</v>
          </cell>
          <cell r="C52" t="str">
            <v>Large</v>
          </cell>
          <cell r="D52" t="str">
            <v>Animal</v>
          </cell>
          <cell r="F52">
            <v>5</v>
          </cell>
          <cell r="G52">
            <v>30</v>
          </cell>
          <cell r="I52">
            <v>10</v>
          </cell>
          <cell r="M52">
            <v>4</v>
          </cell>
          <cell r="N52" t="str">
            <v>2 Claws+4+0+1,Bite+5+0+0</v>
          </cell>
          <cell r="S52" t="str">
            <v>normal</v>
          </cell>
          <cell r="AA52">
            <v>22</v>
          </cell>
          <cell r="AB52">
            <v>17</v>
          </cell>
          <cell r="AC52">
            <v>19</v>
          </cell>
          <cell r="AD52">
            <v>2</v>
          </cell>
          <cell r="AE52">
            <v>12</v>
          </cell>
          <cell r="AF52">
            <v>10</v>
          </cell>
          <cell r="BG52">
            <v>7</v>
          </cell>
          <cell r="BL52" t="str">
            <v>Dire Animal</v>
          </cell>
          <cell r="BM52" t="str">
            <v>MM</v>
          </cell>
          <cell r="BN52">
            <v>66</v>
          </cell>
          <cell r="BP52" t="b">
            <v>1</v>
          </cell>
          <cell r="BQ52" t="b">
            <v>0</v>
          </cell>
          <cell r="BR52" t="b">
            <v>0</v>
          </cell>
          <cell r="BS52">
            <v>6</v>
          </cell>
          <cell r="BT52" t="str">
            <v/>
          </cell>
          <cell r="BV52" t="b">
            <v>0</v>
          </cell>
          <cell r="BW52">
            <v>8</v>
          </cell>
          <cell r="BX52" t="str">
            <v/>
          </cell>
          <cell r="BY52" t="b">
            <v>1</v>
          </cell>
          <cell r="BZ52" t="b">
            <v>0</v>
          </cell>
          <cell r="CA52">
            <v>6</v>
          </cell>
          <cell r="CB52" t="str">
            <v/>
          </cell>
          <cell r="CD52" t="b">
            <v>0</v>
          </cell>
          <cell r="CE52">
            <v>6</v>
          </cell>
          <cell r="CF52" t="str">
            <v/>
          </cell>
          <cell r="CJ52" t="str">
            <v/>
          </cell>
          <cell r="CN52" t="b">
            <v>0</v>
          </cell>
          <cell r="CQ52" t="str">
            <v/>
          </cell>
        </row>
        <row r="53">
          <cell r="A53" t="str">
            <v>Dog</v>
          </cell>
          <cell r="C53" t="str">
            <v>Small</v>
          </cell>
          <cell r="D53" t="str">
            <v>Animal</v>
          </cell>
          <cell r="F53">
            <v>1</v>
          </cell>
          <cell r="G53">
            <v>40</v>
          </cell>
          <cell r="M53">
            <v>1</v>
          </cell>
          <cell r="N53" t="str">
            <v>Bite+5+0+2</v>
          </cell>
          <cell r="S53" t="str">
            <v>normal</v>
          </cell>
          <cell r="AA53">
            <v>13</v>
          </cell>
          <cell r="AB53">
            <v>17</v>
          </cell>
          <cell r="AC53">
            <v>15</v>
          </cell>
          <cell r="AD53">
            <v>2</v>
          </cell>
          <cell r="AE53">
            <v>12</v>
          </cell>
          <cell r="AF53">
            <v>6</v>
          </cell>
          <cell r="BG53">
            <v>1</v>
          </cell>
          <cell r="BM53" t="str">
            <v>MM</v>
          </cell>
          <cell r="BN53">
            <v>271</v>
          </cell>
          <cell r="BP53" t="b">
            <v>1</v>
          </cell>
          <cell r="BQ53" t="b">
            <v>0</v>
          </cell>
          <cell r="BR53" t="b">
            <v>0</v>
          </cell>
          <cell r="BS53">
            <v>6</v>
          </cell>
          <cell r="BT53" t="str">
            <v/>
          </cell>
          <cell r="BV53" t="b">
            <v>0</v>
          </cell>
          <cell r="BW53">
            <v>8</v>
          </cell>
          <cell r="BX53" t="str">
            <v/>
          </cell>
          <cell r="BY53" t="b">
            <v>1</v>
          </cell>
          <cell r="BZ53" t="b">
            <v>0</v>
          </cell>
          <cell r="CA53">
            <v>6</v>
          </cell>
          <cell r="CB53" t="str">
            <v/>
          </cell>
          <cell r="CD53" t="b">
            <v>0</v>
          </cell>
          <cell r="CE53">
            <v>6</v>
          </cell>
          <cell r="CF53" t="str">
            <v/>
          </cell>
          <cell r="CJ53" t="str">
            <v/>
          </cell>
          <cell r="CN53" t="str">
            <v/>
          </cell>
          <cell r="CQ53" t="str">
            <v/>
          </cell>
        </row>
        <row r="54">
          <cell r="A54" t="str">
            <v>Dog, Riding</v>
          </cell>
          <cell r="C54" t="str">
            <v>Medium</v>
          </cell>
          <cell r="D54" t="str">
            <v>Animal</v>
          </cell>
          <cell r="F54">
            <v>2</v>
          </cell>
          <cell r="G54">
            <v>40</v>
          </cell>
          <cell r="M54">
            <v>4</v>
          </cell>
          <cell r="N54" t="str">
            <v>Bite+5+0+2</v>
          </cell>
          <cell r="S54" t="str">
            <v>normal</v>
          </cell>
          <cell r="AA54">
            <v>15</v>
          </cell>
          <cell r="AB54">
            <v>15</v>
          </cell>
          <cell r="AC54">
            <v>15</v>
          </cell>
          <cell r="AD54">
            <v>2</v>
          </cell>
          <cell r="AE54">
            <v>12</v>
          </cell>
          <cell r="AF54">
            <v>6</v>
          </cell>
          <cell r="BG54">
            <v>1</v>
          </cell>
          <cell r="BM54" t="str">
            <v>MM</v>
          </cell>
          <cell r="BN54">
            <v>272</v>
          </cell>
          <cell r="BP54" t="b">
            <v>1</v>
          </cell>
          <cell r="BQ54" t="b">
            <v>0</v>
          </cell>
          <cell r="BR54" t="b">
            <v>0</v>
          </cell>
          <cell r="BS54">
            <v>6</v>
          </cell>
          <cell r="BT54" t="str">
            <v/>
          </cell>
          <cell r="BV54" t="b">
            <v>0</v>
          </cell>
          <cell r="BW54">
            <v>8</v>
          </cell>
          <cell r="BX54" t="str">
            <v/>
          </cell>
          <cell r="BY54" t="b">
            <v>1</v>
          </cell>
          <cell r="BZ54" t="b">
            <v>0</v>
          </cell>
          <cell r="CA54">
            <v>6</v>
          </cell>
          <cell r="CB54" t="str">
            <v/>
          </cell>
          <cell r="CD54" t="b">
            <v>0</v>
          </cell>
          <cell r="CE54">
            <v>6</v>
          </cell>
          <cell r="CF54" t="str">
            <v/>
          </cell>
          <cell r="CJ54" t="str">
            <v/>
          </cell>
          <cell r="CN54">
            <v>1</v>
          </cell>
        </row>
        <row r="55">
          <cell r="A55" t="str">
            <v>Dragon, Amethyst</v>
          </cell>
          <cell r="D55" t="str">
            <v>Dragon</v>
          </cell>
          <cell r="E55" t="str">
            <v>Earth</v>
          </cell>
          <cell r="N55" t="str">
            <v/>
          </cell>
          <cell r="P55" t="str">
            <v>Breath Weapon(Su): 30" line of force;</v>
          </cell>
          <cell r="U55" t="str">
            <v>poison</v>
          </cell>
          <cell r="AG55" t="str">
            <v>Diplomacy</v>
          </cell>
          <cell r="BB55" t="str">
            <v>Neutral</v>
          </cell>
          <cell r="BJ55" t="str">
            <v>color=lavender;</v>
          </cell>
          <cell r="BL55" t="str">
            <v>Gem</v>
          </cell>
          <cell r="BM55" t="str">
            <v>MM2</v>
          </cell>
          <cell r="BN55">
            <v>79</v>
          </cell>
          <cell r="BP55" t="b">
            <v>0</v>
          </cell>
          <cell r="BQ55" t="b">
            <v>0</v>
          </cell>
          <cell r="BR55" t="b">
            <v>0</v>
          </cell>
          <cell r="BS55">
            <v>6</v>
          </cell>
          <cell r="BT55" t="str">
            <v/>
          </cell>
          <cell r="BV55" t="b">
            <v>0</v>
          </cell>
          <cell r="BW55">
            <v>8</v>
          </cell>
          <cell r="BX55" t="str">
            <v/>
          </cell>
          <cell r="BZ55" t="b">
            <v>0</v>
          </cell>
          <cell r="CA55">
            <v>6</v>
          </cell>
          <cell r="CB55" t="str">
            <v/>
          </cell>
          <cell r="CD55" t="b">
            <v>0</v>
          </cell>
          <cell r="CE55">
            <v>6</v>
          </cell>
          <cell r="CF55" t="str">
            <v/>
          </cell>
          <cell r="CJ55" t="str">
            <v/>
          </cell>
          <cell r="CN55" t="str">
            <v>Normal</v>
          </cell>
          <cell r="CQ55" t="str">
            <v/>
          </cell>
        </row>
        <row r="56">
          <cell r="A56" t="str">
            <v>Dragon, Battle</v>
          </cell>
          <cell r="D56" t="str">
            <v>Dragon</v>
          </cell>
          <cell r="E56" t="str">
            <v>Extraplanar</v>
          </cell>
          <cell r="N56" t="str">
            <v/>
          </cell>
          <cell r="P56" t="str">
            <v>Breath Weapon(Su): 15" cone of sonic energy;</v>
          </cell>
          <cell r="U56" t="str">
            <v>sonic</v>
          </cell>
          <cell r="W56" t="str">
            <v>sonic</v>
          </cell>
          <cell r="AG56" t="str">
            <v>Perform (any)</v>
          </cell>
          <cell r="BB56" t="str">
            <v>Neutral Good</v>
          </cell>
          <cell r="BJ56" t="str">
            <v>color=brown;</v>
          </cell>
          <cell r="BL56" t="str">
            <v>Planar</v>
          </cell>
          <cell r="BM56" t="str">
            <v>Dr</v>
          </cell>
          <cell r="BN56">
            <v>176</v>
          </cell>
          <cell r="BP56" t="b">
            <v>0</v>
          </cell>
          <cell r="BQ56" t="b">
            <v>0</v>
          </cell>
          <cell r="BR56" t="b">
            <v>0</v>
          </cell>
          <cell r="BS56">
            <v>6</v>
          </cell>
          <cell r="BT56" t="str">
            <v/>
          </cell>
          <cell r="BV56" t="b">
            <v>0</v>
          </cell>
          <cell r="BW56">
            <v>8</v>
          </cell>
          <cell r="BX56" t="str">
            <v/>
          </cell>
          <cell r="BZ56" t="b">
            <v>0</v>
          </cell>
          <cell r="CA56">
            <v>6</v>
          </cell>
          <cell r="CB56" t="str">
            <v/>
          </cell>
          <cell r="CD56" t="b">
            <v>0</v>
          </cell>
          <cell r="CE56">
            <v>6</v>
          </cell>
          <cell r="CF56" t="str">
            <v/>
          </cell>
          <cell r="CJ56" t="str">
            <v/>
          </cell>
          <cell r="CN56">
            <v>1</v>
          </cell>
          <cell r="CQ56" t="str">
            <v/>
          </cell>
        </row>
        <row r="57">
          <cell r="A57" t="str">
            <v>Dragon, Black</v>
          </cell>
          <cell r="D57" t="str">
            <v>Dragon</v>
          </cell>
          <cell r="E57" t="str">
            <v>Water</v>
          </cell>
          <cell r="J57">
            <v>40</v>
          </cell>
          <cell r="M57">
            <v>7</v>
          </cell>
          <cell r="N57" t="str">
            <v/>
          </cell>
          <cell r="P57" t="str">
            <v>Breath Weapon(Su): 30" line of acid, 2d4, acid;</v>
          </cell>
          <cell r="U57" t="str">
            <v>acid</v>
          </cell>
          <cell r="W57" t="str">
            <v>acid</v>
          </cell>
          <cell r="AA57">
            <v>2</v>
          </cell>
          <cell r="AC57">
            <v>2</v>
          </cell>
          <cell r="AF57">
            <v>2</v>
          </cell>
          <cell r="AG57" t="str">
            <v>Hide</v>
          </cell>
          <cell r="BA57">
            <v>2</v>
          </cell>
          <cell r="BB57" t="str">
            <v>Chaotic Evil</v>
          </cell>
          <cell r="BC57">
            <v>2</v>
          </cell>
          <cell r="BF57">
            <v>8</v>
          </cell>
          <cell r="BH57" t="str">
            <v>Dragon</v>
          </cell>
          <cell r="BJ57" t="str">
            <v>color=black;DrShSkill=Hide, Move Silently, Swim;DrShAdaptation=Water Breathing (Ex);SpawnStr=2;SpawnCon=2;SpawnCha=2;SpawnCR=2;SpawnLA=2;</v>
          </cell>
          <cell r="BL57" t="str">
            <v>Chromatic</v>
          </cell>
          <cell r="BM57" t="str">
            <v>MM</v>
          </cell>
          <cell r="BN57">
            <v>70</v>
          </cell>
          <cell r="BP57" t="b">
            <v>1</v>
          </cell>
          <cell r="BQ57" t="b">
            <v>0</v>
          </cell>
          <cell r="BR57" t="b">
            <v>0</v>
          </cell>
          <cell r="BS57">
            <v>6</v>
          </cell>
          <cell r="BT57" t="str">
            <v/>
          </cell>
          <cell r="BU57" t="b">
            <v>0</v>
          </cell>
          <cell r="BV57" t="b">
            <v>0</v>
          </cell>
          <cell r="BW57">
            <v>8</v>
          </cell>
          <cell r="BX57" t="str">
            <v/>
          </cell>
          <cell r="BZ57" t="b">
            <v>0</v>
          </cell>
          <cell r="CA57">
            <v>6</v>
          </cell>
          <cell r="CB57" t="str">
            <v/>
          </cell>
          <cell r="CC57" t="b">
            <v>0</v>
          </cell>
          <cell r="CD57" t="b">
            <v>0</v>
          </cell>
          <cell r="CE57">
            <v>6</v>
          </cell>
          <cell r="CF57" t="str">
            <v/>
          </cell>
          <cell r="CJ57" t="str">
            <v/>
          </cell>
          <cell r="CQ57" t="str">
            <v/>
          </cell>
        </row>
        <row r="58">
          <cell r="A58" t="str">
            <v>Dragon, Blue</v>
          </cell>
          <cell r="D58" t="str">
            <v>Dragon</v>
          </cell>
          <cell r="E58" t="str">
            <v>Earth</v>
          </cell>
          <cell r="J58">
            <v>40</v>
          </cell>
          <cell r="M58">
            <v>7</v>
          </cell>
          <cell r="N58" t="str">
            <v/>
          </cell>
          <cell r="P58" t="str">
            <v>Breath Weapon(Su): 30" line of lightning, 2d8, electricity;</v>
          </cell>
          <cell r="U58" t="str">
            <v>electricity</v>
          </cell>
          <cell r="W58" t="str">
            <v>electricity</v>
          </cell>
          <cell r="AA58">
            <v>6</v>
          </cell>
          <cell r="AC58">
            <v>4</v>
          </cell>
          <cell r="AE58">
            <v>2</v>
          </cell>
          <cell r="AF58">
            <v>4</v>
          </cell>
          <cell r="AG58" t="str">
            <v>Hide</v>
          </cell>
          <cell r="BA58">
            <v>2</v>
          </cell>
          <cell r="BB58" t="str">
            <v>Lawful Evil</v>
          </cell>
          <cell r="BC58">
            <v>3</v>
          </cell>
          <cell r="BF58">
            <v>10</v>
          </cell>
          <cell r="BH58" t="str">
            <v>Dragon</v>
          </cell>
          <cell r="BJ58" t="str">
            <v>color=blue;DrShSkill=Bluff, Hide, Spellcraft;DrShAdaptation=Ventriloquism (Sp);SpawnStr=6;SpawnCon=4;SpawnWis=2;SpawnCha=4;SpawnCR=2;SpawnLA=3;</v>
          </cell>
          <cell r="BL58" t="str">
            <v>Chromatic</v>
          </cell>
          <cell r="BM58" t="str">
            <v>MM</v>
          </cell>
          <cell r="BN58">
            <v>72</v>
          </cell>
          <cell r="BP58" t="b">
            <v>1</v>
          </cell>
          <cell r="BQ58" t="b">
            <v>0</v>
          </cell>
          <cell r="BR58" t="b">
            <v>0</v>
          </cell>
          <cell r="BS58">
            <v>6</v>
          </cell>
          <cell r="BT58" t="str">
            <v/>
          </cell>
          <cell r="BU58" t="b">
            <v>0</v>
          </cell>
          <cell r="BV58" t="b">
            <v>0</v>
          </cell>
          <cell r="BW58">
            <v>8</v>
          </cell>
          <cell r="BX58" t="str">
            <v/>
          </cell>
          <cell r="BZ58" t="b">
            <v>0</v>
          </cell>
          <cell r="CA58">
            <v>6</v>
          </cell>
          <cell r="CB58" t="str">
            <v/>
          </cell>
          <cell r="CC58" t="b">
            <v>0</v>
          </cell>
          <cell r="CD58" t="b">
            <v>0</v>
          </cell>
          <cell r="CE58">
            <v>6</v>
          </cell>
          <cell r="CF58" t="str">
            <v/>
          </cell>
          <cell r="CJ58" t="str">
            <v/>
          </cell>
          <cell r="CQ58" t="str">
            <v/>
          </cell>
        </row>
        <row r="59">
          <cell r="A59" t="str">
            <v>Dragon, Brass</v>
          </cell>
          <cell r="D59" t="str">
            <v>Dragon</v>
          </cell>
          <cell r="N59" t="str">
            <v/>
          </cell>
          <cell r="P59" t="str">
            <v>Breath Weapon(Su): 30" line of fire, 1d6, fire;</v>
          </cell>
          <cell r="U59" t="str">
            <v>fire</v>
          </cell>
          <cell r="W59" t="str">
            <v>fire</v>
          </cell>
          <cell r="AG59" t="str">
            <v>Gather Information</v>
          </cell>
          <cell r="BB59" t="str">
            <v>Chaotic Good</v>
          </cell>
          <cell r="BF59">
            <v>9</v>
          </cell>
          <cell r="BH59" t="str">
            <v>Dragon</v>
          </cell>
          <cell r="BJ59" t="str">
            <v>color=brass;DrShSkill=Bluff, Gather Information, Survival;DrShAdaptation=Endure Elements (Sp);</v>
          </cell>
          <cell r="BL59" t="str">
            <v>Metallic</v>
          </cell>
          <cell r="BM59" t="str">
            <v>MM</v>
          </cell>
          <cell r="BN59">
            <v>79</v>
          </cell>
          <cell r="BP59" t="b">
            <v>1</v>
          </cell>
          <cell r="BQ59" t="b">
            <v>0</v>
          </cell>
          <cell r="BR59" t="b">
            <v>0</v>
          </cell>
          <cell r="BS59">
            <v>6</v>
          </cell>
          <cell r="BT59" t="str">
            <v/>
          </cell>
          <cell r="BU59" t="b">
            <v>0</v>
          </cell>
          <cell r="BV59" t="b">
            <v>0</v>
          </cell>
          <cell r="BW59">
            <v>8</v>
          </cell>
          <cell r="BX59" t="str">
            <v/>
          </cell>
          <cell r="BZ59" t="b">
            <v>0</v>
          </cell>
          <cell r="CA59">
            <v>6</v>
          </cell>
          <cell r="CB59" t="str">
            <v/>
          </cell>
          <cell r="CC59" t="b">
            <v>0</v>
          </cell>
          <cell r="CD59" t="b">
            <v>0</v>
          </cell>
          <cell r="CE59">
            <v>6</v>
          </cell>
          <cell r="CF59" t="str">
            <v/>
          </cell>
          <cell r="CJ59" t="str">
            <v/>
          </cell>
          <cell r="CN59" t="b">
            <v>0</v>
          </cell>
          <cell r="CQ59" t="str">
            <v/>
          </cell>
        </row>
        <row r="60">
          <cell r="A60" t="str">
            <v>Dragon, Bronze</v>
          </cell>
          <cell r="D60" t="str">
            <v>Dragon</v>
          </cell>
          <cell r="N60" t="str">
            <v/>
          </cell>
          <cell r="P60" t="str">
            <v>Breath Weapon(Su): 30" line of lightning, 2d6, electricity;</v>
          </cell>
          <cell r="U60" t="str">
            <v>electricity</v>
          </cell>
          <cell r="W60" t="str">
            <v>electricity</v>
          </cell>
          <cell r="AG60" t="str">
            <v>Survival</v>
          </cell>
          <cell r="BB60" t="str">
            <v>Lawful Good</v>
          </cell>
          <cell r="BF60">
            <v>11</v>
          </cell>
          <cell r="BH60" t="str">
            <v>Dragon</v>
          </cell>
          <cell r="BJ60" t="str">
            <v>color=bronze;DrShSkill=Disguise, Survival, Swim;DrShAdaptation=Water Breathing (Ex);</v>
          </cell>
          <cell r="BL60" t="str">
            <v>Metallic</v>
          </cell>
          <cell r="BM60" t="str">
            <v>MM</v>
          </cell>
          <cell r="BN60">
            <v>80</v>
          </cell>
          <cell r="BP60" t="b">
            <v>1</v>
          </cell>
          <cell r="BQ60" t="b">
            <v>0</v>
          </cell>
          <cell r="BR60" t="b">
            <v>0</v>
          </cell>
          <cell r="BS60">
            <v>6</v>
          </cell>
          <cell r="BT60" t="str">
            <v/>
          </cell>
          <cell r="BU60" t="b">
            <v>1</v>
          </cell>
          <cell r="BV60" t="b">
            <v>0</v>
          </cell>
          <cell r="BW60">
            <v>8</v>
          </cell>
          <cell r="BX60" t="str">
            <v/>
          </cell>
          <cell r="BZ60" t="b">
            <v>0</v>
          </cell>
          <cell r="CA60">
            <v>6</v>
          </cell>
          <cell r="CB60" t="str">
            <v/>
          </cell>
          <cell r="CC60" t="b">
            <v>0</v>
          </cell>
          <cell r="CD60" t="b">
            <v>0</v>
          </cell>
          <cell r="CE60">
            <v>6</v>
          </cell>
          <cell r="CF60" t="str">
            <v/>
          </cell>
          <cell r="CJ60" t="str">
            <v/>
          </cell>
          <cell r="CN60" t="b">
            <v>0</v>
          </cell>
          <cell r="CQ60" t="str">
            <v/>
          </cell>
        </row>
        <row r="61">
          <cell r="A61" t="str">
            <v>Dragon, Brown</v>
          </cell>
          <cell r="D61" t="str">
            <v>Dragon</v>
          </cell>
          <cell r="E61" t="str">
            <v>Earth</v>
          </cell>
          <cell r="N61" t="str">
            <v/>
          </cell>
          <cell r="P61" t="str">
            <v>Breath Weapon(Su): 30" line of acid;</v>
          </cell>
          <cell r="U61" t="str">
            <v>acid</v>
          </cell>
          <cell r="W61" t="str">
            <v>acid</v>
          </cell>
          <cell r="AG61" t="str">
            <v>Listen</v>
          </cell>
          <cell r="BB61" t="str">
            <v>Neutral Evil</v>
          </cell>
          <cell r="BJ61" t="str">
            <v>color=brown;</v>
          </cell>
          <cell r="BL61" t="str">
            <v>Faerunian</v>
          </cell>
          <cell r="BM61" t="str">
            <v>MoF</v>
          </cell>
          <cell r="BN61">
            <v>38</v>
          </cell>
          <cell r="BO61" t="str">
            <v>Dr</v>
          </cell>
          <cell r="BP61" t="b">
            <v>0</v>
          </cell>
          <cell r="BQ61" t="b">
            <v>0</v>
          </cell>
          <cell r="BR61" t="b">
            <v>0</v>
          </cell>
          <cell r="BS61">
            <v>6</v>
          </cell>
          <cell r="BT61" t="str">
            <v/>
          </cell>
          <cell r="BV61" t="b">
            <v>0</v>
          </cell>
          <cell r="BW61">
            <v>8</v>
          </cell>
          <cell r="BX61" t="str">
            <v/>
          </cell>
          <cell r="BZ61" t="b">
            <v>0</v>
          </cell>
          <cell r="CA61">
            <v>6</v>
          </cell>
          <cell r="CB61" t="str">
            <v/>
          </cell>
          <cell r="CD61" t="b">
            <v>0</v>
          </cell>
          <cell r="CE61">
            <v>6</v>
          </cell>
          <cell r="CF61" t="str">
            <v/>
          </cell>
          <cell r="CJ61" t="str">
            <v/>
          </cell>
          <cell r="CQ61" t="str">
            <v/>
          </cell>
        </row>
        <row r="62">
          <cell r="A62" t="str">
            <v>Dragon, Chaos</v>
          </cell>
          <cell r="D62" t="str">
            <v>Dragon</v>
          </cell>
          <cell r="E62" t="str">
            <v>Chaos,Extraplanar</v>
          </cell>
          <cell r="N62" t="str">
            <v/>
          </cell>
          <cell r="P62" t="str">
            <v>Breath Weapon(Su): 30" line of random energy;</v>
          </cell>
          <cell r="U62" t="str">
            <v>compulsion</v>
          </cell>
          <cell r="AG62" t="str">
            <v>Bluff</v>
          </cell>
          <cell r="BB62" t="str">
            <v>Chaotic</v>
          </cell>
          <cell r="BJ62" t="str">
            <v>color=;</v>
          </cell>
          <cell r="BL62" t="str">
            <v>Planar</v>
          </cell>
          <cell r="BM62" t="str">
            <v>Dr</v>
          </cell>
          <cell r="BN62">
            <v>177</v>
          </cell>
          <cell r="BP62" t="b">
            <v>0</v>
          </cell>
          <cell r="BQ62" t="b">
            <v>0</v>
          </cell>
          <cell r="BR62" t="b">
            <v>0</v>
          </cell>
          <cell r="BS62">
            <v>6</v>
          </cell>
          <cell r="BT62" t="str">
            <v/>
          </cell>
          <cell r="BV62" t="b">
            <v>0</v>
          </cell>
          <cell r="BW62">
            <v>8</v>
          </cell>
          <cell r="BX62" t="str">
            <v/>
          </cell>
          <cell r="BZ62" t="b">
            <v>0</v>
          </cell>
          <cell r="CA62">
            <v>6</v>
          </cell>
          <cell r="CB62" t="str">
            <v/>
          </cell>
          <cell r="CD62" t="b">
            <v>0</v>
          </cell>
          <cell r="CE62">
            <v>6</v>
          </cell>
          <cell r="CF62" t="str">
            <v/>
          </cell>
          <cell r="CJ62" t="str">
            <v/>
          </cell>
          <cell r="CN62" t="b">
            <v>0</v>
          </cell>
          <cell r="CQ62" t="str">
            <v/>
          </cell>
        </row>
        <row r="63">
          <cell r="A63" t="str">
            <v>Dragon, Chiang Lung</v>
          </cell>
          <cell r="D63" t="str">
            <v>Dragon</v>
          </cell>
          <cell r="N63" t="str">
            <v/>
          </cell>
          <cell r="P63" t="str">
            <v/>
          </cell>
          <cell r="U63" t="str">
            <v/>
          </cell>
          <cell r="AG63" t="str">
            <v>Swim</v>
          </cell>
          <cell r="BB63" t="str">
            <v>Lawful Neutral</v>
          </cell>
          <cell r="BJ63" t="str">
            <v>color=;</v>
          </cell>
          <cell r="BL63" t="str">
            <v>Lung</v>
          </cell>
          <cell r="BM63" t="str">
            <v>OA</v>
          </cell>
          <cell r="BN63">
            <v>155</v>
          </cell>
          <cell r="BP63" t="b">
            <v>0</v>
          </cell>
          <cell r="BQ63" t="b">
            <v>0</v>
          </cell>
          <cell r="BR63" t="b">
            <v>0</v>
          </cell>
          <cell r="BS63">
            <v>6</v>
          </cell>
          <cell r="BT63" t="str">
            <v/>
          </cell>
          <cell r="BV63" t="b">
            <v>0</v>
          </cell>
          <cell r="BW63">
            <v>8</v>
          </cell>
          <cell r="BX63" t="str">
            <v/>
          </cell>
          <cell r="BZ63" t="b">
            <v>0</v>
          </cell>
          <cell r="CA63">
            <v>6</v>
          </cell>
          <cell r="CB63" t="str">
            <v/>
          </cell>
          <cell r="CD63" t="b">
            <v>0</v>
          </cell>
          <cell r="CE63">
            <v>6</v>
          </cell>
          <cell r="CF63" t="str">
            <v/>
          </cell>
          <cell r="CJ63" t="str">
            <v/>
          </cell>
          <cell r="CN63" t="b">
            <v>0</v>
          </cell>
        </row>
        <row r="64">
          <cell r="A64" t="str">
            <v>Dragon, Chromium</v>
          </cell>
          <cell r="D64" t="str">
            <v>Dragon</v>
          </cell>
          <cell r="N64" t="str">
            <v/>
          </cell>
          <cell r="P64" t="str">
            <v>Breath Weapon(Su): 30" line of solid ice;</v>
          </cell>
          <cell r="U64" t="str">
            <v>cold</v>
          </cell>
          <cell r="W64" t="str">
            <v>cold</v>
          </cell>
          <cell r="BB64" t="str">
            <v>Lawful Evil</v>
          </cell>
          <cell r="BJ64" t="str">
            <v>color=chromium;</v>
          </cell>
          <cell r="BL64" t="str">
            <v>Ferreous</v>
          </cell>
          <cell r="BM64" t="str">
            <v>DMag</v>
          </cell>
          <cell r="BN64">
            <v>356</v>
          </cell>
          <cell r="BP64" t="b">
            <v>0</v>
          </cell>
          <cell r="BQ64" t="b">
            <v>0</v>
          </cell>
          <cell r="BR64" t="b">
            <v>0</v>
          </cell>
          <cell r="BS64">
            <v>6</v>
          </cell>
          <cell r="BT64" t="str">
            <v/>
          </cell>
          <cell r="BV64" t="b">
            <v>0</v>
          </cell>
          <cell r="BW64">
            <v>8</v>
          </cell>
          <cell r="BX64" t="str">
            <v/>
          </cell>
          <cell r="BZ64" t="b">
            <v>0</v>
          </cell>
          <cell r="CA64">
            <v>6</v>
          </cell>
          <cell r="CB64" t="str">
            <v/>
          </cell>
          <cell r="CD64" t="b">
            <v>0</v>
          </cell>
          <cell r="CE64">
            <v>6</v>
          </cell>
          <cell r="CF64" t="str">
            <v/>
          </cell>
          <cell r="CJ64" t="str">
            <v/>
          </cell>
          <cell r="CN64">
            <v>0</v>
          </cell>
          <cell r="CQ64" t="str">
            <v/>
          </cell>
        </row>
        <row r="65">
          <cell r="A65" t="str">
            <v>Dragon, Cobalt</v>
          </cell>
          <cell r="D65" t="str">
            <v>Dragon</v>
          </cell>
          <cell r="N65" t="str">
            <v/>
          </cell>
          <cell r="P65" t="str">
            <v>Breath Weapon(Su): 30" line of pulsing energy;</v>
          </cell>
          <cell r="U65" t="str">
            <v>force</v>
          </cell>
          <cell r="W65" t="str">
            <v>electricity</v>
          </cell>
          <cell r="BB65" t="str">
            <v>Lawful Evil</v>
          </cell>
          <cell r="BJ65" t="str">
            <v>color=;</v>
          </cell>
          <cell r="BL65" t="str">
            <v>Ferreous</v>
          </cell>
          <cell r="BM65" t="str">
            <v>DMag</v>
          </cell>
          <cell r="BN65">
            <v>356</v>
          </cell>
          <cell r="BP65" t="b">
            <v>0</v>
          </cell>
          <cell r="BQ65" t="b">
            <v>0</v>
          </cell>
          <cell r="BR65" t="b">
            <v>0</v>
          </cell>
          <cell r="BS65">
            <v>6</v>
          </cell>
          <cell r="BT65" t="str">
            <v/>
          </cell>
          <cell r="BV65" t="b">
            <v>0</v>
          </cell>
          <cell r="BW65">
            <v>8</v>
          </cell>
          <cell r="BX65" t="str">
            <v/>
          </cell>
          <cell r="BZ65" t="b">
            <v>0</v>
          </cell>
          <cell r="CA65">
            <v>6</v>
          </cell>
          <cell r="CB65" t="str">
            <v/>
          </cell>
          <cell r="CD65" t="b">
            <v>0</v>
          </cell>
          <cell r="CE65">
            <v>6</v>
          </cell>
          <cell r="CF65" t="str">
            <v/>
          </cell>
          <cell r="CJ65" t="str">
            <v/>
          </cell>
          <cell r="CN65" t="str">
            <v/>
          </cell>
          <cell r="CQ65" t="str">
            <v/>
          </cell>
        </row>
        <row r="66">
          <cell r="A66" t="str">
            <v>Dragon, Copper</v>
          </cell>
          <cell r="D66" t="str">
            <v>Dragon</v>
          </cell>
          <cell r="N66" t="str">
            <v/>
          </cell>
          <cell r="P66" t="str">
            <v>Breath Weapon(Su): 30" line of acid, 2d4, acid;</v>
          </cell>
          <cell r="U66" t="str">
            <v>acid</v>
          </cell>
          <cell r="W66" t="str">
            <v>acid</v>
          </cell>
          <cell r="AG66" t="str">
            <v>Hide</v>
          </cell>
          <cell r="BB66" t="str">
            <v>Chaotic Good</v>
          </cell>
          <cell r="BF66">
            <v>10</v>
          </cell>
          <cell r="BH66" t="str">
            <v>Dragon</v>
          </cell>
          <cell r="BJ66" t="str">
            <v>color=copper;DrShSkill=Bluff, Hide, Jump;DrShAdaptation=Spider Climb (Sp);</v>
          </cell>
          <cell r="BL66" t="str">
            <v>Metallic</v>
          </cell>
          <cell r="BM66" t="str">
            <v>MM</v>
          </cell>
          <cell r="BN66">
            <v>82</v>
          </cell>
          <cell r="BP66" t="b">
            <v>1</v>
          </cell>
          <cell r="BQ66" t="b">
            <v>0</v>
          </cell>
          <cell r="BR66" t="b">
            <v>0</v>
          </cell>
          <cell r="BS66">
            <v>6</v>
          </cell>
          <cell r="BT66" t="str">
            <v/>
          </cell>
          <cell r="BU66" t="b">
            <v>0</v>
          </cell>
          <cell r="BV66" t="b">
            <v>0</v>
          </cell>
          <cell r="BW66">
            <v>8</v>
          </cell>
          <cell r="BX66" t="str">
            <v/>
          </cell>
          <cell r="BZ66" t="b">
            <v>0</v>
          </cell>
          <cell r="CA66">
            <v>6</v>
          </cell>
          <cell r="CB66" t="str">
            <v/>
          </cell>
          <cell r="CC66" t="b">
            <v>0</v>
          </cell>
          <cell r="CD66" t="b">
            <v>0</v>
          </cell>
          <cell r="CE66">
            <v>6</v>
          </cell>
          <cell r="CF66" t="str">
            <v/>
          </cell>
          <cell r="CJ66" t="str">
            <v/>
          </cell>
          <cell r="CQ66" t="str">
            <v/>
          </cell>
        </row>
        <row r="67">
          <cell r="A67" t="str">
            <v>Dragon, Crystal</v>
          </cell>
          <cell r="D67" t="str">
            <v>Dragon</v>
          </cell>
          <cell r="E67" t="str">
            <v>Air</v>
          </cell>
          <cell r="N67" t="str">
            <v/>
          </cell>
          <cell r="P67" t="str">
            <v>Breath Weapon(Su): 15" cone of light;</v>
          </cell>
          <cell r="U67" t="str">
            <v>cold</v>
          </cell>
          <cell r="W67" t="str">
            <v>cold</v>
          </cell>
          <cell r="AG67" t="str">
            <v>Diplomacy</v>
          </cell>
          <cell r="BB67" t="str">
            <v>Chaotic Neutral</v>
          </cell>
          <cell r="BJ67" t="str">
            <v>color=translucent;</v>
          </cell>
          <cell r="BL67" t="str">
            <v>Gem</v>
          </cell>
          <cell r="BM67" t="str">
            <v>MM2</v>
          </cell>
          <cell r="BN67">
            <v>81</v>
          </cell>
          <cell r="BP67" t="b">
            <v>0</v>
          </cell>
          <cell r="BQ67" t="b">
            <v>0</v>
          </cell>
          <cell r="BR67" t="b">
            <v>0</v>
          </cell>
          <cell r="BS67">
            <v>6</v>
          </cell>
          <cell r="BT67" t="str">
            <v/>
          </cell>
          <cell r="BV67" t="b">
            <v>0</v>
          </cell>
          <cell r="BW67">
            <v>8</v>
          </cell>
          <cell r="BX67" t="str">
            <v/>
          </cell>
          <cell r="BZ67" t="b">
            <v>0</v>
          </cell>
          <cell r="CA67">
            <v>6</v>
          </cell>
          <cell r="CB67" t="str">
            <v/>
          </cell>
          <cell r="CD67" t="b">
            <v>0</v>
          </cell>
          <cell r="CE67">
            <v>6</v>
          </cell>
          <cell r="CF67" t="str">
            <v/>
          </cell>
          <cell r="CJ67" t="str">
            <v/>
          </cell>
          <cell r="CQ67" t="str">
            <v/>
          </cell>
        </row>
        <row r="68">
          <cell r="A68" t="str">
            <v>Dragon, Deep</v>
          </cell>
          <cell r="D68" t="str">
            <v>Dragon</v>
          </cell>
          <cell r="E68" t="str">
            <v>Earth</v>
          </cell>
          <cell r="N68" t="str">
            <v/>
          </cell>
          <cell r="P68" t="str">
            <v>Breath Weapon(Su): 15" cone of acid gas;</v>
          </cell>
          <cell r="U68" t="str">
            <v>charm effects</v>
          </cell>
          <cell r="W68" t="str">
            <v>acid</v>
          </cell>
          <cell r="AG68" t="str">
            <v>Spot</v>
          </cell>
          <cell r="BB68" t="str">
            <v>Chaotic Evil</v>
          </cell>
          <cell r="BJ68" t="str">
            <v>color=purple;</v>
          </cell>
          <cell r="BL68" t="str">
            <v>Faerunian</v>
          </cell>
          <cell r="BM68" t="str">
            <v>MoF</v>
          </cell>
          <cell r="BN68">
            <v>40</v>
          </cell>
          <cell r="BP68" t="b">
            <v>0</v>
          </cell>
          <cell r="BQ68" t="b">
            <v>0</v>
          </cell>
          <cell r="BR68" t="b">
            <v>0</v>
          </cell>
          <cell r="BS68">
            <v>6</v>
          </cell>
          <cell r="BT68" t="str">
            <v/>
          </cell>
          <cell r="BV68" t="b">
            <v>0</v>
          </cell>
          <cell r="BW68">
            <v>8</v>
          </cell>
          <cell r="BX68" t="str">
            <v/>
          </cell>
          <cell r="BZ68" t="b">
            <v>0</v>
          </cell>
          <cell r="CA68">
            <v>6</v>
          </cell>
          <cell r="CB68" t="str">
            <v/>
          </cell>
          <cell r="CD68" t="b">
            <v>0</v>
          </cell>
          <cell r="CE68">
            <v>6</v>
          </cell>
          <cell r="CF68" t="str">
            <v/>
          </cell>
          <cell r="CJ68" t="str">
            <v/>
          </cell>
          <cell r="CQ68" t="str">
            <v/>
          </cell>
        </row>
        <row r="69">
          <cell r="A69" t="str">
            <v>Dragon, Emerald</v>
          </cell>
          <cell r="D69" t="str">
            <v>Dragon</v>
          </cell>
          <cell r="E69" t="str">
            <v>Air</v>
          </cell>
          <cell r="N69" t="str">
            <v/>
          </cell>
          <cell r="P69" t="str">
            <v>Breath Weapon(Su): 15" cone of sonic energy;</v>
          </cell>
          <cell r="U69" t="str">
            <v>sonic</v>
          </cell>
          <cell r="W69" t="str">
            <v>sonic</v>
          </cell>
          <cell r="AG69" t="str">
            <v>Knowledge (local)</v>
          </cell>
          <cell r="BB69" t="str">
            <v>Lawful Neutral</v>
          </cell>
          <cell r="BJ69" t="str">
            <v>color=green;</v>
          </cell>
          <cell r="BL69" t="str">
            <v>Gem</v>
          </cell>
          <cell r="BM69" t="str">
            <v>MM2</v>
          </cell>
          <cell r="BN69">
            <v>82</v>
          </cell>
          <cell r="BP69" t="b">
            <v>0</v>
          </cell>
          <cell r="BQ69" t="b">
            <v>0</v>
          </cell>
          <cell r="BR69" t="b">
            <v>0</v>
          </cell>
          <cell r="BS69">
            <v>6</v>
          </cell>
          <cell r="BT69" t="str">
            <v/>
          </cell>
          <cell r="BV69" t="b">
            <v>0</v>
          </cell>
          <cell r="BW69">
            <v>8</v>
          </cell>
          <cell r="BX69" t="str">
            <v/>
          </cell>
          <cell r="BZ69" t="b">
            <v>0</v>
          </cell>
          <cell r="CA69">
            <v>6</v>
          </cell>
          <cell r="CB69" t="str">
            <v/>
          </cell>
          <cell r="CD69" t="b">
            <v>0</v>
          </cell>
          <cell r="CE69">
            <v>6</v>
          </cell>
          <cell r="CF69" t="str">
            <v/>
          </cell>
          <cell r="CJ69" t="str">
            <v/>
          </cell>
          <cell r="CN69" t="str">
            <v/>
          </cell>
          <cell r="CQ69" t="str">
            <v/>
          </cell>
        </row>
        <row r="70">
          <cell r="A70" t="str">
            <v>Dragon, Ethereal</v>
          </cell>
          <cell r="D70" t="str">
            <v>Dragon</v>
          </cell>
          <cell r="E70" t="str">
            <v>Extraplanar</v>
          </cell>
          <cell r="N70" t="str">
            <v/>
          </cell>
          <cell r="P70" t="str">
            <v>Breath Weapon(Su): 15" cone of force;</v>
          </cell>
          <cell r="U70" t="str">
            <v>force</v>
          </cell>
          <cell r="AG70" t="str">
            <v>Escape Artist</v>
          </cell>
          <cell r="BB70" t="str">
            <v>Neutral</v>
          </cell>
          <cell r="BJ70" t="str">
            <v>color=brown-grey;</v>
          </cell>
          <cell r="BL70" t="str">
            <v>Planar</v>
          </cell>
          <cell r="BM70" t="str">
            <v>Dr</v>
          </cell>
          <cell r="BN70">
            <v>179</v>
          </cell>
          <cell r="BP70" t="b">
            <v>0</v>
          </cell>
          <cell r="BQ70" t="b">
            <v>0</v>
          </cell>
          <cell r="BR70" t="b">
            <v>0</v>
          </cell>
          <cell r="BS70">
            <v>6</v>
          </cell>
          <cell r="BT70" t="str">
            <v/>
          </cell>
          <cell r="BV70" t="b">
            <v>0</v>
          </cell>
          <cell r="BW70">
            <v>8</v>
          </cell>
          <cell r="BX70" t="str">
            <v/>
          </cell>
          <cell r="BZ70" t="b">
            <v>0</v>
          </cell>
          <cell r="CA70">
            <v>6</v>
          </cell>
          <cell r="CB70" t="str">
            <v/>
          </cell>
          <cell r="CD70" t="b">
            <v>0</v>
          </cell>
          <cell r="CE70">
            <v>6</v>
          </cell>
          <cell r="CF70" t="str">
            <v/>
          </cell>
          <cell r="CJ70" t="str">
            <v/>
          </cell>
          <cell r="CN70" t="str">
            <v/>
          </cell>
          <cell r="CQ70" t="str">
            <v/>
          </cell>
        </row>
        <row r="71">
          <cell r="A71" t="str">
            <v>Dragon, Fang</v>
          </cell>
          <cell r="D71" t="str">
            <v>Dragon</v>
          </cell>
          <cell r="E71" t="str">
            <v>Air</v>
          </cell>
          <cell r="N71" t="str">
            <v/>
          </cell>
          <cell r="P71" t="str">
            <v>Ability drain;</v>
          </cell>
          <cell r="U71" t="str">
            <v/>
          </cell>
          <cell r="AG71" t="str">
            <v>Listen</v>
          </cell>
          <cell r="BB71" t="str">
            <v>Chaotic Neutral</v>
          </cell>
          <cell r="BJ71" t="str">
            <v>color=grey;</v>
          </cell>
          <cell r="BL71" t="str">
            <v>Faerunian</v>
          </cell>
          <cell r="BM71" t="str">
            <v>MoF</v>
          </cell>
          <cell r="BN71">
            <v>159</v>
          </cell>
          <cell r="BO71" t="str">
            <v>Dr</v>
          </cell>
          <cell r="BP71" t="b">
            <v>0</v>
          </cell>
          <cell r="BQ71" t="b">
            <v>0</v>
          </cell>
          <cell r="BR71" t="b">
            <v>0</v>
          </cell>
          <cell r="BS71">
            <v>6</v>
          </cell>
          <cell r="BT71" t="str">
            <v/>
          </cell>
          <cell r="BV71" t="b">
            <v>0</v>
          </cell>
          <cell r="BW71">
            <v>8</v>
          </cell>
          <cell r="BX71" t="str">
            <v/>
          </cell>
          <cell r="BZ71" t="b">
            <v>0</v>
          </cell>
          <cell r="CA71">
            <v>6</v>
          </cell>
          <cell r="CB71" t="str">
            <v/>
          </cell>
          <cell r="CD71" t="b">
            <v>0</v>
          </cell>
          <cell r="CE71">
            <v>6</v>
          </cell>
          <cell r="CF71" t="str">
            <v/>
          </cell>
          <cell r="CJ71" t="str">
            <v/>
          </cell>
          <cell r="CQ71" t="str">
            <v/>
          </cell>
        </row>
        <row r="72">
          <cell r="A72" t="str">
            <v>Dragon, Force</v>
          </cell>
          <cell r="D72" t="str">
            <v>Dragon</v>
          </cell>
          <cell r="N72" t="str">
            <v/>
          </cell>
          <cell r="P72" t="str">
            <v>Breath Weapon(Su): 15" cone of force;</v>
          </cell>
          <cell r="U72" t="str">
            <v>force</v>
          </cell>
          <cell r="AG72" t="str">
            <v>Spot</v>
          </cell>
          <cell r="BB72" t="str">
            <v>Neutral</v>
          </cell>
          <cell r="BJ72" t="str">
            <v>color=;</v>
          </cell>
          <cell r="BL72" t="str">
            <v>Epic</v>
          </cell>
          <cell r="BM72" t="str">
            <v>ELH</v>
          </cell>
          <cell r="BP72" t="b">
            <v>1</v>
          </cell>
          <cell r="BQ72" t="b">
            <v>0</v>
          </cell>
          <cell r="BR72" t="b">
            <v>0</v>
          </cell>
          <cell r="BS72">
            <v>6</v>
          </cell>
          <cell r="BT72" t="str">
            <v/>
          </cell>
          <cell r="BV72" t="b">
            <v>0</v>
          </cell>
          <cell r="BW72">
            <v>8</v>
          </cell>
          <cell r="BX72" t="str">
            <v/>
          </cell>
          <cell r="BZ72" t="b">
            <v>0</v>
          </cell>
          <cell r="CA72">
            <v>6</v>
          </cell>
          <cell r="CB72" t="str">
            <v/>
          </cell>
          <cell r="CD72" t="b">
            <v>0</v>
          </cell>
          <cell r="CE72">
            <v>6</v>
          </cell>
          <cell r="CF72" t="str">
            <v/>
          </cell>
          <cell r="CJ72" t="str">
            <v/>
          </cell>
          <cell r="CN72" t="e">
            <v>#N/A</v>
          </cell>
          <cell r="CQ72" t="str">
            <v/>
          </cell>
        </row>
        <row r="73">
          <cell r="A73" t="str">
            <v>Dragon, Gold</v>
          </cell>
          <cell r="D73" t="str">
            <v>Dragon</v>
          </cell>
          <cell r="N73" t="str">
            <v/>
          </cell>
          <cell r="P73" t="str">
            <v>Breath Weapon(Su): 15" cone of fire, 2d10, fire;</v>
          </cell>
          <cell r="U73" t="str">
            <v>fire</v>
          </cell>
          <cell r="W73" t="str">
            <v>fire</v>
          </cell>
          <cell r="AG73" t="str">
            <v>Heal</v>
          </cell>
          <cell r="BB73" t="str">
            <v>Lawful Good</v>
          </cell>
          <cell r="BF73">
            <v>14</v>
          </cell>
          <cell r="BH73" t="str">
            <v>Dragon</v>
          </cell>
          <cell r="BJ73" t="str">
            <v>color=gold;DrShSkill=Disguise, Heal, Swim;DrShAdaptation=Water Breathing (Ex);</v>
          </cell>
          <cell r="BL73" t="str">
            <v>Metallic</v>
          </cell>
          <cell r="BM73" t="str">
            <v>MM</v>
          </cell>
          <cell r="BN73">
            <v>84</v>
          </cell>
          <cell r="BP73" t="b">
            <v>1</v>
          </cell>
          <cell r="BQ73" t="b">
            <v>0</v>
          </cell>
          <cell r="BR73" t="b">
            <v>0</v>
          </cell>
          <cell r="BS73">
            <v>6</v>
          </cell>
          <cell r="BT73" t="str">
            <v/>
          </cell>
          <cell r="BU73" t="b">
            <v>1</v>
          </cell>
          <cell r="BV73" t="b">
            <v>0</v>
          </cell>
          <cell r="BW73">
            <v>8</v>
          </cell>
          <cell r="BX73" t="str">
            <v/>
          </cell>
          <cell r="BZ73" t="b">
            <v>0</v>
          </cell>
          <cell r="CA73">
            <v>6</v>
          </cell>
          <cell r="CB73" t="str">
            <v/>
          </cell>
          <cell r="CC73" t="b">
            <v>0</v>
          </cell>
          <cell r="CD73" t="b">
            <v>0</v>
          </cell>
          <cell r="CE73">
            <v>6</v>
          </cell>
          <cell r="CF73" t="str">
            <v/>
          </cell>
          <cell r="CJ73" t="str">
            <v/>
          </cell>
        </row>
        <row r="74">
          <cell r="A74" t="str">
            <v>Dragon, Green</v>
          </cell>
          <cell r="D74" t="str">
            <v>Dragon</v>
          </cell>
          <cell r="E74" t="str">
            <v>Air</v>
          </cell>
          <cell r="J74">
            <v>40</v>
          </cell>
          <cell r="M74">
            <v>7</v>
          </cell>
          <cell r="N74" t="str">
            <v/>
          </cell>
          <cell r="P74" t="str">
            <v>Breath Weapon(Su): 15" cone of acid gas, 2d6, acid;</v>
          </cell>
          <cell r="U74" t="str">
            <v>acid</v>
          </cell>
          <cell r="W74" t="str">
            <v>acid</v>
          </cell>
          <cell r="AA74">
            <v>2</v>
          </cell>
          <cell r="AC74">
            <v>2</v>
          </cell>
          <cell r="AF74">
            <v>2</v>
          </cell>
          <cell r="AG74" t="str">
            <v>Move Silently</v>
          </cell>
          <cell r="BA74">
            <v>2</v>
          </cell>
          <cell r="BB74" t="str">
            <v>Lawful Evil</v>
          </cell>
          <cell r="BC74">
            <v>2</v>
          </cell>
          <cell r="BF74">
            <v>9</v>
          </cell>
          <cell r="BH74" t="str">
            <v>Dragon</v>
          </cell>
          <cell r="BJ74" t="str">
            <v>color=green;DrShSkill=Bluff, Hide, Move Silently;DrShAdaptation=Water Breathing (Ex);SpawnStr=2;SpawnCon=2;SpawnCha=2;SpawnCR=2;SpawnLA=2;</v>
          </cell>
          <cell r="BL74" t="str">
            <v>Chromatic</v>
          </cell>
          <cell r="BM74" t="str">
            <v>MM</v>
          </cell>
          <cell r="BN74">
            <v>74</v>
          </cell>
          <cell r="BP74" t="b">
            <v>1</v>
          </cell>
          <cell r="BQ74" t="b">
            <v>0</v>
          </cell>
          <cell r="BR74" t="b">
            <v>0</v>
          </cell>
          <cell r="BS74">
            <v>6</v>
          </cell>
          <cell r="BT74" t="str">
            <v/>
          </cell>
          <cell r="BU74" t="b">
            <v>0</v>
          </cell>
          <cell r="BV74" t="b">
            <v>0</v>
          </cell>
          <cell r="BW74">
            <v>8</v>
          </cell>
          <cell r="BX74" t="str">
            <v/>
          </cell>
          <cell r="BZ74" t="b">
            <v>0</v>
          </cell>
          <cell r="CA74">
            <v>6</v>
          </cell>
          <cell r="CB74" t="str">
            <v/>
          </cell>
          <cell r="CC74" t="b">
            <v>0</v>
          </cell>
          <cell r="CD74" t="b">
            <v>0</v>
          </cell>
          <cell r="CE74">
            <v>6</v>
          </cell>
          <cell r="CF74" t="str">
            <v/>
          </cell>
          <cell r="CJ74" t="str">
            <v/>
          </cell>
          <cell r="CN74" t="e">
            <v>#VALUE!</v>
          </cell>
        </row>
        <row r="75">
          <cell r="A75" t="str">
            <v>Dragon, Howling</v>
          </cell>
          <cell r="D75" t="str">
            <v>Dragon</v>
          </cell>
          <cell r="E75" t="str">
            <v>Extraplanar</v>
          </cell>
          <cell r="N75" t="str">
            <v/>
          </cell>
          <cell r="P75" t="str">
            <v>Breath Weapon(Su): 15" cone of sonic energy;</v>
          </cell>
          <cell r="U75" t="str">
            <v>sonic</v>
          </cell>
          <cell r="W75" t="str">
            <v>sonic</v>
          </cell>
          <cell r="AG75" t="str">
            <v>Survival</v>
          </cell>
          <cell r="BB75" t="str">
            <v>Chaotic Evil</v>
          </cell>
          <cell r="BJ75" t="str">
            <v>color=purple;</v>
          </cell>
          <cell r="BL75" t="str">
            <v>Planar</v>
          </cell>
          <cell r="BM75" t="str">
            <v>Dr</v>
          </cell>
          <cell r="BN75">
            <v>180</v>
          </cell>
          <cell r="BP75" t="b">
            <v>0</v>
          </cell>
          <cell r="BQ75" t="b">
            <v>0</v>
          </cell>
          <cell r="BR75" t="b">
            <v>0</v>
          </cell>
          <cell r="BS75">
            <v>6</v>
          </cell>
          <cell r="BT75" t="str">
            <v/>
          </cell>
          <cell r="BV75" t="b">
            <v>0</v>
          </cell>
          <cell r="BW75">
            <v>8</v>
          </cell>
          <cell r="BX75" t="str">
            <v/>
          </cell>
          <cell r="BZ75" t="b">
            <v>0</v>
          </cell>
          <cell r="CA75">
            <v>6</v>
          </cell>
          <cell r="CB75" t="str">
            <v/>
          </cell>
          <cell r="CD75" t="b">
            <v>0</v>
          </cell>
          <cell r="CE75">
            <v>6</v>
          </cell>
          <cell r="CF75" t="str">
            <v/>
          </cell>
          <cell r="CJ75" t="str">
            <v/>
          </cell>
          <cell r="CN75" t="str">
            <v/>
          </cell>
          <cell r="CP75" t="str">
            <v>Select a Servant</v>
          </cell>
        </row>
        <row r="76">
          <cell r="A76" t="str">
            <v>Dragon, Iron</v>
          </cell>
          <cell r="D76" t="str">
            <v>Dragon</v>
          </cell>
          <cell r="N76" t="str">
            <v/>
          </cell>
          <cell r="P76" t="str">
            <v>Breath Weapon(Su): 15" cone of superheated sparks;</v>
          </cell>
          <cell r="U76" t="str">
            <v>fire</v>
          </cell>
          <cell r="W76" t="str">
            <v>electricity</v>
          </cell>
          <cell r="BB76" t="str">
            <v>Lawful Neutral</v>
          </cell>
          <cell r="BJ76" t="str">
            <v>color=iron;</v>
          </cell>
          <cell r="BL76" t="str">
            <v>Ferreous</v>
          </cell>
          <cell r="BM76" t="str">
            <v>DMag</v>
          </cell>
          <cell r="BP76" t="b">
            <v>0</v>
          </cell>
          <cell r="BQ76" t="b">
            <v>0</v>
          </cell>
          <cell r="BR76" t="b">
            <v>0</v>
          </cell>
          <cell r="BS76">
            <v>6</v>
          </cell>
          <cell r="BT76" t="str">
            <v/>
          </cell>
          <cell r="BV76" t="b">
            <v>0</v>
          </cell>
          <cell r="BW76">
            <v>8</v>
          </cell>
          <cell r="BX76" t="str">
            <v/>
          </cell>
          <cell r="BZ76" t="b">
            <v>0</v>
          </cell>
          <cell r="CA76">
            <v>6</v>
          </cell>
          <cell r="CB76" t="str">
            <v/>
          </cell>
          <cell r="CD76" t="b">
            <v>0</v>
          </cell>
          <cell r="CE76">
            <v>6</v>
          </cell>
          <cell r="CF76" t="str">
            <v/>
          </cell>
          <cell r="CJ76" t="str">
            <v/>
          </cell>
          <cell r="CN76" t="str">
            <v>Select Familiar</v>
          </cell>
          <cell r="CP76" t="str">
            <v>Fiendish Monstrous Spider</v>
          </cell>
        </row>
        <row r="77">
          <cell r="A77" t="str">
            <v>Dragon, Li Lung</v>
          </cell>
          <cell r="D77" t="str">
            <v>Dragon</v>
          </cell>
          <cell r="H77">
            <v>10</v>
          </cell>
          <cell r="N77" t="str">
            <v/>
          </cell>
          <cell r="P77" t="str">
            <v/>
          </cell>
          <cell r="U77" t="str">
            <v>earth</v>
          </cell>
          <cell r="AG77" t="str">
            <v>Hide</v>
          </cell>
          <cell r="BB77" t="str">
            <v>Neutral</v>
          </cell>
          <cell r="BJ77" t="str">
            <v>color=;</v>
          </cell>
          <cell r="BL77" t="str">
            <v>Lung</v>
          </cell>
          <cell r="BM77" t="str">
            <v>OA</v>
          </cell>
          <cell r="BN77">
            <v>156</v>
          </cell>
          <cell r="BP77" t="b">
            <v>0</v>
          </cell>
          <cell r="BQ77" t="b">
            <v>0</v>
          </cell>
          <cell r="BR77" t="b">
            <v>0</v>
          </cell>
          <cell r="BS77">
            <v>6</v>
          </cell>
          <cell r="BT77" t="str">
            <v/>
          </cell>
          <cell r="BV77" t="b">
            <v>0</v>
          </cell>
          <cell r="BW77">
            <v>8</v>
          </cell>
          <cell r="BX77" t="str">
            <v/>
          </cell>
          <cell r="BZ77" t="b">
            <v>0</v>
          </cell>
          <cell r="CA77">
            <v>6</v>
          </cell>
          <cell r="CB77" t="str">
            <v/>
          </cell>
          <cell r="CD77" t="b">
            <v>0</v>
          </cell>
          <cell r="CE77">
            <v>6</v>
          </cell>
          <cell r="CF77" t="str">
            <v/>
          </cell>
          <cell r="CJ77" t="str">
            <v/>
          </cell>
          <cell r="CN77" t="b">
            <v>1</v>
          </cell>
          <cell r="CP77" t="str">
            <v>Fiendish Sword Spider</v>
          </cell>
        </row>
        <row r="78">
          <cell r="A78" t="str">
            <v>Dragon, Lung Wang</v>
          </cell>
          <cell r="D78" t="str">
            <v>Dragon</v>
          </cell>
          <cell r="N78" t="str">
            <v/>
          </cell>
          <cell r="P78" t="str">
            <v>Breath Weapon(Su): 15" cone of steam;</v>
          </cell>
          <cell r="U78" t="str">
            <v>fire</v>
          </cell>
          <cell r="W78" t="str">
            <v>fire</v>
          </cell>
          <cell r="AG78" t="str">
            <v>Swim</v>
          </cell>
          <cell r="BB78" t="str">
            <v>Neutral</v>
          </cell>
          <cell r="BJ78" t="str">
            <v>color=;</v>
          </cell>
          <cell r="BL78" t="str">
            <v>Lung</v>
          </cell>
          <cell r="BM78" t="str">
            <v>OA</v>
          </cell>
          <cell r="BN78">
            <v>157</v>
          </cell>
          <cell r="BP78" t="b">
            <v>0</v>
          </cell>
          <cell r="BQ78" t="b">
            <v>0</v>
          </cell>
          <cell r="BR78" t="b">
            <v>0</v>
          </cell>
          <cell r="BS78">
            <v>6</v>
          </cell>
          <cell r="BT78" t="str">
            <v/>
          </cell>
          <cell r="BV78" t="b">
            <v>0</v>
          </cell>
          <cell r="BW78">
            <v>8</v>
          </cell>
          <cell r="BX78" t="str">
            <v/>
          </cell>
          <cell r="BZ78" t="b">
            <v>0</v>
          </cell>
          <cell r="CA78">
            <v>6</v>
          </cell>
          <cell r="CB78" t="str">
            <v/>
          </cell>
          <cell r="CD78" t="b">
            <v>0</v>
          </cell>
          <cell r="CE78">
            <v>6</v>
          </cell>
          <cell r="CF78" t="str">
            <v/>
          </cell>
          <cell r="CJ78" t="str">
            <v/>
          </cell>
          <cell r="CN78" t="e">
            <v>#VALUE!</v>
          </cell>
          <cell r="CP78" t="str">
            <v>Myrlochar</v>
          </cell>
        </row>
        <row r="79">
          <cell r="A79" t="str">
            <v>Dragon, Nickel</v>
          </cell>
          <cell r="D79" t="str">
            <v>Dragon</v>
          </cell>
          <cell r="N79" t="str">
            <v/>
          </cell>
          <cell r="P79" t="str">
            <v>Breath Weapon(Su): 15" cone of acid gas;</v>
          </cell>
          <cell r="U79" t="str">
            <v>acid</v>
          </cell>
          <cell r="W79" t="str">
            <v>acid</v>
          </cell>
          <cell r="BB79" t="str">
            <v>Lawful Evil</v>
          </cell>
          <cell r="BJ79" t="str">
            <v>color=nickel;</v>
          </cell>
          <cell r="BL79" t="str">
            <v>Ferreous</v>
          </cell>
          <cell r="BM79" t="str">
            <v>DMag</v>
          </cell>
          <cell r="BN79">
            <v>356</v>
          </cell>
          <cell r="BP79" t="b">
            <v>0</v>
          </cell>
          <cell r="BQ79" t="b">
            <v>0</v>
          </cell>
          <cell r="BR79" t="b">
            <v>0</v>
          </cell>
          <cell r="BS79">
            <v>6</v>
          </cell>
          <cell r="BT79" t="str">
            <v/>
          </cell>
          <cell r="BV79" t="b">
            <v>0</v>
          </cell>
          <cell r="BW79">
            <v>8</v>
          </cell>
          <cell r="BX79" t="str">
            <v/>
          </cell>
          <cell r="BZ79" t="b">
            <v>0</v>
          </cell>
          <cell r="CA79">
            <v>6</v>
          </cell>
          <cell r="CB79" t="str">
            <v/>
          </cell>
          <cell r="CD79" t="b">
            <v>0</v>
          </cell>
          <cell r="CE79">
            <v>6</v>
          </cell>
          <cell r="CF79" t="str">
            <v/>
          </cell>
          <cell r="CJ79" t="str">
            <v/>
          </cell>
          <cell r="CN79" t="e">
            <v>#N/A</v>
          </cell>
          <cell r="CP79" t="str">
            <v>Phase Spider</v>
          </cell>
        </row>
        <row r="80">
          <cell r="A80" t="str">
            <v>Dragon, Oceanus</v>
          </cell>
          <cell r="D80" t="str">
            <v>Dragon</v>
          </cell>
          <cell r="E80" t="str">
            <v>Aquatic,Extraplanar</v>
          </cell>
          <cell r="N80" t="str">
            <v/>
          </cell>
          <cell r="P80" t="str">
            <v>Breath Weapon(Su): 30" line of electricity;</v>
          </cell>
          <cell r="U80" t="str">
            <v>electricity</v>
          </cell>
          <cell r="W80" t="str">
            <v>electricity</v>
          </cell>
          <cell r="AG80" t="str">
            <v>Swim</v>
          </cell>
          <cell r="BB80" t="str">
            <v>Neutral Good</v>
          </cell>
          <cell r="BJ80" t="str">
            <v>color=;</v>
          </cell>
          <cell r="BL80" t="str">
            <v>Planar</v>
          </cell>
          <cell r="BM80" t="str">
            <v>Dr</v>
          </cell>
          <cell r="BN80">
            <v>181</v>
          </cell>
          <cell r="BP80" t="b">
            <v>0</v>
          </cell>
          <cell r="BQ80" t="b">
            <v>0</v>
          </cell>
          <cell r="BR80" t="b">
            <v>0</v>
          </cell>
          <cell r="BS80">
            <v>6</v>
          </cell>
          <cell r="BT80" t="str">
            <v/>
          </cell>
          <cell r="BV80" t="b">
            <v>0</v>
          </cell>
          <cell r="BW80">
            <v>8</v>
          </cell>
          <cell r="BX80" t="str">
            <v/>
          </cell>
          <cell r="BZ80" t="b">
            <v>0</v>
          </cell>
          <cell r="CA80">
            <v>6</v>
          </cell>
          <cell r="CB80" t="str">
            <v/>
          </cell>
          <cell r="CD80" t="b">
            <v>0</v>
          </cell>
          <cell r="CE80">
            <v>6</v>
          </cell>
          <cell r="CF80" t="str">
            <v/>
          </cell>
          <cell r="CJ80" t="str">
            <v/>
          </cell>
          <cell r="CN80" t="e">
            <v>#N/A</v>
          </cell>
        </row>
        <row r="81">
          <cell r="A81" t="str">
            <v>Dragon, Pan Lung</v>
          </cell>
          <cell r="D81" t="str">
            <v>Dragon</v>
          </cell>
          <cell r="N81" t="str">
            <v/>
          </cell>
          <cell r="P81" t="str">
            <v/>
          </cell>
          <cell r="U81" t="str">
            <v/>
          </cell>
          <cell r="AG81" t="str">
            <v>Diplomacy</v>
          </cell>
          <cell r="BB81" t="str">
            <v>Neutral</v>
          </cell>
          <cell r="BJ81" t="str">
            <v>color=;</v>
          </cell>
          <cell r="BL81" t="str">
            <v>Lung</v>
          </cell>
          <cell r="BM81" t="str">
            <v>OA</v>
          </cell>
          <cell r="BN81">
            <v>158</v>
          </cell>
          <cell r="BP81" t="b">
            <v>0</v>
          </cell>
          <cell r="BQ81" t="b">
            <v>0</v>
          </cell>
          <cell r="BR81" t="b">
            <v>0</v>
          </cell>
          <cell r="BS81">
            <v>6</v>
          </cell>
          <cell r="BT81" t="str">
            <v/>
          </cell>
          <cell r="BV81" t="b">
            <v>0</v>
          </cell>
          <cell r="BW81">
            <v>8</v>
          </cell>
          <cell r="BX81" t="str">
            <v/>
          </cell>
          <cell r="BZ81" t="b">
            <v>0</v>
          </cell>
          <cell r="CA81">
            <v>6</v>
          </cell>
          <cell r="CB81" t="str">
            <v/>
          </cell>
          <cell r="CD81" t="b">
            <v>0</v>
          </cell>
          <cell r="CE81">
            <v>6</v>
          </cell>
          <cell r="CF81" t="str">
            <v/>
          </cell>
          <cell r="CJ81" t="str">
            <v/>
          </cell>
          <cell r="CN81" t="e">
            <v>#N/A</v>
          </cell>
        </row>
        <row r="82">
          <cell r="A82" t="str">
            <v>Dragon, Platinum</v>
          </cell>
          <cell r="D82" t="str">
            <v>Dragon</v>
          </cell>
          <cell r="N82" t="str">
            <v/>
          </cell>
          <cell r="P82" t="str">
            <v/>
          </cell>
          <cell r="U82" t="str">
            <v>any one energy type</v>
          </cell>
          <cell r="W82" t="str">
            <v>any one energy type</v>
          </cell>
          <cell r="AG82" t="str">
            <v>Concentration</v>
          </cell>
          <cell r="BJ82" t="str">
            <v>color=platinum;</v>
          </cell>
          <cell r="BL82" t="str">
            <v>Ferreous</v>
          </cell>
          <cell r="BM82" t="str">
            <v>DMag</v>
          </cell>
          <cell r="BN82">
            <v>356</v>
          </cell>
          <cell r="BP82" t="b">
            <v>0</v>
          </cell>
          <cell r="BQ82" t="b">
            <v>0</v>
          </cell>
          <cell r="BR82" t="b">
            <v>0</v>
          </cell>
          <cell r="BS82">
            <v>6</v>
          </cell>
          <cell r="BT82" t="str">
            <v/>
          </cell>
          <cell r="BV82" t="b">
            <v>0</v>
          </cell>
          <cell r="BW82">
            <v>8</v>
          </cell>
          <cell r="BX82" t="str">
            <v/>
          </cell>
          <cell r="BZ82" t="b">
            <v>0</v>
          </cell>
          <cell r="CA82">
            <v>6</v>
          </cell>
          <cell r="CB82" t="str">
            <v/>
          </cell>
          <cell r="CD82" t="b">
            <v>0</v>
          </cell>
          <cell r="CE82">
            <v>6</v>
          </cell>
          <cell r="CF82" t="str">
            <v/>
          </cell>
          <cell r="CJ82" t="str">
            <v/>
          </cell>
          <cell r="CN82" t="e">
            <v>#N/A</v>
          </cell>
        </row>
        <row r="83">
          <cell r="A83" t="str">
            <v>Dragon, Prismatic</v>
          </cell>
          <cell r="D83" t="str">
            <v>Dragon</v>
          </cell>
          <cell r="N83" t="str">
            <v/>
          </cell>
          <cell r="P83" t="str">
            <v/>
          </cell>
          <cell r="U83" t="str">
            <v>blindness,light</v>
          </cell>
          <cell r="AG83" t="str">
            <v>Diplomacy</v>
          </cell>
          <cell r="BB83" t="str">
            <v>Neutral</v>
          </cell>
          <cell r="BL83" t="str">
            <v>Epic</v>
          </cell>
          <cell r="BM83" t="str">
            <v>ELH</v>
          </cell>
          <cell r="BP83" t="b">
            <v>1</v>
          </cell>
          <cell r="BQ83" t="b">
            <v>0</v>
          </cell>
          <cell r="BR83" t="b">
            <v>0</v>
          </cell>
          <cell r="BS83">
            <v>6</v>
          </cell>
          <cell r="BT83" t="str">
            <v/>
          </cell>
          <cell r="BV83" t="b">
            <v>0</v>
          </cell>
          <cell r="BW83">
            <v>8</v>
          </cell>
          <cell r="BX83" t="str">
            <v/>
          </cell>
          <cell r="BZ83" t="b">
            <v>0</v>
          </cell>
          <cell r="CA83">
            <v>6</v>
          </cell>
          <cell r="CB83" t="str">
            <v/>
          </cell>
          <cell r="CD83" t="b">
            <v>0</v>
          </cell>
          <cell r="CE83">
            <v>6</v>
          </cell>
          <cell r="CF83" t="str">
            <v/>
          </cell>
          <cell r="CJ83" t="str">
            <v/>
          </cell>
        </row>
        <row r="84">
          <cell r="A84" t="str">
            <v>Dragon, Pyroclastic</v>
          </cell>
          <cell r="D84" t="str">
            <v>Dragon</v>
          </cell>
          <cell r="E84" t="str">
            <v>Extraplanar</v>
          </cell>
          <cell r="N84" t="str">
            <v/>
          </cell>
          <cell r="P84" t="str">
            <v>Breath Weapon(Su): 15" cone of fire and sonic;</v>
          </cell>
          <cell r="U84" t="str">
            <v>fire or sonic</v>
          </cell>
          <cell r="W84" t="str">
            <v>fire and sonic</v>
          </cell>
          <cell r="AG84" t="str">
            <v>Listen</v>
          </cell>
          <cell r="BB84" t="str">
            <v>Lawful</v>
          </cell>
          <cell r="BJ84" t="str">
            <v>color=orange;</v>
          </cell>
          <cell r="BL84" t="str">
            <v>Planar</v>
          </cell>
          <cell r="BM84" t="str">
            <v>Dr</v>
          </cell>
          <cell r="BN84">
            <v>182</v>
          </cell>
          <cell r="BP84" t="b">
            <v>0</v>
          </cell>
          <cell r="BQ84" t="b">
            <v>0</v>
          </cell>
          <cell r="BR84" t="b">
            <v>0</v>
          </cell>
          <cell r="BS84">
            <v>6</v>
          </cell>
          <cell r="BT84" t="str">
            <v/>
          </cell>
          <cell r="BV84" t="b">
            <v>0</v>
          </cell>
          <cell r="BW84">
            <v>8</v>
          </cell>
          <cell r="BX84" t="str">
            <v/>
          </cell>
          <cell r="BZ84" t="b">
            <v>0</v>
          </cell>
          <cell r="CA84">
            <v>6</v>
          </cell>
          <cell r="CB84" t="str">
            <v/>
          </cell>
          <cell r="CD84" t="b">
            <v>0</v>
          </cell>
          <cell r="CE84">
            <v>6</v>
          </cell>
          <cell r="CF84" t="str">
            <v/>
          </cell>
          <cell r="CJ84" t="str">
            <v/>
          </cell>
        </row>
        <row r="85">
          <cell r="A85" t="str">
            <v>Dragon, Radiant</v>
          </cell>
          <cell r="D85" t="str">
            <v>Dragon</v>
          </cell>
          <cell r="E85" t="str">
            <v>Extraplanar</v>
          </cell>
          <cell r="N85" t="str">
            <v/>
          </cell>
          <cell r="P85" t="str">
            <v>Breath Weapon(Su): 30" line of force;</v>
          </cell>
          <cell r="U85" t="str">
            <v>light</v>
          </cell>
          <cell r="AG85" t="str">
            <v>Spot</v>
          </cell>
          <cell r="BB85" t="str">
            <v>Lawful Good</v>
          </cell>
          <cell r="BJ85" t="str">
            <v>color=gold;</v>
          </cell>
          <cell r="BL85" t="str">
            <v>Planar</v>
          </cell>
          <cell r="BM85" t="str">
            <v>Dr</v>
          </cell>
          <cell r="BN85">
            <v>185</v>
          </cell>
          <cell r="BP85" t="b">
            <v>0</v>
          </cell>
          <cell r="BQ85" t="b">
            <v>0</v>
          </cell>
          <cell r="BR85" t="b">
            <v>0</v>
          </cell>
          <cell r="BS85">
            <v>6</v>
          </cell>
          <cell r="BT85" t="str">
            <v/>
          </cell>
          <cell r="BV85" t="b">
            <v>0</v>
          </cell>
          <cell r="BW85">
            <v>8</v>
          </cell>
          <cell r="BX85" t="str">
            <v/>
          </cell>
          <cell r="BZ85" t="b">
            <v>0</v>
          </cell>
          <cell r="CA85">
            <v>6</v>
          </cell>
          <cell r="CB85" t="str">
            <v/>
          </cell>
          <cell r="CD85" t="b">
            <v>0</v>
          </cell>
          <cell r="CE85">
            <v>6</v>
          </cell>
          <cell r="CF85" t="str">
            <v/>
          </cell>
          <cell r="CJ85" t="str">
            <v/>
          </cell>
          <cell r="CN85" t="str">
            <v>Select Companion</v>
          </cell>
        </row>
        <row r="86">
          <cell r="A86" t="str">
            <v>Dragon, Red</v>
          </cell>
          <cell r="D86" t="str">
            <v>Dragon</v>
          </cell>
          <cell r="E86" t="str">
            <v>Fire</v>
          </cell>
          <cell r="J86">
            <v>40</v>
          </cell>
          <cell r="M86">
            <v>7</v>
          </cell>
          <cell r="N86" t="str">
            <v/>
          </cell>
          <cell r="P86" t="str">
            <v>Breath Weapon(Su): 15" cone of fire, 2d10, fire;</v>
          </cell>
          <cell r="U86" t="str">
            <v>fire</v>
          </cell>
          <cell r="W86" t="str">
            <v>fire</v>
          </cell>
          <cell r="AA86">
            <v>8</v>
          </cell>
          <cell r="AB86">
            <v>2</v>
          </cell>
          <cell r="AC86">
            <v>6</v>
          </cell>
          <cell r="AD86">
            <v>2</v>
          </cell>
          <cell r="AE86">
            <v>2</v>
          </cell>
          <cell r="AF86">
            <v>4</v>
          </cell>
          <cell r="AG86" t="str">
            <v>Appraise</v>
          </cell>
          <cell r="BA86">
            <v>3</v>
          </cell>
          <cell r="BB86" t="str">
            <v>Chaotic Evil</v>
          </cell>
          <cell r="BC86">
            <v>4</v>
          </cell>
          <cell r="BF86">
            <v>12</v>
          </cell>
          <cell r="BH86" t="str">
            <v>Dragon</v>
          </cell>
          <cell r="BJ86" t="str">
            <v>color=red;DrShSkill=Appraise, Bluff, Jump;DrShAdaptation=Treasure Seeker (Ex);SpawnStr=8;SpawnDex=2;SpawnCon=4;SpawnInt=2;SpawnWis=2;SpawnCha=4;SpawnCR=3;SpawnLA=4;</v>
          </cell>
          <cell r="BL86" t="str">
            <v>Chromatic</v>
          </cell>
          <cell r="BM86" t="str">
            <v>MM</v>
          </cell>
          <cell r="BN86">
            <v>75</v>
          </cell>
          <cell r="BP86" t="b">
            <v>1</v>
          </cell>
          <cell r="BQ86" t="b">
            <v>0</v>
          </cell>
          <cell r="BR86" t="b">
            <v>0</v>
          </cell>
          <cell r="BS86">
            <v>6</v>
          </cell>
          <cell r="BT86" t="str">
            <v/>
          </cell>
          <cell r="BU86" t="b">
            <v>0</v>
          </cell>
          <cell r="BV86" t="b">
            <v>0</v>
          </cell>
          <cell r="BW86">
            <v>8</v>
          </cell>
          <cell r="BX86" t="str">
            <v/>
          </cell>
          <cell r="BZ86" t="b">
            <v>0</v>
          </cell>
          <cell r="CA86">
            <v>6</v>
          </cell>
          <cell r="CB86" t="str">
            <v/>
          </cell>
          <cell r="CC86" t="b">
            <v>0</v>
          </cell>
          <cell r="CD86" t="b">
            <v>0</v>
          </cell>
          <cell r="CE86">
            <v>6</v>
          </cell>
          <cell r="CF86" t="str">
            <v/>
          </cell>
          <cell r="CJ86" t="str">
            <v/>
          </cell>
          <cell r="CN86">
            <v>0</v>
          </cell>
        </row>
        <row r="87">
          <cell r="A87" t="str">
            <v>Dragon, Rust</v>
          </cell>
          <cell r="D87" t="str">
            <v>Dragon</v>
          </cell>
          <cell r="E87" t="str">
            <v>Extraplanar</v>
          </cell>
          <cell r="N87" t="str">
            <v/>
          </cell>
          <cell r="P87" t="str">
            <v>Breath Weapon(Su): 30" line of acid;</v>
          </cell>
          <cell r="U87" t="str">
            <v>acid</v>
          </cell>
          <cell r="W87" t="str">
            <v>acid</v>
          </cell>
          <cell r="AG87" t="str">
            <v>Search</v>
          </cell>
          <cell r="BB87" t="str">
            <v>Lawful</v>
          </cell>
          <cell r="BJ87" t="str">
            <v>color=rust;</v>
          </cell>
          <cell r="BL87" t="str">
            <v>Planar</v>
          </cell>
          <cell r="BM87" t="str">
            <v>Dr</v>
          </cell>
          <cell r="BN87">
            <v>186</v>
          </cell>
          <cell r="BP87" t="b">
            <v>0</v>
          </cell>
          <cell r="BQ87" t="b">
            <v>0</v>
          </cell>
          <cell r="BR87" t="b">
            <v>0</v>
          </cell>
          <cell r="BS87">
            <v>6</v>
          </cell>
          <cell r="BT87" t="str">
            <v/>
          </cell>
          <cell r="BV87" t="b">
            <v>0</v>
          </cell>
          <cell r="BW87">
            <v>8</v>
          </cell>
          <cell r="BX87" t="str">
            <v/>
          </cell>
          <cell r="BZ87" t="b">
            <v>0</v>
          </cell>
          <cell r="CA87">
            <v>6</v>
          </cell>
          <cell r="CB87" t="str">
            <v/>
          </cell>
          <cell r="CD87" t="b">
            <v>0</v>
          </cell>
          <cell r="CE87">
            <v>6</v>
          </cell>
          <cell r="CF87" t="str">
            <v/>
          </cell>
          <cell r="CJ87" t="str">
            <v/>
          </cell>
          <cell r="CN87" t="e">
            <v>#N/A</v>
          </cell>
        </row>
        <row r="88">
          <cell r="A88" t="str">
            <v>Dragon, Sand</v>
          </cell>
          <cell r="D88" t="str">
            <v>Dragon</v>
          </cell>
          <cell r="N88" t="str">
            <v/>
          </cell>
          <cell r="P88" t="str">
            <v>Breath Weapon(Su): 15" cone of grit;</v>
          </cell>
          <cell r="U88" t="str">
            <v>fire</v>
          </cell>
          <cell r="W88" t="str">
            <v>fire</v>
          </cell>
          <cell r="AG88" t="str">
            <v>Survival</v>
          </cell>
          <cell r="BB88" t="str">
            <v>Chaotic Neutral</v>
          </cell>
          <cell r="BL88" t="str">
            <v>Independant</v>
          </cell>
          <cell r="BM88" t="str">
            <v>Sand</v>
          </cell>
          <cell r="BN88">
            <v>152</v>
          </cell>
          <cell r="BP88" t="b">
            <v>0</v>
          </cell>
          <cell r="BQ88" t="b">
            <v>0</v>
          </cell>
          <cell r="BR88" t="b">
            <v>0</v>
          </cell>
          <cell r="BS88">
            <v>6</v>
          </cell>
          <cell r="BT88" t="str">
            <v/>
          </cell>
          <cell r="BV88" t="b">
            <v>0</v>
          </cell>
          <cell r="BW88">
            <v>8</v>
          </cell>
          <cell r="BX88" t="str">
            <v/>
          </cell>
          <cell r="BZ88" t="b">
            <v>0</v>
          </cell>
          <cell r="CA88">
            <v>6</v>
          </cell>
          <cell r="CB88" t="str">
            <v/>
          </cell>
          <cell r="CD88" t="b">
            <v>0</v>
          </cell>
          <cell r="CE88">
            <v>6</v>
          </cell>
          <cell r="CF88" t="str">
            <v/>
          </cell>
          <cell r="CJ88" t="str">
            <v/>
          </cell>
          <cell r="CN88" t="e">
            <v>#VALUE!</v>
          </cell>
        </row>
        <row r="89">
          <cell r="A89" t="str">
            <v>Dragon, Sapphire</v>
          </cell>
          <cell r="D89" t="str">
            <v>Dragon</v>
          </cell>
          <cell r="E89" t="str">
            <v>Earth</v>
          </cell>
          <cell r="N89" t="str">
            <v/>
          </cell>
          <cell r="P89" t="str">
            <v>Breath Weapon(Su): 15" cone of sonic energy;</v>
          </cell>
          <cell r="U89" t="str">
            <v>electricity</v>
          </cell>
          <cell r="W89" t="str">
            <v>sonic</v>
          </cell>
          <cell r="AG89" t="str">
            <v>Knowledge (dungeoneering)</v>
          </cell>
          <cell r="BB89" t="str">
            <v>Lawful Neutral</v>
          </cell>
          <cell r="BJ89" t="str">
            <v>color=blue;</v>
          </cell>
          <cell r="BL89" t="str">
            <v>Gem</v>
          </cell>
          <cell r="BM89" t="str">
            <v>MM2</v>
          </cell>
          <cell r="BN89">
            <v>84</v>
          </cell>
          <cell r="BP89" t="b">
            <v>0</v>
          </cell>
          <cell r="BQ89" t="b">
            <v>0</v>
          </cell>
          <cell r="BR89" t="b">
            <v>0</v>
          </cell>
          <cell r="BS89">
            <v>6</v>
          </cell>
          <cell r="BT89" t="str">
            <v/>
          </cell>
          <cell r="BV89" t="b">
            <v>0</v>
          </cell>
          <cell r="BW89">
            <v>8</v>
          </cell>
          <cell r="BX89" t="str">
            <v/>
          </cell>
          <cell r="BZ89" t="b">
            <v>0</v>
          </cell>
          <cell r="CA89">
            <v>6</v>
          </cell>
          <cell r="CB89" t="str">
            <v/>
          </cell>
          <cell r="CD89" t="b">
            <v>0</v>
          </cell>
          <cell r="CE89">
            <v>6</v>
          </cell>
          <cell r="CF89" t="str">
            <v/>
          </cell>
          <cell r="CJ89" t="str">
            <v/>
          </cell>
          <cell r="CN89" t="e">
            <v>#N/A</v>
          </cell>
        </row>
        <row r="90">
          <cell r="A90" t="str">
            <v>Dragon, Sea</v>
          </cell>
          <cell r="D90" t="str">
            <v>Dragon</v>
          </cell>
          <cell r="E90" t="str">
            <v>Aquatic, Water</v>
          </cell>
          <cell r="L90">
            <v>40</v>
          </cell>
          <cell r="M90">
            <v>10</v>
          </cell>
          <cell r="N90" t="str">
            <v/>
          </cell>
          <cell r="P90" t="str">
            <v>Breath Weapon(Su): 15" cone of Steam, 2d8, fire;</v>
          </cell>
          <cell r="U90" t="str">
            <v>fire</v>
          </cell>
          <cell r="W90" t="str">
            <v>fire</v>
          </cell>
          <cell r="AA90">
            <v>6</v>
          </cell>
          <cell r="AC90">
            <v>4</v>
          </cell>
          <cell r="AE90">
            <v>2</v>
          </cell>
          <cell r="AF90">
            <v>4</v>
          </cell>
          <cell r="BA90">
            <v>2</v>
          </cell>
          <cell r="BB90" t="str">
            <v>Neutral Evil</v>
          </cell>
          <cell r="BC90">
            <v>2</v>
          </cell>
          <cell r="BJ90" t="str">
            <v>SpawnStr=6;SpawnCon=4;SpawnWis=2;SpawnCha=4;SpawnCR=2;SpawnLA=2;</v>
          </cell>
          <cell r="BL90" t="str">
            <v>Dragonlance</v>
          </cell>
          <cell r="BM90" t="str">
            <v>BoK</v>
          </cell>
          <cell r="BP90" t="b">
            <v>0</v>
          </cell>
          <cell r="BQ90" t="b">
            <v>0</v>
          </cell>
          <cell r="BR90" t="b">
            <v>0</v>
          </cell>
          <cell r="BS90">
            <v>6</v>
          </cell>
          <cell r="BT90" t="str">
            <v/>
          </cell>
          <cell r="BV90" t="b">
            <v>0</v>
          </cell>
          <cell r="BW90">
            <v>8</v>
          </cell>
          <cell r="BX90" t="str">
            <v/>
          </cell>
          <cell r="BZ90" t="b">
            <v>0</v>
          </cell>
          <cell r="CA90">
            <v>6</v>
          </cell>
          <cell r="CB90" t="str">
            <v/>
          </cell>
          <cell r="CD90" t="b">
            <v>0</v>
          </cell>
          <cell r="CE90">
            <v>6</v>
          </cell>
          <cell r="CF90" t="str">
            <v/>
          </cell>
          <cell r="CJ90" t="str">
            <v/>
          </cell>
          <cell r="CN90" t="e">
            <v>#N/A</v>
          </cell>
        </row>
        <row r="91">
          <cell r="A91" t="str">
            <v>Dragon, Shadow</v>
          </cell>
          <cell r="D91" t="str">
            <v>Dragon</v>
          </cell>
          <cell r="E91" t="str">
            <v>Shadow</v>
          </cell>
          <cell r="N91" t="str">
            <v/>
          </cell>
          <cell r="P91" t="str">
            <v>Breath Weapon(Su): 15" cone of energy drain;</v>
          </cell>
          <cell r="U91" t="str">
            <v>energy drain</v>
          </cell>
          <cell r="AG91" t="str">
            <v>Escape Artist</v>
          </cell>
          <cell r="BB91" t="str">
            <v>Chaotic Evil</v>
          </cell>
          <cell r="BJ91" t="str">
            <v>color=translucent;</v>
          </cell>
          <cell r="BL91" t="str">
            <v>Faerunian</v>
          </cell>
          <cell r="BM91" t="str">
            <v>MoF</v>
          </cell>
          <cell r="BN91">
            <v>191</v>
          </cell>
          <cell r="BO91" t="str">
            <v>Dr</v>
          </cell>
          <cell r="BP91" t="b">
            <v>0</v>
          </cell>
          <cell r="BQ91" t="b">
            <v>0</v>
          </cell>
          <cell r="BR91" t="b">
            <v>0</v>
          </cell>
          <cell r="BS91">
            <v>6</v>
          </cell>
          <cell r="BT91" t="str">
            <v/>
          </cell>
          <cell r="BV91" t="b">
            <v>0</v>
          </cell>
          <cell r="BW91">
            <v>8</v>
          </cell>
          <cell r="BX91" t="str">
            <v/>
          </cell>
          <cell r="BZ91" t="b">
            <v>0</v>
          </cell>
          <cell r="CA91">
            <v>6</v>
          </cell>
          <cell r="CB91" t="str">
            <v/>
          </cell>
          <cell r="CD91" t="b">
            <v>0</v>
          </cell>
          <cell r="CE91">
            <v>6</v>
          </cell>
          <cell r="CF91" t="str">
            <v/>
          </cell>
          <cell r="CJ91" t="str">
            <v/>
          </cell>
          <cell r="CN91" t="e">
            <v>#N/A</v>
          </cell>
        </row>
        <row r="92">
          <cell r="A92" t="str">
            <v>Dragon, Shen Lung</v>
          </cell>
          <cell r="D92" t="str">
            <v>Dragon</v>
          </cell>
          <cell r="N92" t="str">
            <v/>
          </cell>
          <cell r="P92" t="str">
            <v/>
          </cell>
          <cell r="U92" t="str">
            <v>cold</v>
          </cell>
          <cell r="W92" t="str">
            <v>electricity</v>
          </cell>
          <cell r="AG92" t="str">
            <v>Spot</v>
          </cell>
          <cell r="BB92" t="str">
            <v>Lawful Good</v>
          </cell>
          <cell r="BL92" t="str">
            <v>Lung</v>
          </cell>
          <cell r="BM92" t="str">
            <v>OA</v>
          </cell>
          <cell r="BN92">
            <v>159</v>
          </cell>
          <cell r="BP92" t="b">
            <v>0</v>
          </cell>
          <cell r="BQ92" t="b">
            <v>0</v>
          </cell>
          <cell r="BR92" t="b">
            <v>0</v>
          </cell>
          <cell r="BS92">
            <v>6</v>
          </cell>
          <cell r="BT92" t="str">
            <v/>
          </cell>
          <cell r="BV92" t="b">
            <v>0</v>
          </cell>
          <cell r="BW92">
            <v>8</v>
          </cell>
          <cell r="BX92" t="str">
            <v/>
          </cell>
          <cell r="BZ92" t="b">
            <v>0</v>
          </cell>
          <cell r="CA92">
            <v>6</v>
          </cell>
          <cell r="CB92" t="str">
            <v/>
          </cell>
          <cell r="CD92" t="b">
            <v>0</v>
          </cell>
          <cell r="CE92">
            <v>6</v>
          </cell>
          <cell r="CF92" t="str">
            <v/>
          </cell>
          <cell r="CJ92" t="str">
            <v/>
          </cell>
          <cell r="CN92" t="e">
            <v>#N/A</v>
          </cell>
        </row>
        <row r="93">
          <cell r="A93" t="str">
            <v>Dragon, Silver</v>
          </cell>
          <cell r="D93" t="str">
            <v>Dragon</v>
          </cell>
          <cell r="N93" t="str">
            <v/>
          </cell>
          <cell r="P93" t="str">
            <v>Breath Weapon(Su): 15" cone of cold, 2d8, cold;</v>
          </cell>
          <cell r="U93" t="str">
            <v>cold</v>
          </cell>
          <cell r="W93" t="str">
            <v>cold</v>
          </cell>
          <cell r="AG93" t="str">
            <v>Disguise</v>
          </cell>
          <cell r="BB93" t="str">
            <v>Lawful Good</v>
          </cell>
          <cell r="BF93">
            <v>12</v>
          </cell>
          <cell r="BH93" t="str">
            <v>Dragon</v>
          </cell>
          <cell r="BJ93" t="str">
            <v>color=silver;DrShSkill=Bluff, Disguise, Jump;DrShAdaptation=Feather Fall (Sp);</v>
          </cell>
          <cell r="BL93" t="str">
            <v>Metallic</v>
          </cell>
          <cell r="BM93" t="str">
            <v>MM</v>
          </cell>
          <cell r="BN93">
            <v>86</v>
          </cell>
          <cell r="BP93" t="b">
            <v>1</v>
          </cell>
          <cell r="BQ93" t="b">
            <v>0</v>
          </cell>
          <cell r="BR93" t="b">
            <v>0</v>
          </cell>
          <cell r="BS93">
            <v>6</v>
          </cell>
          <cell r="BT93" t="str">
            <v/>
          </cell>
          <cell r="BU93" t="b">
            <v>1</v>
          </cell>
          <cell r="BV93" t="b">
            <v>0</v>
          </cell>
          <cell r="BW93">
            <v>8</v>
          </cell>
          <cell r="BX93" t="str">
            <v/>
          </cell>
          <cell r="BZ93" t="b">
            <v>0</v>
          </cell>
          <cell r="CA93">
            <v>6</v>
          </cell>
          <cell r="CB93" t="str">
            <v/>
          </cell>
          <cell r="CC93" t="b">
            <v>0</v>
          </cell>
          <cell r="CD93" t="b">
            <v>0</v>
          </cell>
          <cell r="CE93">
            <v>6</v>
          </cell>
          <cell r="CF93" t="str">
            <v/>
          </cell>
          <cell r="CJ93" t="str">
            <v/>
          </cell>
        </row>
        <row r="94">
          <cell r="A94" t="str">
            <v>Dragon, Song</v>
          </cell>
          <cell r="D94" t="str">
            <v>Dragon</v>
          </cell>
          <cell r="E94" t="str">
            <v>Electricity</v>
          </cell>
          <cell r="N94" t="str">
            <v/>
          </cell>
          <cell r="P94" t="str">
            <v>Breath Weapon(Su): 15" cone of electricity-charged gas;</v>
          </cell>
          <cell r="U94" t="str">
            <v>electricity</v>
          </cell>
          <cell r="W94" t="str">
            <v>electricity</v>
          </cell>
          <cell r="AG94" t="str">
            <v>Perform (sing)</v>
          </cell>
          <cell r="BB94" t="str">
            <v>Chaotic Neutral</v>
          </cell>
          <cell r="BJ94" t="str">
            <v>color=silver-blue;</v>
          </cell>
          <cell r="BL94" t="str">
            <v>Faerunian</v>
          </cell>
          <cell r="BM94" t="str">
            <v>MoF</v>
          </cell>
          <cell r="BN94">
            <v>44</v>
          </cell>
          <cell r="BP94" t="b">
            <v>0</v>
          </cell>
          <cell r="BQ94" t="b">
            <v>0</v>
          </cell>
          <cell r="BR94" t="b">
            <v>0</v>
          </cell>
          <cell r="BS94">
            <v>6</v>
          </cell>
          <cell r="BT94" t="str">
            <v/>
          </cell>
          <cell r="BV94" t="b">
            <v>0</v>
          </cell>
          <cell r="BW94">
            <v>8</v>
          </cell>
          <cell r="BX94" t="str">
            <v/>
          </cell>
          <cell r="BZ94" t="b">
            <v>0</v>
          </cell>
          <cell r="CA94">
            <v>6</v>
          </cell>
          <cell r="CB94" t="str">
            <v/>
          </cell>
          <cell r="CD94" t="b">
            <v>0</v>
          </cell>
          <cell r="CE94">
            <v>6</v>
          </cell>
          <cell r="CF94" t="str">
            <v/>
          </cell>
          <cell r="CJ94" t="str">
            <v/>
          </cell>
          <cell r="CN94" t="e">
            <v>#VALUE!</v>
          </cell>
        </row>
        <row r="95">
          <cell r="A95" t="str">
            <v>Dragon, Styx</v>
          </cell>
          <cell r="D95" t="str">
            <v>Dragon</v>
          </cell>
          <cell r="E95" t="str">
            <v>Aquatic,Extraplanar</v>
          </cell>
          <cell r="N95" t="str">
            <v/>
          </cell>
          <cell r="P95" t="str">
            <v>Breath Weapon(Su): 30" line of acid;</v>
          </cell>
          <cell r="U95" t="str">
            <v>disease, poison</v>
          </cell>
          <cell r="W95" t="str">
            <v>acid</v>
          </cell>
          <cell r="AG95" t="str">
            <v>Swim</v>
          </cell>
          <cell r="BB95" t="str">
            <v>Neutral Evil</v>
          </cell>
          <cell r="BJ95" t="str">
            <v>color=brown;</v>
          </cell>
          <cell r="BL95" t="str">
            <v>Planar</v>
          </cell>
          <cell r="BM95" t="str">
            <v>Dr</v>
          </cell>
          <cell r="BN95">
            <v>187</v>
          </cell>
          <cell r="BP95" t="b">
            <v>0</v>
          </cell>
          <cell r="BQ95" t="b">
            <v>0</v>
          </cell>
          <cell r="BR95" t="b">
            <v>0</v>
          </cell>
          <cell r="BS95">
            <v>6</v>
          </cell>
          <cell r="BT95" t="str">
            <v/>
          </cell>
          <cell r="BV95" t="b">
            <v>0</v>
          </cell>
          <cell r="BW95">
            <v>8</v>
          </cell>
          <cell r="BX95" t="str">
            <v/>
          </cell>
          <cell r="BZ95" t="b">
            <v>0</v>
          </cell>
          <cell r="CA95">
            <v>6</v>
          </cell>
          <cell r="CB95" t="str">
            <v/>
          </cell>
          <cell r="CD95" t="b">
            <v>0</v>
          </cell>
          <cell r="CE95">
            <v>6</v>
          </cell>
          <cell r="CF95" t="str">
            <v/>
          </cell>
          <cell r="CJ95" t="str">
            <v/>
          </cell>
          <cell r="CN95" t="e">
            <v>#N/A</v>
          </cell>
        </row>
        <row r="96">
          <cell r="A96" t="str">
            <v>Dragon, Tarterian</v>
          </cell>
          <cell r="D96" t="str">
            <v>Dragon</v>
          </cell>
          <cell r="E96" t="str">
            <v>Extraplanar</v>
          </cell>
          <cell r="N96" t="str">
            <v/>
          </cell>
          <cell r="P96" t="str">
            <v>Breath Weapon(Su): 30" line of force;</v>
          </cell>
          <cell r="U96" t="str">
            <v>force</v>
          </cell>
          <cell r="AG96" t="str">
            <v>Escape Artist</v>
          </cell>
          <cell r="BB96" t="str">
            <v>Chaotic Evil</v>
          </cell>
          <cell r="BJ96" t="str">
            <v>color=olive green;</v>
          </cell>
          <cell r="BL96" t="str">
            <v>Planar</v>
          </cell>
          <cell r="BM96" t="str">
            <v>Dr</v>
          </cell>
          <cell r="BN96">
            <v>189</v>
          </cell>
          <cell r="BP96" t="b">
            <v>0</v>
          </cell>
          <cell r="BQ96" t="b">
            <v>0</v>
          </cell>
          <cell r="BR96" t="b">
            <v>0</v>
          </cell>
          <cell r="BS96">
            <v>6</v>
          </cell>
          <cell r="BT96" t="str">
            <v/>
          </cell>
          <cell r="BV96" t="b">
            <v>0</v>
          </cell>
          <cell r="BW96">
            <v>8</v>
          </cell>
          <cell r="BX96" t="str">
            <v/>
          </cell>
          <cell r="BZ96" t="b">
            <v>0</v>
          </cell>
          <cell r="CA96">
            <v>6</v>
          </cell>
          <cell r="CB96" t="str">
            <v/>
          </cell>
          <cell r="CD96" t="b">
            <v>0</v>
          </cell>
          <cell r="CE96">
            <v>6</v>
          </cell>
          <cell r="CF96" t="str">
            <v/>
          </cell>
          <cell r="CJ96" t="str">
            <v/>
          </cell>
        </row>
        <row r="97">
          <cell r="A97" t="str">
            <v>Dragon, T'ien Lung</v>
          </cell>
          <cell r="D97" t="str">
            <v>Dragon</v>
          </cell>
          <cell r="N97" t="str">
            <v/>
          </cell>
          <cell r="P97" t="str">
            <v>Breath Weapon(Su): 15" cone of fire;</v>
          </cell>
          <cell r="U97" t="str">
            <v>fire</v>
          </cell>
          <cell r="W97" t="str">
            <v>fire</v>
          </cell>
          <cell r="AG97" t="str">
            <v>Diplomacy</v>
          </cell>
          <cell r="BB97" t="str">
            <v>Lawful Neutral</v>
          </cell>
          <cell r="BL97" t="str">
            <v>Lung</v>
          </cell>
          <cell r="BM97" t="str">
            <v>OA</v>
          </cell>
          <cell r="BN97">
            <v>161</v>
          </cell>
          <cell r="BP97" t="b">
            <v>0</v>
          </cell>
          <cell r="BQ97" t="b">
            <v>0</v>
          </cell>
          <cell r="BR97" t="b">
            <v>0</v>
          </cell>
          <cell r="BS97">
            <v>6</v>
          </cell>
          <cell r="BT97" t="str">
            <v/>
          </cell>
          <cell r="BV97" t="b">
            <v>0</v>
          </cell>
          <cell r="BW97">
            <v>8</v>
          </cell>
          <cell r="BX97" t="str">
            <v/>
          </cell>
          <cell r="BZ97" t="b">
            <v>0</v>
          </cell>
          <cell r="CA97">
            <v>6</v>
          </cell>
          <cell r="CB97" t="str">
            <v/>
          </cell>
          <cell r="CD97" t="b">
            <v>0</v>
          </cell>
          <cell r="CE97">
            <v>6</v>
          </cell>
          <cell r="CF97" t="str">
            <v/>
          </cell>
          <cell r="CJ97" t="str">
            <v/>
          </cell>
        </row>
        <row r="98">
          <cell r="A98" t="str">
            <v>Dragon, Topaz</v>
          </cell>
          <cell r="D98" t="str">
            <v>Dragon</v>
          </cell>
          <cell r="E98" t="str">
            <v>Water</v>
          </cell>
          <cell r="N98" t="str">
            <v/>
          </cell>
          <cell r="P98" t="str">
            <v>Breath Weapon(Su): 15" cone of dehydration;</v>
          </cell>
          <cell r="U98" t="str">
            <v>cold</v>
          </cell>
          <cell r="W98" t="str">
            <v>cold</v>
          </cell>
          <cell r="AG98" t="str">
            <v>Swim</v>
          </cell>
          <cell r="BB98" t="str">
            <v>Chaotic Neutral</v>
          </cell>
          <cell r="BJ98" t="str">
            <v>color=yellow;</v>
          </cell>
          <cell r="BL98" t="str">
            <v>Gem</v>
          </cell>
          <cell r="BM98" t="str">
            <v>MM2</v>
          </cell>
          <cell r="BN98">
            <v>85</v>
          </cell>
          <cell r="BP98" t="b">
            <v>0</v>
          </cell>
          <cell r="BQ98" t="b">
            <v>0</v>
          </cell>
          <cell r="BR98" t="b">
            <v>0</v>
          </cell>
          <cell r="BS98">
            <v>6</v>
          </cell>
          <cell r="BT98" t="str">
            <v/>
          </cell>
          <cell r="BV98" t="b">
            <v>0</v>
          </cell>
          <cell r="BW98">
            <v>8</v>
          </cell>
          <cell r="BX98" t="str">
            <v/>
          </cell>
          <cell r="BZ98" t="b">
            <v>0</v>
          </cell>
          <cell r="CA98">
            <v>6</v>
          </cell>
          <cell r="CB98" t="str">
            <v/>
          </cell>
          <cell r="CD98" t="b">
            <v>0</v>
          </cell>
          <cell r="CE98">
            <v>6</v>
          </cell>
          <cell r="CF98" t="str">
            <v/>
          </cell>
          <cell r="CJ98" t="str">
            <v/>
          </cell>
          <cell r="CN98">
            <v>0</v>
          </cell>
        </row>
        <row r="99">
          <cell r="A99" t="str">
            <v>Dragon, Tun Mi Lung</v>
          </cell>
          <cell r="D99" t="str">
            <v>Dragon</v>
          </cell>
          <cell r="N99" t="str">
            <v/>
          </cell>
          <cell r="P99" t="str">
            <v/>
          </cell>
          <cell r="U99" t="str">
            <v>electricity</v>
          </cell>
          <cell r="W99" t="str">
            <v>electricity</v>
          </cell>
          <cell r="AG99" t="str">
            <v>Swim</v>
          </cell>
          <cell r="BB99" t="str">
            <v>Neutral Evil</v>
          </cell>
          <cell r="BL99" t="str">
            <v>Lung</v>
          </cell>
          <cell r="BM99" t="str">
            <v>OA</v>
          </cell>
          <cell r="BN99">
            <v>162</v>
          </cell>
          <cell r="BP99" t="b">
            <v>0</v>
          </cell>
          <cell r="BQ99" t="b">
            <v>0</v>
          </cell>
          <cell r="BR99" t="b">
            <v>0</v>
          </cell>
          <cell r="BS99">
            <v>6</v>
          </cell>
          <cell r="BT99" t="str">
            <v/>
          </cell>
          <cell r="BV99" t="b">
            <v>0</v>
          </cell>
          <cell r="BW99">
            <v>8</v>
          </cell>
          <cell r="BX99" t="str">
            <v/>
          </cell>
          <cell r="BZ99" t="b">
            <v>0</v>
          </cell>
          <cell r="CA99">
            <v>6</v>
          </cell>
          <cell r="CB99" t="str">
            <v/>
          </cell>
          <cell r="CD99" t="b">
            <v>0</v>
          </cell>
          <cell r="CE99">
            <v>6</v>
          </cell>
          <cell r="CF99" t="str">
            <v/>
          </cell>
          <cell r="CJ99" t="str">
            <v/>
          </cell>
        </row>
        <row r="100">
          <cell r="A100" t="str">
            <v>Dragon, Tungsten</v>
          </cell>
          <cell r="D100" t="str">
            <v>Dragon</v>
          </cell>
          <cell r="N100" t="str">
            <v/>
          </cell>
          <cell r="P100" t="str">
            <v>Breath Weapon(Su): 15" cone of blasting sand;</v>
          </cell>
          <cell r="U100" t="str">
            <v>fire</v>
          </cell>
          <cell r="W100" t="str">
            <v>fire</v>
          </cell>
          <cell r="BB100" t="str">
            <v>Lawful Good</v>
          </cell>
          <cell r="BL100" t="str">
            <v>Ferreous</v>
          </cell>
          <cell r="BM100" t="str">
            <v>DMag</v>
          </cell>
          <cell r="BN100">
            <v>356</v>
          </cell>
          <cell r="BP100" t="b">
            <v>0</v>
          </cell>
          <cell r="BQ100" t="b">
            <v>0</v>
          </cell>
          <cell r="BR100" t="b">
            <v>0</v>
          </cell>
          <cell r="BS100">
            <v>6</v>
          </cell>
          <cell r="BT100" t="str">
            <v/>
          </cell>
          <cell r="BV100" t="b">
            <v>0</v>
          </cell>
          <cell r="BW100">
            <v>8</v>
          </cell>
          <cell r="BX100" t="str">
            <v/>
          </cell>
          <cell r="BZ100" t="b">
            <v>0</v>
          </cell>
          <cell r="CA100">
            <v>6</v>
          </cell>
          <cell r="CB100" t="str">
            <v/>
          </cell>
          <cell r="CD100" t="b">
            <v>0</v>
          </cell>
          <cell r="CE100">
            <v>6</v>
          </cell>
          <cell r="CF100" t="str">
            <v/>
          </cell>
          <cell r="CJ100" t="str">
            <v/>
          </cell>
        </row>
        <row r="101">
          <cell r="A101" t="str">
            <v>Dragon, White</v>
          </cell>
          <cell r="D101" t="str">
            <v>Dragon</v>
          </cell>
          <cell r="E101" t="str">
            <v>Cold</v>
          </cell>
          <cell r="J101">
            <v>40</v>
          </cell>
          <cell r="M101">
            <v>7</v>
          </cell>
          <cell r="N101" t="str">
            <v/>
          </cell>
          <cell r="P101" t="str">
            <v>Breath Weapon(Su): 15" cone of cold, 1d6, cold;</v>
          </cell>
          <cell r="U101" t="str">
            <v>cold</v>
          </cell>
          <cell r="W101" t="str">
            <v>cold</v>
          </cell>
          <cell r="AB101">
            <v>2</v>
          </cell>
          <cell r="AC101">
            <v>2</v>
          </cell>
          <cell r="AG101" t="str">
            <v>Hide</v>
          </cell>
          <cell r="BA101">
            <v>1</v>
          </cell>
          <cell r="BB101" t="str">
            <v>Chaotic Evil</v>
          </cell>
          <cell r="BC101">
            <v>1</v>
          </cell>
          <cell r="BF101">
            <v>7</v>
          </cell>
          <cell r="BH101" t="str">
            <v>Dragon</v>
          </cell>
          <cell r="BJ101" t="str">
            <v>color=white;DrShSkill=Hide, Move Silently, Swim;DrShAdaptation=Icewalker (Ex);SpawnDex=2;SpawnCon=2;SpawnCR=1;SpawnLA=1;</v>
          </cell>
          <cell r="BL101" t="str">
            <v>Chromatic</v>
          </cell>
          <cell r="BM101" t="str">
            <v>MM</v>
          </cell>
          <cell r="BN101">
            <v>77</v>
          </cell>
          <cell r="BP101" t="b">
            <v>1</v>
          </cell>
          <cell r="BQ101" t="b">
            <v>0</v>
          </cell>
          <cell r="BR101" t="b">
            <v>0</v>
          </cell>
          <cell r="BS101">
            <v>6</v>
          </cell>
          <cell r="BT101" t="str">
            <v/>
          </cell>
          <cell r="BU101" t="b">
            <v>0</v>
          </cell>
          <cell r="BV101" t="b">
            <v>0</v>
          </cell>
          <cell r="BW101">
            <v>8</v>
          </cell>
          <cell r="BX101" t="str">
            <v/>
          </cell>
          <cell r="BZ101" t="b">
            <v>0</v>
          </cell>
          <cell r="CA101">
            <v>6</v>
          </cell>
          <cell r="CB101" t="str">
            <v/>
          </cell>
          <cell r="CC101" t="b">
            <v>0</v>
          </cell>
          <cell r="CD101" t="b">
            <v>0</v>
          </cell>
          <cell r="CE101">
            <v>6</v>
          </cell>
          <cell r="CF101" t="str">
            <v/>
          </cell>
          <cell r="CJ101" t="str">
            <v/>
          </cell>
        </row>
        <row r="102">
          <cell r="A102" t="str">
            <v>Dragon, Yu Lung</v>
          </cell>
          <cell r="D102" t="str">
            <v>Dragon</v>
          </cell>
          <cell r="N102" t="str">
            <v/>
          </cell>
          <cell r="U102" t="str">
            <v/>
          </cell>
          <cell r="AG102" t="str">
            <v>Swim</v>
          </cell>
          <cell r="BB102" t="str">
            <v>Neutral</v>
          </cell>
          <cell r="BD102" t="str">
            <v/>
          </cell>
          <cell r="BL102" t="str">
            <v>Lung</v>
          </cell>
          <cell r="BM102" t="str">
            <v>OA</v>
          </cell>
          <cell r="BN102">
            <v>154</v>
          </cell>
          <cell r="BP102" t="b">
            <v>0</v>
          </cell>
          <cell r="BQ102" t="b">
            <v>0</v>
          </cell>
          <cell r="BR102" t="b">
            <v>0</v>
          </cell>
          <cell r="BS102">
            <v>6</v>
          </cell>
          <cell r="BT102" t="str">
            <v/>
          </cell>
          <cell r="BV102" t="b">
            <v>0</v>
          </cell>
          <cell r="BW102">
            <v>8</v>
          </cell>
          <cell r="BX102" t="str">
            <v/>
          </cell>
          <cell r="BZ102" t="b">
            <v>0</v>
          </cell>
          <cell r="CA102">
            <v>6</v>
          </cell>
          <cell r="CB102" t="str">
            <v/>
          </cell>
          <cell r="CD102" t="b">
            <v>0</v>
          </cell>
          <cell r="CE102">
            <v>6</v>
          </cell>
          <cell r="CF102" t="str">
            <v/>
          </cell>
          <cell r="CJ102" t="str">
            <v/>
          </cell>
        </row>
        <row r="103">
          <cell r="A103" t="str">
            <v>Eagle</v>
          </cell>
          <cell r="C103" t="str">
            <v>Small</v>
          </cell>
          <cell r="D103" t="str">
            <v>Animal</v>
          </cell>
          <cell r="F103">
            <v>1</v>
          </cell>
          <cell r="G103">
            <v>10</v>
          </cell>
          <cell r="J103">
            <v>80</v>
          </cell>
          <cell r="K103" t="str">
            <v>average</v>
          </cell>
          <cell r="M103">
            <v>1</v>
          </cell>
          <cell r="N103" t="str">
            <v>Talons+5+0+1,Bite+5+0+0</v>
          </cell>
          <cell r="AA103">
            <v>10</v>
          </cell>
          <cell r="AB103">
            <v>15</v>
          </cell>
          <cell r="AC103">
            <v>12</v>
          </cell>
          <cell r="AD103">
            <v>2</v>
          </cell>
          <cell r="AE103">
            <v>14</v>
          </cell>
          <cell r="AF103">
            <v>6</v>
          </cell>
          <cell r="BG103">
            <v>1</v>
          </cell>
          <cell r="BM103" t="str">
            <v>MM</v>
          </cell>
          <cell r="BN103">
            <v>272</v>
          </cell>
          <cell r="BP103" t="b">
            <v>1</v>
          </cell>
          <cell r="BQ103" t="b">
            <v>0</v>
          </cell>
          <cell r="BR103" t="b">
            <v>0</v>
          </cell>
          <cell r="BS103">
            <v>6</v>
          </cell>
          <cell r="BT103" t="str">
            <v/>
          </cell>
          <cell r="BV103" t="b">
            <v>0</v>
          </cell>
          <cell r="BW103">
            <v>8</v>
          </cell>
          <cell r="BX103" t="str">
            <v/>
          </cell>
          <cell r="BY103" t="b">
            <v>1</v>
          </cell>
          <cell r="BZ103" t="b">
            <v>0</v>
          </cell>
          <cell r="CA103">
            <v>6</v>
          </cell>
          <cell r="CB103" t="str">
            <v/>
          </cell>
          <cell r="CD103" t="b">
            <v>0</v>
          </cell>
          <cell r="CE103">
            <v>6</v>
          </cell>
          <cell r="CF103" t="str">
            <v/>
          </cell>
          <cell r="CJ103" t="str">
            <v/>
          </cell>
          <cell r="CN103" t="e">
            <v>#N/A</v>
          </cell>
        </row>
        <row r="104">
          <cell r="A104" t="str">
            <v>Eagle, Giant</v>
          </cell>
          <cell r="C104" t="str">
            <v>Large</v>
          </cell>
          <cell r="D104" t="str">
            <v>Magical Beast</v>
          </cell>
          <cell r="F104">
            <v>4</v>
          </cell>
          <cell r="G104">
            <v>10</v>
          </cell>
          <cell r="J104">
            <v>80</v>
          </cell>
          <cell r="K104" t="str">
            <v>average</v>
          </cell>
          <cell r="M104">
            <v>3</v>
          </cell>
          <cell r="N104" t="str">
            <v>2 Claws+4+0+1,Bite+5+0+0</v>
          </cell>
          <cell r="AA104">
            <v>18</v>
          </cell>
          <cell r="AB104">
            <v>17</v>
          </cell>
          <cell r="AC104">
            <v>12</v>
          </cell>
          <cell r="AD104">
            <v>10</v>
          </cell>
          <cell r="AE104">
            <v>14</v>
          </cell>
          <cell r="AF104">
            <v>10</v>
          </cell>
          <cell r="BG104">
            <v>7</v>
          </cell>
          <cell r="BM104" t="str">
            <v>MM</v>
          </cell>
          <cell r="BN104">
            <v>93</v>
          </cell>
          <cell r="BP104" t="b">
            <v>1</v>
          </cell>
          <cell r="BQ104" t="b">
            <v>0</v>
          </cell>
          <cell r="BR104" t="b">
            <v>0</v>
          </cell>
          <cell r="BS104">
            <v>6</v>
          </cell>
          <cell r="BT104" t="str">
            <v/>
          </cell>
          <cell r="BV104" t="b">
            <v>0</v>
          </cell>
          <cell r="BW104">
            <v>8</v>
          </cell>
          <cell r="BX104" t="str">
            <v/>
          </cell>
          <cell r="BY104" t="b">
            <v>0</v>
          </cell>
          <cell r="BZ104" t="b">
            <v>0</v>
          </cell>
          <cell r="CA104">
            <v>6</v>
          </cell>
          <cell r="CB104" t="str">
            <v/>
          </cell>
          <cell r="CC104" t="b">
            <v>0</v>
          </cell>
          <cell r="CD104" t="b">
            <v>0</v>
          </cell>
          <cell r="CE104">
            <v>6</v>
          </cell>
          <cell r="CF104" t="str">
            <v/>
          </cell>
          <cell r="CJ104" t="str">
            <v/>
          </cell>
        </row>
        <row r="105">
          <cell r="A105" t="str">
            <v>Eladrin, Coure</v>
          </cell>
          <cell r="C105" t="str">
            <v>Tiny</v>
          </cell>
          <cell r="D105" t="str">
            <v>Outsider</v>
          </cell>
          <cell r="E105" t="str">
            <v>Eladrin</v>
          </cell>
          <cell r="F105">
            <v>0</v>
          </cell>
          <cell r="G105">
            <v>20</v>
          </cell>
          <cell r="J105">
            <v>60</v>
          </cell>
          <cell r="K105" t="str">
            <v>perfect</v>
          </cell>
          <cell r="M105">
            <v>4</v>
          </cell>
          <cell r="N105" t="str">
            <v>;</v>
          </cell>
          <cell r="O105" t="str">
            <v>;</v>
          </cell>
          <cell r="U105" t="str">
            <v>electricity,petrification</v>
          </cell>
          <cell r="W105" t="str">
            <v>acid 10, cold 10</v>
          </cell>
          <cell r="AA105">
            <v>6</v>
          </cell>
          <cell r="AB105">
            <v>24</v>
          </cell>
          <cell r="AC105">
            <v>12</v>
          </cell>
          <cell r="AD105">
            <v>12</v>
          </cell>
          <cell r="AE105">
            <v>10</v>
          </cell>
          <cell r="AF105">
            <v>14</v>
          </cell>
          <cell r="AG105" t="str">
            <v>0;0</v>
          </cell>
          <cell r="AH105" t="str">
            <v>0;0</v>
          </cell>
          <cell r="AI105" t="str">
            <v>0;0</v>
          </cell>
          <cell r="AJ105" t="str">
            <v>5;2</v>
          </cell>
          <cell r="AK105" t="str">
            <v>0;0</v>
          </cell>
          <cell r="AL105" t="str">
            <v>5;12</v>
          </cell>
          <cell r="AN105" t="str">
            <v>0;0</v>
          </cell>
          <cell r="AO105" t="str">
            <v>0;0</v>
          </cell>
          <cell r="AP105" t="str">
            <v>5;0</v>
          </cell>
          <cell r="AQ105" t="str">
            <v>5;4</v>
          </cell>
          <cell r="AR105" t="str">
            <v>0;0</v>
          </cell>
          <cell r="AS105" t="str">
            <v>5;0</v>
          </cell>
          <cell r="AT105" t="str">
            <v>0;0</v>
          </cell>
          <cell r="AU105" t="str">
            <v>5;0</v>
          </cell>
          <cell r="AV105" t="str">
            <v>0;0</v>
          </cell>
          <cell r="AW105" t="str">
            <v>0;0</v>
          </cell>
          <cell r="AX105" t="str">
            <v>Weapon Finesse;</v>
          </cell>
          <cell r="BB105" t="str">
            <v>Chaotic Good</v>
          </cell>
          <cell r="BD105" t="str">
            <v>Alternate form;Magic circle against evil;Tongues</v>
          </cell>
          <cell r="BF105">
            <v>7</v>
          </cell>
          <cell r="BH105" t="str">
            <v>Celestial</v>
          </cell>
          <cell r="BM105" t="str">
            <v>BoED</v>
          </cell>
          <cell r="BN105">
            <v>168</v>
          </cell>
          <cell r="BP105" t="b">
            <v>0</v>
          </cell>
          <cell r="BQ105" t="b">
            <v>0</v>
          </cell>
          <cell r="BR105" t="b">
            <v>0</v>
          </cell>
          <cell r="BS105">
            <v>6</v>
          </cell>
          <cell r="BT105" t="str">
            <v/>
          </cell>
          <cell r="BU105" t="b">
            <v>0</v>
          </cell>
          <cell r="BV105" t="b">
            <v>0</v>
          </cell>
          <cell r="BW105">
            <v>8</v>
          </cell>
          <cell r="BX105" t="str">
            <v/>
          </cell>
          <cell r="BZ105" t="b">
            <v>0</v>
          </cell>
          <cell r="CA105">
            <v>6</v>
          </cell>
          <cell r="CB105" t="str">
            <v/>
          </cell>
          <cell r="CD105" t="b">
            <v>0</v>
          </cell>
          <cell r="CE105">
            <v>6</v>
          </cell>
          <cell r="CF105" t="str">
            <v/>
          </cell>
          <cell r="CJ105" t="str">
            <v/>
          </cell>
        </row>
        <row r="106">
          <cell r="A106" t="str">
            <v>Elasmosaurus</v>
          </cell>
          <cell r="C106" t="str">
            <v>Huge</v>
          </cell>
          <cell r="D106" t="str">
            <v>Animal</v>
          </cell>
          <cell r="F106">
            <v>10</v>
          </cell>
          <cell r="G106">
            <v>10</v>
          </cell>
          <cell r="L106">
            <v>50</v>
          </cell>
          <cell r="M106">
            <v>3</v>
          </cell>
          <cell r="N106" t="str">
            <v>Bite+14+0+2</v>
          </cell>
          <cell r="AA106">
            <v>26</v>
          </cell>
          <cell r="AB106">
            <v>14</v>
          </cell>
          <cell r="AC106">
            <v>22</v>
          </cell>
          <cell r="AD106">
            <v>2</v>
          </cell>
          <cell r="AE106">
            <v>13</v>
          </cell>
          <cell r="AF106">
            <v>9</v>
          </cell>
          <cell r="BG106">
            <v>7</v>
          </cell>
          <cell r="BL106" t="str">
            <v>Dinosaur</v>
          </cell>
          <cell r="BM106" t="str">
            <v>MM</v>
          </cell>
          <cell r="BN106">
            <v>60</v>
          </cell>
          <cell r="BP106" t="b">
            <v>1</v>
          </cell>
          <cell r="BQ106" t="b">
            <v>0</v>
          </cell>
          <cell r="BR106" t="b">
            <v>0</v>
          </cell>
          <cell r="BS106">
            <v>6</v>
          </cell>
          <cell r="BT106" t="str">
            <v/>
          </cell>
          <cell r="BV106" t="b">
            <v>0</v>
          </cell>
          <cell r="BW106">
            <v>8</v>
          </cell>
          <cell r="BX106" t="str">
            <v/>
          </cell>
          <cell r="BY106" t="b">
            <v>1</v>
          </cell>
          <cell r="BZ106" t="b">
            <v>0</v>
          </cell>
          <cell r="CA106">
            <v>6</v>
          </cell>
          <cell r="CB106" t="str">
            <v/>
          </cell>
          <cell r="CD106" t="b">
            <v>0</v>
          </cell>
          <cell r="CE106">
            <v>6</v>
          </cell>
          <cell r="CF106" t="str">
            <v/>
          </cell>
          <cell r="CJ106" t="str">
            <v/>
          </cell>
        </row>
        <row r="107">
          <cell r="A107" t="str">
            <v>Elemental, Air</v>
          </cell>
          <cell r="D107" t="str">
            <v>Elemental</v>
          </cell>
          <cell r="E107" t="str">
            <v>Air</v>
          </cell>
          <cell r="M107">
            <v>1</v>
          </cell>
          <cell r="N107" t="str">
            <v/>
          </cell>
          <cell r="Q107" t="str">
            <v/>
          </cell>
          <cell r="U107" t="str">
            <v>disease,cold</v>
          </cell>
          <cell r="W107" t="str">
            <v>acid</v>
          </cell>
          <cell r="AA107">
            <v>0</v>
          </cell>
          <cell r="AB107">
            <v>2</v>
          </cell>
          <cell r="AC107">
            <v>2</v>
          </cell>
          <cell r="AD107">
            <v>2</v>
          </cell>
          <cell r="AE107">
            <v>2</v>
          </cell>
          <cell r="AF107">
            <v>2</v>
          </cell>
          <cell r="AY107" t="str">
            <v>Auran</v>
          </cell>
          <cell r="BJ107" t="str">
            <v>electricity</v>
          </cell>
          <cell r="BM107" t="str">
            <v>MM</v>
          </cell>
          <cell r="BN107">
            <v>95</v>
          </cell>
          <cell r="BO107" t="str">
            <v>MotP</v>
          </cell>
          <cell r="BP107" t="b">
            <v>1</v>
          </cell>
          <cell r="BQ107" t="b">
            <v>0</v>
          </cell>
          <cell r="BR107" t="b">
            <v>0</v>
          </cell>
          <cell r="BS107">
            <v>6</v>
          </cell>
          <cell r="BT107" t="str">
            <v/>
          </cell>
          <cell r="BV107" t="b">
            <v>0</v>
          </cell>
          <cell r="BW107">
            <v>8</v>
          </cell>
          <cell r="BX107" t="str">
            <v/>
          </cell>
          <cell r="BZ107" t="b">
            <v>0</v>
          </cell>
          <cell r="CA107">
            <v>6</v>
          </cell>
          <cell r="CB107" t="str">
            <v/>
          </cell>
          <cell r="CD107" t="b">
            <v>0</v>
          </cell>
          <cell r="CE107">
            <v>6</v>
          </cell>
          <cell r="CF107" t="str">
            <v/>
          </cell>
          <cell r="CJ107" t="str">
            <v/>
          </cell>
        </row>
        <row r="108">
          <cell r="A108" t="str">
            <v>Elemental, Air(Huge)</v>
          </cell>
          <cell r="C108" t="str">
            <v>Huge</v>
          </cell>
          <cell r="D108" t="str">
            <v>Elemental</v>
          </cell>
          <cell r="E108" t="str">
            <v>Air, Extraplanar</v>
          </cell>
          <cell r="F108">
            <v>16</v>
          </cell>
          <cell r="M108">
            <v>8</v>
          </cell>
          <cell r="N108" t="str">
            <v/>
          </cell>
          <cell r="T108">
            <v>60</v>
          </cell>
          <cell r="AA108">
            <v>18</v>
          </cell>
          <cell r="AB108">
            <v>29</v>
          </cell>
          <cell r="AC108">
            <v>18</v>
          </cell>
          <cell r="AD108">
            <v>6</v>
          </cell>
          <cell r="AE108">
            <v>11</v>
          </cell>
          <cell r="AF108">
            <v>11</v>
          </cell>
          <cell r="BA108">
            <v>7</v>
          </cell>
          <cell r="BB108" t="str">
            <v>Neutral</v>
          </cell>
          <cell r="BG108">
            <v>16</v>
          </cell>
          <cell r="BI108" t="str">
            <v>Elemental</v>
          </cell>
          <cell r="BM108" t="str">
            <v>MM</v>
          </cell>
          <cell r="BN108">
            <v>95</v>
          </cell>
          <cell r="BP108" t="b">
            <v>1</v>
          </cell>
          <cell r="BQ108" t="b">
            <v>0</v>
          </cell>
          <cell r="BR108" t="b">
            <v>0</v>
          </cell>
          <cell r="BS108">
            <v>6</v>
          </cell>
          <cell r="BT108" t="str">
            <v/>
          </cell>
          <cell r="BV108" t="b">
            <v>0</v>
          </cell>
          <cell r="BW108">
            <v>8</v>
          </cell>
          <cell r="BX108" t="str">
            <v/>
          </cell>
          <cell r="BY108" t="b">
            <v>0</v>
          </cell>
          <cell r="BZ108" t="b">
            <v>0</v>
          </cell>
          <cell r="CA108">
            <v>6</v>
          </cell>
          <cell r="CB108" t="str">
            <v/>
          </cell>
          <cell r="CC108" t="b">
            <v>0</v>
          </cell>
          <cell r="CD108" t="b">
            <v>0</v>
          </cell>
          <cell r="CE108">
            <v>6</v>
          </cell>
          <cell r="CF108" t="str">
            <v/>
          </cell>
          <cell r="CJ108" t="str">
            <v/>
          </cell>
        </row>
        <row r="109">
          <cell r="A109" t="str">
            <v>Elemental, Air(Large)</v>
          </cell>
          <cell r="C109" t="str">
            <v>Large</v>
          </cell>
          <cell r="D109" t="str">
            <v>Elemental</v>
          </cell>
          <cell r="E109" t="str">
            <v>Air, Extraplanar</v>
          </cell>
          <cell r="F109">
            <v>8</v>
          </cell>
          <cell r="M109">
            <v>4</v>
          </cell>
          <cell r="N109" t="str">
            <v/>
          </cell>
          <cell r="T109">
            <v>60</v>
          </cell>
          <cell r="AA109">
            <v>14</v>
          </cell>
          <cell r="AB109">
            <v>25</v>
          </cell>
          <cell r="AC109">
            <v>16</v>
          </cell>
          <cell r="AD109">
            <v>6</v>
          </cell>
          <cell r="AE109">
            <v>11</v>
          </cell>
          <cell r="AF109">
            <v>11</v>
          </cell>
          <cell r="BA109">
            <v>5</v>
          </cell>
          <cell r="BB109" t="str">
            <v>Neutral</v>
          </cell>
          <cell r="BG109">
            <v>10</v>
          </cell>
          <cell r="BI109" t="str">
            <v>Elemental</v>
          </cell>
          <cell r="BM109" t="str">
            <v>MM</v>
          </cell>
          <cell r="BN109">
            <v>95</v>
          </cell>
          <cell r="BP109" t="b">
            <v>1</v>
          </cell>
          <cell r="BQ109" t="b">
            <v>0</v>
          </cell>
          <cell r="BR109" t="b">
            <v>0</v>
          </cell>
          <cell r="BS109">
            <v>6</v>
          </cell>
          <cell r="BT109" t="str">
            <v/>
          </cell>
          <cell r="BV109" t="b">
            <v>0</v>
          </cell>
          <cell r="BW109">
            <v>8</v>
          </cell>
          <cell r="BX109" t="str">
            <v/>
          </cell>
          <cell r="BY109" t="b">
            <v>0</v>
          </cell>
          <cell r="BZ109" t="b">
            <v>0</v>
          </cell>
          <cell r="CA109">
            <v>6</v>
          </cell>
          <cell r="CB109" t="str">
            <v/>
          </cell>
          <cell r="CC109" t="b">
            <v>0</v>
          </cell>
          <cell r="CD109" t="b">
            <v>0</v>
          </cell>
          <cell r="CE109">
            <v>6</v>
          </cell>
          <cell r="CF109" t="str">
            <v/>
          </cell>
          <cell r="CJ109" t="str">
            <v/>
          </cell>
        </row>
        <row r="110">
          <cell r="A110" t="str">
            <v>Elemental, Air(Medium)</v>
          </cell>
          <cell r="C110" t="str">
            <v>Medium</v>
          </cell>
          <cell r="D110" t="str">
            <v>Elemental</v>
          </cell>
          <cell r="E110" t="str">
            <v>Air, Extraplanar</v>
          </cell>
          <cell r="F110">
            <v>4</v>
          </cell>
          <cell r="M110">
            <v>3</v>
          </cell>
          <cell r="N110" t="str">
            <v/>
          </cell>
          <cell r="T110">
            <v>60</v>
          </cell>
          <cell r="AA110">
            <v>12</v>
          </cell>
          <cell r="AB110">
            <v>21</v>
          </cell>
          <cell r="AC110">
            <v>14</v>
          </cell>
          <cell r="AD110">
            <v>4</v>
          </cell>
          <cell r="AE110">
            <v>11</v>
          </cell>
          <cell r="AF110">
            <v>11</v>
          </cell>
          <cell r="BA110">
            <v>3</v>
          </cell>
          <cell r="BB110" t="str">
            <v>Neutral</v>
          </cell>
          <cell r="BG110">
            <v>4</v>
          </cell>
          <cell r="BI110" t="str">
            <v>Elemental</v>
          </cell>
          <cell r="BM110" t="str">
            <v>MM</v>
          </cell>
          <cell r="BN110">
            <v>95</v>
          </cell>
          <cell r="BP110" t="b">
            <v>1</v>
          </cell>
          <cell r="BQ110" t="b">
            <v>0</v>
          </cell>
          <cell r="BR110" t="b">
            <v>0</v>
          </cell>
          <cell r="BS110">
            <v>6</v>
          </cell>
          <cell r="BT110" t="str">
            <v/>
          </cell>
          <cell r="BV110" t="b">
            <v>0</v>
          </cell>
          <cell r="BW110">
            <v>8</v>
          </cell>
          <cell r="BX110" t="str">
            <v/>
          </cell>
          <cell r="BY110" t="b">
            <v>0</v>
          </cell>
          <cell r="BZ110" t="b">
            <v>0</v>
          </cell>
          <cell r="CA110">
            <v>6</v>
          </cell>
          <cell r="CB110" t="str">
            <v/>
          </cell>
          <cell r="CC110" t="b">
            <v>0</v>
          </cell>
          <cell r="CD110" t="b">
            <v>0</v>
          </cell>
          <cell r="CE110">
            <v>6</v>
          </cell>
          <cell r="CF110" t="str">
            <v/>
          </cell>
          <cell r="CJ110" t="str">
            <v/>
          </cell>
        </row>
        <row r="111">
          <cell r="A111" t="str">
            <v>Elemental, Air(Small)</v>
          </cell>
          <cell r="C111" t="str">
            <v>Small</v>
          </cell>
          <cell r="D111" t="str">
            <v>Elemental</v>
          </cell>
          <cell r="E111" t="str">
            <v>Air, Extraplanar</v>
          </cell>
          <cell r="F111">
            <v>2</v>
          </cell>
          <cell r="J111">
            <v>100</v>
          </cell>
          <cell r="K111" t="str">
            <v>perfect</v>
          </cell>
          <cell r="M111">
            <v>3</v>
          </cell>
          <cell r="N111" t="str">
            <v>Slam;</v>
          </cell>
          <cell r="O111" t="str">
            <v>1d4;</v>
          </cell>
          <cell r="T111">
            <v>60</v>
          </cell>
          <cell r="AA111">
            <v>10</v>
          </cell>
          <cell r="AB111">
            <v>17</v>
          </cell>
          <cell r="AC111">
            <v>10</v>
          </cell>
          <cell r="AD111">
            <v>4</v>
          </cell>
          <cell r="AE111">
            <v>11</v>
          </cell>
          <cell r="AF111">
            <v>11</v>
          </cell>
          <cell r="AG111" t="str">
            <v>0;0</v>
          </cell>
          <cell r="AH111" t="str">
            <v>0;0</v>
          </cell>
          <cell r="AI111" t="str">
            <v>0;0</v>
          </cell>
          <cell r="AJ111" t="str">
            <v>0;0</v>
          </cell>
          <cell r="AK111" t="str">
            <v>0;0</v>
          </cell>
          <cell r="AL111" t="str">
            <v>0;4</v>
          </cell>
          <cell r="AN111" t="str">
            <v>0;0</v>
          </cell>
          <cell r="AO111" t="str">
            <v>0;0</v>
          </cell>
          <cell r="AP111" t="str">
            <v>2;0</v>
          </cell>
          <cell r="AQ111" t="str">
            <v>0;0</v>
          </cell>
          <cell r="AR111" t="str">
            <v>0;0</v>
          </cell>
          <cell r="AS111" t="str">
            <v>0;0</v>
          </cell>
          <cell r="AT111" t="str">
            <v>0;0</v>
          </cell>
          <cell r="AU111" t="str">
            <v>3;0</v>
          </cell>
          <cell r="AV111" t="str">
            <v>0;0</v>
          </cell>
          <cell r="AW111" t="str">
            <v>0;0</v>
          </cell>
          <cell r="AX111" t="str">
            <v>Improved Initiative; Weapon Finesse</v>
          </cell>
          <cell r="BA111">
            <v>1</v>
          </cell>
          <cell r="BB111" t="str">
            <v>Neutral</v>
          </cell>
          <cell r="BD111" t="str">
            <v>Air mastery;Whirlwind;Elemental traits</v>
          </cell>
          <cell r="BF111">
            <v>5</v>
          </cell>
          <cell r="BG111">
            <v>1</v>
          </cell>
          <cell r="BH111" t="str">
            <v>Planar</v>
          </cell>
          <cell r="BI111" t="str">
            <v>Elemental</v>
          </cell>
          <cell r="BM111" t="str">
            <v>MM</v>
          </cell>
          <cell r="BN111">
            <v>95</v>
          </cell>
          <cell r="BO111" t="str">
            <v>PlH</v>
          </cell>
          <cell r="BP111" t="b">
            <v>1</v>
          </cell>
          <cell r="BQ111" t="b">
            <v>0</v>
          </cell>
          <cell r="BR111" t="b">
            <v>0</v>
          </cell>
          <cell r="BS111">
            <v>6</v>
          </cell>
          <cell r="BT111" t="str">
            <v/>
          </cell>
          <cell r="BV111" t="b">
            <v>0</v>
          </cell>
          <cell r="BW111">
            <v>8</v>
          </cell>
          <cell r="BX111" t="str">
            <v/>
          </cell>
          <cell r="BY111" t="b">
            <v>0</v>
          </cell>
          <cell r="BZ111" t="b">
            <v>0</v>
          </cell>
          <cell r="CA111">
            <v>6</v>
          </cell>
          <cell r="CB111" t="str">
            <v/>
          </cell>
          <cell r="CC111" t="b">
            <v>0</v>
          </cell>
          <cell r="CD111" t="b">
            <v>0</v>
          </cell>
          <cell r="CE111">
            <v>6</v>
          </cell>
          <cell r="CF111" t="str">
            <v/>
          </cell>
          <cell r="CJ111" t="str">
            <v/>
          </cell>
        </row>
        <row r="112">
          <cell r="A112" t="str">
            <v>Elemental, Earth</v>
          </cell>
          <cell r="D112" t="str">
            <v>Elemental</v>
          </cell>
          <cell r="E112" t="str">
            <v>Earth</v>
          </cell>
          <cell r="M112">
            <v>3</v>
          </cell>
          <cell r="N112" t="str">
            <v/>
          </cell>
          <cell r="Q112" t="str">
            <v/>
          </cell>
          <cell r="T112">
            <v>60</v>
          </cell>
          <cell r="U112" t="str">
            <v>disease,earth</v>
          </cell>
          <cell r="W112" t="str">
            <v>cold</v>
          </cell>
          <cell r="AA112">
            <v>4</v>
          </cell>
          <cell r="AB112">
            <v>-2</v>
          </cell>
          <cell r="AC112">
            <v>4</v>
          </cell>
          <cell r="AD112">
            <v>0</v>
          </cell>
          <cell r="AE112">
            <v>0</v>
          </cell>
          <cell r="AF112">
            <v>0</v>
          </cell>
          <cell r="AY112" t="str">
            <v>Terran</v>
          </cell>
          <cell r="BB112" t="str">
            <v>Neutral</v>
          </cell>
          <cell r="BJ112" t="str">
            <v>acid</v>
          </cell>
          <cell r="BM112" t="str">
            <v>MM</v>
          </cell>
          <cell r="BN112">
            <v>98</v>
          </cell>
          <cell r="BO112" t="str">
            <v>MotP</v>
          </cell>
          <cell r="BP112" t="b">
            <v>1</v>
          </cell>
          <cell r="BQ112" t="b">
            <v>0</v>
          </cell>
          <cell r="BR112" t="b">
            <v>0</v>
          </cell>
          <cell r="BS112">
            <v>6</v>
          </cell>
          <cell r="BT112" t="str">
            <v/>
          </cell>
          <cell r="BV112" t="b">
            <v>0</v>
          </cell>
          <cell r="BW112">
            <v>8</v>
          </cell>
          <cell r="BX112" t="str">
            <v/>
          </cell>
          <cell r="BZ112" t="b">
            <v>0</v>
          </cell>
          <cell r="CA112">
            <v>6</v>
          </cell>
          <cell r="CB112" t="str">
            <v/>
          </cell>
          <cell r="CD112" t="b">
            <v>0</v>
          </cell>
          <cell r="CE112">
            <v>6</v>
          </cell>
          <cell r="CF112" t="str">
            <v/>
          </cell>
          <cell r="CJ112" t="str">
            <v/>
          </cell>
        </row>
        <row r="113">
          <cell r="A113" t="str">
            <v>Elemental, Earth(Huge)</v>
          </cell>
          <cell r="C113" t="str">
            <v>Huge</v>
          </cell>
          <cell r="D113" t="str">
            <v>Elemental</v>
          </cell>
          <cell r="E113" t="str">
            <v>Earth, Extraplanar</v>
          </cell>
          <cell r="F113">
            <v>16</v>
          </cell>
          <cell r="M113">
            <v>11</v>
          </cell>
          <cell r="N113" t="str">
            <v/>
          </cell>
          <cell r="T113">
            <v>60</v>
          </cell>
          <cell r="AA113">
            <v>29</v>
          </cell>
          <cell r="AB113">
            <v>8</v>
          </cell>
          <cell r="AC113">
            <v>21</v>
          </cell>
          <cell r="AD113">
            <v>6</v>
          </cell>
          <cell r="AE113">
            <v>11</v>
          </cell>
          <cell r="AF113">
            <v>11</v>
          </cell>
          <cell r="BA113">
            <v>7</v>
          </cell>
          <cell r="BB113" t="str">
            <v>Neutral</v>
          </cell>
          <cell r="BG113">
            <v>16</v>
          </cell>
          <cell r="BI113" t="str">
            <v>Elemental</v>
          </cell>
          <cell r="BM113" t="str">
            <v>MM</v>
          </cell>
          <cell r="BN113">
            <v>98</v>
          </cell>
          <cell r="BP113" t="b">
            <v>1</v>
          </cell>
          <cell r="BQ113" t="b">
            <v>0</v>
          </cell>
          <cell r="BR113" t="b">
            <v>0</v>
          </cell>
          <cell r="BS113">
            <v>6</v>
          </cell>
          <cell r="BT113" t="str">
            <v/>
          </cell>
          <cell r="BV113" t="b">
            <v>0</v>
          </cell>
          <cell r="BW113">
            <v>8</v>
          </cell>
          <cell r="BX113" t="str">
            <v/>
          </cell>
          <cell r="BY113" t="b">
            <v>0</v>
          </cell>
          <cell r="BZ113" t="b">
            <v>0</v>
          </cell>
          <cell r="CA113">
            <v>6</v>
          </cell>
          <cell r="CB113" t="str">
            <v/>
          </cell>
          <cell r="CC113" t="b">
            <v>0</v>
          </cell>
          <cell r="CD113" t="b">
            <v>0</v>
          </cell>
          <cell r="CE113">
            <v>6</v>
          </cell>
          <cell r="CF113" t="str">
            <v/>
          </cell>
          <cell r="CJ113" t="str">
            <v/>
          </cell>
        </row>
        <row r="114">
          <cell r="A114" t="str">
            <v>Elemental, Earth(Large)</v>
          </cell>
          <cell r="C114" t="str">
            <v>Large</v>
          </cell>
          <cell r="D114" t="str">
            <v>Elemental</v>
          </cell>
          <cell r="E114" t="str">
            <v>Earth, Extraplanar</v>
          </cell>
          <cell r="F114">
            <v>8</v>
          </cell>
          <cell r="M114">
            <v>10</v>
          </cell>
          <cell r="N114" t="str">
            <v/>
          </cell>
          <cell r="T114">
            <v>60</v>
          </cell>
          <cell r="AA114">
            <v>25</v>
          </cell>
          <cell r="AB114">
            <v>8</v>
          </cell>
          <cell r="AC114">
            <v>19</v>
          </cell>
          <cell r="AD114">
            <v>6</v>
          </cell>
          <cell r="AE114">
            <v>11</v>
          </cell>
          <cell r="AF114">
            <v>11</v>
          </cell>
          <cell r="BA114">
            <v>5</v>
          </cell>
          <cell r="BB114" t="str">
            <v>Neutral</v>
          </cell>
          <cell r="BG114">
            <v>10</v>
          </cell>
          <cell r="BI114" t="str">
            <v>Elemental</v>
          </cell>
          <cell r="BM114" t="str">
            <v>MM</v>
          </cell>
          <cell r="BN114">
            <v>98</v>
          </cell>
          <cell r="BP114" t="b">
            <v>1</v>
          </cell>
          <cell r="BQ114" t="b">
            <v>0</v>
          </cell>
          <cell r="BR114" t="b">
            <v>0</v>
          </cell>
          <cell r="BS114">
            <v>6</v>
          </cell>
          <cell r="BT114" t="str">
            <v/>
          </cell>
          <cell r="BV114" t="b">
            <v>0</v>
          </cell>
          <cell r="BW114">
            <v>8</v>
          </cell>
          <cell r="BX114" t="str">
            <v/>
          </cell>
          <cell r="BY114" t="b">
            <v>0</v>
          </cell>
          <cell r="BZ114" t="b">
            <v>0</v>
          </cell>
          <cell r="CA114">
            <v>6</v>
          </cell>
          <cell r="CB114" t="str">
            <v/>
          </cell>
          <cell r="CC114" t="b">
            <v>0</v>
          </cell>
          <cell r="CD114" t="b">
            <v>0</v>
          </cell>
          <cell r="CE114">
            <v>6</v>
          </cell>
          <cell r="CF114" t="str">
            <v/>
          </cell>
          <cell r="CJ114" t="str">
            <v/>
          </cell>
        </row>
        <row r="115">
          <cell r="A115" t="str">
            <v>Elemental, Earth(Medium)</v>
          </cell>
          <cell r="C115" t="str">
            <v>Medium</v>
          </cell>
          <cell r="D115" t="str">
            <v>Elemental</v>
          </cell>
          <cell r="E115" t="str">
            <v>Earth, Extraplanar</v>
          </cell>
          <cell r="F115">
            <v>4</v>
          </cell>
          <cell r="M115">
            <v>9</v>
          </cell>
          <cell r="N115" t="str">
            <v/>
          </cell>
          <cell r="T115">
            <v>60</v>
          </cell>
          <cell r="AA115">
            <v>21</v>
          </cell>
          <cell r="AB115">
            <v>8</v>
          </cell>
          <cell r="AC115">
            <v>17</v>
          </cell>
          <cell r="AD115">
            <v>4</v>
          </cell>
          <cell r="AE115">
            <v>11</v>
          </cell>
          <cell r="AF115">
            <v>11</v>
          </cell>
          <cell r="BA115">
            <v>3</v>
          </cell>
          <cell r="BB115" t="str">
            <v>Neutral</v>
          </cell>
          <cell r="BG115">
            <v>4</v>
          </cell>
          <cell r="BI115" t="str">
            <v>Elemental</v>
          </cell>
          <cell r="BM115" t="str">
            <v>MM</v>
          </cell>
          <cell r="BN115">
            <v>98</v>
          </cell>
          <cell r="BP115" t="b">
            <v>1</v>
          </cell>
          <cell r="BQ115" t="b">
            <v>0</v>
          </cell>
          <cell r="BR115" t="b">
            <v>0</v>
          </cell>
          <cell r="BS115">
            <v>6</v>
          </cell>
          <cell r="BT115" t="str">
            <v/>
          </cell>
          <cell r="BV115" t="b">
            <v>0</v>
          </cell>
          <cell r="BW115">
            <v>8</v>
          </cell>
          <cell r="BX115" t="str">
            <v/>
          </cell>
          <cell r="BY115" t="b">
            <v>0</v>
          </cell>
          <cell r="BZ115" t="b">
            <v>0</v>
          </cell>
          <cell r="CA115">
            <v>6</v>
          </cell>
          <cell r="CB115" t="str">
            <v/>
          </cell>
          <cell r="CC115" t="b">
            <v>0</v>
          </cell>
          <cell r="CD115" t="b">
            <v>0</v>
          </cell>
          <cell r="CE115">
            <v>6</v>
          </cell>
          <cell r="CF115" t="str">
            <v/>
          </cell>
          <cell r="CJ115" t="str">
            <v/>
          </cell>
        </row>
        <row r="116">
          <cell r="A116" t="str">
            <v>Elemental, Earth(Small)</v>
          </cell>
          <cell r="C116" t="str">
            <v>Small</v>
          </cell>
          <cell r="D116" t="str">
            <v>Elemental</v>
          </cell>
          <cell r="E116" t="str">
            <v>Earth, Extraplanar</v>
          </cell>
          <cell r="F116">
            <v>2</v>
          </cell>
          <cell r="G116">
            <v>30</v>
          </cell>
          <cell r="M116">
            <v>7</v>
          </cell>
          <cell r="N116" t="str">
            <v>Slam;</v>
          </cell>
          <cell r="O116" t="str">
            <v>1d6;</v>
          </cell>
          <cell r="T116">
            <v>60</v>
          </cell>
          <cell r="AA116">
            <v>17</v>
          </cell>
          <cell r="AB116">
            <v>8</v>
          </cell>
          <cell r="AC116">
            <v>13</v>
          </cell>
          <cell r="AD116">
            <v>4</v>
          </cell>
          <cell r="AE116">
            <v>11</v>
          </cell>
          <cell r="AF116">
            <v>11</v>
          </cell>
          <cell r="AG116" t="str">
            <v>0;0</v>
          </cell>
          <cell r="AH116" t="str">
            <v>0;0</v>
          </cell>
          <cell r="AI116" t="str">
            <v>0;0</v>
          </cell>
          <cell r="AJ116" t="str">
            <v>0;0</v>
          </cell>
          <cell r="AK116" t="str">
            <v>0;0</v>
          </cell>
          <cell r="AL116" t="str">
            <v>0;4</v>
          </cell>
          <cell r="AN116" t="str">
            <v>0;0</v>
          </cell>
          <cell r="AO116" t="str">
            <v>0;-6</v>
          </cell>
          <cell r="AP116" t="str">
            <v>3;0</v>
          </cell>
          <cell r="AQ116" t="str">
            <v>0;0</v>
          </cell>
          <cell r="AR116" t="str">
            <v>0;0</v>
          </cell>
          <cell r="AS116" t="str">
            <v>0;0</v>
          </cell>
          <cell r="AT116" t="str">
            <v>0;0</v>
          </cell>
          <cell r="AU116" t="str">
            <v>2;0</v>
          </cell>
          <cell r="AV116" t="str">
            <v>0;0</v>
          </cell>
          <cell r="AW116" t="str">
            <v>0;0</v>
          </cell>
          <cell r="BA116">
            <v>1</v>
          </cell>
          <cell r="BB116" t="str">
            <v>Neutral</v>
          </cell>
          <cell r="BD116" t="str">
            <v>Earth mastery;Push;Elemental traits</v>
          </cell>
          <cell r="BF116">
            <v>5</v>
          </cell>
          <cell r="BG116">
            <v>1</v>
          </cell>
          <cell r="BH116" t="str">
            <v>Planar</v>
          </cell>
          <cell r="BI116" t="str">
            <v>Elemental</v>
          </cell>
          <cell r="BM116" t="str">
            <v>MM</v>
          </cell>
          <cell r="BN116">
            <v>98</v>
          </cell>
          <cell r="BO116" t="str">
            <v>PlH</v>
          </cell>
          <cell r="BP116" t="b">
            <v>1</v>
          </cell>
          <cell r="BQ116" t="b">
            <v>0</v>
          </cell>
          <cell r="BR116" t="b">
            <v>0</v>
          </cell>
          <cell r="BS116">
            <v>6</v>
          </cell>
          <cell r="BT116" t="str">
            <v/>
          </cell>
          <cell r="BV116" t="b">
            <v>0</v>
          </cell>
          <cell r="BW116">
            <v>8</v>
          </cell>
          <cell r="BX116" t="str">
            <v/>
          </cell>
          <cell r="BY116" t="b">
            <v>0</v>
          </cell>
          <cell r="BZ116" t="b">
            <v>0</v>
          </cell>
          <cell r="CA116">
            <v>6</v>
          </cell>
          <cell r="CB116" t="str">
            <v/>
          </cell>
          <cell r="CC116" t="b">
            <v>0</v>
          </cell>
          <cell r="CD116" t="b">
            <v>0</v>
          </cell>
          <cell r="CE116">
            <v>6</v>
          </cell>
          <cell r="CF116" t="str">
            <v/>
          </cell>
          <cell r="CJ116" t="str">
            <v/>
          </cell>
        </row>
        <row r="117">
          <cell r="A117" t="str">
            <v>Elemental, Fire</v>
          </cell>
          <cell r="D117" t="str">
            <v>Elemental</v>
          </cell>
          <cell r="E117" t="str">
            <v>Fire</v>
          </cell>
          <cell r="M117">
            <v>1</v>
          </cell>
          <cell r="N117" t="str">
            <v/>
          </cell>
          <cell r="Q117" t="str">
            <v/>
          </cell>
          <cell r="T117">
            <v>60</v>
          </cell>
          <cell r="U117" t="str">
            <v>disease,fire</v>
          </cell>
          <cell r="W117" t="str">
            <v>electricity</v>
          </cell>
          <cell r="AA117">
            <v>0</v>
          </cell>
          <cell r="AB117">
            <v>4</v>
          </cell>
          <cell r="AC117">
            <v>0</v>
          </cell>
          <cell r="AD117">
            <v>2</v>
          </cell>
          <cell r="AE117">
            <v>0</v>
          </cell>
          <cell r="AF117">
            <v>2</v>
          </cell>
          <cell r="AY117" t="str">
            <v>Ignan</v>
          </cell>
          <cell r="BB117" t="str">
            <v>Neutral</v>
          </cell>
          <cell r="BJ117" t="str">
            <v>fire</v>
          </cell>
          <cell r="BM117" t="str">
            <v>MM</v>
          </cell>
          <cell r="BN117">
            <v>98</v>
          </cell>
          <cell r="BO117" t="str">
            <v>MotP</v>
          </cell>
          <cell r="BP117" t="b">
            <v>1</v>
          </cell>
          <cell r="BQ117" t="b">
            <v>0</v>
          </cell>
          <cell r="BR117" t="b">
            <v>0</v>
          </cell>
          <cell r="BS117">
            <v>6</v>
          </cell>
          <cell r="BT117" t="str">
            <v/>
          </cell>
          <cell r="BV117" t="b">
            <v>0</v>
          </cell>
          <cell r="BW117">
            <v>8</v>
          </cell>
          <cell r="BX117" t="str">
            <v/>
          </cell>
          <cell r="BZ117" t="b">
            <v>0</v>
          </cell>
          <cell r="CA117">
            <v>6</v>
          </cell>
          <cell r="CB117" t="str">
            <v/>
          </cell>
          <cell r="CD117" t="b">
            <v>0</v>
          </cell>
          <cell r="CE117">
            <v>6</v>
          </cell>
          <cell r="CF117" t="str">
            <v/>
          </cell>
          <cell r="CJ117" t="str">
            <v/>
          </cell>
        </row>
        <row r="118">
          <cell r="A118" t="str">
            <v>Elemental, Fire(Huge)</v>
          </cell>
          <cell r="C118" t="str">
            <v>Huge</v>
          </cell>
          <cell r="D118" t="str">
            <v>Elemental</v>
          </cell>
          <cell r="E118" t="str">
            <v>Fire, Extraplanar</v>
          </cell>
          <cell r="F118">
            <v>16</v>
          </cell>
          <cell r="N118" t="str">
            <v/>
          </cell>
          <cell r="T118">
            <v>60</v>
          </cell>
          <cell r="U118" t="str">
            <v>fire</v>
          </cell>
          <cell r="V118" t="str">
            <v>cold</v>
          </cell>
          <cell r="AA118">
            <v>18</v>
          </cell>
          <cell r="AB118">
            <v>25</v>
          </cell>
          <cell r="AC118">
            <v>18</v>
          </cell>
          <cell r="AD118">
            <v>6</v>
          </cell>
          <cell r="AE118">
            <v>11</v>
          </cell>
          <cell r="AF118">
            <v>11</v>
          </cell>
          <cell r="BA118">
            <v>7</v>
          </cell>
          <cell r="BB118" t="str">
            <v>Neutral</v>
          </cell>
          <cell r="BG118">
            <v>16</v>
          </cell>
          <cell r="BI118" t="str">
            <v>Elemental</v>
          </cell>
          <cell r="BM118" t="str">
            <v>MM</v>
          </cell>
          <cell r="BN118">
            <v>98</v>
          </cell>
          <cell r="BP118" t="b">
            <v>1</v>
          </cell>
          <cell r="BQ118" t="b">
            <v>0</v>
          </cell>
          <cell r="BR118" t="b">
            <v>0</v>
          </cell>
          <cell r="BS118">
            <v>6</v>
          </cell>
          <cell r="BT118" t="str">
            <v/>
          </cell>
          <cell r="BV118" t="b">
            <v>0</v>
          </cell>
          <cell r="BW118">
            <v>8</v>
          </cell>
          <cell r="BX118" t="str">
            <v/>
          </cell>
          <cell r="BY118" t="b">
            <v>0</v>
          </cell>
          <cell r="BZ118" t="b">
            <v>0</v>
          </cell>
          <cell r="CA118">
            <v>6</v>
          </cell>
          <cell r="CB118" t="str">
            <v/>
          </cell>
          <cell r="CC118" t="b">
            <v>0</v>
          </cell>
          <cell r="CD118" t="b">
            <v>0</v>
          </cell>
          <cell r="CE118">
            <v>6</v>
          </cell>
          <cell r="CF118" t="str">
            <v/>
          </cell>
          <cell r="CJ118" t="str">
            <v/>
          </cell>
        </row>
        <row r="119">
          <cell r="A119" t="str">
            <v>Elemental, Fire(Large)</v>
          </cell>
          <cell r="C119" t="str">
            <v>Large</v>
          </cell>
          <cell r="D119" t="str">
            <v>Elemental</v>
          </cell>
          <cell r="E119" t="str">
            <v>Fire, Extraplanar</v>
          </cell>
          <cell r="F119">
            <v>8</v>
          </cell>
          <cell r="N119" t="str">
            <v/>
          </cell>
          <cell r="T119">
            <v>60</v>
          </cell>
          <cell r="U119" t="str">
            <v>fire</v>
          </cell>
          <cell r="V119" t="str">
            <v>cold</v>
          </cell>
          <cell r="AA119">
            <v>14</v>
          </cell>
          <cell r="AB119">
            <v>21</v>
          </cell>
          <cell r="AC119">
            <v>16</v>
          </cell>
          <cell r="AD119">
            <v>6</v>
          </cell>
          <cell r="AE119">
            <v>11</v>
          </cell>
          <cell r="AF119">
            <v>11</v>
          </cell>
          <cell r="BA119">
            <v>5</v>
          </cell>
          <cell r="BB119" t="str">
            <v>Neutral</v>
          </cell>
          <cell r="BG119">
            <v>10</v>
          </cell>
          <cell r="BI119" t="str">
            <v>Elemental</v>
          </cell>
          <cell r="BM119" t="str">
            <v>MM</v>
          </cell>
          <cell r="BN119">
            <v>98</v>
          </cell>
          <cell r="BP119" t="b">
            <v>1</v>
          </cell>
          <cell r="BQ119" t="b">
            <v>0</v>
          </cell>
          <cell r="BR119" t="b">
            <v>0</v>
          </cell>
          <cell r="BS119">
            <v>6</v>
          </cell>
          <cell r="BT119" t="str">
            <v/>
          </cell>
          <cell r="BV119" t="b">
            <v>0</v>
          </cell>
          <cell r="BW119">
            <v>8</v>
          </cell>
          <cell r="BX119" t="str">
            <v/>
          </cell>
          <cell r="BY119" t="b">
            <v>0</v>
          </cell>
          <cell r="BZ119" t="b">
            <v>0</v>
          </cell>
          <cell r="CA119">
            <v>6</v>
          </cell>
          <cell r="CB119" t="str">
            <v/>
          </cell>
          <cell r="CC119" t="b">
            <v>0</v>
          </cell>
          <cell r="CD119" t="b">
            <v>0</v>
          </cell>
          <cell r="CE119">
            <v>6</v>
          </cell>
          <cell r="CF119" t="str">
            <v/>
          </cell>
          <cell r="CJ119" t="str">
            <v/>
          </cell>
        </row>
        <row r="120">
          <cell r="A120" t="str">
            <v>Elemental, Fire(Medium)</v>
          </cell>
          <cell r="C120" t="str">
            <v>Medium</v>
          </cell>
          <cell r="D120" t="str">
            <v>Elemental</v>
          </cell>
          <cell r="E120" t="str">
            <v>Fire, Extraplanar</v>
          </cell>
          <cell r="F120">
            <v>4</v>
          </cell>
          <cell r="N120" t="str">
            <v/>
          </cell>
          <cell r="T120">
            <v>60</v>
          </cell>
          <cell r="U120" t="str">
            <v>fire</v>
          </cell>
          <cell r="V120" t="str">
            <v>cold</v>
          </cell>
          <cell r="AA120">
            <v>12</v>
          </cell>
          <cell r="AB120">
            <v>17</v>
          </cell>
          <cell r="AC120">
            <v>14</v>
          </cell>
          <cell r="AD120">
            <v>4</v>
          </cell>
          <cell r="AE120">
            <v>11</v>
          </cell>
          <cell r="AF120">
            <v>11</v>
          </cell>
          <cell r="BA120">
            <v>3</v>
          </cell>
          <cell r="BB120" t="str">
            <v>Neutral</v>
          </cell>
          <cell r="BG120">
            <v>4</v>
          </cell>
          <cell r="BI120" t="str">
            <v>Elemental</v>
          </cell>
          <cell r="BM120" t="str">
            <v>MM</v>
          </cell>
          <cell r="BN120">
            <v>98</v>
          </cell>
          <cell r="BP120" t="b">
            <v>1</v>
          </cell>
          <cell r="BQ120" t="b">
            <v>0</v>
          </cell>
          <cell r="BR120" t="b">
            <v>0</v>
          </cell>
          <cell r="BS120">
            <v>6</v>
          </cell>
          <cell r="BT120" t="str">
            <v/>
          </cell>
          <cell r="BV120" t="b">
            <v>0</v>
          </cell>
          <cell r="BW120">
            <v>8</v>
          </cell>
          <cell r="BX120" t="str">
            <v/>
          </cell>
          <cell r="BY120" t="b">
            <v>0</v>
          </cell>
          <cell r="BZ120" t="b">
            <v>0</v>
          </cell>
          <cell r="CA120">
            <v>6</v>
          </cell>
          <cell r="CB120" t="str">
            <v/>
          </cell>
          <cell r="CC120" t="b">
            <v>0</v>
          </cell>
          <cell r="CD120" t="b">
            <v>0</v>
          </cell>
          <cell r="CE120">
            <v>6</v>
          </cell>
          <cell r="CF120" t="str">
            <v/>
          </cell>
          <cell r="CJ120" t="str">
            <v/>
          </cell>
        </row>
        <row r="121">
          <cell r="A121" t="str">
            <v>Elemental, Fire(Small)</v>
          </cell>
          <cell r="C121" t="str">
            <v>Small</v>
          </cell>
          <cell r="D121" t="str">
            <v>Elemental</v>
          </cell>
          <cell r="E121" t="str">
            <v>Fire, Extraplanar</v>
          </cell>
          <cell r="F121">
            <v>2</v>
          </cell>
          <cell r="G121">
            <v>50</v>
          </cell>
          <cell r="N121" t="str">
            <v>Slam;</v>
          </cell>
          <cell r="O121" t="str">
            <v>1d4+1d4 fire;</v>
          </cell>
          <cell r="T121">
            <v>60</v>
          </cell>
          <cell r="U121" t="str">
            <v>fire</v>
          </cell>
          <cell r="V121" t="str">
            <v>cold</v>
          </cell>
          <cell r="AA121">
            <v>10</v>
          </cell>
          <cell r="AB121">
            <v>13</v>
          </cell>
          <cell r="AC121">
            <v>10</v>
          </cell>
          <cell r="AD121">
            <v>4</v>
          </cell>
          <cell r="AE121">
            <v>11</v>
          </cell>
          <cell r="AF121">
            <v>11</v>
          </cell>
          <cell r="AG121" t="str">
            <v>0;0</v>
          </cell>
          <cell r="AH121" t="str">
            <v>0;0</v>
          </cell>
          <cell r="AI121" t="str">
            <v>0;0</v>
          </cell>
          <cell r="AJ121" t="str">
            <v>0;0</v>
          </cell>
          <cell r="AK121" t="str">
            <v>0;0</v>
          </cell>
          <cell r="AL121" t="str">
            <v>0;4</v>
          </cell>
          <cell r="AN121" t="str">
            <v>0;0</v>
          </cell>
          <cell r="AO121" t="str">
            <v>0;8</v>
          </cell>
          <cell r="AP121" t="str">
            <v>2;0</v>
          </cell>
          <cell r="AQ121" t="str">
            <v>0;0</v>
          </cell>
          <cell r="AR121" t="str">
            <v>0;0</v>
          </cell>
          <cell r="AS121" t="str">
            <v>0;0</v>
          </cell>
          <cell r="AT121" t="str">
            <v>0;0</v>
          </cell>
          <cell r="AU121" t="str">
            <v>3;0</v>
          </cell>
          <cell r="AV121" t="str">
            <v>0;0</v>
          </cell>
          <cell r="AW121" t="str">
            <v>0;0</v>
          </cell>
          <cell r="BA121">
            <v>1</v>
          </cell>
          <cell r="BB121" t="str">
            <v>Neutral</v>
          </cell>
          <cell r="BD121" t="str">
            <v>Burn;Elemental traits</v>
          </cell>
          <cell r="BF121">
            <v>5</v>
          </cell>
          <cell r="BG121">
            <v>1</v>
          </cell>
          <cell r="BH121" t="str">
            <v>Planar</v>
          </cell>
          <cell r="BI121" t="str">
            <v>Elemental</v>
          </cell>
          <cell r="BM121" t="str">
            <v>MM</v>
          </cell>
          <cell r="BN121">
            <v>98</v>
          </cell>
          <cell r="BO121" t="str">
            <v>PlH</v>
          </cell>
          <cell r="BP121" t="b">
            <v>1</v>
          </cell>
          <cell r="BQ121" t="b">
            <v>0</v>
          </cell>
          <cell r="BR121" t="b">
            <v>0</v>
          </cell>
          <cell r="BS121">
            <v>6</v>
          </cell>
          <cell r="BT121" t="str">
            <v/>
          </cell>
          <cell r="BV121" t="b">
            <v>0</v>
          </cell>
          <cell r="BW121">
            <v>8</v>
          </cell>
          <cell r="BX121" t="str">
            <v/>
          </cell>
          <cell r="BY121" t="b">
            <v>0</v>
          </cell>
          <cell r="BZ121" t="b">
            <v>0</v>
          </cell>
          <cell r="CA121">
            <v>6</v>
          </cell>
          <cell r="CB121" t="str">
            <v/>
          </cell>
          <cell r="CC121" t="b">
            <v>0</v>
          </cell>
          <cell r="CD121" t="b">
            <v>0</v>
          </cell>
          <cell r="CE121">
            <v>6</v>
          </cell>
          <cell r="CF121" t="str">
            <v/>
          </cell>
          <cell r="CJ121" t="str">
            <v/>
          </cell>
        </row>
        <row r="122">
          <cell r="A122" t="str">
            <v>Elemental, Water</v>
          </cell>
          <cell r="D122" t="str">
            <v>Elemental</v>
          </cell>
          <cell r="E122" t="str">
            <v>Water</v>
          </cell>
          <cell r="M122">
            <v>1</v>
          </cell>
          <cell r="N122" t="str">
            <v/>
          </cell>
          <cell r="Q122" t="str">
            <v/>
          </cell>
          <cell r="T122">
            <v>60</v>
          </cell>
          <cell r="U122" t="str">
            <v>disease,water</v>
          </cell>
          <cell r="W122" t="str">
            <v>fire</v>
          </cell>
          <cell r="AA122">
            <v>2</v>
          </cell>
          <cell r="AB122">
            <v>0</v>
          </cell>
          <cell r="AC122">
            <v>2</v>
          </cell>
          <cell r="AD122">
            <v>2</v>
          </cell>
          <cell r="AE122">
            <v>2</v>
          </cell>
          <cell r="AF122">
            <v>2</v>
          </cell>
          <cell r="AY122" t="str">
            <v>Aquan</v>
          </cell>
          <cell r="BB122" t="str">
            <v>Neutral</v>
          </cell>
          <cell r="BJ122" t="str">
            <v>cold</v>
          </cell>
          <cell r="BM122" t="str">
            <v>MM</v>
          </cell>
          <cell r="BN122">
            <v>98</v>
          </cell>
          <cell r="BO122" t="str">
            <v>MotP</v>
          </cell>
          <cell r="BP122" t="b">
            <v>1</v>
          </cell>
          <cell r="BQ122" t="b">
            <v>0</v>
          </cell>
          <cell r="BR122" t="b">
            <v>0</v>
          </cell>
          <cell r="BS122">
            <v>6</v>
          </cell>
          <cell r="BT122" t="str">
            <v/>
          </cell>
          <cell r="BV122" t="b">
            <v>0</v>
          </cell>
          <cell r="BW122">
            <v>8</v>
          </cell>
          <cell r="BX122" t="str">
            <v/>
          </cell>
          <cell r="BZ122" t="b">
            <v>0</v>
          </cell>
          <cell r="CA122">
            <v>6</v>
          </cell>
          <cell r="CB122" t="str">
            <v/>
          </cell>
          <cell r="CD122" t="b">
            <v>0</v>
          </cell>
          <cell r="CE122">
            <v>6</v>
          </cell>
          <cell r="CF122" t="str">
            <v/>
          </cell>
          <cell r="CJ122" t="str">
            <v/>
          </cell>
        </row>
        <row r="123">
          <cell r="A123" t="str">
            <v>Elemental, Water(Huge)</v>
          </cell>
          <cell r="C123" t="str">
            <v>Huge</v>
          </cell>
          <cell r="D123" t="str">
            <v>Elemental</v>
          </cell>
          <cell r="E123" t="str">
            <v>Water, Extraplanar</v>
          </cell>
          <cell r="F123">
            <v>16</v>
          </cell>
          <cell r="M123">
            <v>9</v>
          </cell>
          <cell r="N123" t="str">
            <v/>
          </cell>
          <cell r="T123">
            <v>60</v>
          </cell>
          <cell r="AA123">
            <v>24</v>
          </cell>
          <cell r="AB123">
            <v>18</v>
          </cell>
          <cell r="AC123">
            <v>21</v>
          </cell>
          <cell r="AD123">
            <v>6</v>
          </cell>
          <cell r="AE123">
            <v>11</v>
          </cell>
          <cell r="AF123">
            <v>11</v>
          </cell>
          <cell r="BA123">
            <v>7</v>
          </cell>
          <cell r="BB123" t="str">
            <v>Neutral</v>
          </cell>
          <cell r="BG123">
            <v>16</v>
          </cell>
          <cell r="BI123" t="str">
            <v>Elemental</v>
          </cell>
          <cell r="BM123" t="str">
            <v>MM</v>
          </cell>
          <cell r="BN123">
            <v>98</v>
          </cell>
          <cell r="BP123" t="b">
            <v>1</v>
          </cell>
          <cell r="BQ123" t="b">
            <v>0</v>
          </cell>
          <cell r="BR123" t="b">
            <v>0</v>
          </cell>
          <cell r="BS123">
            <v>6</v>
          </cell>
          <cell r="BT123" t="str">
            <v/>
          </cell>
          <cell r="BV123" t="b">
            <v>0</v>
          </cell>
          <cell r="BW123">
            <v>8</v>
          </cell>
          <cell r="BX123" t="str">
            <v/>
          </cell>
          <cell r="BY123" t="b">
            <v>0</v>
          </cell>
          <cell r="BZ123" t="b">
            <v>0</v>
          </cell>
          <cell r="CA123">
            <v>6</v>
          </cell>
          <cell r="CB123" t="str">
            <v/>
          </cell>
          <cell r="CC123" t="b">
            <v>0</v>
          </cell>
          <cell r="CD123" t="b">
            <v>0</v>
          </cell>
          <cell r="CE123">
            <v>6</v>
          </cell>
          <cell r="CF123" t="str">
            <v/>
          </cell>
          <cell r="CJ123" t="str">
            <v/>
          </cell>
        </row>
        <row r="124">
          <cell r="A124" t="str">
            <v>Elemental, Water(Large)</v>
          </cell>
          <cell r="C124" t="str">
            <v>Large</v>
          </cell>
          <cell r="D124" t="str">
            <v>Elemental</v>
          </cell>
          <cell r="E124" t="str">
            <v>Water, Extraplanar</v>
          </cell>
          <cell r="F124">
            <v>8</v>
          </cell>
          <cell r="M124">
            <v>9</v>
          </cell>
          <cell r="N124" t="str">
            <v/>
          </cell>
          <cell r="T124">
            <v>60</v>
          </cell>
          <cell r="AA124">
            <v>20</v>
          </cell>
          <cell r="AB124">
            <v>14</v>
          </cell>
          <cell r="AC124">
            <v>19</v>
          </cell>
          <cell r="AD124">
            <v>6</v>
          </cell>
          <cell r="AE124">
            <v>11</v>
          </cell>
          <cell r="AF124">
            <v>11</v>
          </cell>
          <cell r="BA124">
            <v>5</v>
          </cell>
          <cell r="BB124" t="str">
            <v>Neutral</v>
          </cell>
          <cell r="BG124">
            <v>10</v>
          </cell>
          <cell r="BI124" t="str">
            <v>Elemental</v>
          </cell>
          <cell r="BM124" t="str">
            <v>MM</v>
          </cell>
          <cell r="BN124">
            <v>98</v>
          </cell>
          <cell r="BP124" t="b">
            <v>1</v>
          </cell>
          <cell r="BQ124" t="b">
            <v>0</v>
          </cell>
          <cell r="BR124" t="b">
            <v>0</v>
          </cell>
          <cell r="BS124">
            <v>6</v>
          </cell>
          <cell r="BT124" t="str">
            <v/>
          </cell>
          <cell r="BV124" t="b">
            <v>0</v>
          </cell>
          <cell r="BW124">
            <v>8</v>
          </cell>
          <cell r="BX124" t="str">
            <v/>
          </cell>
          <cell r="BY124" t="b">
            <v>0</v>
          </cell>
          <cell r="BZ124" t="b">
            <v>0</v>
          </cell>
          <cell r="CA124">
            <v>6</v>
          </cell>
          <cell r="CB124" t="str">
            <v/>
          </cell>
          <cell r="CC124" t="b">
            <v>0</v>
          </cell>
          <cell r="CD124" t="b">
            <v>0</v>
          </cell>
          <cell r="CE124">
            <v>6</v>
          </cell>
          <cell r="CF124" t="str">
            <v/>
          </cell>
          <cell r="CJ124" t="str">
            <v/>
          </cell>
        </row>
        <row r="125">
          <cell r="A125" t="str">
            <v>Elemental, Water(Medium)</v>
          </cell>
          <cell r="C125" t="str">
            <v>Medium</v>
          </cell>
          <cell r="D125" t="str">
            <v>Elemental</v>
          </cell>
          <cell r="E125" t="str">
            <v>Water, Extraplanar</v>
          </cell>
          <cell r="F125">
            <v>4</v>
          </cell>
          <cell r="M125">
            <v>8</v>
          </cell>
          <cell r="N125" t="str">
            <v/>
          </cell>
          <cell r="T125">
            <v>60</v>
          </cell>
          <cell r="AA125">
            <v>16</v>
          </cell>
          <cell r="AB125">
            <v>12</v>
          </cell>
          <cell r="AC125">
            <v>17</v>
          </cell>
          <cell r="AD125">
            <v>4</v>
          </cell>
          <cell r="AE125">
            <v>11</v>
          </cell>
          <cell r="AF125">
            <v>11</v>
          </cell>
          <cell r="BA125">
            <v>3</v>
          </cell>
          <cell r="BB125" t="str">
            <v>Neutral</v>
          </cell>
          <cell r="BG125">
            <v>4</v>
          </cell>
          <cell r="BI125" t="str">
            <v>Elemental</v>
          </cell>
          <cell r="BM125" t="str">
            <v>MM</v>
          </cell>
          <cell r="BN125">
            <v>98</v>
          </cell>
          <cell r="BP125" t="b">
            <v>1</v>
          </cell>
          <cell r="BQ125" t="b">
            <v>0</v>
          </cell>
          <cell r="BR125" t="b">
            <v>0</v>
          </cell>
          <cell r="BS125">
            <v>6</v>
          </cell>
          <cell r="BT125" t="str">
            <v/>
          </cell>
          <cell r="BV125" t="b">
            <v>0</v>
          </cell>
          <cell r="BW125">
            <v>8</v>
          </cell>
          <cell r="BX125" t="str">
            <v/>
          </cell>
          <cell r="BY125" t="b">
            <v>0</v>
          </cell>
          <cell r="BZ125" t="b">
            <v>0</v>
          </cell>
          <cell r="CA125">
            <v>6</v>
          </cell>
          <cell r="CB125" t="str">
            <v/>
          </cell>
          <cell r="CC125" t="b">
            <v>0</v>
          </cell>
          <cell r="CD125" t="b">
            <v>0</v>
          </cell>
          <cell r="CE125">
            <v>6</v>
          </cell>
          <cell r="CF125" t="str">
            <v/>
          </cell>
          <cell r="CJ125" t="str">
            <v/>
          </cell>
        </row>
        <row r="126">
          <cell r="A126" t="str">
            <v>Elemental, Water(Small)</v>
          </cell>
          <cell r="C126" t="str">
            <v>Small</v>
          </cell>
          <cell r="D126" t="str">
            <v>Elemental</v>
          </cell>
          <cell r="E126" t="str">
            <v>Water, Extraplanar</v>
          </cell>
          <cell r="F126">
            <v>2</v>
          </cell>
          <cell r="G126">
            <v>20</v>
          </cell>
          <cell r="L126">
            <v>90</v>
          </cell>
          <cell r="M126">
            <v>6</v>
          </cell>
          <cell r="N126" t="str">
            <v>Slam;</v>
          </cell>
          <cell r="O126" t="str">
            <v>1d6;</v>
          </cell>
          <cell r="T126">
            <v>60</v>
          </cell>
          <cell r="AA126">
            <v>14</v>
          </cell>
          <cell r="AB126">
            <v>10</v>
          </cell>
          <cell r="AC126">
            <v>13</v>
          </cell>
          <cell r="AD126">
            <v>4</v>
          </cell>
          <cell r="AE126">
            <v>11</v>
          </cell>
          <cell r="AF126">
            <v>11</v>
          </cell>
          <cell r="AG126" t="str">
            <v>0;0</v>
          </cell>
          <cell r="AH126" t="str">
            <v>0;0</v>
          </cell>
          <cell r="AI126" t="str">
            <v>0;0</v>
          </cell>
          <cell r="AJ126" t="str">
            <v>0;0</v>
          </cell>
          <cell r="AK126" t="str">
            <v>0;0</v>
          </cell>
          <cell r="AL126" t="str">
            <v>0;4</v>
          </cell>
          <cell r="AN126" t="str">
            <v>0;0</v>
          </cell>
          <cell r="AO126" t="str">
            <v>0;-6</v>
          </cell>
          <cell r="AP126" t="str">
            <v>2;0</v>
          </cell>
          <cell r="AQ126" t="str">
            <v>0;0</v>
          </cell>
          <cell r="AR126" t="str">
            <v>0;0</v>
          </cell>
          <cell r="AS126" t="str">
            <v>0;0</v>
          </cell>
          <cell r="AT126" t="str">
            <v>0;0</v>
          </cell>
          <cell r="AU126" t="str">
            <v>3;0</v>
          </cell>
          <cell r="AV126" t="str">
            <v>0;0</v>
          </cell>
          <cell r="AW126" t="str">
            <v>0;0</v>
          </cell>
          <cell r="BA126">
            <v>1</v>
          </cell>
          <cell r="BB126" t="str">
            <v>Neutral</v>
          </cell>
          <cell r="BD126" t="str">
            <v>Water mastery;Drench;Vortex;Elemental traits</v>
          </cell>
          <cell r="BF126">
            <v>5</v>
          </cell>
          <cell r="BG126">
            <v>1</v>
          </cell>
          <cell r="BH126" t="str">
            <v>Planar</v>
          </cell>
          <cell r="BI126" t="str">
            <v>Elemental</v>
          </cell>
          <cell r="BM126" t="str">
            <v>MM</v>
          </cell>
          <cell r="BN126">
            <v>98</v>
          </cell>
          <cell r="BO126" t="str">
            <v>PlH</v>
          </cell>
          <cell r="BP126" t="b">
            <v>1</v>
          </cell>
          <cell r="BQ126" t="b">
            <v>0</v>
          </cell>
          <cell r="BR126" t="b">
            <v>0</v>
          </cell>
          <cell r="BS126">
            <v>6</v>
          </cell>
          <cell r="BT126" t="str">
            <v/>
          </cell>
          <cell r="BV126" t="b">
            <v>0</v>
          </cell>
          <cell r="BW126">
            <v>8</v>
          </cell>
          <cell r="BX126" t="str">
            <v/>
          </cell>
          <cell r="BY126" t="b">
            <v>0</v>
          </cell>
          <cell r="BZ126" t="b">
            <v>0</v>
          </cell>
          <cell r="CA126">
            <v>6</v>
          </cell>
          <cell r="CB126" t="str">
            <v/>
          </cell>
          <cell r="CC126" t="b">
            <v>0</v>
          </cell>
          <cell r="CD126" t="b">
            <v>0</v>
          </cell>
          <cell r="CE126">
            <v>6</v>
          </cell>
          <cell r="CF126" t="str">
            <v/>
          </cell>
          <cell r="CJ126" t="str">
            <v/>
          </cell>
        </row>
        <row r="127">
          <cell r="A127" t="str">
            <v>Elephant</v>
          </cell>
          <cell r="C127" t="str">
            <v>Huge</v>
          </cell>
          <cell r="D127" t="str">
            <v>Animal</v>
          </cell>
          <cell r="F127">
            <v>11</v>
          </cell>
          <cell r="G127">
            <v>40</v>
          </cell>
          <cell r="M127">
            <v>7</v>
          </cell>
          <cell r="N127" t="str">
            <v>Gore+14+0+2,Slam+5+0+1,2 Stamps+5+0+0,Trample+14+0+2</v>
          </cell>
          <cell r="S127" t="str">
            <v>normal</v>
          </cell>
          <cell r="AA127">
            <v>30</v>
          </cell>
          <cell r="AB127">
            <v>10</v>
          </cell>
          <cell r="AC127">
            <v>21</v>
          </cell>
          <cell r="AD127">
            <v>2</v>
          </cell>
          <cell r="AE127">
            <v>13</v>
          </cell>
          <cell r="AF127">
            <v>7</v>
          </cell>
          <cell r="BG127">
            <v>13</v>
          </cell>
          <cell r="BM127" t="str">
            <v>MM</v>
          </cell>
          <cell r="BN127">
            <v>272</v>
          </cell>
          <cell r="BP127" t="b">
            <v>1</v>
          </cell>
          <cell r="BQ127" t="b">
            <v>0</v>
          </cell>
          <cell r="BR127" t="b">
            <v>0</v>
          </cell>
          <cell r="BS127">
            <v>6</v>
          </cell>
          <cell r="BT127" t="str">
            <v/>
          </cell>
          <cell r="BV127" t="b">
            <v>0</v>
          </cell>
          <cell r="BW127">
            <v>8</v>
          </cell>
          <cell r="BX127" t="str">
            <v/>
          </cell>
          <cell r="BY127" t="b">
            <v>1</v>
          </cell>
          <cell r="BZ127" t="b">
            <v>0</v>
          </cell>
          <cell r="CA127">
            <v>6</v>
          </cell>
          <cell r="CB127" t="str">
            <v/>
          </cell>
          <cell r="CD127" t="b">
            <v>0</v>
          </cell>
          <cell r="CE127">
            <v>6</v>
          </cell>
          <cell r="CF127" t="str">
            <v/>
          </cell>
          <cell r="CJ127" t="str">
            <v/>
          </cell>
        </row>
        <row r="128">
          <cell r="A128" t="str">
            <v>Elven Hound</v>
          </cell>
          <cell r="C128" t="str">
            <v>Medium</v>
          </cell>
          <cell r="D128" t="str">
            <v>Magical Beast</v>
          </cell>
          <cell r="F128">
            <v>2</v>
          </cell>
          <cell r="G128">
            <v>50</v>
          </cell>
          <cell r="M128">
            <v>4</v>
          </cell>
          <cell r="N128" t="str">
            <v>Bite;</v>
          </cell>
          <cell r="O128" t="str">
            <v>1d8;</v>
          </cell>
          <cell r="S128" t="str">
            <v>normal</v>
          </cell>
          <cell r="U128" t="str">
            <v>sleep</v>
          </cell>
          <cell r="AA128">
            <v>17</v>
          </cell>
          <cell r="AB128">
            <v>17</v>
          </cell>
          <cell r="AC128">
            <v>13</v>
          </cell>
          <cell r="AD128">
            <v>2</v>
          </cell>
          <cell r="AE128">
            <v>12</v>
          </cell>
          <cell r="AF128">
            <v>8</v>
          </cell>
          <cell r="AG128" t="str">
            <v>0;4</v>
          </cell>
          <cell r="AH128" t="str">
            <v>0;0</v>
          </cell>
          <cell r="AI128" t="str">
            <v>0;0</v>
          </cell>
          <cell r="AJ128" t="str">
            <v>0;0</v>
          </cell>
          <cell r="AK128" t="str">
            <v>0;0</v>
          </cell>
          <cell r="AL128" t="str">
            <v>0;4</v>
          </cell>
          <cell r="AN128" t="str">
            <v>0;0</v>
          </cell>
          <cell r="AO128" t="str">
            <v>0;4</v>
          </cell>
          <cell r="AP128" t="str">
            <v>2;2</v>
          </cell>
          <cell r="AQ128" t="str">
            <v>0;0</v>
          </cell>
          <cell r="AR128" t="str">
            <v>0;0</v>
          </cell>
          <cell r="AS128" t="str">
            <v>0;0</v>
          </cell>
          <cell r="AT128" t="str">
            <v>0;0</v>
          </cell>
          <cell r="AU128" t="str">
            <v>2;2</v>
          </cell>
          <cell r="AV128" t="str">
            <v>1;0</v>
          </cell>
          <cell r="AW128" t="str">
            <v>0;4</v>
          </cell>
          <cell r="AX128" t="str">
            <v>Track;Improved Natural Attack (bite)</v>
          </cell>
          <cell r="BB128" t="str">
            <v>Neutral</v>
          </cell>
          <cell r="BD128" t="str">
            <v>Scent;Sprint</v>
          </cell>
          <cell r="BG128">
            <v>1</v>
          </cell>
          <cell r="BM128" t="str">
            <v>RotW</v>
          </cell>
          <cell r="BN128">
            <v>189</v>
          </cell>
          <cell r="BP128" t="b">
            <v>0</v>
          </cell>
          <cell r="BQ128" t="b">
            <v>0</v>
          </cell>
          <cell r="BR128" t="b">
            <v>0</v>
          </cell>
          <cell r="BS128">
            <v>6</v>
          </cell>
          <cell r="BT128" t="str">
            <v/>
          </cell>
          <cell r="BV128" t="b">
            <v>0</v>
          </cell>
          <cell r="BW128">
            <v>8</v>
          </cell>
          <cell r="BX128" t="str">
            <v/>
          </cell>
          <cell r="BY128" t="b">
            <v>0</v>
          </cell>
          <cell r="BZ128" t="b">
            <v>0</v>
          </cell>
          <cell r="CA128">
            <v>6</v>
          </cell>
          <cell r="CB128" t="str">
            <v/>
          </cell>
          <cell r="CD128" t="b">
            <v>0</v>
          </cell>
          <cell r="CE128">
            <v>6</v>
          </cell>
          <cell r="CF128" t="str">
            <v/>
          </cell>
          <cell r="CJ128" t="str">
            <v/>
          </cell>
        </row>
        <row r="129">
          <cell r="A129" t="str">
            <v>Flying Snake</v>
          </cell>
          <cell r="C129" t="str">
            <v>Small</v>
          </cell>
          <cell r="D129" t="str">
            <v>Magical Beast</v>
          </cell>
          <cell r="F129">
            <v>1</v>
          </cell>
          <cell r="G129">
            <v>20</v>
          </cell>
          <cell r="I129">
            <v>20</v>
          </cell>
          <cell r="J129">
            <v>20</v>
          </cell>
          <cell r="K129" t="str">
            <v>avg</v>
          </cell>
          <cell r="M129">
            <v>3</v>
          </cell>
          <cell r="N129" t="str">
            <v>Bite;</v>
          </cell>
          <cell r="O129" t="str">
            <v>1d3;</v>
          </cell>
          <cell r="AA129">
            <v>6</v>
          </cell>
          <cell r="AB129">
            <v>17</v>
          </cell>
          <cell r="AC129">
            <v>11</v>
          </cell>
          <cell r="AD129">
            <v>1</v>
          </cell>
          <cell r="AE129">
            <v>12</v>
          </cell>
          <cell r="AF129">
            <v>2</v>
          </cell>
          <cell r="AG129" t="str">
            <v>0;8</v>
          </cell>
          <cell r="AH129" t="str">
            <v>0;0</v>
          </cell>
          <cell r="AI129" t="str">
            <v>1;8</v>
          </cell>
          <cell r="AJ129" t="str">
            <v>0;0</v>
          </cell>
          <cell r="AK129" t="str">
            <v>0;0</v>
          </cell>
          <cell r="AL129" t="str">
            <v>1;8</v>
          </cell>
          <cell r="AN129" t="str">
            <v>0;0</v>
          </cell>
          <cell r="AO129" t="str">
            <v>0;-6</v>
          </cell>
          <cell r="AP129" t="str">
            <v>1;6</v>
          </cell>
          <cell r="AQ129" t="str">
            <v>0;0</v>
          </cell>
          <cell r="AR129" t="str">
            <v>0;0</v>
          </cell>
          <cell r="AS129" t="str">
            <v>0;0</v>
          </cell>
          <cell r="AT129" t="str">
            <v>0;0</v>
          </cell>
          <cell r="AU129" t="str">
            <v>1;6</v>
          </cell>
          <cell r="AV129" t="str">
            <v>0;0</v>
          </cell>
          <cell r="AW129" t="str">
            <v>0;0</v>
          </cell>
          <cell r="AX129" t="str">
            <v>Alertness;Weapon Finesse;</v>
          </cell>
          <cell r="BB129" t="str">
            <v>Neutral</v>
          </cell>
          <cell r="BD129" t="str">
            <v>Acid Spit;Improved Grab;Constrict;Scent</v>
          </cell>
          <cell r="BF129">
            <v>3</v>
          </cell>
          <cell r="BH129" t="str">
            <v>Improved</v>
          </cell>
          <cell r="BM129" t="str">
            <v>RoF</v>
          </cell>
          <cell r="BO129" t="str">
            <v>PGtF</v>
          </cell>
          <cell r="BP129" t="b">
            <v>1</v>
          </cell>
          <cell r="BQ129" t="b">
            <v>0</v>
          </cell>
          <cell r="BR129" t="b">
            <v>0</v>
          </cell>
          <cell r="BS129">
            <v>6</v>
          </cell>
          <cell r="BT129" t="str">
            <v/>
          </cell>
          <cell r="BV129" t="b">
            <v>0</v>
          </cell>
          <cell r="BW129">
            <v>8</v>
          </cell>
          <cell r="BX129" t="str">
            <v/>
          </cell>
          <cell r="BZ129" t="b">
            <v>0</v>
          </cell>
          <cell r="CA129">
            <v>6</v>
          </cell>
          <cell r="CB129" t="str">
            <v/>
          </cell>
          <cell r="CD129" t="b">
            <v>0</v>
          </cell>
          <cell r="CE129">
            <v>6</v>
          </cell>
          <cell r="CF129" t="str">
            <v/>
          </cell>
          <cell r="CJ129" t="str">
            <v/>
          </cell>
        </row>
        <row r="130">
          <cell r="A130" t="str">
            <v>Formian, Worker</v>
          </cell>
          <cell r="C130" t="str">
            <v>Small</v>
          </cell>
          <cell r="D130" t="str">
            <v>Magical Beast</v>
          </cell>
          <cell r="F130">
            <v>1</v>
          </cell>
          <cell r="G130">
            <v>40</v>
          </cell>
          <cell r="M130">
            <v>4</v>
          </cell>
          <cell r="N130" t="str">
            <v>Bite;</v>
          </cell>
          <cell r="O130" t="str">
            <v>1d4;</v>
          </cell>
          <cell r="U130" t="str">
            <v>cold,petrification,poison</v>
          </cell>
          <cell r="W130" t="str">
            <v>elecricity 10, fire 10, sonic 10</v>
          </cell>
          <cell r="AA130">
            <v>13</v>
          </cell>
          <cell r="AB130">
            <v>14</v>
          </cell>
          <cell r="AC130">
            <v>13</v>
          </cell>
          <cell r="AD130">
            <v>6</v>
          </cell>
          <cell r="AE130">
            <v>10</v>
          </cell>
          <cell r="AF130">
            <v>9</v>
          </cell>
          <cell r="AG130" t="str">
            <v>0;0</v>
          </cell>
          <cell r="AH130" t="str">
            <v>0;0</v>
          </cell>
          <cell r="AI130" t="str">
            <v>4;4</v>
          </cell>
          <cell r="AJ130" t="str">
            <v>0;0</v>
          </cell>
          <cell r="AK130" t="str">
            <v>0;0</v>
          </cell>
          <cell r="AL130" t="str">
            <v>0;4</v>
          </cell>
          <cell r="AN130" t="str">
            <v>0;0</v>
          </cell>
          <cell r="AO130" t="str">
            <v>0;4</v>
          </cell>
          <cell r="AP130" t="str">
            <v>4;0</v>
          </cell>
          <cell r="AQ130" t="str">
            <v>0;0</v>
          </cell>
          <cell r="AR130" t="str">
            <v>4;0</v>
          </cell>
          <cell r="AS130" t="str">
            <v>0;0</v>
          </cell>
          <cell r="AT130" t="str">
            <v>0;0</v>
          </cell>
          <cell r="AU130" t="str">
            <v>4;0</v>
          </cell>
          <cell r="AV130" t="str">
            <v>0;0</v>
          </cell>
          <cell r="AW130" t="str">
            <v>0;0</v>
          </cell>
          <cell r="AX130" t="str">
            <v>Skill Focus(Craft);</v>
          </cell>
          <cell r="BB130" t="str">
            <v>Lawful Neutral</v>
          </cell>
          <cell r="BD130" t="str">
            <v>Cure Serious Wounds;Hive mind;Make Whole</v>
          </cell>
          <cell r="BF130">
            <v>7</v>
          </cell>
          <cell r="BH130" t="str">
            <v>Improved</v>
          </cell>
          <cell r="BM130" t="str">
            <v>MM</v>
          </cell>
          <cell r="BN130">
            <v>108</v>
          </cell>
          <cell r="BP130" t="b">
            <v>1</v>
          </cell>
          <cell r="BQ130" t="b">
            <v>0</v>
          </cell>
          <cell r="BR130" t="b">
            <v>0</v>
          </cell>
          <cell r="BS130">
            <v>6</v>
          </cell>
          <cell r="BT130" t="str">
            <v/>
          </cell>
          <cell r="BU130" t="b">
            <v>1</v>
          </cell>
          <cell r="BV130" t="b">
            <v>0</v>
          </cell>
          <cell r="BW130">
            <v>8</v>
          </cell>
          <cell r="BX130" t="str">
            <v/>
          </cell>
          <cell r="BZ130" t="b">
            <v>0</v>
          </cell>
          <cell r="CA130">
            <v>6</v>
          </cell>
          <cell r="CB130" t="str">
            <v/>
          </cell>
          <cell r="CD130" t="b">
            <v>0</v>
          </cell>
          <cell r="CE130">
            <v>6</v>
          </cell>
          <cell r="CF130" t="str">
            <v/>
          </cell>
          <cell r="CJ130" t="str">
            <v/>
          </cell>
        </row>
        <row r="131">
          <cell r="A131" t="str">
            <v>Fox</v>
          </cell>
          <cell r="C131" t="str">
            <v>Small</v>
          </cell>
          <cell r="D131" t="str">
            <v>Animal</v>
          </cell>
          <cell r="F131">
            <v>1</v>
          </cell>
          <cell r="G131">
            <v>40</v>
          </cell>
          <cell r="N131" t="str">
            <v>Bite+5+0+2</v>
          </cell>
          <cell r="S131" t="str">
            <v>normal</v>
          </cell>
          <cell r="AA131">
            <v>11</v>
          </cell>
          <cell r="AB131">
            <v>19</v>
          </cell>
          <cell r="AC131">
            <v>11</v>
          </cell>
          <cell r="BM131" t="str">
            <v>OA</v>
          </cell>
          <cell r="BP131" t="b">
            <v>0</v>
          </cell>
          <cell r="BQ131" t="b">
            <v>0</v>
          </cell>
          <cell r="BR131" t="b">
            <v>0</v>
          </cell>
          <cell r="BS131">
            <v>6</v>
          </cell>
          <cell r="BT131" t="str">
            <v/>
          </cell>
          <cell r="BV131" t="b">
            <v>0</v>
          </cell>
          <cell r="BW131">
            <v>8</v>
          </cell>
          <cell r="BX131" t="str">
            <v/>
          </cell>
          <cell r="BZ131" t="b">
            <v>0</v>
          </cell>
          <cell r="CA131">
            <v>6</v>
          </cell>
          <cell r="CB131" t="str">
            <v/>
          </cell>
          <cell r="CD131" t="b">
            <v>0</v>
          </cell>
          <cell r="CE131">
            <v>6</v>
          </cell>
          <cell r="CF131" t="str">
            <v/>
          </cell>
          <cell r="CJ131" t="str">
            <v/>
          </cell>
        </row>
        <row r="132">
          <cell r="A132" t="str">
            <v>Ghostly Visage</v>
          </cell>
          <cell r="C132" t="str">
            <v>Tiny</v>
          </cell>
          <cell r="D132" t="str">
            <v>Undead</v>
          </cell>
          <cell r="E132" t="str">
            <v>Incorporeal, Symbiont</v>
          </cell>
          <cell r="F132">
            <v>1</v>
          </cell>
          <cell r="J132">
            <v>10</v>
          </cell>
          <cell r="K132" t="str">
            <v>perfect</v>
          </cell>
          <cell r="N132" t="str">
            <v/>
          </cell>
          <cell r="T132">
            <v>60</v>
          </cell>
          <cell r="U132" t="str">
            <v>mind affecting effects, poison, sleep, paralysis, stunning, disease, death effects, necromantic effects, effect that requires a Fortitude save
unless it also works on objects, critical hits, subdual damage, ability damage, ability drain, energy drain, death from massive damage</v>
          </cell>
          <cell r="AA132" t="str">
            <v>-</v>
          </cell>
          <cell r="AB132">
            <v>14</v>
          </cell>
          <cell r="AC132" t="str">
            <v>-</v>
          </cell>
          <cell r="AD132">
            <v>12</v>
          </cell>
          <cell r="AE132">
            <v>9</v>
          </cell>
          <cell r="AF132">
            <v>16</v>
          </cell>
          <cell r="AG132" t="str">
            <v>Bluff+4,Hide,Intimidate+4,Knowledge(arcana),Knowledge(religion),Listen,Search,Spot</v>
          </cell>
          <cell r="AX132" t="str">
            <v>Alertness;Iron Will</v>
          </cell>
          <cell r="BB132" t="str">
            <v>Chaotic Evil</v>
          </cell>
          <cell r="BD132" t="str">
            <v>Gaze of terror;meld;visage;mind shielding</v>
          </cell>
          <cell r="BF132">
            <v>7</v>
          </cell>
          <cell r="BH132" t="str">
            <v>Restricted</v>
          </cell>
          <cell r="BM132" t="str">
            <v>FF</v>
          </cell>
          <cell r="BN132">
            <v>221</v>
          </cell>
          <cell r="BO132" t="str">
            <v>HH</v>
          </cell>
          <cell r="BP132" t="b">
            <v>0</v>
          </cell>
          <cell r="BQ132" t="b">
            <v>0</v>
          </cell>
          <cell r="BR132" t="b">
            <v>0</v>
          </cell>
          <cell r="BS132">
            <v>6</v>
          </cell>
          <cell r="BT132" t="str">
            <v/>
          </cell>
          <cell r="BV132" t="b">
            <v>0</v>
          </cell>
          <cell r="BW132">
            <v>8</v>
          </cell>
          <cell r="BX132" t="str">
            <v/>
          </cell>
          <cell r="BZ132" t="b">
            <v>0</v>
          </cell>
          <cell r="CA132">
            <v>6</v>
          </cell>
          <cell r="CB132" t="str">
            <v/>
          </cell>
          <cell r="CD132" t="b">
            <v>0</v>
          </cell>
          <cell r="CE132">
            <v>6</v>
          </cell>
          <cell r="CF132" t="str">
            <v/>
          </cell>
          <cell r="CJ132" t="str">
            <v/>
          </cell>
        </row>
        <row r="133">
          <cell r="A133" t="str">
            <v>Girallon</v>
          </cell>
          <cell r="D133" t="str">
            <v>Magical Beast</v>
          </cell>
          <cell r="N133" t="str">
            <v/>
          </cell>
          <cell r="BG133">
            <v>10</v>
          </cell>
          <cell r="BM133" t="str">
            <v>MM</v>
          </cell>
          <cell r="BN133">
            <v>126</v>
          </cell>
          <cell r="BP133" t="b">
            <v>1</v>
          </cell>
          <cell r="BQ133" t="b">
            <v>0</v>
          </cell>
          <cell r="BR133" t="b">
            <v>0</v>
          </cell>
          <cell r="BS133">
            <v>6</v>
          </cell>
          <cell r="BT133" t="str">
            <v/>
          </cell>
          <cell r="BV133" t="b">
            <v>0</v>
          </cell>
          <cell r="BW133">
            <v>8</v>
          </cell>
          <cell r="BX133" t="str">
            <v/>
          </cell>
          <cell r="BY133" t="b">
            <v>0</v>
          </cell>
          <cell r="BZ133" t="b">
            <v>0</v>
          </cell>
          <cell r="CA133">
            <v>6</v>
          </cell>
          <cell r="CB133" t="str">
            <v/>
          </cell>
          <cell r="CD133" t="b">
            <v>0</v>
          </cell>
          <cell r="CE133">
            <v>6</v>
          </cell>
          <cell r="CF133" t="str">
            <v/>
          </cell>
          <cell r="CJ133" t="str">
            <v/>
          </cell>
        </row>
        <row r="134">
          <cell r="A134" t="str">
            <v>Gorgon</v>
          </cell>
          <cell r="D134" t="str">
            <v>Magical Beast</v>
          </cell>
          <cell r="N134" t="str">
            <v/>
          </cell>
          <cell r="BG134">
            <v>16</v>
          </cell>
          <cell r="BM134" t="str">
            <v>MM</v>
          </cell>
          <cell r="BN134">
            <v>137</v>
          </cell>
          <cell r="BP134" t="b">
            <v>1</v>
          </cell>
          <cell r="BQ134" t="b">
            <v>0</v>
          </cell>
          <cell r="BR134" t="b">
            <v>0</v>
          </cell>
          <cell r="BS134">
            <v>6</v>
          </cell>
          <cell r="BT134" t="str">
            <v/>
          </cell>
          <cell r="BV134" t="b">
            <v>0</v>
          </cell>
          <cell r="BW134">
            <v>8</v>
          </cell>
          <cell r="BX134" t="str">
            <v/>
          </cell>
          <cell r="BY134" t="b">
            <v>0</v>
          </cell>
          <cell r="BZ134" t="b">
            <v>0</v>
          </cell>
          <cell r="CA134">
            <v>6</v>
          </cell>
          <cell r="CB134" t="str">
            <v/>
          </cell>
          <cell r="CD134" t="b">
            <v>0</v>
          </cell>
          <cell r="CE134">
            <v>6</v>
          </cell>
          <cell r="CF134" t="str">
            <v/>
          </cell>
          <cell r="CJ134" t="str">
            <v/>
          </cell>
        </row>
        <row r="135">
          <cell r="A135" t="str">
            <v>Gray Render</v>
          </cell>
          <cell r="D135" t="str">
            <v>Magical Beast</v>
          </cell>
          <cell r="N135" t="str">
            <v/>
          </cell>
          <cell r="BG135">
            <v>16</v>
          </cell>
          <cell r="BM135" t="str">
            <v>MM</v>
          </cell>
          <cell r="BN135">
            <v>138</v>
          </cell>
          <cell r="BP135" t="b">
            <v>1</v>
          </cell>
          <cell r="BQ135" t="b">
            <v>0</v>
          </cell>
          <cell r="BR135" t="b">
            <v>0</v>
          </cell>
          <cell r="BS135">
            <v>6</v>
          </cell>
          <cell r="BT135" t="str">
            <v/>
          </cell>
          <cell r="BV135" t="b">
            <v>0</v>
          </cell>
          <cell r="BW135">
            <v>8</v>
          </cell>
          <cell r="BX135" t="str">
            <v/>
          </cell>
          <cell r="BY135" t="b">
            <v>0</v>
          </cell>
          <cell r="BZ135" t="b">
            <v>0</v>
          </cell>
          <cell r="CA135">
            <v>6</v>
          </cell>
          <cell r="CB135" t="str">
            <v/>
          </cell>
          <cell r="CD135" t="b">
            <v>0</v>
          </cell>
          <cell r="CE135">
            <v>6</v>
          </cell>
          <cell r="CF135" t="str">
            <v/>
          </cell>
          <cell r="CJ135" t="str">
            <v/>
          </cell>
        </row>
        <row r="136">
          <cell r="A136" t="str">
            <v>Griffon</v>
          </cell>
          <cell r="D136" t="str">
            <v>Magical Beast</v>
          </cell>
          <cell r="N136" t="str">
            <v/>
          </cell>
          <cell r="BG136">
            <v>7</v>
          </cell>
          <cell r="BM136" t="str">
            <v>MM</v>
          </cell>
          <cell r="BN136">
            <v>139</v>
          </cell>
          <cell r="BP136" t="b">
            <v>1</v>
          </cell>
          <cell r="BQ136" t="b">
            <v>0</v>
          </cell>
          <cell r="BR136" t="b">
            <v>0</v>
          </cell>
          <cell r="BS136">
            <v>6</v>
          </cell>
          <cell r="BT136" t="str">
            <v/>
          </cell>
          <cell r="BV136" t="b">
            <v>0</v>
          </cell>
          <cell r="BW136">
            <v>8</v>
          </cell>
          <cell r="BX136" t="str">
            <v/>
          </cell>
          <cell r="BY136" t="b">
            <v>0</v>
          </cell>
          <cell r="BZ136" t="b">
            <v>0</v>
          </cell>
          <cell r="CA136">
            <v>6</v>
          </cell>
          <cell r="CB136" t="str">
            <v/>
          </cell>
          <cell r="CD136" t="b">
            <v>0</v>
          </cell>
          <cell r="CE136">
            <v>6</v>
          </cell>
          <cell r="CF136" t="str">
            <v/>
          </cell>
          <cell r="CJ136" t="str">
            <v/>
          </cell>
        </row>
        <row r="137">
          <cell r="A137" t="str">
            <v>Guardinal, Musteval</v>
          </cell>
          <cell r="C137" t="str">
            <v>Tiny</v>
          </cell>
          <cell r="D137" t="str">
            <v>Outsider</v>
          </cell>
          <cell r="F137">
            <v>0</v>
          </cell>
          <cell r="G137">
            <v>30</v>
          </cell>
          <cell r="H137">
            <v>10</v>
          </cell>
          <cell r="M137">
            <v>4</v>
          </cell>
          <cell r="N137" t="str">
            <v>Bite;</v>
          </cell>
          <cell r="O137" t="str">
            <v>1d3;</v>
          </cell>
          <cell r="U137" t="str">
            <v>electricity,petrification</v>
          </cell>
          <cell r="W137" t="str">
            <v>acid 10, cold 10</v>
          </cell>
          <cell r="AA137">
            <v>7</v>
          </cell>
          <cell r="AB137">
            <v>18</v>
          </cell>
          <cell r="AC137">
            <v>12</v>
          </cell>
          <cell r="AD137">
            <v>11</v>
          </cell>
          <cell r="AE137">
            <v>14</v>
          </cell>
          <cell r="AF137">
            <v>13</v>
          </cell>
          <cell r="AG137" t="str">
            <v>3;0</v>
          </cell>
          <cell r="AH137" t="str">
            <v>0;0</v>
          </cell>
          <cell r="AI137" t="str">
            <v>5;4</v>
          </cell>
          <cell r="AJ137" t="str">
            <v>0;0</v>
          </cell>
          <cell r="AK137" t="str">
            <v>0;0</v>
          </cell>
          <cell r="AL137" t="str">
            <v>5;8</v>
          </cell>
          <cell r="AN137" t="str">
            <v>0;0</v>
          </cell>
          <cell r="AO137" t="str">
            <v>2;0</v>
          </cell>
          <cell r="AP137" t="str">
            <v>1;4</v>
          </cell>
          <cell r="AQ137" t="str">
            <v>5;0</v>
          </cell>
          <cell r="AR137" t="str">
            <v>0;0</v>
          </cell>
          <cell r="AS137" t="str">
            <v>0;0</v>
          </cell>
          <cell r="AT137" t="str">
            <v>0;0</v>
          </cell>
          <cell r="AU137" t="str">
            <v>0;0</v>
          </cell>
          <cell r="AV137" t="str">
            <v>5;0</v>
          </cell>
          <cell r="AW137" t="str">
            <v>0;0</v>
          </cell>
          <cell r="AX137" t="str">
            <v>Weapon Finesse;</v>
          </cell>
          <cell r="BB137" t="str">
            <v>Neutral Good</v>
          </cell>
          <cell r="BD137" t="str">
            <v>Focused movement;Resistance to acid 10;Resistance to cold 10;Tongues</v>
          </cell>
          <cell r="BF137">
            <v>7</v>
          </cell>
          <cell r="BH137" t="str">
            <v>Celestial</v>
          </cell>
          <cell r="BM137" t="str">
            <v>BoED</v>
          </cell>
          <cell r="BN137">
            <v>174</v>
          </cell>
          <cell r="BP137" t="b">
            <v>0</v>
          </cell>
          <cell r="BQ137" t="b">
            <v>0</v>
          </cell>
          <cell r="BR137" t="b">
            <v>0</v>
          </cell>
          <cell r="BS137">
            <v>6</v>
          </cell>
          <cell r="BT137" t="str">
            <v/>
          </cell>
          <cell r="BU137" t="b">
            <v>0</v>
          </cell>
          <cell r="BV137" t="b">
            <v>0</v>
          </cell>
          <cell r="BW137">
            <v>8</v>
          </cell>
          <cell r="BX137" t="str">
            <v/>
          </cell>
          <cell r="BZ137" t="b">
            <v>0</v>
          </cell>
          <cell r="CA137">
            <v>6</v>
          </cell>
          <cell r="CB137" t="str">
            <v/>
          </cell>
          <cell r="CD137" t="b">
            <v>0</v>
          </cell>
          <cell r="CE137">
            <v>6</v>
          </cell>
          <cell r="CF137" t="str">
            <v/>
          </cell>
          <cell r="CJ137" t="str">
            <v/>
          </cell>
        </row>
        <row r="138">
          <cell r="A138" t="str">
            <v>Hare</v>
          </cell>
          <cell r="C138" t="str">
            <v>Tiny</v>
          </cell>
          <cell r="D138" t="str">
            <v>Animal</v>
          </cell>
          <cell r="F138">
            <v>1</v>
          </cell>
          <cell r="G138">
            <v>40</v>
          </cell>
          <cell r="N138" t="str">
            <v>Bite+5+0+2</v>
          </cell>
          <cell r="AA138">
            <v>1</v>
          </cell>
          <cell r="AB138">
            <v>19</v>
          </cell>
          <cell r="AC138">
            <v>10</v>
          </cell>
          <cell r="BM138" t="str">
            <v>OA</v>
          </cell>
          <cell r="BP138" t="b">
            <v>0</v>
          </cell>
          <cell r="BQ138" t="b">
            <v>0</v>
          </cell>
          <cell r="BR138" t="b">
            <v>0</v>
          </cell>
          <cell r="BS138">
            <v>6</v>
          </cell>
          <cell r="BT138" t="str">
            <v/>
          </cell>
          <cell r="BV138" t="b">
            <v>0</v>
          </cell>
          <cell r="BW138">
            <v>8</v>
          </cell>
          <cell r="BX138" t="str">
            <v/>
          </cell>
          <cell r="BZ138" t="b">
            <v>0</v>
          </cell>
          <cell r="CA138">
            <v>6</v>
          </cell>
          <cell r="CB138" t="str">
            <v/>
          </cell>
          <cell r="CD138" t="b">
            <v>0</v>
          </cell>
          <cell r="CE138">
            <v>6</v>
          </cell>
          <cell r="CF138" t="str">
            <v/>
          </cell>
          <cell r="CJ138" t="str">
            <v/>
          </cell>
        </row>
        <row r="139">
          <cell r="A139" t="str">
            <v>Hawk</v>
          </cell>
          <cell r="C139" t="str">
            <v>Tiny</v>
          </cell>
          <cell r="D139" t="str">
            <v>Animal</v>
          </cell>
          <cell r="F139">
            <v>1</v>
          </cell>
          <cell r="G139">
            <v>10</v>
          </cell>
          <cell r="J139">
            <v>60</v>
          </cell>
          <cell r="K139" t="str">
            <v>average</v>
          </cell>
          <cell r="M139">
            <v>2</v>
          </cell>
          <cell r="N139" t="str">
            <v>Talons+6+0+2</v>
          </cell>
          <cell r="O139" t="str">
            <v>1d4;</v>
          </cell>
          <cell r="S139" t="str">
            <v>normal</v>
          </cell>
          <cell r="AA139">
            <v>6</v>
          </cell>
          <cell r="AB139">
            <v>17</v>
          </cell>
          <cell r="AC139">
            <v>10</v>
          </cell>
          <cell r="AD139">
            <v>2</v>
          </cell>
          <cell r="AE139">
            <v>14</v>
          </cell>
          <cell r="AF139">
            <v>6</v>
          </cell>
          <cell r="AG139" t="str">
            <v>0;0</v>
          </cell>
          <cell r="AH139" t="str">
            <v>0;0</v>
          </cell>
          <cell r="AI139" t="str">
            <v>0;0</v>
          </cell>
          <cell r="AJ139" t="str">
            <v>0;0</v>
          </cell>
          <cell r="AK139" t="str">
            <v>0;0</v>
          </cell>
          <cell r="AL139" t="str">
            <v>0;8</v>
          </cell>
          <cell r="AN139" t="str">
            <v>0;0</v>
          </cell>
          <cell r="AO139" t="str">
            <v>0;-12</v>
          </cell>
          <cell r="AP139" t="str">
            <v>0;0</v>
          </cell>
          <cell r="AQ139" t="str">
            <v>0;0</v>
          </cell>
          <cell r="AR139" t="str">
            <v>0;0</v>
          </cell>
          <cell r="AS139" t="str">
            <v>0;0</v>
          </cell>
          <cell r="AT139" t="str">
            <v>0;0</v>
          </cell>
          <cell r="AU139" t="str">
            <v>4;8</v>
          </cell>
          <cell r="AV139" t="str">
            <v>0;0</v>
          </cell>
          <cell r="AW139" t="str">
            <v>0;0</v>
          </cell>
          <cell r="AX139" t="str">
            <v>Weapon Finesse</v>
          </cell>
          <cell r="BA139">
            <v>0</v>
          </cell>
          <cell r="BB139" t="str">
            <v>Neutral</v>
          </cell>
          <cell r="BD139" t="str">
            <v>Grants +3 bonus to spot in bright light</v>
          </cell>
          <cell r="BF139">
            <v>1</v>
          </cell>
          <cell r="BG139">
            <v>1</v>
          </cell>
          <cell r="BH139" t="str">
            <v>Normal</v>
          </cell>
          <cell r="BM139" t="str">
            <v>MM</v>
          </cell>
          <cell r="BN139">
            <v>273</v>
          </cell>
          <cell r="BP139" t="b">
            <v>1</v>
          </cell>
          <cell r="BQ139" t="b">
            <v>0</v>
          </cell>
          <cell r="BR139" t="b">
            <v>0</v>
          </cell>
          <cell r="BS139">
            <v>6</v>
          </cell>
          <cell r="BT139" t="str">
            <v/>
          </cell>
          <cell r="BV139" t="b">
            <v>1</v>
          </cell>
          <cell r="BW139">
            <v>9</v>
          </cell>
          <cell r="BX139" t="str">
            <v/>
          </cell>
          <cell r="BZ139" t="b">
            <v>0</v>
          </cell>
          <cell r="CA139">
            <v>6</v>
          </cell>
          <cell r="CB139" t="str">
            <v/>
          </cell>
          <cell r="CD139" t="b">
            <v>0</v>
          </cell>
          <cell r="CE139">
            <v>6</v>
          </cell>
          <cell r="CF139" t="str">
            <v/>
          </cell>
          <cell r="CJ139" t="str">
            <v/>
          </cell>
        </row>
        <row r="140">
          <cell r="A140" t="str">
            <v>Hell Hound</v>
          </cell>
          <cell r="C140" t="str">
            <v>Medium</v>
          </cell>
          <cell r="D140" t="str">
            <v>Magical Beast</v>
          </cell>
          <cell r="F140">
            <v>4</v>
          </cell>
          <cell r="G140">
            <v>40</v>
          </cell>
          <cell r="M140">
            <v>5</v>
          </cell>
          <cell r="N140" t="str">
            <v>Bite;</v>
          </cell>
          <cell r="O140" t="str">
            <v>1d8;</v>
          </cell>
          <cell r="T140">
            <v>60</v>
          </cell>
          <cell r="U140" t="str">
            <v>fire</v>
          </cell>
          <cell r="V140" t="str">
            <v>cold</v>
          </cell>
          <cell r="AA140">
            <v>13</v>
          </cell>
          <cell r="AB140">
            <v>13</v>
          </cell>
          <cell r="AC140">
            <v>13</v>
          </cell>
          <cell r="AD140">
            <v>6</v>
          </cell>
          <cell r="AE140">
            <v>10</v>
          </cell>
          <cell r="AF140">
            <v>6</v>
          </cell>
          <cell r="AG140" t="str">
            <v>0;0</v>
          </cell>
          <cell r="AH140" t="str">
            <v>0;0</v>
          </cell>
          <cell r="AI140" t="str">
            <v>0;0</v>
          </cell>
          <cell r="AJ140" t="str">
            <v>0;0</v>
          </cell>
          <cell r="AK140" t="str">
            <v>0;0</v>
          </cell>
          <cell r="AL140" t="str">
            <v>7;5</v>
          </cell>
          <cell r="AN140" t="str">
            <v>0;0</v>
          </cell>
          <cell r="AO140" t="str">
            <v>7;4</v>
          </cell>
          <cell r="AP140" t="str">
            <v>7;0</v>
          </cell>
          <cell r="AQ140" t="str">
            <v>7;5</v>
          </cell>
          <cell r="AR140" t="str">
            <v>0;0</v>
          </cell>
          <cell r="AS140" t="str">
            <v>0;0</v>
          </cell>
          <cell r="AT140" t="str">
            <v>0;0</v>
          </cell>
          <cell r="AU140" t="str">
            <v>7;0</v>
          </cell>
          <cell r="AV140" t="str">
            <v>7;0</v>
          </cell>
          <cell r="AW140" t="str">
            <v>0;0</v>
          </cell>
          <cell r="AX140" t="str">
            <v>Improved Initiative;Run;Track;</v>
          </cell>
          <cell r="BB140" t="str">
            <v>Lawful Evil</v>
          </cell>
          <cell r="BD140" t="str">
            <v>Breath Weapon;Fiery Bite</v>
          </cell>
          <cell r="BF140">
            <v>5</v>
          </cell>
          <cell r="BH140" t="str">
            <v>Improved</v>
          </cell>
          <cell r="BM140" t="str">
            <v>MM</v>
          </cell>
          <cell r="BN140">
            <v>151</v>
          </cell>
          <cell r="BO140" t="str">
            <v>CW</v>
          </cell>
          <cell r="BP140" t="b">
            <v>1</v>
          </cell>
          <cell r="BQ140" t="b">
            <v>0</v>
          </cell>
          <cell r="BR140" t="b">
            <v>0</v>
          </cell>
          <cell r="BS140">
            <v>6</v>
          </cell>
          <cell r="BT140" t="str">
            <v/>
          </cell>
          <cell r="BU140" t="b">
            <v>0</v>
          </cell>
          <cell r="BV140" t="b">
            <v>0</v>
          </cell>
          <cell r="BW140">
            <v>9</v>
          </cell>
          <cell r="BX140" t="str">
            <v/>
          </cell>
          <cell r="BZ140" t="b">
            <v>0</v>
          </cell>
          <cell r="CA140">
            <v>6</v>
          </cell>
          <cell r="CB140" t="str">
            <v/>
          </cell>
          <cell r="CD140" t="b">
            <v>0</v>
          </cell>
          <cell r="CE140">
            <v>6</v>
          </cell>
          <cell r="CF140" t="str">
            <v/>
          </cell>
          <cell r="CJ140" t="str">
            <v/>
          </cell>
        </row>
        <row r="141">
          <cell r="A141" t="str">
            <v>Hippogriff</v>
          </cell>
          <cell r="C141" t="str">
            <v>Large</v>
          </cell>
          <cell r="D141" t="str">
            <v>Magical Beast</v>
          </cell>
          <cell r="F141">
            <v>3</v>
          </cell>
          <cell r="G141">
            <v>50</v>
          </cell>
          <cell r="J141">
            <v>100</v>
          </cell>
          <cell r="K141" t="str">
            <v>avg</v>
          </cell>
          <cell r="M141">
            <v>4</v>
          </cell>
          <cell r="N141" t="str">
            <v>2 Claws;Bite;</v>
          </cell>
          <cell r="O141" t="str">
            <v>1d4;1d8;</v>
          </cell>
          <cell r="S141" t="str">
            <v>normal</v>
          </cell>
          <cell r="T141">
            <v>60</v>
          </cell>
          <cell r="AA141">
            <v>18</v>
          </cell>
          <cell r="AB141">
            <v>15</v>
          </cell>
          <cell r="AC141">
            <v>16</v>
          </cell>
          <cell r="AD141">
            <v>2</v>
          </cell>
          <cell r="AE141">
            <v>13</v>
          </cell>
          <cell r="AF141">
            <v>8</v>
          </cell>
          <cell r="AG141" t="str">
            <v>0;0</v>
          </cell>
          <cell r="AH141" t="str">
            <v>0;0</v>
          </cell>
          <cell r="AI141" t="str">
            <v>0;0</v>
          </cell>
          <cell r="AJ141" t="str">
            <v>0;0</v>
          </cell>
          <cell r="AK141" t="str">
            <v>0;0</v>
          </cell>
          <cell r="AL141" t="str">
            <v>0;-4</v>
          </cell>
          <cell r="AN141" t="str">
            <v>0;0</v>
          </cell>
          <cell r="AO141" t="str">
            <v>0;8</v>
          </cell>
          <cell r="AP141" t="str">
            <v>3;0</v>
          </cell>
          <cell r="AQ141" t="str">
            <v>0;0</v>
          </cell>
          <cell r="AR141" t="str">
            <v>0;0</v>
          </cell>
          <cell r="AS141" t="str">
            <v>0;0</v>
          </cell>
          <cell r="AT141" t="str">
            <v>0;0</v>
          </cell>
          <cell r="AU141" t="str">
            <v>3;4</v>
          </cell>
          <cell r="AV141" t="str">
            <v>0;0</v>
          </cell>
          <cell r="AW141" t="str">
            <v>0;0</v>
          </cell>
          <cell r="AX141" t="str">
            <v>Dodge;Wingover;</v>
          </cell>
          <cell r="BB141" t="str">
            <v>Neutral</v>
          </cell>
          <cell r="BD141" t="str">
            <v>Scent</v>
          </cell>
          <cell r="BF141">
            <v>7</v>
          </cell>
          <cell r="BG141">
            <v>4</v>
          </cell>
          <cell r="BH141" t="str">
            <v>Improved</v>
          </cell>
          <cell r="BM141" t="str">
            <v>MM</v>
          </cell>
          <cell r="BN141">
            <v>152</v>
          </cell>
          <cell r="BO141" t="str">
            <v>CW</v>
          </cell>
          <cell r="BP141" t="b">
            <v>1</v>
          </cell>
          <cell r="BQ141" t="b">
            <v>0</v>
          </cell>
          <cell r="BR141" t="b">
            <v>0</v>
          </cell>
          <cell r="BS141">
            <v>6</v>
          </cell>
          <cell r="BT141" t="str">
            <v/>
          </cell>
          <cell r="BU141" t="b">
            <v>0</v>
          </cell>
          <cell r="BV141" t="b">
            <v>0</v>
          </cell>
          <cell r="BW141">
            <v>9</v>
          </cell>
          <cell r="BX141" t="str">
            <v/>
          </cell>
          <cell r="BY141" t="b">
            <v>0</v>
          </cell>
          <cell r="BZ141" t="b">
            <v>0</v>
          </cell>
          <cell r="CA141">
            <v>6</v>
          </cell>
          <cell r="CB141" t="str">
            <v/>
          </cell>
          <cell r="CD141" t="b">
            <v>0</v>
          </cell>
          <cell r="CE141">
            <v>6</v>
          </cell>
          <cell r="CF141" t="str">
            <v/>
          </cell>
          <cell r="CJ141" t="str">
            <v/>
          </cell>
        </row>
        <row r="142">
          <cell r="A142" t="str">
            <v>Horse, Heavy</v>
          </cell>
          <cell r="C142" t="str">
            <v>Large</v>
          </cell>
          <cell r="D142" t="str">
            <v>Animal</v>
          </cell>
          <cell r="N142" t="str">
            <v/>
          </cell>
          <cell r="BG142">
            <v>1</v>
          </cell>
          <cell r="BM142" t="str">
            <v>MM</v>
          </cell>
          <cell r="BN142">
            <v>273</v>
          </cell>
          <cell r="BP142" t="b">
            <v>1</v>
          </cell>
          <cell r="BQ142" t="b">
            <v>0</v>
          </cell>
          <cell r="BR142" t="b">
            <v>0</v>
          </cell>
          <cell r="BS142">
            <v>6</v>
          </cell>
          <cell r="BT142" t="str">
            <v/>
          </cell>
          <cell r="BV142" t="b">
            <v>0</v>
          </cell>
          <cell r="BW142">
            <v>9</v>
          </cell>
          <cell r="BX142" t="str">
            <v/>
          </cell>
          <cell r="BY142" t="b">
            <v>1</v>
          </cell>
          <cell r="BZ142" t="b">
            <v>0</v>
          </cell>
          <cell r="CA142">
            <v>6</v>
          </cell>
          <cell r="CB142" t="str">
            <v/>
          </cell>
          <cell r="CD142" t="b">
            <v>0</v>
          </cell>
          <cell r="CE142">
            <v>6</v>
          </cell>
          <cell r="CF142" t="str">
            <v/>
          </cell>
          <cell r="CJ142" t="str">
            <v/>
          </cell>
        </row>
        <row r="143">
          <cell r="A143" t="str">
            <v>Horse, Light</v>
          </cell>
          <cell r="C143" t="str">
            <v>Large</v>
          </cell>
          <cell r="D143" t="str">
            <v>Animal</v>
          </cell>
          <cell r="N143" t="str">
            <v/>
          </cell>
          <cell r="BG143">
            <v>1</v>
          </cell>
          <cell r="BM143" t="str">
            <v>MM</v>
          </cell>
          <cell r="BN143">
            <v>273</v>
          </cell>
          <cell r="BP143" t="b">
            <v>1</v>
          </cell>
          <cell r="BQ143" t="b">
            <v>0</v>
          </cell>
          <cell r="BR143" t="b">
            <v>0</v>
          </cell>
          <cell r="BS143">
            <v>6</v>
          </cell>
          <cell r="BT143" t="str">
            <v/>
          </cell>
          <cell r="BV143" t="b">
            <v>0</v>
          </cell>
          <cell r="BW143">
            <v>9</v>
          </cell>
          <cell r="BX143" t="str">
            <v/>
          </cell>
          <cell r="BY143" t="b">
            <v>1</v>
          </cell>
          <cell r="BZ143" t="b">
            <v>0</v>
          </cell>
          <cell r="CA143">
            <v>6</v>
          </cell>
          <cell r="CB143" t="str">
            <v/>
          </cell>
          <cell r="CD143" t="b">
            <v>0</v>
          </cell>
          <cell r="CE143">
            <v>6</v>
          </cell>
          <cell r="CF143" t="str">
            <v/>
          </cell>
          <cell r="CJ143" t="str">
            <v/>
          </cell>
        </row>
        <row r="144">
          <cell r="A144" t="str">
            <v>Howler</v>
          </cell>
          <cell r="C144" t="str">
            <v>Large</v>
          </cell>
          <cell r="D144" t="str">
            <v>Magical Beast</v>
          </cell>
          <cell r="F144">
            <v>6</v>
          </cell>
          <cell r="G144">
            <v>60</v>
          </cell>
          <cell r="M144">
            <v>5</v>
          </cell>
          <cell r="N144" t="str">
            <v>Bite;1d4 Quills;</v>
          </cell>
          <cell r="O144" t="str">
            <v>2d8;1d6;</v>
          </cell>
          <cell r="T144">
            <v>60</v>
          </cell>
          <cell r="AA144">
            <v>21</v>
          </cell>
          <cell r="AB144">
            <v>17</v>
          </cell>
          <cell r="AC144">
            <v>15</v>
          </cell>
          <cell r="AD144">
            <v>6</v>
          </cell>
          <cell r="AE144">
            <v>14</v>
          </cell>
          <cell r="AF144">
            <v>8</v>
          </cell>
          <cell r="AG144" t="str">
            <v>0;0</v>
          </cell>
          <cell r="AH144" t="str">
            <v>0;0</v>
          </cell>
          <cell r="AI144" t="str">
            <v>9;0</v>
          </cell>
          <cell r="AJ144" t="str">
            <v>0;0</v>
          </cell>
          <cell r="AK144" t="str">
            <v>0;0</v>
          </cell>
          <cell r="AL144" t="str">
            <v>9;-4</v>
          </cell>
          <cell r="AN144" t="str">
            <v>0;0</v>
          </cell>
          <cell r="AO144" t="str">
            <v>0;12</v>
          </cell>
          <cell r="AP144" t="str">
            <v>9;2</v>
          </cell>
          <cell r="AQ144" t="str">
            <v>9;0</v>
          </cell>
          <cell r="AR144" t="str">
            <v>9;0</v>
          </cell>
          <cell r="AS144" t="str">
            <v>0;0</v>
          </cell>
          <cell r="AT144" t="str">
            <v>0;0</v>
          </cell>
          <cell r="AU144" t="str">
            <v>9;2</v>
          </cell>
          <cell r="AV144" t="str">
            <v>0;0</v>
          </cell>
          <cell r="AW144" t="str">
            <v>0;0</v>
          </cell>
          <cell r="AX144" t="str">
            <v>Alertness;Combat Reflexes;Improved Initiative;</v>
          </cell>
          <cell r="BB144" t="str">
            <v>Chaotic Evil</v>
          </cell>
          <cell r="BD144" t="str">
            <v>Quills;Howl</v>
          </cell>
          <cell r="BF144">
            <v>7</v>
          </cell>
          <cell r="BH144" t="str">
            <v>Improved</v>
          </cell>
          <cell r="BM144" t="str">
            <v>MM</v>
          </cell>
          <cell r="BN144">
            <v>154</v>
          </cell>
          <cell r="BO144" t="str">
            <v>CW</v>
          </cell>
          <cell r="BP144" t="b">
            <v>1</v>
          </cell>
          <cell r="BQ144" t="b">
            <v>0</v>
          </cell>
          <cell r="BR144" t="b">
            <v>0</v>
          </cell>
          <cell r="BS144">
            <v>6</v>
          </cell>
          <cell r="BT144" t="str">
            <v/>
          </cell>
          <cell r="BU144" t="b">
            <v>0</v>
          </cell>
          <cell r="BV144" t="b">
            <v>0</v>
          </cell>
          <cell r="BW144">
            <v>9</v>
          </cell>
          <cell r="BX144" t="str">
            <v/>
          </cell>
          <cell r="BZ144" t="b">
            <v>0</v>
          </cell>
          <cell r="CA144">
            <v>6</v>
          </cell>
          <cell r="CB144" t="str">
            <v/>
          </cell>
          <cell r="CD144" t="b">
            <v>0</v>
          </cell>
          <cell r="CE144">
            <v>6</v>
          </cell>
          <cell r="CF144" t="str">
            <v/>
          </cell>
          <cell r="CJ144" t="str">
            <v/>
          </cell>
        </row>
        <row r="145">
          <cell r="A145" t="str">
            <v>Imp</v>
          </cell>
          <cell r="C145" t="str">
            <v>Tiny</v>
          </cell>
          <cell r="D145" t="str">
            <v>Outsider</v>
          </cell>
          <cell r="F145">
            <v>3</v>
          </cell>
          <cell r="G145">
            <v>20</v>
          </cell>
          <cell r="J145">
            <v>50</v>
          </cell>
          <cell r="K145" t="str">
            <v>perfect</v>
          </cell>
          <cell r="M145">
            <v>5</v>
          </cell>
          <cell r="N145" t="str">
            <v>Sting</v>
          </cell>
          <cell r="O145" t="str">
            <v>1d4;</v>
          </cell>
          <cell r="T145">
            <v>60</v>
          </cell>
          <cell r="U145" t="str">
            <v>poison</v>
          </cell>
          <cell r="W145" t="str">
            <v>fire 5</v>
          </cell>
          <cell r="Y145" t="str">
            <v>5/good or silver</v>
          </cell>
          <cell r="Z145">
            <v>2</v>
          </cell>
          <cell r="AA145">
            <v>10</v>
          </cell>
          <cell r="AB145">
            <v>17</v>
          </cell>
          <cell r="AC145">
            <v>10</v>
          </cell>
          <cell r="AD145">
            <v>10</v>
          </cell>
          <cell r="AE145">
            <v>12</v>
          </cell>
          <cell r="AF145">
            <v>14</v>
          </cell>
          <cell r="AG145" t="str">
            <v>0;0</v>
          </cell>
          <cell r="AH145" t="str">
            <v>0;0</v>
          </cell>
          <cell r="AI145" t="str">
            <v>0;0</v>
          </cell>
          <cell r="AJ145" t="str">
            <v>6;0</v>
          </cell>
          <cell r="AK145" t="str">
            <v>0;0</v>
          </cell>
          <cell r="AL145" t="str">
            <v>6;8</v>
          </cell>
          <cell r="AN145" t="str">
            <v>0;0</v>
          </cell>
          <cell r="AO145" t="str">
            <v>0;-6</v>
          </cell>
          <cell r="AP145" t="str">
            <v>6;0</v>
          </cell>
          <cell r="AQ145" t="str">
            <v>6;0</v>
          </cell>
          <cell r="AR145" t="str">
            <v>6;0</v>
          </cell>
          <cell r="AS145" t="str">
            <v>0;0</v>
          </cell>
          <cell r="AT145" t="str">
            <v>6;0</v>
          </cell>
          <cell r="AU145" t="str">
            <v>6;0</v>
          </cell>
          <cell r="AV145" t="str">
            <v>0;0</v>
          </cell>
          <cell r="AW145" t="str">
            <v>0;0</v>
          </cell>
          <cell r="AX145" t="str">
            <v>Dodge;Weapon Finesse;</v>
          </cell>
          <cell r="BB145" t="str">
            <v>Lawful Evil</v>
          </cell>
          <cell r="BD145" t="str">
            <v>Poison;Spell-like abilities;Alternate form</v>
          </cell>
          <cell r="BF145">
            <v>7</v>
          </cell>
          <cell r="BH145" t="str">
            <v>Improved, Planar</v>
          </cell>
          <cell r="BM145" t="str">
            <v>MM</v>
          </cell>
          <cell r="BN145">
            <v>56</v>
          </cell>
          <cell r="BO145" t="str">
            <v>PlH</v>
          </cell>
          <cell r="BP145" t="b">
            <v>1</v>
          </cell>
          <cell r="BQ145" t="b">
            <v>0</v>
          </cell>
          <cell r="BR145" t="b">
            <v>0</v>
          </cell>
          <cell r="BS145">
            <v>6</v>
          </cell>
          <cell r="BT145" t="str">
            <v/>
          </cell>
          <cell r="BU145" t="b">
            <v>0</v>
          </cell>
          <cell r="BV145" t="b">
            <v>0</v>
          </cell>
          <cell r="BW145">
            <v>9</v>
          </cell>
          <cell r="BX145" t="str">
            <v/>
          </cell>
          <cell r="BZ145" t="b">
            <v>0</v>
          </cell>
          <cell r="CA145">
            <v>6</v>
          </cell>
          <cell r="CB145" t="str">
            <v/>
          </cell>
          <cell r="CD145" t="b">
            <v>0</v>
          </cell>
          <cell r="CE145">
            <v>6</v>
          </cell>
          <cell r="CF145" t="str">
            <v/>
          </cell>
          <cell r="CJ145" t="str">
            <v/>
          </cell>
        </row>
        <row r="146">
          <cell r="A146" t="str">
            <v>Krenshar</v>
          </cell>
          <cell r="C146" t="str">
            <v>Medium</v>
          </cell>
          <cell r="D146" t="str">
            <v>Magical Beast</v>
          </cell>
          <cell r="F146">
            <v>2</v>
          </cell>
          <cell r="G146">
            <v>40</v>
          </cell>
          <cell r="M146">
            <v>3</v>
          </cell>
          <cell r="N146" t="str">
            <v>Bite;2 Claws;</v>
          </cell>
          <cell r="O146" t="str">
            <v>1d6;1d4;</v>
          </cell>
          <cell r="S146" t="str">
            <v>normal</v>
          </cell>
          <cell r="T146">
            <v>60</v>
          </cell>
          <cell r="AA146">
            <v>11</v>
          </cell>
          <cell r="AB146">
            <v>14</v>
          </cell>
          <cell r="AC146">
            <v>11</v>
          </cell>
          <cell r="AD146">
            <v>6</v>
          </cell>
          <cell r="AE146">
            <v>12</v>
          </cell>
          <cell r="AF146">
            <v>13</v>
          </cell>
          <cell r="AG146" t="str">
            <v>0;0</v>
          </cell>
          <cell r="AH146" t="str">
            <v>0;0</v>
          </cell>
          <cell r="AI146" t="str">
            <v>0;0</v>
          </cell>
          <cell r="AJ146" t="str">
            <v>0;0</v>
          </cell>
          <cell r="AK146" t="str">
            <v>0;0</v>
          </cell>
          <cell r="AL146" t="str">
            <v>2;0</v>
          </cell>
          <cell r="AN146" t="str">
            <v>0;0</v>
          </cell>
          <cell r="AO146" t="str">
            <v>1;8</v>
          </cell>
          <cell r="AP146" t="str">
            <v>2;0</v>
          </cell>
          <cell r="AQ146" t="str">
            <v>0;4</v>
          </cell>
          <cell r="AR146" t="str">
            <v>0;0</v>
          </cell>
          <cell r="AS146" t="str">
            <v>0;0</v>
          </cell>
          <cell r="AT146" t="str">
            <v>0;0</v>
          </cell>
          <cell r="AU146" t="str">
            <v>0;0</v>
          </cell>
          <cell r="AV146" t="str">
            <v>0;0</v>
          </cell>
          <cell r="AW146" t="str">
            <v>0;0</v>
          </cell>
          <cell r="AX146" t="str">
            <v>Multiattack;Track;</v>
          </cell>
          <cell r="BB146" t="str">
            <v>Neutral</v>
          </cell>
          <cell r="BD146" t="str">
            <v>Scare;Scent</v>
          </cell>
          <cell r="BF146">
            <v>3</v>
          </cell>
          <cell r="BH146" t="str">
            <v>Improved</v>
          </cell>
          <cell r="BM146" t="str">
            <v>MM</v>
          </cell>
          <cell r="BN146">
            <v>163</v>
          </cell>
          <cell r="BO146" t="str">
            <v>CW</v>
          </cell>
          <cell r="BP146" t="b">
            <v>1</v>
          </cell>
          <cell r="BQ146" t="b">
            <v>0</v>
          </cell>
          <cell r="BR146" t="b">
            <v>0</v>
          </cell>
          <cell r="BS146">
            <v>6</v>
          </cell>
          <cell r="BT146" t="str">
            <v/>
          </cell>
          <cell r="BU146" t="b">
            <v>0</v>
          </cell>
          <cell r="BV146" t="b">
            <v>0</v>
          </cell>
          <cell r="BW146">
            <v>9</v>
          </cell>
          <cell r="BX146" t="str">
            <v/>
          </cell>
          <cell r="BZ146" t="b">
            <v>0</v>
          </cell>
          <cell r="CA146">
            <v>6</v>
          </cell>
          <cell r="CB146" t="str">
            <v/>
          </cell>
          <cell r="CD146" t="b">
            <v>0</v>
          </cell>
          <cell r="CE146">
            <v>6</v>
          </cell>
          <cell r="CF146" t="str">
            <v/>
          </cell>
          <cell r="CJ146" t="str">
            <v/>
          </cell>
        </row>
        <row r="147">
          <cell r="A147" t="str">
            <v>Leopard</v>
          </cell>
          <cell r="C147" t="str">
            <v>Medium</v>
          </cell>
          <cell r="D147" t="str">
            <v>Animal</v>
          </cell>
          <cell r="F147">
            <v>3</v>
          </cell>
          <cell r="G147">
            <v>40</v>
          </cell>
          <cell r="I147">
            <v>20</v>
          </cell>
          <cell r="M147">
            <v>1</v>
          </cell>
          <cell r="N147" t="str">
            <v>Bite+5+0+1,2 Claws+3+0+0,Rake+3+0+0</v>
          </cell>
          <cell r="S147" t="str">
            <v>normal</v>
          </cell>
          <cell r="AA147">
            <v>16</v>
          </cell>
          <cell r="AB147">
            <v>19</v>
          </cell>
          <cell r="AC147">
            <v>15</v>
          </cell>
          <cell r="AD147">
            <v>2</v>
          </cell>
          <cell r="AE147">
            <v>12</v>
          </cell>
          <cell r="AF147">
            <v>6</v>
          </cell>
          <cell r="BG147">
            <v>4</v>
          </cell>
          <cell r="BM147" t="str">
            <v>MM</v>
          </cell>
          <cell r="BN147">
            <v>274</v>
          </cell>
          <cell r="BP147" t="b">
            <v>1</v>
          </cell>
          <cell r="BQ147" t="b">
            <v>0</v>
          </cell>
          <cell r="BR147" t="b">
            <v>0</v>
          </cell>
          <cell r="BS147">
            <v>6</v>
          </cell>
          <cell r="BT147" t="str">
            <v/>
          </cell>
          <cell r="BV147" t="b">
            <v>0</v>
          </cell>
          <cell r="BW147">
            <v>9</v>
          </cell>
          <cell r="BX147" t="str">
            <v/>
          </cell>
          <cell r="BY147" t="b">
            <v>1</v>
          </cell>
          <cell r="BZ147" t="b">
            <v>0</v>
          </cell>
          <cell r="CA147">
            <v>6</v>
          </cell>
          <cell r="CB147" t="str">
            <v/>
          </cell>
          <cell r="CD147" t="b">
            <v>0</v>
          </cell>
          <cell r="CE147">
            <v>6</v>
          </cell>
          <cell r="CF147" t="str">
            <v/>
          </cell>
          <cell r="CJ147" t="str">
            <v/>
          </cell>
        </row>
        <row r="148">
          <cell r="A148" t="str">
            <v>Lion</v>
          </cell>
          <cell r="C148" t="str">
            <v>Large</v>
          </cell>
          <cell r="D148" t="str">
            <v>Animal</v>
          </cell>
          <cell r="F148">
            <v>5</v>
          </cell>
          <cell r="G148">
            <v>40</v>
          </cell>
          <cell r="M148">
            <v>3</v>
          </cell>
          <cell r="N148" t="str">
            <v>2 Claws+3+0+1,Bite+5+0+0,Rake+3+0+0</v>
          </cell>
          <cell r="S148" t="str">
            <v>normal</v>
          </cell>
          <cell r="AA148">
            <v>21</v>
          </cell>
          <cell r="AB148">
            <v>17</v>
          </cell>
          <cell r="AC148">
            <v>15</v>
          </cell>
          <cell r="AD148">
            <v>2</v>
          </cell>
          <cell r="AE148">
            <v>12</v>
          </cell>
          <cell r="AF148">
            <v>6</v>
          </cell>
          <cell r="BG148">
            <v>7</v>
          </cell>
          <cell r="BM148" t="str">
            <v>MM</v>
          </cell>
          <cell r="BN148">
            <v>274</v>
          </cell>
          <cell r="BP148" t="b">
            <v>1</v>
          </cell>
          <cell r="BQ148" t="b">
            <v>0</v>
          </cell>
          <cell r="BR148" t="b">
            <v>0</v>
          </cell>
          <cell r="BS148">
            <v>6</v>
          </cell>
          <cell r="BT148" t="str">
            <v/>
          </cell>
          <cell r="BV148" t="b">
            <v>0</v>
          </cell>
          <cell r="BW148">
            <v>9</v>
          </cell>
          <cell r="BX148" t="str">
            <v/>
          </cell>
          <cell r="BY148" t="b">
            <v>1</v>
          </cell>
          <cell r="BZ148" t="b">
            <v>0</v>
          </cell>
          <cell r="CA148">
            <v>6</v>
          </cell>
          <cell r="CB148" t="str">
            <v/>
          </cell>
          <cell r="CD148" t="b">
            <v>0</v>
          </cell>
          <cell r="CE148">
            <v>6</v>
          </cell>
          <cell r="CF148" t="str">
            <v/>
          </cell>
          <cell r="CJ148" t="str">
            <v/>
          </cell>
        </row>
        <row r="149">
          <cell r="A149" t="str">
            <v>Lizard</v>
          </cell>
          <cell r="C149" t="str">
            <v>Tiny</v>
          </cell>
          <cell r="D149" t="str">
            <v>Animal</v>
          </cell>
          <cell r="F149">
            <v>0.5</v>
          </cell>
          <cell r="G149">
            <v>20</v>
          </cell>
          <cell r="I149">
            <v>20</v>
          </cell>
          <cell r="M149">
            <v>0</v>
          </cell>
          <cell r="N149" t="str">
            <v>Bite+6+0+2</v>
          </cell>
          <cell r="O149" t="str">
            <v>1d4;</v>
          </cell>
          <cell r="S149" t="str">
            <v>normal</v>
          </cell>
          <cell r="AA149">
            <v>3</v>
          </cell>
          <cell r="AB149">
            <v>15</v>
          </cell>
          <cell r="AC149">
            <v>10</v>
          </cell>
          <cell r="AD149">
            <v>1</v>
          </cell>
          <cell r="AE149">
            <v>12</v>
          </cell>
          <cell r="AF149">
            <v>2</v>
          </cell>
          <cell r="AG149" t="str">
            <v>0;8</v>
          </cell>
          <cell r="AH149" t="str">
            <v>0;0</v>
          </cell>
          <cell r="AI149" t="str">
            <v>2;8</v>
          </cell>
          <cell r="AJ149" t="str">
            <v>0;0</v>
          </cell>
          <cell r="AK149" t="str">
            <v>0;0</v>
          </cell>
          <cell r="AL149" t="str">
            <v>0;8</v>
          </cell>
          <cell r="AN149" t="str">
            <v>0;0</v>
          </cell>
          <cell r="AO149" t="str">
            <v>0;-6</v>
          </cell>
          <cell r="AP149" t="str">
            <v>2;0</v>
          </cell>
          <cell r="AQ149" t="str">
            <v>0;2</v>
          </cell>
          <cell r="AR149" t="str">
            <v>0;0</v>
          </cell>
          <cell r="AS149" t="str">
            <v>0;0</v>
          </cell>
          <cell r="AT149" t="str">
            <v>0;0</v>
          </cell>
          <cell r="AU149" t="str">
            <v>2;0</v>
          </cell>
          <cell r="AV149" t="str">
            <v>0;0</v>
          </cell>
          <cell r="AW149" t="str">
            <v>0;0</v>
          </cell>
          <cell r="AX149" t="str">
            <v>Weapon Finesse</v>
          </cell>
          <cell r="BA149">
            <v>0</v>
          </cell>
          <cell r="BB149" t="str">
            <v>Neutral</v>
          </cell>
          <cell r="BF149">
            <v>1</v>
          </cell>
          <cell r="BH149" t="str">
            <v>Normal</v>
          </cell>
          <cell r="BM149" t="str">
            <v>MM</v>
          </cell>
          <cell r="BN149">
            <v>275</v>
          </cell>
          <cell r="BO149" t="str">
            <v>PH</v>
          </cell>
          <cell r="BP149" t="b">
            <v>1</v>
          </cell>
          <cell r="BQ149" t="b">
            <v>0</v>
          </cell>
          <cell r="BR149" t="b">
            <v>0</v>
          </cell>
          <cell r="BS149">
            <v>6</v>
          </cell>
          <cell r="BT149" t="str">
            <v/>
          </cell>
          <cell r="BV149" t="b">
            <v>1</v>
          </cell>
          <cell r="BW149">
            <v>10</v>
          </cell>
          <cell r="BX149" t="str">
            <v/>
          </cell>
          <cell r="BZ149" t="b">
            <v>0</v>
          </cell>
          <cell r="CA149">
            <v>6</v>
          </cell>
          <cell r="CB149" t="str">
            <v/>
          </cell>
          <cell r="CD149" t="b">
            <v>0</v>
          </cell>
          <cell r="CE149">
            <v>6</v>
          </cell>
          <cell r="CF149" t="str">
            <v/>
          </cell>
          <cell r="CJ149" t="str">
            <v/>
          </cell>
        </row>
        <row r="150">
          <cell r="A150" t="str">
            <v>Lizard, Monitor</v>
          </cell>
          <cell r="C150" t="str">
            <v>Medium</v>
          </cell>
          <cell r="D150" t="str">
            <v>Animal</v>
          </cell>
          <cell r="F150">
            <v>3</v>
          </cell>
          <cell r="G150">
            <v>30</v>
          </cell>
          <cell r="L150">
            <v>30</v>
          </cell>
          <cell r="M150">
            <v>3</v>
          </cell>
          <cell r="N150" t="str">
            <v>Bite+6+0+2</v>
          </cell>
          <cell r="S150" t="str">
            <v>normal</v>
          </cell>
          <cell r="AA150">
            <v>17</v>
          </cell>
          <cell r="AB150">
            <v>15</v>
          </cell>
          <cell r="AC150">
            <v>17</v>
          </cell>
          <cell r="AD150">
            <v>1</v>
          </cell>
          <cell r="AE150">
            <v>12</v>
          </cell>
          <cell r="AF150">
            <v>2</v>
          </cell>
          <cell r="BG150">
            <v>4</v>
          </cell>
          <cell r="BM150" t="str">
            <v>MM</v>
          </cell>
          <cell r="BN150">
            <v>275</v>
          </cell>
          <cell r="BP150" t="b">
            <v>1</v>
          </cell>
          <cell r="BQ150" t="b">
            <v>0</v>
          </cell>
          <cell r="BR150" t="b">
            <v>0</v>
          </cell>
          <cell r="BS150">
            <v>6</v>
          </cell>
          <cell r="BT150" t="str">
            <v/>
          </cell>
          <cell r="BV150" t="b">
            <v>0</v>
          </cell>
          <cell r="BW150">
            <v>10</v>
          </cell>
          <cell r="BX150" t="str">
            <v/>
          </cell>
          <cell r="BY150" t="b">
            <v>1</v>
          </cell>
          <cell r="BZ150" t="b">
            <v>0</v>
          </cell>
          <cell r="CA150">
            <v>6</v>
          </cell>
          <cell r="CB150" t="str">
            <v/>
          </cell>
          <cell r="CD150" t="b">
            <v>0</v>
          </cell>
          <cell r="CE150">
            <v>6</v>
          </cell>
          <cell r="CF150" t="str">
            <v/>
          </cell>
          <cell r="CJ150" t="str">
            <v/>
          </cell>
        </row>
        <row r="151">
          <cell r="A151" t="str">
            <v>Lizard, Spitting Crawler</v>
          </cell>
          <cell r="C151" t="str">
            <v>Tiny</v>
          </cell>
          <cell r="D151" t="str">
            <v>Animal</v>
          </cell>
          <cell r="F151">
            <v>0.5</v>
          </cell>
          <cell r="G151">
            <v>20</v>
          </cell>
          <cell r="I151">
            <v>20</v>
          </cell>
          <cell r="M151">
            <v>0</v>
          </cell>
          <cell r="N151" t="str">
            <v>Bite;</v>
          </cell>
          <cell r="O151" t="str">
            <v>1d4;</v>
          </cell>
          <cell r="AA151">
            <v>3</v>
          </cell>
          <cell r="AB151">
            <v>15</v>
          </cell>
          <cell r="AC151">
            <v>10</v>
          </cell>
          <cell r="AD151">
            <v>2</v>
          </cell>
          <cell r="AE151">
            <v>12</v>
          </cell>
          <cell r="AF151">
            <v>2</v>
          </cell>
          <cell r="AG151" t="str">
            <v>4;0</v>
          </cell>
          <cell r="AH151" t="str">
            <v>0;0</v>
          </cell>
          <cell r="AI151" t="str">
            <v>4;2</v>
          </cell>
          <cell r="AJ151" t="str">
            <v>0;0</v>
          </cell>
          <cell r="AK151" t="str">
            <v>0;0</v>
          </cell>
          <cell r="AL151" t="str">
            <v>3;8</v>
          </cell>
          <cell r="AN151" t="str">
            <v>0;0</v>
          </cell>
          <cell r="AO151" t="str">
            <v>0;-6</v>
          </cell>
          <cell r="AP151" t="str">
            <v>2;0</v>
          </cell>
          <cell r="AQ151" t="str">
            <v>0;0</v>
          </cell>
          <cell r="AR151" t="str">
            <v>0;0</v>
          </cell>
          <cell r="AS151" t="str">
            <v>0;0</v>
          </cell>
          <cell r="AT151" t="str">
            <v>0;0</v>
          </cell>
          <cell r="AU151" t="str">
            <v>2;0</v>
          </cell>
          <cell r="AV151" t="str">
            <v>0;0</v>
          </cell>
          <cell r="AW151" t="str">
            <v>0;0</v>
          </cell>
          <cell r="AX151" t="str">
            <v>Weapon Finesse;</v>
          </cell>
          <cell r="BB151" t="str">
            <v>Neutral</v>
          </cell>
          <cell r="BD151" t="str">
            <v>Spit Acid</v>
          </cell>
          <cell r="BF151">
            <v>3</v>
          </cell>
          <cell r="BH151" t="str">
            <v>Improved</v>
          </cell>
          <cell r="BM151" t="str">
            <v>FRCS</v>
          </cell>
          <cell r="BN151">
            <v>308</v>
          </cell>
          <cell r="BO151" t="str">
            <v>PGtF</v>
          </cell>
          <cell r="BP151" t="b">
            <v>1</v>
          </cell>
          <cell r="BQ151" t="b">
            <v>0</v>
          </cell>
          <cell r="BR151" t="b">
            <v>0</v>
          </cell>
          <cell r="BS151">
            <v>6</v>
          </cell>
          <cell r="BT151" t="str">
            <v/>
          </cell>
          <cell r="BV151" t="b">
            <v>0</v>
          </cell>
          <cell r="BW151">
            <v>10</v>
          </cell>
          <cell r="BX151" t="str">
            <v/>
          </cell>
          <cell r="BZ151" t="b">
            <v>0</v>
          </cell>
          <cell r="CA151">
            <v>6</v>
          </cell>
          <cell r="CB151" t="str">
            <v/>
          </cell>
          <cell r="CD151" t="b">
            <v>0</v>
          </cell>
          <cell r="CE151">
            <v>6</v>
          </cell>
          <cell r="CF151" t="str">
            <v/>
          </cell>
          <cell r="CJ151" t="str">
            <v/>
          </cell>
        </row>
        <row r="152">
          <cell r="A152" t="str">
            <v>Lynx</v>
          </cell>
          <cell r="C152" t="str">
            <v>Small</v>
          </cell>
          <cell r="D152" t="str">
            <v>Animal</v>
          </cell>
          <cell r="F152">
            <v>1</v>
          </cell>
          <cell r="G152">
            <v>40</v>
          </cell>
          <cell r="M152">
            <v>0</v>
          </cell>
          <cell r="N152" t="str">
            <v>Bite;2 Claws;</v>
          </cell>
          <cell r="O152" t="str">
            <v>1d4;1d3;</v>
          </cell>
          <cell r="AA152">
            <v>7</v>
          </cell>
          <cell r="AB152">
            <v>17</v>
          </cell>
          <cell r="AC152">
            <v>12</v>
          </cell>
          <cell r="AD152">
            <v>2</v>
          </cell>
          <cell r="AE152">
            <v>12</v>
          </cell>
          <cell r="AF152">
            <v>7</v>
          </cell>
          <cell r="AG152" t="str">
            <v>1;8</v>
          </cell>
          <cell r="AH152" t="str">
            <v>0;0</v>
          </cell>
          <cell r="AI152" t="str">
            <v>1;0</v>
          </cell>
          <cell r="AJ152" t="str">
            <v>0;0</v>
          </cell>
          <cell r="AK152" t="str">
            <v>0;0</v>
          </cell>
          <cell r="AL152" t="str">
            <v>1;8</v>
          </cell>
          <cell r="AN152" t="str">
            <v>0;0</v>
          </cell>
          <cell r="AO152" t="str">
            <v>0;4</v>
          </cell>
          <cell r="AP152" t="str">
            <v>0;2</v>
          </cell>
          <cell r="AQ152" t="str">
            <v>1;4</v>
          </cell>
          <cell r="AR152" t="str">
            <v>0;0</v>
          </cell>
          <cell r="AS152" t="str">
            <v>0;0</v>
          </cell>
          <cell r="AT152" t="str">
            <v>0;0</v>
          </cell>
          <cell r="AU152" t="str">
            <v>0;2</v>
          </cell>
          <cell r="AV152" t="str">
            <v>0;0</v>
          </cell>
          <cell r="AW152" t="str">
            <v>0;0</v>
          </cell>
          <cell r="AX152" t="str">
            <v>Alertness;Weapon Finesse;</v>
          </cell>
          <cell r="BB152" t="str">
            <v>Neutral</v>
          </cell>
          <cell r="BD152" t="str">
            <v>Pounce;Scent</v>
          </cell>
          <cell r="BF152">
            <v>3</v>
          </cell>
          <cell r="BH152" t="str">
            <v>Improved</v>
          </cell>
          <cell r="BM152" t="str">
            <v>RoF</v>
          </cell>
          <cell r="BO152" t="str">
            <v>PGtF</v>
          </cell>
          <cell r="BP152" t="b">
            <v>1</v>
          </cell>
          <cell r="BQ152" t="b">
            <v>0</v>
          </cell>
          <cell r="BR152" t="b">
            <v>0</v>
          </cell>
          <cell r="BS152">
            <v>6</v>
          </cell>
          <cell r="BT152" t="str">
            <v/>
          </cell>
          <cell r="BV152" t="b">
            <v>0</v>
          </cell>
          <cell r="BW152">
            <v>10</v>
          </cell>
          <cell r="BX152" t="str">
            <v/>
          </cell>
          <cell r="BZ152" t="b">
            <v>0</v>
          </cell>
          <cell r="CA152">
            <v>6</v>
          </cell>
          <cell r="CB152" t="str">
            <v/>
          </cell>
          <cell r="CD152" t="b">
            <v>0</v>
          </cell>
          <cell r="CE152">
            <v>6</v>
          </cell>
          <cell r="CF152" t="str">
            <v/>
          </cell>
          <cell r="CJ152" t="str">
            <v/>
          </cell>
        </row>
        <row r="153">
          <cell r="A153" t="str">
            <v>Megaraptor</v>
          </cell>
          <cell r="C153" t="str">
            <v>Large</v>
          </cell>
          <cell r="D153" t="str">
            <v>Animal</v>
          </cell>
          <cell r="F153">
            <v>8</v>
          </cell>
          <cell r="G153">
            <v>60</v>
          </cell>
          <cell r="M153">
            <v>6</v>
          </cell>
          <cell r="N153" t="str">
            <v>Talons+6+0+1,2 Foreclaws+3+0+0,Bite+5+0+0</v>
          </cell>
          <cell r="AA153">
            <v>21</v>
          </cell>
          <cell r="AB153">
            <v>15</v>
          </cell>
          <cell r="AC153">
            <v>21</v>
          </cell>
          <cell r="AD153">
            <v>2</v>
          </cell>
          <cell r="AE153">
            <v>15</v>
          </cell>
          <cell r="AF153">
            <v>10</v>
          </cell>
          <cell r="BG153">
            <v>10</v>
          </cell>
          <cell r="BL153" t="str">
            <v>Dinosaur</v>
          </cell>
          <cell r="BM153" t="str">
            <v>MM</v>
          </cell>
          <cell r="BN153">
            <v>60</v>
          </cell>
          <cell r="BP153" t="b">
            <v>1</v>
          </cell>
          <cell r="BQ153" t="b">
            <v>0</v>
          </cell>
          <cell r="BR153" t="b">
            <v>0</v>
          </cell>
          <cell r="BS153">
            <v>6</v>
          </cell>
          <cell r="BT153" t="str">
            <v/>
          </cell>
          <cell r="BV153" t="b">
            <v>0</v>
          </cell>
          <cell r="BW153">
            <v>10</v>
          </cell>
          <cell r="BX153" t="str">
            <v/>
          </cell>
          <cell r="BY153" t="b">
            <v>1</v>
          </cell>
          <cell r="BZ153" t="b">
            <v>0</v>
          </cell>
          <cell r="CA153">
            <v>6</v>
          </cell>
          <cell r="CB153" t="str">
            <v/>
          </cell>
          <cell r="CD153" t="b">
            <v>0</v>
          </cell>
          <cell r="CE153">
            <v>6</v>
          </cell>
          <cell r="CF153" t="str">
            <v/>
          </cell>
          <cell r="CJ153" t="str">
            <v/>
          </cell>
        </row>
        <row r="154">
          <cell r="A154" t="str">
            <v>Mephit, Air</v>
          </cell>
          <cell r="C154" t="str">
            <v>Small</v>
          </cell>
          <cell r="D154" t="str">
            <v>Outsider</v>
          </cell>
          <cell r="F154">
            <v>3</v>
          </cell>
          <cell r="G154">
            <v>30</v>
          </cell>
          <cell r="J154">
            <v>50</v>
          </cell>
          <cell r="K154" t="str">
            <v>perfect</v>
          </cell>
          <cell r="M154">
            <v>3</v>
          </cell>
          <cell r="N154" t="str">
            <v>2 claws;</v>
          </cell>
          <cell r="O154" t="str">
            <v>1d3;</v>
          </cell>
          <cell r="T154">
            <v>60</v>
          </cell>
          <cell r="Y154" t="str">
            <v>5/magic</v>
          </cell>
          <cell r="Z154">
            <v>2</v>
          </cell>
          <cell r="AA154">
            <v>10</v>
          </cell>
          <cell r="AB154">
            <v>17</v>
          </cell>
          <cell r="AC154">
            <v>10</v>
          </cell>
          <cell r="AD154">
            <v>6</v>
          </cell>
          <cell r="AE154">
            <v>11</v>
          </cell>
          <cell r="AF154">
            <v>15</v>
          </cell>
          <cell r="AG154" t="str">
            <v>0;0</v>
          </cell>
          <cell r="AH154" t="str">
            <v>6;0</v>
          </cell>
          <cell r="AI154" t="str">
            <v>0;0</v>
          </cell>
          <cell r="AJ154" t="str">
            <v>2;0</v>
          </cell>
          <cell r="AK154" t="str">
            <v>0;0</v>
          </cell>
          <cell r="AL154" t="str">
            <v>6;4</v>
          </cell>
          <cell r="AN154" t="str">
            <v>2;0</v>
          </cell>
          <cell r="AO154" t="str">
            <v>0;0</v>
          </cell>
          <cell r="AP154" t="str">
            <v>6;0</v>
          </cell>
          <cell r="AQ154" t="str">
            <v>6;0</v>
          </cell>
          <cell r="AR154" t="str">
            <v>0;0</v>
          </cell>
          <cell r="AS154" t="str">
            <v>0;0</v>
          </cell>
          <cell r="AT154" t="str">
            <v>0;0</v>
          </cell>
          <cell r="AU154" t="str">
            <v>6;0</v>
          </cell>
          <cell r="AV154" t="str">
            <v>0;0</v>
          </cell>
          <cell r="AW154" t="str">
            <v>0;0</v>
          </cell>
          <cell r="AX154" t="str">
            <v>Dodge;Improved Initiative;</v>
          </cell>
          <cell r="BB154" t="str">
            <v>Neutral</v>
          </cell>
          <cell r="BD154" t="str">
            <v>Breath weapon;Spell-like abilities;Summon mephit</v>
          </cell>
          <cell r="BF154">
            <v>7</v>
          </cell>
          <cell r="BH154" t="str">
            <v>Planar</v>
          </cell>
          <cell r="BM154" t="str">
            <v>MM</v>
          </cell>
          <cell r="BN154">
            <v>181</v>
          </cell>
          <cell r="BO154" t="str">
            <v>PlH</v>
          </cell>
          <cell r="BP154" t="b">
            <v>1</v>
          </cell>
          <cell r="BQ154" t="b">
            <v>0</v>
          </cell>
          <cell r="BR154" t="b">
            <v>0</v>
          </cell>
          <cell r="BS154">
            <v>6</v>
          </cell>
          <cell r="BT154" t="str">
            <v/>
          </cell>
          <cell r="BV154" t="b">
            <v>0</v>
          </cell>
          <cell r="BW154">
            <v>10</v>
          </cell>
          <cell r="BX154" t="str">
            <v/>
          </cell>
          <cell r="BZ154" t="b">
            <v>0</v>
          </cell>
          <cell r="CA154">
            <v>6</v>
          </cell>
          <cell r="CB154" t="str">
            <v/>
          </cell>
          <cell r="CD154" t="b">
            <v>0</v>
          </cell>
          <cell r="CE154">
            <v>6</v>
          </cell>
          <cell r="CF154" t="str">
            <v/>
          </cell>
          <cell r="CJ154" t="str">
            <v/>
          </cell>
        </row>
        <row r="155">
          <cell r="A155" t="str">
            <v>Mephit, Dust</v>
          </cell>
          <cell r="C155" t="str">
            <v>Small</v>
          </cell>
          <cell r="D155" t="str">
            <v>Outsider</v>
          </cell>
          <cell r="F155">
            <v>3</v>
          </cell>
          <cell r="G155">
            <v>30</v>
          </cell>
          <cell r="J155">
            <v>40</v>
          </cell>
          <cell r="K155" t="str">
            <v>perfect</v>
          </cell>
          <cell r="M155">
            <v>3</v>
          </cell>
          <cell r="N155" t="str">
            <v>2 claws;</v>
          </cell>
          <cell r="O155" t="str">
            <v>1d3;</v>
          </cell>
          <cell r="T155">
            <v>60</v>
          </cell>
          <cell r="Y155" t="str">
            <v>5/magic</v>
          </cell>
          <cell r="Z155">
            <v>2</v>
          </cell>
          <cell r="AA155">
            <v>10</v>
          </cell>
          <cell r="AB155">
            <v>17</v>
          </cell>
          <cell r="AC155">
            <v>10</v>
          </cell>
          <cell r="AD155">
            <v>6</v>
          </cell>
          <cell r="AE155">
            <v>11</v>
          </cell>
          <cell r="AF155">
            <v>15</v>
          </cell>
          <cell r="AG155" t="str">
            <v>0;0</v>
          </cell>
          <cell r="AH155" t="str">
            <v>6;0</v>
          </cell>
          <cell r="AI155" t="str">
            <v>0;0</v>
          </cell>
          <cell r="AJ155" t="str">
            <v>2;0</v>
          </cell>
          <cell r="AK155" t="str">
            <v>0;0</v>
          </cell>
          <cell r="AL155" t="str">
            <v>6;4</v>
          </cell>
          <cell r="AN155" t="str">
            <v>2;0</v>
          </cell>
          <cell r="AO155" t="str">
            <v>0;0</v>
          </cell>
          <cell r="AP155" t="str">
            <v>6;0</v>
          </cell>
          <cell r="AQ155" t="str">
            <v>6;0</v>
          </cell>
          <cell r="AR155" t="str">
            <v>0;0</v>
          </cell>
          <cell r="AS155" t="str">
            <v>0;0</v>
          </cell>
          <cell r="AT155" t="str">
            <v>0;0</v>
          </cell>
          <cell r="AU155" t="str">
            <v>6;0</v>
          </cell>
          <cell r="AV155" t="str">
            <v>0;0</v>
          </cell>
          <cell r="AW155" t="str">
            <v>0;0</v>
          </cell>
          <cell r="AX155" t="str">
            <v>Dodge;Improved Initiative;</v>
          </cell>
          <cell r="BB155" t="str">
            <v>Neutral</v>
          </cell>
          <cell r="BD155" t="str">
            <v>Breath weapon;Spell-like abilities;Summon mephit</v>
          </cell>
          <cell r="BF155">
            <v>7</v>
          </cell>
          <cell r="BH155" t="str">
            <v>Planar</v>
          </cell>
          <cell r="BM155" t="str">
            <v>MM</v>
          </cell>
          <cell r="BN155">
            <v>181</v>
          </cell>
          <cell r="BO155" t="str">
            <v>PlH</v>
          </cell>
          <cell r="BP155" t="b">
            <v>1</v>
          </cell>
          <cell r="BQ155" t="b">
            <v>0</v>
          </cell>
          <cell r="BR155" t="b">
            <v>0</v>
          </cell>
          <cell r="BS155">
            <v>6</v>
          </cell>
          <cell r="BT155" t="str">
            <v/>
          </cell>
          <cell r="BV155" t="b">
            <v>0</v>
          </cell>
          <cell r="BW155">
            <v>10</v>
          </cell>
          <cell r="BX155" t="str">
            <v/>
          </cell>
          <cell r="BZ155" t="b">
            <v>0</v>
          </cell>
          <cell r="CA155">
            <v>6</v>
          </cell>
          <cell r="CB155" t="str">
            <v/>
          </cell>
          <cell r="CD155" t="b">
            <v>0</v>
          </cell>
          <cell r="CE155">
            <v>6</v>
          </cell>
          <cell r="CF155" t="str">
            <v/>
          </cell>
          <cell r="CJ155" t="str">
            <v/>
          </cell>
        </row>
        <row r="156">
          <cell r="A156" t="str">
            <v>Mephit, Earth</v>
          </cell>
          <cell r="C156" t="str">
            <v>Small</v>
          </cell>
          <cell r="D156" t="str">
            <v>Outsider</v>
          </cell>
          <cell r="F156">
            <v>3</v>
          </cell>
          <cell r="G156">
            <v>30</v>
          </cell>
          <cell r="J156">
            <v>50</v>
          </cell>
          <cell r="K156" t="str">
            <v>average</v>
          </cell>
          <cell r="M156">
            <v>6</v>
          </cell>
          <cell r="N156" t="str">
            <v>2 claws;</v>
          </cell>
          <cell r="O156" t="str">
            <v>1d3;</v>
          </cell>
          <cell r="T156">
            <v>60</v>
          </cell>
          <cell r="Y156" t="str">
            <v>5/magic</v>
          </cell>
          <cell r="Z156">
            <v>2</v>
          </cell>
          <cell r="AA156">
            <v>17</v>
          </cell>
          <cell r="AB156">
            <v>8</v>
          </cell>
          <cell r="AC156">
            <v>13</v>
          </cell>
          <cell r="AD156">
            <v>6</v>
          </cell>
          <cell r="AE156">
            <v>11</v>
          </cell>
          <cell r="AF156">
            <v>15</v>
          </cell>
          <cell r="AG156" t="str">
            <v>0;0</v>
          </cell>
          <cell r="AH156" t="str">
            <v>6;0</v>
          </cell>
          <cell r="AI156" t="str">
            <v>0;0</v>
          </cell>
          <cell r="AJ156" t="str">
            <v>2;0</v>
          </cell>
          <cell r="AK156" t="str">
            <v>0;0</v>
          </cell>
          <cell r="AL156" t="str">
            <v>6;4</v>
          </cell>
          <cell r="AN156" t="str">
            <v>2;0</v>
          </cell>
          <cell r="AO156" t="str">
            <v>0;0</v>
          </cell>
          <cell r="AP156" t="str">
            <v>6;0</v>
          </cell>
          <cell r="AQ156" t="str">
            <v>6;0</v>
          </cell>
          <cell r="AR156" t="str">
            <v>0;0</v>
          </cell>
          <cell r="AS156" t="str">
            <v>0;0</v>
          </cell>
          <cell r="AT156" t="str">
            <v>0;0</v>
          </cell>
          <cell r="AU156" t="str">
            <v>6;0</v>
          </cell>
          <cell r="AV156" t="str">
            <v>0;0</v>
          </cell>
          <cell r="AW156" t="str">
            <v>0;0</v>
          </cell>
          <cell r="AX156" t="str">
            <v>Power Attack;Toughness;</v>
          </cell>
          <cell r="BB156" t="str">
            <v>Neutral</v>
          </cell>
          <cell r="BD156" t="str">
            <v>Breath weapon;Spell-like abilities;Summon mephit;Change size</v>
          </cell>
          <cell r="BF156">
            <v>7</v>
          </cell>
          <cell r="BH156" t="str">
            <v>Planar</v>
          </cell>
          <cell r="BM156" t="str">
            <v>MM</v>
          </cell>
          <cell r="BN156">
            <v>182</v>
          </cell>
          <cell r="BO156" t="str">
            <v>PlH</v>
          </cell>
          <cell r="BP156" t="b">
            <v>1</v>
          </cell>
          <cell r="BQ156" t="b">
            <v>0</v>
          </cell>
          <cell r="BR156" t="b">
            <v>0</v>
          </cell>
          <cell r="BS156">
            <v>6</v>
          </cell>
          <cell r="BT156" t="str">
            <v/>
          </cell>
          <cell r="BV156" t="b">
            <v>0</v>
          </cell>
          <cell r="BW156">
            <v>10</v>
          </cell>
          <cell r="BX156" t="str">
            <v/>
          </cell>
          <cell r="BZ156" t="b">
            <v>0</v>
          </cell>
          <cell r="CA156">
            <v>6</v>
          </cell>
          <cell r="CB156" t="str">
            <v/>
          </cell>
          <cell r="CD156" t="b">
            <v>0</v>
          </cell>
          <cell r="CE156">
            <v>6</v>
          </cell>
          <cell r="CF156" t="str">
            <v/>
          </cell>
          <cell r="CJ156" t="str">
            <v/>
          </cell>
        </row>
        <row r="157">
          <cell r="A157" t="str">
            <v>Mephit, Fire</v>
          </cell>
          <cell r="C157" t="str">
            <v>Small</v>
          </cell>
          <cell r="D157" t="str">
            <v>Outsider</v>
          </cell>
          <cell r="F157">
            <v>3</v>
          </cell>
          <cell r="G157">
            <v>30</v>
          </cell>
          <cell r="J157">
            <v>50</v>
          </cell>
          <cell r="K157" t="str">
            <v>average</v>
          </cell>
          <cell r="M157">
            <v>4</v>
          </cell>
          <cell r="N157" t="str">
            <v>2 claws;</v>
          </cell>
          <cell r="O157" t="str">
            <v>1d3;</v>
          </cell>
          <cell r="T157">
            <v>60</v>
          </cell>
          <cell r="U157" t="str">
            <v>fire</v>
          </cell>
          <cell r="V157" t="str">
            <v>cold</v>
          </cell>
          <cell r="Y157" t="str">
            <v>5/magic</v>
          </cell>
          <cell r="Z157">
            <v>2</v>
          </cell>
          <cell r="AA157">
            <v>10</v>
          </cell>
          <cell r="AB157">
            <v>13</v>
          </cell>
          <cell r="AC157">
            <v>10</v>
          </cell>
          <cell r="AD157">
            <v>6</v>
          </cell>
          <cell r="AE157">
            <v>11</v>
          </cell>
          <cell r="AF157">
            <v>15</v>
          </cell>
          <cell r="AG157" t="str">
            <v>0;0</v>
          </cell>
          <cell r="AH157" t="str">
            <v>6;0</v>
          </cell>
          <cell r="AI157" t="str">
            <v>0;0</v>
          </cell>
          <cell r="AJ157" t="str">
            <v>2;0</v>
          </cell>
          <cell r="AK157" t="str">
            <v>0;0</v>
          </cell>
          <cell r="AL157" t="str">
            <v>6;4</v>
          </cell>
          <cell r="AN157" t="str">
            <v>2;0</v>
          </cell>
          <cell r="AO157" t="str">
            <v>0;0</v>
          </cell>
          <cell r="AP157" t="str">
            <v>6;0</v>
          </cell>
          <cell r="AQ157" t="str">
            <v>6;0</v>
          </cell>
          <cell r="AR157" t="str">
            <v>0;0</v>
          </cell>
          <cell r="AS157" t="str">
            <v>0;0</v>
          </cell>
          <cell r="AT157" t="str">
            <v>0;0</v>
          </cell>
          <cell r="AU157" t="str">
            <v>6;0</v>
          </cell>
          <cell r="AV157" t="str">
            <v>0;0</v>
          </cell>
          <cell r="AW157" t="str">
            <v>0;0</v>
          </cell>
          <cell r="AX157" t="str">
            <v>Dodge;Improved Initiative;</v>
          </cell>
          <cell r="BB157" t="str">
            <v>Neutral</v>
          </cell>
          <cell r="BD157" t="str">
            <v>Breath weapon;Spell-like abilities;Summon mephit</v>
          </cell>
          <cell r="BF157">
            <v>7</v>
          </cell>
          <cell r="BH157" t="str">
            <v>Planar</v>
          </cell>
          <cell r="BM157" t="str">
            <v>MM</v>
          </cell>
          <cell r="BN157">
            <v>182</v>
          </cell>
          <cell r="BO157" t="str">
            <v>PlH</v>
          </cell>
          <cell r="BP157" t="b">
            <v>1</v>
          </cell>
          <cell r="BQ157" t="b">
            <v>0</v>
          </cell>
          <cell r="BR157" t="b">
            <v>0</v>
          </cell>
          <cell r="BS157">
            <v>6</v>
          </cell>
          <cell r="BT157" t="str">
            <v/>
          </cell>
          <cell r="BV157" t="b">
            <v>0</v>
          </cell>
          <cell r="BW157">
            <v>10</v>
          </cell>
          <cell r="BX157" t="str">
            <v/>
          </cell>
          <cell r="BZ157" t="b">
            <v>0</v>
          </cell>
          <cell r="CA157">
            <v>6</v>
          </cell>
          <cell r="CB157" t="str">
            <v/>
          </cell>
          <cell r="CD157" t="b">
            <v>0</v>
          </cell>
          <cell r="CE157">
            <v>6</v>
          </cell>
          <cell r="CF157" t="str">
            <v/>
          </cell>
          <cell r="CJ157" t="str">
            <v/>
          </cell>
        </row>
        <row r="158">
          <cell r="A158" t="str">
            <v>Mephit, Ice</v>
          </cell>
          <cell r="C158" t="str">
            <v>Small</v>
          </cell>
          <cell r="D158" t="str">
            <v>Outsider</v>
          </cell>
          <cell r="F158">
            <v>3</v>
          </cell>
          <cell r="G158">
            <v>30</v>
          </cell>
          <cell r="J158">
            <v>50</v>
          </cell>
          <cell r="K158" t="str">
            <v>perfect</v>
          </cell>
          <cell r="M158">
            <v>4</v>
          </cell>
          <cell r="N158" t="str">
            <v>2 claws;</v>
          </cell>
          <cell r="O158" t="str">
            <v>1d3;</v>
          </cell>
          <cell r="T158">
            <v>60</v>
          </cell>
          <cell r="U158" t="str">
            <v>cold</v>
          </cell>
          <cell r="V158" t="str">
            <v>fire</v>
          </cell>
          <cell r="Y158" t="str">
            <v>5/magic</v>
          </cell>
          <cell r="Z158">
            <v>2</v>
          </cell>
          <cell r="AA158">
            <v>10</v>
          </cell>
          <cell r="AB158">
            <v>17</v>
          </cell>
          <cell r="AC158">
            <v>10</v>
          </cell>
          <cell r="AD158">
            <v>6</v>
          </cell>
          <cell r="AE158">
            <v>11</v>
          </cell>
          <cell r="AF158">
            <v>15</v>
          </cell>
          <cell r="AG158" t="str">
            <v>0;0</v>
          </cell>
          <cell r="AH158" t="str">
            <v>6;0</v>
          </cell>
          <cell r="AI158" t="str">
            <v>0;0</v>
          </cell>
          <cell r="AJ158" t="str">
            <v>2;0</v>
          </cell>
          <cell r="AK158" t="str">
            <v>0;0</v>
          </cell>
          <cell r="AL158" t="str">
            <v>6;4</v>
          </cell>
          <cell r="AN158" t="str">
            <v>2;0</v>
          </cell>
          <cell r="AO158" t="str">
            <v>0;0</v>
          </cell>
          <cell r="AP158" t="str">
            <v>6;0</v>
          </cell>
          <cell r="AQ158" t="str">
            <v>6;0</v>
          </cell>
          <cell r="AR158" t="str">
            <v>0;0</v>
          </cell>
          <cell r="AS158" t="str">
            <v>0;0</v>
          </cell>
          <cell r="AT158" t="str">
            <v>0;0</v>
          </cell>
          <cell r="AU158" t="str">
            <v>6;0</v>
          </cell>
          <cell r="AV158" t="str">
            <v>0;0</v>
          </cell>
          <cell r="AW158" t="str">
            <v>0;0</v>
          </cell>
          <cell r="AX158" t="str">
            <v>Dodge;Improved Initiative;</v>
          </cell>
          <cell r="BB158" t="str">
            <v>Neutral</v>
          </cell>
          <cell r="BD158" t="str">
            <v>Breath weapon;Spell-like abilities;Summon mephit</v>
          </cell>
          <cell r="BF158">
            <v>7</v>
          </cell>
          <cell r="BH158" t="str">
            <v>Planar</v>
          </cell>
          <cell r="BM158" t="str">
            <v>MM</v>
          </cell>
          <cell r="BN158">
            <v>182</v>
          </cell>
          <cell r="BO158" t="str">
            <v>PlH</v>
          </cell>
          <cell r="BP158" t="b">
            <v>1</v>
          </cell>
          <cell r="BQ158" t="b">
            <v>0</v>
          </cell>
          <cell r="BR158" t="b">
            <v>0</v>
          </cell>
          <cell r="BS158">
            <v>6</v>
          </cell>
          <cell r="BT158" t="str">
            <v/>
          </cell>
          <cell r="BV158" t="b">
            <v>0</v>
          </cell>
          <cell r="BW158">
            <v>10</v>
          </cell>
          <cell r="BX158" t="str">
            <v/>
          </cell>
          <cell r="BZ158" t="b">
            <v>0</v>
          </cell>
          <cell r="CA158">
            <v>6</v>
          </cell>
          <cell r="CB158" t="str">
            <v/>
          </cell>
          <cell r="CD158" t="b">
            <v>0</v>
          </cell>
          <cell r="CE158">
            <v>6</v>
          </cell>
          <cell r="CF158" t="str">
            <v/>
          </cell>
          <cell r="CJ158" t="str">
            <v/>
          </cell>
        </row>
        <row r="159">
          <cell r="A159" t="str">
            <v>Mephit, Magma</v>
          </cell>
          <cell r="C159" t="str">
            <v>Small</v>
          </cell>
          <cell r="D159" t="str">
            <v>Outsider</v>
          </cell>
          <cell r="F159">
            <v>3</v>
          </cell>
          <cell r="G159">
            <v>30</v>
          </cell>
          <cell r="J159">
            <v>50</v>
          </cell>
          <cell r="K159" t="str">
            <v>average</v>
          </cell>
          <cell r="M159">
            <v>4</v>
          </cell>
          <cell r="N159" t="str">
            <v>2 claws;</v>
          </cell>
          <cell r="O159" t="str">
            <v>1d3;</v>
          </cell>
          <cell r="T159">
            <v>60</v>
          </cell>
          <cell r="U159" t="str">
            <v>fire</v>
          </cell>
          <cell r="V159" t="str">
            <v>cold</v>
          </cell>
          <cell r="Y159" t="str">
            <v>5/magic</v>
          </cell>
          <cell r="Z159">
            <v>2</v>
          </cell>
          <cell r="AA159">
            <v>10</v>
          </cell>
          <cell r="AB159">
            <v>13</v>
          </cell>
          <cell r="AC159">
            <v>10</v>
          </cell>
          <cell r="AD159">
            <v>6</v>
          </cell>
          <cell r="AE159">
            <v>11</v>
          </cell>
          <cell r="AF159">
            <v>15</v>
          </cell>
          <cell r="AG159" t="str">
            <v>0;0</v>
          </cell>
          <cell r="AH159" t="str">
            <v>6;0</v>
          </cell>
          <cell r="AI159" t="str">
            <v>0;0</v>
          </cell>
          <cell r="AJ159" t="str">
            <v>2;0</v>
          </cell>
          <cell r="AK159" t="str">
            <v>0;0</v>
          </cell>
          <cell r="AL159" t="str">
            <v>6;4</v>
          </cell>
          <cell r="AN159" t="str">
            <v>2;0</v>
          </cell>
          <cell r="AO159" t="str">
            <v>0;0</v>
          </cell>
          <cell r="AP159" t="str">
            <v>6;0</v>
          </cell>
          <cell r="AQ159" t="str">
            <v>6;0</v>
          </cell>
          <cell r="AR159" t="str">
            <v>0;0</v>
          </cell>
          <cell r="AS159" t="str">
            <v>0;0</v>
          </cell>
          <cell r="AT159" t="str">
            <v>0;0</v>
          </cell>
          <cell r="AU159" t="str">
            <v>6;0</v>
          </cell>
          <cell r="AV159" t="str">
            <v>0;0</v>
          </cell>
          <cell r="AW159" t="str">
            <v>0;0</v>
          </cell>
          <cell r="AX159" t="str">
            <v>Dodge;Improved Initiative;</v>
          </cell>
          <cell r="BB159" t="str">
            <v>Neutral</v>
          </cell>
          <cell r="BD159" t="str">
            <v>Breath weapon;Spell-like abilities;Summon mephit</v>
          </cell>
          <cell r="BF159">
            <v>7</v>
          </cell>
          <cell r="BH159" t="str">
            <v>Planar</v>
          </cell>
          <cell r="BM159" t="str">
            <v>MM</v>
          </cell>
          <cell r="BN159">
            <v>183</v>
          </cell>
          <cell r="BO159" t="str">
            <v>PlH</v>
          </cell>
          <cell r="BP159" t="b">
            <v>1</v>
          </cell>
          <cell r="BQ159" t="b">
            <v>0</v>
          </cell>
          <cell r="BR159" t="b">
            <v>0</v>
          </cell>
          <cell r="BS159">
            <v>6</v>
          </cell>
          <cell r="BT159" t="str">
            <v/>
          </cell>
          <cell r="BV159" t="b">
            <v>0</v>
          </cell>
          <cell r="BW159">
            <v>10</v>
          </cell>
          <cell r="BX159" t="str">
            <v/>
          </cell>
          <cell r="BZ159" t="b">
            <v>0</v>
          </cell>
          <cell r="CA159">
            <v>6</v>
          </cell>
          <cell r="CB159" t="str">
            <v/>
          </cell>
          <cell r="CD159" t="b">
            <v>0</v>
          </cell>
          <cell r="CE159">
            <v>6</v>
          </cell>
          <cell r="CF159" t="str">
            <v/>
          </cell>
          <cell r="CJ159" t="str">
            <v/>
          </cell>
        </row>
        <row r="160">
          <cell r="A160" t="str">
            <v>Mephit, Ooze</v>
          </cell>
          <cell r="C160" t="str">
            <v>Small</v>
          </cell>
          <cell r="D160" t="str">
            <v>Outsider</v>
          </cell>
          <cell r="F160">
            <v>3</v>
          </cell>
          <cell r="G160">
            <v>30</v>
          </cell>
          <cell r="J160">
            <v>40</v>
          </cell>
          <cell r="K160" t="str">
            <v>average</v>
          </cell>
          <cell r="L160">
            <v>30</v>
          </cell>
          <cell r="M160">
            <v>5</v>
          </cell>
          <cell r="N160" t="str">
            <v>2 claws;</v>
          </cell>
          <cell r="O160" t="str">
            <v>1d3;</v>
          </cell>
          <cell r="T160">
            <v>60</v>
          </cell>
          <cell r="Y160" t="str">
            <v>5/magic</v>
          </cell>
          <cell r="Z160">
            <v>2</v>
          </cell>
          <cell r="AA160">
            <v>14</v>
          </cell>
          <cell r="AB160">
            <v>10</v>
          </cell>
          <cell r="AC160">
            <v>13</v>
          </cell>
          <cell r="AD160">
            <v>6</v>
          </cell>
          <cell r="AE160">
            <v>11</v>
          </cell>
          <cell r="AF160">
            <v>15</v>
          </cell>
          <cell r="AG160" t="str">
            <v>0;0</v>
          </cell>
          <cell r="AH160" t="str">
            <v>6;0</v>
          </cell>
          <cell r="AI160" t="str">
            <v>0;0</v>
          </cell>
          <cell r="AJ160" t="str">
            <v>2;0</v>
          </cell>
          <cell r="AK160" t="str">
            <v>0;0</v>
          </cell>
          <cell r="AL160" t="str">
            <v>6;4</v>
          </cell>
          <cell r="AN160" t="str">
            <v>2;0</v>
          </cell>
          <cell r="AO160" t="str">
            <v>0;0</v>
          </cell>
          <cell r="AP160" t="str">
            <v>6;0</v>
          </cell>
          <cell r="AQ160" t="str">
            <v>6;0</v>
          </cell>
          <cell r="AR160" t="str">
            <v>0;0</v>
          </cell>
          <cell r="AS160" t="str">
            <v>0;0</v>
          </cell>
          <cell r="AT160" t="str">
            <v>0;0</v>
          </cell>
          <cell r="AU160" t="str">
            <v>6;0</v>
          </cell>
          <cell r="AV160" t="str">
            <v>0;0</v>
          </cell>
          <cell r="AW160" t="str">
            <v>0;8</v>
          </cell>
          <cell r="AX160" t="str">
            <v>Power Attack;Toughness;</v>
          </cell>
          <cell r="BB160" t="str">
            <v>Neutral</v>
          </cell>
          <cell r="BD160" t="str">
            <v>Breath weapon;Spell-like abilities;Summon mephit</v>
          </cell>
          <cell r="BF160">
            <v>7</v>
          </cell>
          <cell r="BH160" t="str">
            <v>Planar</v>
          </cell>
          <cell r="BM160" t="str">
            <v>MM</v>
          </cell>
          <cell r="BN160">
            <v>183</v>
          </cell>
          <cell r="BO160" t="str">
            <v>PlH</v>
          </cell>
          <cell r="BP160" t="b">
            <v>1</v>
          </cell>
          <cell r="BQ160" t="b">
            <v>0</v>
          </cell>
          <cell r="BR160" t="b">
            <v>0</v>
          </cell>
          <cell r="BS160">
            <v>6</v>
          </cell>
          <cell r="BT160" t="str">
            <v/>
          </cell>
          <cell r="BV160" t="b">
            <v>0</v>
          </cell>
          <cell r="BW160">
            <v>10</v>
          </cell>
          <cell r="BX160" t="str">
            <v/>
          </cell>
          <cell r="BZ160" t="b">
            <v>0</v>
          </cell>
          <cell r="CA160">
            <v>6</v>
          </cell>
          <cell r="CB160" t="str">
            <v/>
          </cell>
          <cell r="CD160" t="b">
            <v>0</v>
          </cell>
          <cell r="CE160">
            <v>6</v>
          </cell>
          <cell r="CF160" t="str">
            <v/>
          </cell>
          <cell r="CJ160" t="str">
            <v/>
          </cell>
        </row>
        <row r="161">
          <cell r="A161" t="str">
            <v>Mephit, Salt</v>
          </cell>
          <cell r="C161" t="str">
            <v>Small</v>
          </cell>
          <cell r="D161" t="str">
            <v>Outsider</v>
          </cell>
          <cell r="F161">
            <v>3</v>
          </cell>
          <cell r="G161">
            <v>30</v>
          </cell>
          <cell r="J161">
            <v>40</v>
          </cell>
          <cell r="K161" t="str">
            <v>average</v>
          </cell>
          <cell r="M161">
            <v>6</v>
          </cell>
          <cell r="N161" t="str">
            <v>2 claws;</v>
          </cell>
          <cell r="O161" t="str">
            <v>1d3;</v>
          </cell>
          <cell r="T161">
            <v>60</v>
          </cell>
          <cell r="Y161" t="str">
            <v>5/magic</v>
          </cell>
          <cell r="Z161">
            <v>2</v>
          </cell>
          <cell r="AA161">
            <v>17</v>
          </cell>
          <cell r="AB161">
            <v>8</v>
          </cell>
          <cell r="AC161">
            <v>13</v>
          </cell>
          <cell r="AD161">
            <v>6</v>
          </cell>
          <cell r="AE161">
            <v>11</v>
          </cell>
          <cell r="AF161">
            <v>15</v>
          </cell>
          <cell r="AG161" t="str">
            <v>0;0</v>
          </cell>
          <cell r="AH161" t="str">
            <v>6;0</v>
          </cell>
          <cell r="AI161" t="str">
            <v>0;0</v>
          </cell>
          <cell r="AJ161" t="str">
            <v>2;0</v>
          </cell>
          <cell r="AK161" t="str">
            <v>0;0</v>
          </cell>
          <cell r="AL161" t="str">
            <v>6;4</v>
          </cell>
          <cell r="AN161" t="str">
            <v>2;0</v>
          </cell>
          <cell r="AO161" t="str">
            <v>0;0</v>
          </cell>
          <cell r="AP161" t="str">
            <v>6;0</v>
          </cell>
          <cell r="AQ161" t="str">
            <v>6;0</v>
          </cell>
          <cell r="AR161" t="str">
            <v>0;0</v>
          </cell>
          <cell r="AS161" t="str">
            <v>0;0</v>
          </cell>
          <cell r="AT161" t="str">
            <v>0;0</v>
          </cell>
          <cell r="AU161" t="str">
            <v>6;0</v>
          </cell>
          <cell r="AV161" t="str">
            <v>0;0</v>
          </cell>
          <cell r="AW161" t="str">
            <v>0;0</v>
          </cell>
          <cell r="AX161" t="str">
            <v>Power Attack;Toughness;</v>
          </cell>
          <cell r="BB161" t="str">
            <v>Neutral</v>
          </cell>
          <cell r="BD161" t="str">
            <v>Breath weapon;Spell-like abilities;Summon mephit</v>
          </cell>
          <cell r="BF161">
            <v>7</v>
          </cell>
          <cell r="BH161" t="str">
            <v>Planar</v>
          </cell>
          <cell r="BM161" t="str">
            <v>MM</v>
          </cell>
          <cell r="BN161">
            <v>184</v>
          </cell>
          <cell r="BO161" t="str">
            <v>PlH</v>
          </cell>
          <cell r="BP161" t="b">
            <v>1</v>
          </cell>
          <cell r="BQ161" t="b">
            <v>0</v>
          </cell>
          <cell r="BR161" t="b">
            <v>0</v>
          </cell>
          <cell r="BS161">
            <v>6</v>
          </cell>
          <cell r="BT161" t="str">
            <v/>
          </cell>
          <cell r="BV161" t="b">
            <v>0</v>
          </cell>
          <cell r="BW161">
            <v>10</v>
          </cell>
          <cell r="BX161" t="str">
            <v/>
          </cell>
          <cell r="BZ161" t="b">
            <v>0</v>
          </cell>
          <cell r="CA161">
            <v>6</v>
          </cell>
          <cell r="CB161" t="str">
            <v/>
          </cell>
          <cell r="CD161" t="b">
            <v>0</v>
          </cell>
          <cell r="CE161">
            <v>6</v>
          </cell>
          <cell r="CF161" t="str">
            <v/>
          </cell>
          <cell r="CJ161" t="str">
            <v/>
          </cell>
        </row>
        <row r="162">
          <cell r="A162" t="str">
            <v>Mephit, Steam</v>
          </cell>
          <cell r="C162" t="str">
            <v>Small</v>
          </cell>
          <cell r="D162" t="str">
            <v>Outsider</v>
          </cell>
          <cell r="F162">
            <v>3</v>
          </cell>
          <cell r="G162">
            <v>30</v>
          </cell>
          <cell r="J162">
            <v>50</v>
          </cell>
          <cell r="K162" t="str">
            <v>average</v>
          </cell>
          <cell r="M162">
            <v>4</v>
          </cell>
          <cell r="N162" t="str">
            <v>2 claws;</v>
          </cell>
          <cell r="O162" t="str">
            <v>1d3;</v>
          </cell>
          <cell r="T162">
            <v>60</v>
          </cell>
          <cell r="U162" t="str">
            <v>fire</v>
          </cell>
          <cell r="V162" t="str">
            <v>cold</v>
          </cell>
          <cell r="Y162" t="str">
            <v>5/magic</v>
          </cell>
          <cell r="Z162">
            <v>2</v>
          </cell>
          <cell r="AA162">
            <v>10</v>
          </cell>
          <cell r="AB162">
            <v>13</v>
          </cell>
          <cell r="AC162">
            <v>10</v>
          </cell>
          <cell r="AD162">
            <v>6</v>
          </cell>
          <cell r="AE162">
            <v>11</v>
          </cell>
          <cell r="AF162">
            <v>15</v>
          </cell>
          <cell r="AG162" t="str">
            <v>0;0</v>
          </cell>
          <cell r="AH162" t="str">
            <v>6;0</v>
          </cell>
          <cell r="AI162" t="str">
            <v>0;0</v>
          </cell>
          <cell r="AJ162" t="str">
            <v>2;0</v>
          </cell>
          <cell r="AK162" t="str">
            <v>0;0</v>
          </cell>
          <cell r="AL162" t="str">
            <v>6;4</v>
          </cell>
          <cell r="AN162" t="str">
            <v>2;0</v>
          </cell>
          <cell r="AO162" t="str">
            <v>0;0</v>
          </cell>
          <cell r="AP162" t="str">
            <v>6;0</v>
          </cell>
          <cell r="AQ162" t="str">
            <v>6;0</v>
          </cell>
          <cell r="AR162" t="str">
            <v>0;0</v>
          </cell>
          <cell r="AS162" t="str">
            <v>0;0</v>
          </cell>
          <cell r="AT162" t="str">
            <v>0;0</v>
          </cell>
          <cell r="AU162" t="str">
            <v>6;0</v>
          </cell>
          <cell r="AV162" t="str">
            <v>0;0</v>
          </cell>
          <cell r="AW162" t="str">
            <v>0;0</v>
          </cell>
          <cell r="AX162" t="str">
            <v>Dodge;Improved Initiative;</v>
          </cell>
          <cell r="BB162" t="str">
            <v>Neutral</v>
          </cell>
          <cell r="BD162" t="str">
            <v>Breath weapon;Spell-like abilities;Summon mephit</v>
          </cell>
          <cell r="BF162">
            <v>7</v>
          </cell>
          <cell r="BH162" t="str">
            <v>Planar</v>
          </cell>
          <cell r="BM162" t="str">
            <v>MM</v>
          </cell>
          <cell r="BN162">
            <v>184</v>
          </cell>
          <cell r="BO162" t="str">
            <v>PlH</v>
          </cell>
          <cell r="BP162" t="b">
            <v>1</v>
          </cell>
          <cell r="BQ162" t="b">
            <v>0</v>
          </cell>
          <cell r="BR162" t="b">
            <v>0</v>
          </cell>
          <cell r="BS162">
            <v>6</v>
          </cell>
          <cell r="BT162" t="str">
            <v/>
          </cell>
          <cell r="BV162" t="b">
            <v>0</v>
          </cell>
          <cell r="BW162">
            <v>10</v>
          </cell>
          <cell r="BX162" t="str">
            <v/>
          </cell>
          <cell r="BZ162" t="b">
            <v>0</v>
          </cell>
          <cell r="CA162">
            <v>6</v>
          </cell>
          <cell r="CB162" t="str">
            <v/>
          </cell>
          <cell r="CD162" t="b">
            <v>0</v>
          </cell>
          <cell r="CE162">
            <v>6</v>
          </cell>
          <cell r="CF162" t="str">
            <v/>
          </cell>
          <cell r="CJ162" t="str">
            <v/>
          </cell>
        </row>
        <row r="163">
          <cell r="A163" t="str">
            <v>Mephit, Water</v>
          </cell>
          <cell r="C163" t="str">
            <v>Small</v>
          </cell>
          <cell r="D163" t="str">
            <v>Outsider</v>
          </cell>
          <cell r="F163">
            <v>3</v>
          </cell>
          <cell r="G163">
            <v>30</v>
          </cell>
          <cell r="J163">
            <v>40</v>
          </cell>
          <cell r="K163" t="str">
            <v>average</v>
          </cell>
          <cell r="L163">
            <v>30</v>
          </cell>
          <cell r="M163">
            <v>5</v>
          </cell>
          <cell r="N163" t="str">
            <v>2 claws;</v>
          </cell>
          <cell r="O163" t="str">
            <v>1d3;</v>
          </cell>
          <cell r="T163">
            <v>60</v>
          </cell>
          <cell r="Y163" t="str">
            <v>5/magic</v>
          </cell>
          <cell r="Z163">
            <v>2</v>
          </cell>
          <cell r="AA163">
            <v>14</v>
          </cell>
          <cell r="AB163">
            <v>10</v>
          </cell>
          <cell r="AC163">
            <v>13</v>
          </cell>
          <cell r="AD163">
            <v>6</v>
          </cell>
          <cell r="AE163">
            <v>11</v>
          </cell>
          <cell r="AF163">
            <v>15</v>
          </cell>
          <cell r="AG163" t="str">
            <v>0;0</v>
          </cell>
          <cell r="AH163" t="str">
            <v>6;0</v>
          </cell>
          <cell r="AI163" t="str">
            <v>0;0</v>
          </cell>
          <cell r="AJ163" t="str">
            <v>2;0</v>
          </cell>
          <cell r="AK163" t="str">
            <v>0;0</v>
          </cell>
          <cell r="AL163" t="str">
            <v>6;4</v>
          </cell>
          <cell r="AN163" t="str">
            <v>2;0</v>
          </cell>
          <cell r="AO163" t="str">
            <v>0;0</v>
          </cell>
          <cell r="AP163" t="str">
            <v>6;0</v>
          </cell>
          <cell r="AQ163" t="str">
            <v>6;0</v>
          </cell>
          <cell r="AR163" t="str">
            <v>0;0</v>
          </cell>
          <cell r="AS163" t="str">
            <v>0;0</v>
          </cell>
          <cell r="AT163" t="str">
            <v>0;0</v>
          </cell>
          <cell r="AU163" t="str">
            <v>6;0</v>
          </cell>
          <cell r="AV163" t="str">
            <v>0;0</v>
          </cell>
          <cell r="AW163" t="str">
            <v>0;8</v>
          </cell>
          <cell r="AX163" t="str">
            <v>Power Attack;Toughness;</v>
          </cell>
          <cell r="BB163" t="str">
            <v>Neutral</v>
          </cell>
          <cell r="BD163" t="str">
            <v>Breath weapon;Spell-like abilities;Summon mephit</v>
          </cell>
          <cell r="BF163">
            <v>7</v>
          </cell>
          <cell r="BH163" t="str">
            <v>Planar</v>
          </cell>
          <cell r="BM163" t="str">
            <v>MM</v>
          </cell>
          <cell r="BN163">
            <v>185</v>
          </cell>
          <cell r="BO163" t="str">
            <v>PlH</v>
          </cell>
          <cell r="BP163" t="b">
            <v>1</v>
          </cell>
          <cell r="BQ163" t="b">
            <v>0</v>
          </cell>
          <cell r="BR163" t="b">
            <v>0</v>
          </cell>
          <cell r="BS163">
            <v>6</v>
          </cell>
          <cell r="BT163" t="str">
            <v/>
          </cell>
          <cell r="BV163" t="b">
            <v>0</v>
          </cell>
          <cell r="BW163">
            <v>10</v>
          </cell>
          <cell r="BX163" t="str">
            <v/>
          </cell>
          <cell r="BZ163" t="b">
            <v>0</v>
          </cell>
          <cell r="CA163">
            <v>6</v>
          </cell>
          <cell r="CB163" t="str">
            <v/>
          </cell>
          <cell r="CD163" t="b">
            <v>0</v>
          </cell>
          <cell r="CE163">
            <v>6</v>
          </cell>
          <cell r="CF163" t="str">
            <v/>
          </cell>
          <cell r="CJ163" t="str">
            <v/>
          </cell>
        </row>
        <row r="164">
          <cell r="A164" t="str">
            <v>Monkey</v>
          </cell>
          <cell r="C164" t="str">
            <v>Tiny</v>
          </cell>
          <cell r="D164" t="str">
            <v>Animal</v>
          </cell>
          <cell r="F164">
            <v>1</v>
          </cell>
          <cell r="G164">
            <v>30</v>
          </cell>
          <cell r="I164">
            <v>30</v>
          </cell>
          <cell r="N164" t="str">
            <v>Bite+5+0+2</v>
          </cell>
          <cell r="S164" t="str">
            <v>normal</v>
          </cell>
          <cell r="AA164">
            <v>3</v>
          </cell>
          <cell r="AB164">
            <v>15</v>
          </cell>
          <cell r="AC164">
            <v>10</v>
          </cell>
          <cell r="BM164" t="str">
            <v>OA</v>
          </cell>
          <cell r="BP164" t="b">
            <v>0</v>
          </cell>
          <cell r="BQ164" t="b">
            <v>0</v>
          </cell>
          <cell r="BR164" t="b">
            <v>0</v>
          </cell>
          <cell r="BS164">
            <v>6</v>
          </cell>
          <cell r="BT164" t="str">
            <v/>
          </cell>
          <cell r="BV164" t="b">
            <v>0</v>
          </cell>
          <cell r="BW164">
            <v>10</v>
          </cell>
          <cell r="BX164" t="str">
            <v/>
          </cell>
          <cell r="BZ164" t="b">
            <v>0</v>
          </cell>
          <cell r="CA164">
            <v>6</v>
          </cell>
          <cell r="CB164" t="str">
            <v/>
          </cell>
          <cell r="CD164" t="b">
            <v>0</v>
          </cell>
          <cell r="CE164">
            <v>6</v>
          </cell>
          <cell r="CF164" t="str">
            <v/>
          </cell>
          <cell r="CJ164" t="str">
            <v/>
          </cell>
        </row>
        <row r="165">
          <cell r="A165" t="str">
            <v>Octopus, Giant</v>
          </cell>
          <cell r="C165" t="str">
            <v>Large</v>
          </cell>
          <cell r="D165" t="str">
            <v>Animal</v>
          </cell>
          <cell r="E165" t="str">
            <v>Aquatic</v>
          </cell>
          <cell r="F165">
            <v>8</v>
          </cell>
          <cell r="G165">
            <v>20</v>
          </cell>
          <cell r="L165">
            <v>30</v>
          </cell>
          <cell r="M165">
            <v>7</v>
          </cell>
          <cell r="N165" t="str">
            <v>8 Tentacles+3+0+1,Bite+5+0+0</v>
          </cell>
          <cell r="S165" t="str">
            <v>normal</v>
          </cell>
          <cell r="AA165">
            <v>20</v>
          </cell>
          <cell r="AB165">
            <v>15</v>
          </cell>
          <cell r="AC165">
            <v>13</v>
          </cell>
          <cell r="AD165">
            <v>2</v>
          </cell>
          <cell r="AE165">
            <v>12</v>
          </cell>
          <cell r="AF165">
            <v>3</v>
          </cell>
          <cell r="BG165">
            <v>13</v>
          </cell>
          <cell r="BM165" t="str">
            <v>MM</v>
          </cell>
          <cell r="BN165">
            <v>276</v>
          </cell>
          <cell r="BP165" t="b">
            <v>1</v>
          </cell>
          <cell r="BQ165" t="b">
            <v>0</v>
          </cell>
          <cell r="BR165" t="b">
            <v>0</v>
          </cell>
          <cell r="BS165">
            <v>6</v>
          </cell>
          <cell r="BT165" t="str">
            <v/>
          </cell>
          <cell r="BV165" t="b">
            <v>0</v>
          </cell>
          <cell r="BW165">
            <v>10</v>
          </cell>
          <cell r="BX165" t="str">
            <v/>
          </cell>
          <cell r="BZ165" t="b">
            <v>0</v>
          </cell>
          <cell r="CA165">
            <v>6</v>
          </cell>
          <cell r="CB165" t="str">
            <v/>
          </cell>
          <cell r="CD165" t="b">
            <v>0</v>
          </cell>
          <cell r="CE165">
            <v>6</v>
          </cell>
          <cell r="CF165" t="str">
            <v/>
          </cell>
          <cell r="CJ165" t="str">
            <v/>
          </cell>
        </row>
        <row r="166">
          <cell r="A166" t="str">
            <v>Osquip</v>
          </cell>
          <cell r="C166" t="str">
            <v>Small</v>
          </cell>
          <cell r="D166" t="str">
            <v>Magical Beast</v>
          </cell>
          <cell r="F166">
            <v>1</v>
          </cell>
          <cell r="G166">
            <v>40</v>
          </cell>
          <cell r="H166">
            <v>5</v>
          </cell>
          <cell r="M166">
            <v>3</v>
          </cell>
          <cell r="N166" t="str">
            <v>Bite;</v>
          </cell>
          <cell r="O166" t="str">
            <v>1d6;</v>
          </cell>
          <cell r="AA166">
            <v>14</v>
          </cell>
          <cell r="AB166">
            <v>13</v>
          </cell>
          <cell r="AC166">
            <v>19</v>
          </cell>
          <cell r="AD166">
            <v>2</v>
          </cell>
          <cell r="AE166">
            <v>12</v>
          </cell>
          <cell r="AF166">
            <v>2</v>
          </cell>
          <cell r="AG166" t="str">
            <v>0;0</v>
          </cell>
          <cell r="AH166" t="str">
            <v>0;0</v>
          </cell>
          <cell r="AI166" t="str">
            <v>1;0</v>
          </cell>
          <cell r="AJ166" t="str">
            <v>0;0</v>
          </cell>
          <cell r="AK166" t="str">
            <v>0;0</v>
          </cell>
          <cell r="AL166" t="str">
            <v>1;8</v>
          </cell>
          <cell r="AN166" t="str">
            <v>0;0</v>
          </cell>
          <cell r="AO166" t="str">
            <v>0;4</v>
          </cell>
          <cell r="AP166" t="str">
            <v>1;4</v>
          </cell>
          <cell r="AQ166" t="str">
            <v>1;4</v>
          </cell>
          <cell r="AR166" t="str">
            <v>0;0</v>
          </cell>
          <cell r="AS166" t="str">
            <v>0;0</v>
          </cell>
          <cell r="AT166" t="str">
            <v>0;0</v>
          </cell>
          <cell r="AU166" t="str">
            <v>0;-4</v>
          </cell>
          <cell r="AV166" t="str">
            <v>0;0</v>
          </cell>
          <cell r="AW166" t="str">
            <v>0;-4</v>
          </cell>
          <cell r="AX166" t="str">
            <v>Weapon Focus(bite);</v>
          </cell>
          <cell r="BB166" t="str">
            <v>Neutral Evil</v>
          </cell>
          <cell r="BD166" t="str">
            <v>Scent</v>
          </cell>
          <cell r="BF166">
            <v>5</v>
          </cell>
          <cell r="BH166" t="str">
            <v>Improved</v>
          </cell>
          <cell r="BM166" t="str">
            <v>RoF</v>
          </cell>
          <cell r="BO166" t="str">
            <v>PGtF</v>
          </cell>
          <cell r="BP166" t="b">
            <v>1</v>
          </cell>
          <cell r="BQ166" t="b">
            <v>0</v>
          </cell>
          <cell r="BR166" t="b">
            <v>0</v>
          </cell>
          <cell r="BS166">
            <v>6</v>
          </cell>
          <cell r="BT166" t="str">
            <v/>
          </cell>
          <cell r="BU166" t="b">
            <v>0</v>
          </cell>
          <cell r="BV166" t="b">
            <v>0</v>
          </cell>
          <cell r="BW166">
            <v>10</v>
          </cell>
          <cell r="BX166" t="str">
            <v/>
          </cell>
          <cell r="BZ166" t="b">
            <v>0</v>
          </cell>
          <cell r="CA166">
            <v>6</v>
          </cell>
          <cell r="CB166" t="str">
            <v/>
          </cell>
          <cell r="CD166" t="b">
            <v>0</v>
          </cell>
          <cell r="CE166">
            <v>6</v>
          </cell>
          <cell r="CF166" t="str">
            <v/>
          </cell>
          <cell r="CJ166" t="str">
            <v/>
          </cell>
        </row>
        <row r="167">
          <cell r="A167" t="str">
            <v>Owl</v>
          </cell>
          <cell r="C167" t="str">
            <v>Tiny</v>
          </cell>
          <cell r="D167" t="str">
            <v>Animal</v>
          </cell>
          <cell r="F167">
            <v>1</v>
          </cell>
          <cell r="G167">
            <v>10</v>
          </cell>
          <cell r="J167">
            <v>40</v>
          </cell>
          <cell r="K167" t="str">
            <v>average</v>
          </cell>
          <cell r="M167">
            <v>2</v>
          </cell>
          <cell r="N167" t="str">
            <v>Talons+6+0+2</v>
          </cell>
          <cell r="O167" t="str">
            <v>1d4;</v>
          </cell>
          <cell r="S167" t="str">
            <v>normal</v>
          </cell>
          <cell r="AA167">
            <v>4</v>
          </cell>
          <cell r="AB167">
            <v>17</v>
          </cell>
          <cell r="AC167">
            <v>10</v>
          </cell>
          <cell r="AD167">
            <v>2</v>
          </cell>
          <cell r="AE167">
            <v>14</v>
          </cell>
          <cell r="AF167">
            <v>4</v>
          </cell>
          <cell r="AG167" t="str">
            <v>0;0</v>
          </cell>
          <cell r="AH167" t="str">
            <v>0;0</v>
          </cell>
          <cell r="AI167" t="str">
            <v>0;0</v>
          </cell>
          <cell r="AJ167" t="str">
            <v>0;0</v>
          </cell>
          <cell r="AK167" t="str">
            <v>0;0</v>
          </cell>
          <cell r="AL167" t="str">
            <v>0;8</v>
          </cell>
          <cell r="AN167" t="str">
            <v>0;0</v>
          </cell>
          <cell r="AO167" t="str">
            <v>0;-12</v>
          </cell>
          <cell r="AP167" t="str">
            <v>4;8</v>
          </cell>
          <cell r="AQ167" t="str">
            <v>0;14</v>
          </cell>
          <cell r="AR167" t="str">
            <v>0;0</v>
          </cell>
          <cell r="AS167" t="str">
            <v>0;0</v>
          </cell>
          <cell r="AT167" t="str">
            <v>0;0</v>
          </cell>
          <cell r="AU167" t="str">
            <v>4;0</v>
          </cell>
          <cell r="AV167" t="str">
            <v>0;0</v>
          </cell>
          <cell r="AW167" t="str">
            <v>0;0</v>
          </cell>
          <cell r="AX167" t="str">
            <v>Weapon Finesse</v>
          </cell>
          <cell r="BA167">
            <v>0</v>
          </cell>
          <cell r="BB167" t="str">
            <v>Neutral</v>
          </cell>
          <cell r="BD167" t="str">
            <v>Grants +3 bonus to Spot in shadows;Gains +8 bonus to Spot in shadows</v>
          </cell>
          <cell r="BF167">
            <v>1</v>
          </cell>
          <cell r="BG167">
            <v>1</v>
          </cell>
          <cell r="BH167" t="str">
            <v>Normal</v>
          </cell>
          <cell r="BM167" t="str">
            <v>MM</v>
          </cell>
          <cell r="BN167">
            <v>277</v>
          </cell>
          <cell r="BP167" t="b">
            <v>1</v>
          </cell>
          <cell r="BQ167" t="b">
            <v>0</v>
          </cell>
          <cell r="BR167" t="b">
            <v>0</v>
          </cell>
          <cell r="BS167">
            <v>6</v>
          </cell>
          <cell r="BT167" t="str">
            <v/>
          </cell>
          <cell r="BV167" t="b">
            <v>1</v>
          </cell>
          <cell r="BW167">
            <v>11</v>
          </cell>
          <cell r="BX167" t="str">
            <v/>
          </cell>
          <cell r="BY167" t="b">
            <v>1</v>
          </cell>
          <cell r="BZ167" t="b">
            <v>0</v>
          </cell>
          <cell r="CA167">
            <v>6</v>
          </cell>
          <cell r="CB167" t="str">
            <v/>
          </cell>
          <cell r="CD167" t="b">
            <v>0</v>
          </cell>
          <cell r="CE167">
            <v>6</v>
          </cell>
          <cell r="CF167" t="str">
            <v/>
          </cell>
          <cell r="CJ167" t="str">
            <v/>
          </cell>
        </row>
        <row r="168">
          <cell r="A168" t="str">
            <v>Owl, Giant</v>
          </cell>
          <cell r="C168" t="str">
            <v>Large</v>
          </cell>
          <cell r="D168" t="str">
            <v>Magical Beast</v>
          </cell>
          <cell r="F168">
            <v>4</v>
          </cell>
          <cell r="G168">
            <v>10</v>
          </cell>
          <cell r="J168">
            <v>70</v>
          </cell>
          <cell r="K168" t="str">
            <v>average</v>
          </cell>
          <cell r="M168">
            <v>3</v>
          </cell>
          <cell r="N168" t="str">
            <v>2 Claws+4+0+1,Bite+5+0+0</v>
          </cell>
          <cell r="AA168">
            <v>18</v>
          </cell>
          <cell r="AB168">
            <v>17</v>
          </cell>
          <cell r="AC168">
            <v>12</v>
          </cell>
          <cell r="AD168">
            <v>10</v>
          </cell>
          <cell r="AE168">
            <v>14</v>
          </cell>
          <cell r="AF168">
            <v>10</v>
          </cell>
          <cell r="BG168">
            <v>7</v>
          </cell>
          <cell r="BM168" t="str">
            <v>MM</v>
          </cell>
          <cell r="BN168">
            <v>205</v>
          </cell>
          <cell r="BP168" t="b">
            <v>1</v>
          </cell>
          <cell r="BQ168" t="b">
            <v>0</v>
          </cell>
          <cell r="BR168" t="b">
            <v>0</v>
          </cell>
          <cell r="BS168">
            <v>6</v>
          </cell>
          <cell r="BT168" t="str">
            <v/>
          </cell>
          <cell r="BV168" t="b">
            <v>0</v>
          </cell>
          <cell r="BW168">
            <v>11</v>
          </cell>
          <cell r="BX168" t="str">
            <v/>
          </cell>
          <cell r="BY168" t="b">
            <v>0</v>
          </cell>
          <cell r="BZ168" t="b">
            <v>0</v>
          </cell>
          <cell r="CA168">
            <v>6</v>
          </cell>
          <cell r="CB168" t="str">
            <v/>
          </cell>
          <cell r="CC168" t="b">
            <v>0</v>
          </cell>
          <cell r="CD168" t="b">
            <v>0</v>
          </cell>
          <cell r="CE168">
            <v>6</v>
          </cell>
          <cell r="CF168" t="str">
            <v/>
          </cell>
          <cell r="CJ168" t="str">
            <v/>
          </cell>
        </row>
        <row r="169">
          <cell r="A169" t="str">
            <v>Owlbear</v>
          </cell>
          <cell r="C169" t="str">
            <v>Large</v>
          </cell>
          <cell r="D169" t="str">
            <v>Magical Beast</v>
          </cell>
          <cell r="F169">
            <v>5</v>
          </cell>
          <cell r="G169">
            <v>30</v>
          </cell>
          <cell r="M169">
            <v>5</v>
          </cell>
          <cell r="N169" t="str">
            <v>2 Claws+4+0+1,Bite+5+0+0</v>
          </cell>
          <cell r="AA169">
            <v>21</v>
          </cell>
          <cell r="AB169">
            <v>12</v>
          </cell>
          <cell r="AC169">
            <v>21</v>
          </cell>
          <cell r="AD169">
            <v>2</v>
          </cell>
          <cell r="AE169">
            <v>12</v>
          </cell>
          <cell r="AF169">
            <v>10</v>
          </cell>
          <cell r="BG169">
            <v>7</v>
          </cell>
          <cell r="BM169" t="str">
            <v>MM</v>
          </cell>
          <cell r="BN169">
            <v>206</v>
          </cell>
          <cell r="BP169" t="b">
            <v>1</v>
          </cell>
          <cell r="BQ169" t="b">
            <v>0</v>
          </cell>
          <cell r="BR169" t="b">
            <v>0</v>
          </cell>
          <cell r="BS169">
            <v>6</v>
          </cell>
          <cell r="BT169" t="str">
            <v/>
          </cell>
          <cell r="BV169" t="b">
            <v>0</v>
          </cell>
          <cell r="BW169">
            <v>11</v>
          </cell>
          <cell r="BX169" t="str">
            <v/>
          </cell>
          <cell r="BY169" t="b">
            <v>0</v>
          </cell>
          <cell r="BZ169" t="b">
            <v>0</v>
          </cell>
          <cell r="CA169">
            <v>6</v>
          </cell>
          <cell r="CB169" t="str">
            <v/>
          </cell>
          <cell r="CD169" t="b">
            <v>0</v>
          </cell>
          <cell r="CE169">
            <v>6</v>
          </cell>
          <cell r="CF169" t="str">
            <v/>
          </cell>
          <cell r="CJ169" t="str">
            <v/>
          </cell>
        </row>
        <row r="170">
          <cell r="A170" t="str">
            <v>Pegasus</v>
          </cell>
          <cell r="C170" t="str">
            <v>Large</v>
          </cell>
          <cell r="D170" t="str">
            <v>Magical Beast</v>
          </cell>
          <cell r="F170">
            <v>4</v>
          </cell>
          <cell r="G170">
            <v>60</v>
          </cell>
          <cell r="J170">
            <v>120</v>
          </cell>
          <cell r="K170" t="str">
            <v>average</v>
          </cell>
          <cell r="M170">
            <v>3</v>
          </cell>
          <cell r="N170" t="str">
            <v>2 Hooves+4+0+1,Bite+2+0+0</v>
          </cell>
          <cell r="Q170" t="str">
            <v>Detect Good, Detect Evil (at will)</v>
          </cell>
          <cell r="S170" t="str">
            <v>normal</v>
          </cell>
          <cell r="T170">
            <v>60</v>
          </cell>
          <cell r="AA170">
            <v>18</v>
          </cell>
          <cell r="AB170">
            <v>15</v>
          </cell>
          <cell r="AC170">
            <v>16</v>
          </cell>
          <cell r="AD170">
            <v>10</v>
          </cell>
          <cell r="AE170">
            <v>13</v>
          </cell>
          <cell r="AF170">
            <v>13</v>
          </cell>
          <cell r="BG170">
            <v>7</v>
          </cell>
          <cell r="BM170" t="str">
            <v>MM</v>
          </cell>
          <cell r="BN170">
            <v>206</v>
          </cell>
          <cell r="BP170" t="b">
            <v>1</v>
          </cell>
          <cell r="BQ170" t="b">
            <v>0</v>
          </cell>
          <cell r="BR170" t="b">
            <v>0</v>
          </cell>
          <cell r="BS170">
            <v>6</v>
          </cell>
          <cell r="BT170" t="str">
            <v/>
          </cell>
          <cell r="BV170" t="b">
            <v>0</v>
          </cell>
          <cell r="BW170">
            <v>11</v>
          </cell>
          <cell r="BX170" t="str">
            <v/>
          </cell>
          <cell r="BY170" t="b">
            <v>0</v>
          </cell>
          <cell r="BZ170" t="b">
            <v>0</v>
          </cell>
          <cell r="CA170">
            <v>6</v>
          </cell>
          <cell r="CB170" t="str">
            <v/>
          </cell>
          <cell r="CC170" t="b">
            <v>0</v>
          </cell>
          <cell r="CD170" t="b">
            <v>0</v>
          </cell>
          <cell r="CE170">
            <v>6</v>
          </cell>
          <cell r="CF170" t="str">
            <v/>
          </cell>
          <cell r="CJ170" t="str">
            <v/>
          </cell>
        </row>
        <row r="171">
          <cell r="A171" t="str">
            <v>Pony</v>
          </cell>
          <cell r="C171" t="str">
            <v>Medium</v>
          </cell>
          <cell r="D171" t="str">
            <v>Animal</v>
          </cell>
          <cell r="F171">
            <v>2</v>
          </cell>
          <cell r="G171">
            <v>40</v>
          </cell>
          <cell r="M171">
            <v>2</v>
          </cell>
          <cell r="N171" t="str">
            <v>2 Hooves+3+0+1</v>
          </cell>
          <cell r="S171" t="str">
            <v>normal</v>
          </cell>
          <cell r="AA171">
            <v>13</v>
          </cell>
          <cell r="AB171">
            <v>13</v>
          </cell>
          <cell r="AC171">
            <v>12</v>
          </cell>
          <cell r="AD171">
            <v>2</v>
          </cell>
          <cell r="AE171">
            <v>11</v>
          </cell>
          <cell r="AF171">
            <v>4</v>
          </cell>
          <cell r="BG171">
            <v>1</v>
          </cell>
          <cell r="BM171" t="str">
            <v>MM</v>
          </cell>
          <cell r="BN171">
            <v>277</v>
          </cell>
          <cell r="BP171" t="b">
            <v>1</v>
          </cell>
          <cell r="BQ171" t="b">
            <v>0</v>
          </cell>
          <cell r="BR171" t="b">
            <v>0</v>
          </cell>
          <cell r="BS171">
            <v>6</v>
          </cell>
          <cell r="BT171" t="str">
            <v/>
          </cell>
          <cell r="BV171" t="b">
            <v>0</v>
          </cell>
          <cell r="BW171">
            <v>11</v>
          </cell>
          <cell r="BX171" t="str">
            <v/>
          </cell>
          <cell r="BY171" t="b">
            <v>1</v>
          </cell>
          <cell r="BZ171" t="b">
            <v>0</v>
          </cell>
          <cell r="CA171">
            <v>6</v>
          </cell>
          <cell r="CB171" t="str">
            <v/>
          </cell>
          <cell r="CD171" t="b">
            <v>0</v>
          </cell>
          <cell r="CE171">
            <v>6</v>
          </cell>
          <cell r="CF171" t="str">
            <v/>
          </cell>
          <cell r="CJ171" t="str">
            <v/>
          </cell>
        </row>
        <row r="172">
          <cell r="A172" t="str">
            <v>Porpoise</v>
          </cell>
          <cell r="C172" t="str">
            <v>Medium</v>
          </cell>
          <cell r="D172" t="str">
            <v>Animal</v>
          </cell>
          <cell r="F172">
            <v>2</v>
          </cell>
          <cell r="L172">
            <v>80</v>
          </cell>
          <cell r="M172">
            <v>2</v>
          </cell>
          <cell r="N172" t="str">
            <v>Slam+9+0+2</v>
          </cell>
          <cell r="S172" t="str">
            <v>normal</v>
          </cell>
          <cell r="AA172">
            <v>11</v>
          </cell>
          <cell r="AB172">
            <v>17</v>
          </cell>
          <cell r="AC172">
            <v>13</v>
          </cell>
          <cell r="AD172">
            <v>3</v>
          </cell>
          <cell r="AE172">
            <v>12</v>
          </cell>
          <cell r="AF172">
            <v>6</v>
          </cell>
          <cell r="BG172">
            <v>1</v>
          </cell>
          <cell r="BM172" t="str">
            <v>MM</v>
          </cell>
          <cell r="BN172">
            <v>278</v>
          </cell>
          <cell r="BP172" t="b">
            <v>1</v>
          </cell>
          <cell r="BQ172" t="b">
            <v>0</v>
          </cell>
          <cell r="BR172" t="b">
            <v>0</v>
          </cell>
          <cell r="BS172">
            <v>6</v>
          </cell>
          <cell r="BT172" t="str">
            <v/>
          </cell>
          <cell r="BV172" t="b">
            <v>0</v>
          </cell>
          <cell r="BW172">
            <v>11</v>
          </cell>
          <cell r="BX172" t="str">
            <v/>
          </cell>
          <cell r="BY172" t="b">
            <v>1</v>
          </cell>
          <cell r="BZ172" t="b">
            <v>0</v>
          </cell>
          <cell r="CA172">
            <v>6</v>
          </cell>
          <cell r="CB172" t="str">
            <v/>
          </cell>
          <cell r="CD172" t="b">
            <v>0</v>
          </cell>
          <cell r="CE172">
            <v>6</v>
          </cell>
          <cell r="CF172" t="str">
            <v/>
          </cell>
          <cell r="CJ172" t="str">
            <v/>
          </cell>
        </row>
        <row r="173">
          <cell r="A173" t="str">
            <v>Pseudodragon</v>
          </cell>
          <cell r="C173" t="str">
            <v>Tiny</v>
          </cell>
          <cell r="D173" t="str">
            <v>Dragon</v>
          </cell>
          <cell r="F173">
            <v>2</v>
          </cell>
          <cell r="G173">
            <v>15</v>
          </cell>
          <cell r="J173">
            <v>60</v>
          </cell>
          <cell r="K173" t="str">
            <v>good</v>
          </cell>
          <cell r="M173">
            <v>4</v>
          </cell>
          <cell r="N173" t="str">
            <v>Sting;Bite;</v>
          </cell>
          <cell r="O173" t="str">
            <v>1d3;1;</v>
          </cell>
          <cell r="S173" t="str">
            <v>normal</v>
          </cell>
          <cell r="T173">
            <v>60</v>
          </cell>
          <cell r="U173" t="str">
            <v>sleep,paralysis</v>
          </cell>
          <cell r="X173">
            <v>19</v>
          </cell>
          <cell r="AA173">
            <v>6</v>
          </cell>
          <cell r="AB173">
            <v>15</v>
          </cell>
          <cell r="AC173">
            <v>13</v>
          </cell>
          <cell r="AD173">
            <v>10</v>
          </cell>
          <cell r="AE173">
            <v>12</v>
          </cell>
          <cell r="AF173">
            <v>10</v>
          </cell>
          <cell r="AG173" t="str">
            <v>0;0</v>
          </cell>
          <cell r="AH173" t="str">
            <v>0;0</v>
          </cell>
          <cell r="AI173" t="str">
            <v>0;0</v>
          </cell>
          <cell r="AJ173" t="str">
            <v>2;0</v>
          </cell>
          <cell r="AK173" t="str">
            <v>0;0</v>
          </cell>
          <cell r="AL173" t="str">
            <v>6;12</v>
          </cell>
          <cell r="AN173" t="str">
            <v>0;0</v>
          </cell>
          <cell r="AO173" t="str">
            <v>0;-6</v>
          </cell>
          <cell r="AP173" t="str">
            <v>6;0</v>
          </cell>
          <cell r="AQ173" t="str">
            <v>0;0</v>
          </cell>
          <cell r="AR173" t="str">
            <v>6;0</v>
          </cell>
          <cell r="AS173" t="str">
            <v>6;0</v>
          </cell>
          <cell r="AT173" t="str">
            <v>0;0</v>
          </cell>
          <cell r="AU173" t="str">
            <v>6;0</v>
          </cell>
          <cell r="AV173" t="str">
            <v>0;0</v>
          </cell>
          <cell r="AW173" t="str">
            <v>0;0</v>
          </cell>
          <cell r="AX173" t="str">
            <v>Weapon Finesse;Alertness;</v>
          </cell>
          <cell r="BB173" t="str">
            <v>Neutral Good</v>
          </cell>
          <cell r="BD173" t="str">
            <v>Poison;Blindsense 60 ft.;Telepathy 60 ft.</v>
          </cell>
          <cell r="BF173">
            <v>7</v>
          </cell>
          <cell r="BH173" t="str">
            <v>Improved</v>
          </cell>
          <cell r="BM173" t="str">
            <v>MM</v>
          </cell>
          <cell r="BN173">
            <v>210</v>
          </cell>
          <cell r="BO173" t="str">
            <v>PlH</v>
          </cell>
          <cell r="BP173" t="b">
            <v>1</v>
          </cell>
          <cell r="BQ173" t="b">
            <v>0</v>
          </cell>
          <cell r="BR173" t="b">
            <v>0</v>
          </cell>
          <cell r="BS173">
            <v>6</v>
          </cell>
          <cell r="BT173" t="str">
            <v/>
          </cell>
          <cell r="BU173" t="b">
            <v>1</v>
          </cell>
          <cell r="BV173" t="b">
            <v>0</v>
          </cell>
          <cell r="BW173">
            <v>11</v>
          </cell>
          <cell r="BX173" t="str">
            <v/>
          </cell>
          <cell r="BZ173" t="b">
            <v>0</v>
          </cell>
          <cell r="CA173">
            <v>6</v>
          </cell>
          <cell r="CB173" t="str">
            <v/>
          </cell>
          <cell r="CD173" t="b">
            <v>0</v>
          </cell>
          <cell r="CE173">
            <v>6</v>
          </cell>
          <cell r="CF173" t="str">
            <v/>
          </cell>
          <cell r="CJ173" t="str">
            <v/>
          </cell>
        </row>
        <row r="174">
          <cell r="A174" t="str">
            <v>Quasit</v>
          </cell>
          <cell r="C174" t="str">
            <v>Tiny</v>
          </cell>
          <cell r="D174" t="str">
            <v>Outsider</v>
          </cell>
          <cell r="F174">
            <v>3</v>
          </cell>
          <cell r="G174">
            <v>20</v>
          </cell>
          <cell r="J174">
            <v>50</v>
          </cell>
          <cell r="K174" t="str">
            <v>perfect</v>
          </cell>
          <cell r="M174">
            <v>3</v>
          </cell>
          <cell r="N174" t="str">
            <v>2 claws;bite;</v>
          </cell>
          <cell r="O174" t="str">
            <v>1d3;1d4;</v>
          </cell>
          <cell r="T174">
            <v>60</v>
          </cell>
          <cell r="U174" t="str">
            <v>poison</v>
          </cell>
          <cell r="W174" t="str">
            <v>fire 10</v>
          </cell>
          <cell r="Y174" t="str">
            <v>5/cold iron or good</v>
          </cell>
          <cell r="Z174">
            <v>2</v>
          </cell>
          <cell r="AA174">
            <v>8</v>
          </cell>
          <cell r="AB174">
            <v>17</v>
          </cell>
          <cell r="AC174">
            <v>10</v>
          </cell>
          <cell r="AD174">
            <v>10</v>
          </cell>
          <cell r="AE174">
            <v>12</v>
          </cell>
          <cell r="AF174">
            <v>10</v>
          </cell>
          <cell r="AG174" t="str">
            <v>0;0</v>
          </cell>
          <cell r="AH174" t="str">
            <v>6;0</v>
          </cell>
          <cell r="AI174" t="str">
            <v>0;0</v>
          </cell>
          <cell r="AJ174" t="str">
            <v>2;0</v>
          </cell>
          <cell r="AK174" t="str">
            <v>0;0</v>
          </cell>
          <cell r="AL174" t="str">
            <v>6;8</v>
          </cell>
          <cell r="AN174" t="str">
            <v>2;0</v>
          </cell>
          <cell r="AO174" t="str">
            <v>0;-6</v>
          </cell>
          <cell r="AP174" t="str">
            <v>6;0</v>
          </cell>
          <cell r="AQ174" t="str">
            <v>6;0</v>
          </cell>
          <cell r="AR174" t="str">
            <v>6;0</v>
          </cell>
          <cell r="AS174" t="str">
            <v>0;0</v>
          </cell>
          <cell r="AT174" t="str">
            <v>6;0</v>
          </cell>
          <cell r="AU174" t="str">
            <v>5;0</v>
          </cell>
          <cell r="AV174" t="str">
            <v>0;0</v>
          </cell>
          <cell r="AW174" t="str">
            <v>0;0</v>
          </cell>
          <cell r="AX174" t="str">
            <v>Improved Initiative;Weapon Finesse;</v>
          </cell>
          <cell r="BB174" t="str">
            <v>Chaotic Evil</v>
          </cell>
          <cell r="BD174" t="str">
            <v>Poison;Spell-like abilities;Alternate form</v>
          </cell>
          <cell r="BF174">
            <v>7</v>
          </cell>
          <cell r="BH174" t="str">
            <v>Improved, Planar</v>
          </cell>
          <cell r="BM174" t="str">
            <v>MM</v>
          </cell>
          <cell r="BN174">
            <v>46</v>
          </cell>
          <cell r="BP174" t="b">
            <v>1</v>
          </cell>
          <cell r="BQ174" t="b">
            <v>0</v>
          </cell>
          <cell r="BR174" t="b">
            <v>0</v>
          </cell>
          <cell r="BS174">
            <v>6</v>
          </cell>
          <cell r="BT174" t="str">
            <v/>
          </cell>
          <cell r="BU174" t="b">
            <v>0</v>
          </cell>
          <cell r="BV174" t="b">
            <v>0</v>
          </cell>
          <cell r="BW174">
            <v>11</v>
          </cell>
          <cell r="BX174" t="str">
            <v/>
          </cell>
          <cell r="BZ174" t="b">
            <v>0</v>
          </cell>
          <cell r="CA174">
            <v>6</v>
          </cell>
          <cell r="CB174" t="str">
            <v/>
          </cell>
          <cell r="CD174" t="b">
            <v>0</v>
          </cell>
          <cell r="CE174">
            <v>6</v>
          </cell>
          <cell r="CF174" t="str">
            <v/>
          </cell>
          <cell r="CJ174" t="str">
            <v/>
          </cell>
        </row>
        <row r="175">
          <cell r="A175" t="str">
            <v>Racoon Dog</v>
          </cell>
          <cell r="C175" t="str">
            <v>Small</v>
          </cell>
          <cell r="D175" t="str">
            <v>Animal</v>
          </cell>
          <cell r="F175">
            <v>1</v>
          </cell>
          <cell r="G175">
            <v>30</v>
          </cell>
          <cell r="N175" t="str">
            <v>Bite+5+0+2</v>
          </cell>
          <cell r="S175" t="str">
            <v>normal</v>
          </cell>
          <cell r="AA175">
            <v>12</v>
          </cell>
          <cell r="AB175">
            <v>13</v>
          </cell>
          <cell r="AC175">
            <v>12</v>
          </cell>
          <cell r="BM175" t="str">
            <v>OA</v>
          </cell>
          <cell r="BP175" t="b">
            <v>0</v>
          </cell>
          <cell r="BQ175" t="b">
            <v>0</v>
          </cell>
          <cell r="BR175" t="b">
            <v>0</v>
          </cell>
          <cell r="BS175">
            <v>6</v>
          </cell>
          <cell r="BT175" t="str">
            <v/>
          </cell>
          <cell r="BV175" t="b">
            <v>0</v>
          </cell>
          <cell r="BW175">
            <v>11</v>
          </cell>
          <cell r="BX175" t="str">
            <v/>
          </cell>
          <cell r="BZ175" t="b">
            <v>0</v>
          </cell>
          <cell r="CA175">
            <v>6</v>
          </cell>
          <cell r="CB175" t="str">
            <v/>
          </cell>
          <cell r="CD175" t="b">
            <v>0</v>
          </cell>
          <cell r="CE175">
            <v>6</v>
          </cell>
          <cell r="CF175" t="str">
            <v/>
          </cell>
          <cell r="CJ175" t="str">
            <v/>
          </cell>
        </row>
        <row r="176">
          <cell r="A176" t="str">
            <v>Ram</v>
          </cell>
          <cell r="C176" t="str">
            <v>Medium</v>
          </cell>
          <cell r="D176" t="str">
            <v>Animal</v>
          </cell>
          <cell r="N176" t="str">
            <v/>
          </cell>
          <cell r="BG176">
            <v>1</v>
          </cell>
          <cell r="BM176" t="str">
            <v>PGtA</v>
          </cell>
          <cell r="BP176" t="b">
            <v>0</v>
          </cell>
          <cell r="BQ176" t="b">
            <v>0</v>
          </cell>
          <cell r="BR176" t="b">
            <v>0</v>
          </cell>
          <cell r="BS176">
            <v>6</v>
          </cell>
          <cell r="BT176" t="str">
            <v/>
          </cell>
          <cell r="BV176" t="b">
            <v>0</v>
          </cell>
          <cell r="BW176">
            <v>11</v>
          </cell>
          <cell r="BX176" t="str">
            <v/>
          </cell>
          <cell r="BZ176" t="b">
            <v>0</v>
          </cell>
          <cell r="CA176">
            <v>6</v>
          </cell>
          <cell r="CB176" t="str">
            <v/>
          </cell>
          <cell r="CD176" t="b">
            <v>0</v>
          </cell>
          <cell r="CE176">
            <v>6</v>
          </cell>
          <cell r="CF176" t="str">
            <v/>
          </cell>
          <cell r="CJ176" t="str">
            <v/>
          </cell>
        </row>
        <row r="177">
          <cell r="A177" t="str">
            <v>Rat</v>
          </cell>
          <cell r="C177" t="str">
            <v>Tiny</v>
          </cell>
          <cell r="D177" t="str">
            <v>Animal</v>
          </cell>
          <cell r="F177">
            <v>0.125</v>
          </cell>
          <cell r="G177">
            <v>15</v>
          </cell>
          <cell r="I177">
            <v>15</v>
          </cell>
          <cell r="L177">
            <v>15</v>
          </cell>
          <cell r="M177">
            <v>0</v>
          </cell>
          <cell r="N177" t="str">
            <v>Bite+5+0+2</v>
          </cell>
          <cell r="O177" t="str">
            <v>1d3;</v>
          </cell>
          <cell r="S177" t="str">
            <v>normal</v>
          </cell>
          <cell r="AA177">
            <v>2</v>
          </cell>
          <cell r="AB177">
            <v>15</v>
          </cell>
          <cell r="AC177">
            <v>10</v>
          </cell>
          <cell r="AD177">
            <v>2</v>
          </cell>
          <cell r="AE177">
            <v>12</v>
          </cell>
          <cell r="AF177">
            <v>2</v>
          </cell>
          <cell r="AG177" t="str">
            <v>0;8</v>
          </cell>
          <cell r="AH177" t="str">
            <v>0;0</v>
          </cell>
          <cell r="AI177" t="str">
            <v>2;8</v>
          </cell>
          <cell r="AJ177" t="str">
            <v>0;0</v>
          </cell>
          <cell r="AK177" t="str">
            <v>0;0</v>
          </cell>
          <cell r="AL177" t="str">
            <v>0;12</v>
          </cell>
          <cell r="AN177" t="str">
            <v>0;0</v>
          </cell>
          <cell r="AO177" t="str">
            <v>0;-6</v>
          </cell>
          <cell r="AP177" t="str">
            <v>0;0</v>
          </cell>
          <cell r="AQ177" t="str">
            <v>4;4</v>
          </cell>
          <cell r="AR177" t="str">
            <v>0;0</v>
          </cell>
          <cell r="AS177" t="str">
            <v>0;0</v>
          </cell>
          <cell r="AT177" t="str">
            <v>0;0</v>
          </cell>
          <cell r="AU177" t="str">
            <v>0;0</v>
          </cell>
          <cell r="AV177" t="str">
            <v>0;0</v>
          </cell>
          <cell r="AW177" t="str">
            <v>0;8</v>
          </cell>
          <cell r="AX177" t="str">
            <v>Weapon Finesse</v>
          </cell>
          <cell r="BA177">
            <v>0</v>
          </cell>
          <cell r="BB177" t="str">
            <v>Neutral</v>
          </cell>
          <cell r="BD177" t="str">
            <v>Scent</v>
          </cell>
          <cell r="BF177">
            <v>1</v>
          </cell>
          <cell r="BH177" t="str">
            <v>Normal</v>
          </cell>
          <cell r="BM177" t="str">
            <v>MM</v>
          </cell>
          <cell r="BN177">
            <v>278</v>
          </cell>
          <cell r="BP177" t="b">
            <v>1</v>
          </cell>
          <cell r="BQ177" t="b">
            <v>0</v>
          </cell>
          <cell r="BR177" t="b">
            <v>0</v>
          </cell>
          <cell r="BS177">
            <v>6</v>
          </cell>
          <cell r="BT177" t="str">
            <v/>
          </cell>
          <cell r="BV177" t="b">
            <v>1</v>
          </cell>
          <cell r="BW177">
            <v>12</v>
          </cell>
          <cell r="BX177" t="str">
            <v/>
          </cell>
          <cell r="BZ177" t="b">
            <v>0</v>
          </cell>
          <cell r="CA177">
            <v>6</v>
          </cell>
          <cell r="CB177" t="str">
            <v/>
          </cell>
          <cell r="CD177" t="b">
            <v>0</v>
          </cell>
          <cell r="CE177">
            <v>6</v>
          </cell>
          <cell r="CF177" t="str">
            <v/>
          </cell>
          <cell r="CJ177" t="str">
            <v/>
          </cell>
        </row>
        <row r="178">
          <cell r="A178" t="str">
            <v>Raven</v>
          </cell>
          <cell r="C178" t="str">
            <v>Tiny</v>
          </cell>
          <cell r="D178" t="str">
            <v>Animal</v>
          </cell>
          <cell r="F178">
            <v>0.25</v>
          </cell>
          <cell r="G178">
            <v>10</v>
          </cell>
          <cell r="J178">
            <v>40</v>
          </cell>
          <cell r="K178" t="str">
            <v>avg</v>
          </cell>
          <cell r="M178">
            <v>0</v>
          </cell>
          <cell r="N178" t="str">
            <v>Claws+4+0+2</v>
          </cell>
          <cell r="O178" t="str">
            <v>1d2;</v>
          </cell>
          <cell r="S178" t="str">
            <v>normal</v>
          </cell>
          <cell r="AA178">
            <v>1</v>
          </cell>
          <cell r="AB178">
            <v>15</v>
          </cell>
          <cell r="AC178">
            <v>10</v>
          </cell>
          <cell r="AD178">
            <v>2</v>
          </cell>
          <cell r="AE178">
            <v>14</v>
          </cell>
          <cell r="AF178">
            <v>6</v>
          </cell>
          <cell r="AG178" t="str">
            <v>0;0</v>
          </cell>
          <cell r="AH178" t="str">
            <v>0;0</v>
          </cell>
          <cell r="AI178" t="str">
            <v>0;0</v>
          </cell>
          <cell r="AJ178" t="str">
            <v>0;0</v>
          </cell>
          <cell r="AK178" t="str">
            <v>0;0</v>
          </cell>
          <cell r="AL178" t="str">
            <v>0;8</v>
          </cell>
          <cell r="AN178" t="str">
            <v>0;0</v>
          </cell>
          <cell r="AO178" t="str">
            <v>0;-12</v>
          </cell>
          <cell r="AP178" t="str">
            <v>1;0</v>
          </cell>
          <cell r="AQ178" t="str">
            <v>0;0</v>
          </cell>
          <cell r="AR178" t="str">
            <v>0;0</v>
          </cell>
          <cell r="AS178" t="str">
            <v>0;0</v>
          </cell>
          <cell r="AT178" t="str">
            <v>0;0</v>
          </cell>
          <cell r="AU178" t="str">
            <v>3;0</v>
          </cell>
          <cell r="AV178" t="str">
            <v>0;0</v>
          </cell>
          <cell r="AW178" t="str">
            <v>0;0</v>
          </cell>
          <cell r="AX178" t="str">
            <v>Weapon Finesse</v>
          </cell>
          <cell r="BA178">
            <v>0</v>
          </cell>
          <cell r="BB178" t="str">
            <v>Neutral</v>
          </cell>
          <cell r="BF178">
            <v>1</v>
          </cell>
          <cell r="BH178" t="str">
            <v>Normal</v>
          </cell>
          <cell r="BM178" t="str">
            <v>MM</v>
          </cell>
          <cell r="BN178">
            <v>278</v>
          </cell>
          <cell r="BP178" t="b">
            <v>1</v>
          </cell>
          <cell r="BQ178" t="b">
            <v>0</v>
          </cell>
          <cell r="BR178" t="b">
            <v>0</v>
          </cell>
          <cell r="BS178">
            <v>6</v>
          </cell>
          <cell r="BT178" t="str">
            <v/>
          </cell>
          <cell r="BV178" t="b">
            <v>1</v>
          </cell>
          <cell r="BW178">
            <v>13</v>
          </cell>
          <cell r="BX178" t="str">
            <v/>
          </cell>
          <cell r="BZ178" t="b">
            <v>0</v>
          </cell>
          <cell r="CA178">
            <v>6</v>
          </cell>
          <cell r="CB178" t="str">
            <v/>
          </cell>
          <cell r="CD178" t="b">
            <v>0</v>
          </cell>
          <cell r="CE178">
            <v>6</v>
          </cell>
          <cell r="CF178" t="str">
            <v/>
          </cell>
          <cell r="CJ178" t="str">
            <v/>
          </cell>
        </row>
        <row r="179">
          <cell r="A179" t="str">
            <v>Remorhaz</v>
          </cell>
          <cell r="D179" t="str">
            <v>Magical Beast</v>
          </cell>
          <cell r="N179" t="str">
            <v/>
          </cell>
          <cell r="BG179">
            <v>13</v>
          </cell>
          <cell r="BM179" t="str">
            <v>MM</v>
          </cell>
          <cell r="BN179">
            <v>214</v>
          </cell>
          <cell r="BP179" t="b">
            <v>1</v>
          </cell>
          <cell r="BQ179" t="b">
            <v>0</v>
          </cell>
          <cell r="BR179" t="b">
            <v>0</v>
          </cell>
          <cell r="BS179">
            <v>6</v>
          </cell>
          <cell r="BT179" t="str">
            <v/>
          </cell>
          <cell r="BV179" t="b">
            <v>0</v>
          </cell>
          <cell r="BW179">
            <v>13</v>
          </cell>
          <cell r="BX179" t="str">
            <v/>
          </cell>
          <cell r="BY179" t="b">
            <v>0</v>
          </cell>
          <cell r="BZ179" t="b">
            <v>0</v>
          </cell>
          <cell r="CA179">
            <v>6</v>
          </cell>
          <cell r="CB179" t="str">
            <v/>
          </cell>
          <cell r="CD179" t="b">
            <v>0</v>
          </cell>
          <cell r="CE179">
            <v>6</v>
          </cell>
          <cell r="CF179" t="str">
            <v/>
          </cell>
          <cell r="CJ179" t="str">
            <v/>
          </cell>
        </row>
        <row r="180">
          <cell r="A180" t="str">
            <v>Rhinoceros</v>
          </cell>
          <cell r="C180" t="str">
            <v>Large</v>
          </cell>
          <cell r="D180" t="str">
            <v>Animal</v>
          </cell>
          <cell r="F180">
            <v>8</v>
          </cell>
          <cell r="G180">
            <v>30</v>
          </cell>
          <cell r="M180">
            <v>7</v>
          </cell>
          <cell r="N180" t="str">
            <v>Gore+6+0+2</v>
          </cell>
          <cell r="S180" t="str">
            <v>normal</v>
          </cell>
          <cell r="AA180">
            <v>26</v>
          </cell>
          <cell r="AB180">
            <v>10</v>
          </cell>
          <cell r="AC180">
            <v>21</v>
          </cell>
          <cell r="AD180">
            <v>2</v>
          </cell>
          <cell r="AE180">
            <v>13</v>
          </cell>
          <cell r="AF180">
            <v>2</v>
          </cell>
          <cell r="BG180">
            <v>7</v>
          </cell>
          <cell r="BM180" t="str">
            <v>MM</v>
          </cell>
          <cell r="BN180">
            <v>278</v>
          </cell>
          <cell r="BP180" t="b">
            <v>1</v>
          </cell>
          <cell r="BQ180" t="b">
            <v>0</v>
          </cell>
          <cell r="BR180" t="b">
            <v>0</v>
          </cell>
          <cell r="BS180">
            <v>6</v>
          </cell>
          <cell r="BT180" t="str">
            <v/>
          </cell>
          <cell r="BV180" t="b">
            <v>0</v>
          </cell>
          <cell r="BW180">
            <v>13</v>
          </cell>
          <cell r="BX180" t="str">
            <v/>
          </cell>
          <cell r="BY180" t="b">
            <v>1</v>
          </cell>
          <cell r="BZ180" t="b">
            <v>0</v>
          </cell>
          <cell r="CA180">
            <v>6</v>
          </cell>
          <cell r="CB180" t="str">
            <v/>
          </cell>
          <cell r="CD180" t="b">
            <v>0</v>
          </cell>
          <cell r="CE180">
            <v>6</v>
          </cell>
          <cell r="CF180" t="str">
            <v/>
          </cell>
          <cell r="CJ180" t="str">
            <v/>
          </cell>
        </row>
        <row r="181">
          <cell r="A181" t="str">
            <v>Sailsnake</v>
          </cell>
          <cell r="C181" t="str">
            <v>Medium</v>
          </cell>
          <cell r="D181" t="str">
            <v>Magical Beast</v>
          </cell>
          <cell r="F181">
            <v>3</v>
          </cell>
          <cell r="G181">
            <v>20</v>
          </cell>
          <cell r="J181">
            <v>30</v>
          </cell>
          <cell r="K181" t="str">
            <v>poor</v>
          </cell>
          <cell r="M181">
            <v>2</v>
          </cell>
          <cell r="N181" t="str">
            <v>Bite;</v>
          </cell>
          <cell r="O181" t="str">
            <v>1d8;</v>
          </cell>
          <cell r="S181" t="str">
            <v>normal</v>
          </cell>
          <cell r="AA181">
            <v>14</v>
          </cell>
          <cell r="AB181">
            <v>17</v>
          </cell>
          <cell r="AC181">
            <v>15</v>
          </cell>
          <cell r="AD181">
            <v>1</v>
          </cell>
          <cell r="AE181">
            <v>12</v>
          </cell>
          <cell r="AF181">
            <v>10</v>
          </cell>
          <cell r="AG181" t="str">
            <v>3;8</v>
          </cell>
          <cell r="AH181" t="str">
            <v>0;0</v>
          </cell>
          <cell r="AI181" t="str">
            <v>3;8</v>
          </cell>
          <cell r="AJ181" t="str">
            <v>0;0</v>
          </cell>
          <cell r="AK181" t="str">
            <v>0;0</v>
          </cell>
          <cell r="AL181" t="str">
            <v>0;0</v>
          </cell>
          <cell r="AN181" t="str">
            <v>0;0</v>
          </cell>
          <cell r="AO181" t="str">
            <v>0;0</v>
          </cell>
          <cell r="AP181" t="str">
            <v>4;4</v>
          </cell>
          <cell r="AQ181" t="str">
            <v>0;0</v>
          </cell>
          <cell r="AR181" t="str">
            <v>0;0</v>
          </cell>
          <cell r="AS181" t="str">
            <v>0;0</v>
          </cell>
          <cell r="AT181" t="str">
            <v>0;0</v>
          </cell>
          <cell r="AU181" t="str">
            <v>4;4</v>
          </cell>
          <cell r="AV181" t="str">
            <v>0;0</v>
          </cell>
          <cell r="AW181" t="str">
            <v>0;0</v>
          </cell>
          <cell r="AX181" t="str">
            <v>Improved Natural Weapon;Weapon Finesse;</v>
          </cell>
          <cell r="BB181" t="str">
            <v>Neutral</v>
          </cell>
          <cell r="BD181" t="str">
            <v>Scent;Venom Spray</v>
          </cell>
          <cell r="BF181">
            <v>5</v>
          </cell>
          <cell r="BH181" t="str">
            <v>Improved</v>
          </cell>
          <cell r="BM181" t="str">
            <v>MM4</v>
          </cell>
          <cell r="BP181" t="b">
            <v>0</v>
          </cell>
          <cell r="BQ181" t="b">
            <v>0</v>
          </cell>
          <cell r="BR181" t="b">
            <v>0</v>
          </cell>
          <cell r="BS181">
            <v>6</v>
          </cell>
          <cell r="BT181" t="str">
            <v/>
          </cell>
          <cell r="BV181" t="b">
            <v>0</v>
          </cell>
          <cell r="BW181">
            <v>13</v>
          </cell>
          <cell r="BX181" t="str">
            <v/>
          </cell>
          <cell r="BZ181" t="b">
            <v>0</v>
          </cell>
          <cell r="CA181">
            <v>6</v>
          </cell>
          <cell r="CB181" t="str">
            <v/>
          </cell>
          <cell r="CD181" t="b">
            <v>0</v>
          </cell>
          <cell r="CE181">
            <v>6</v>
          </cell>
          <cell r="CF181" t="str">
            <v/>
          </cell>
          <cell r="CJ181" t="str">
            <v/>
          </cell>
        </row>
        <row r="182">
          <cell r="A182" t="str">
            <v>Sea Cat</v>
          </cell>
          <cell r="D182" t="str">
            <v>Magical Beast</v>
          </cell>
          <cell r="N182" t="str">
            <v/>
          </cell>
          <cell r="BG182">
            <v>7</v>
          </cell>
          <cell r="BM182" t="str">
            <v>MM</v>
          </cell>
          <cell r="BN182">
            <v>220</v>
          </cell>
          <cell r="BP182" t="b">
            <v>1</v>
          </cell>
          <cell r="BQ182" t="b">
            <v>0</v>
          </cell>
          <cell r="BR182" t="b">
            <v>0</v>
          </cell>
          <cell r="BS182">
            <v>6</v>
          </cell>
          <cell r="BT182" t="str">
            <v/>
          </cell>
          <cell r="BV182" t="b">
            <v>0</v>
          </cell>
          <cell r="BW182">
            <v>13</v>
          </cell>
          <cell r="BX182" t="str">
            <v/>
          </cell>
          <cell r="BY182" t="b">
            <v>0</v>
          </cell>
          <cell r="BZ182" t="b">
            <v>0</v>
          </cell>
          <cell r="CA182">
            <v>6</v>
          </cell>
          <cell r="CB182" t="str">
            <v/>
          </cell>
          <cell r="CD182" t="b">
            <v>0</v>
          </cell>
          <cell r="CE182">
            <v>6</v>
          </cell>
          <cell r="CF182" t="str">
            <v/>
          </cell>
          <cell r="CJ182" t="str">
            <v/>
          </cell>
        </row>
        <row r="183">
          <cell r="A183" t="str">
            <v>Shark, Huge</v>
          </cell>
          <cell r="C183" t="str">
            <v>Huge</v>
          </cell>
          <cell r="D183" t="str">
            <v>Animal</v>
          </cell>
          <cell r="E183" t="str">
            <v>Aquatic</v>
          </cell>
          <cell r="F183">
            <v>10</v>
          </cell>
          <cell r="L183">
            <v>60</v>
          </cell>
          <cell r="M183">
            <v>5</v>
          </cell>
          <cell r="N183" t="str">
            <v>Bite+5+0+2</v>
          </cell>
          <cell r="S183" t="str">
            <v>normal</v>
          </cell>
          <cell r="AA183">
            <v>21</v>
          </cell>
          <cell r="AB183">
            <v>15</v>
          </cell>
          <cell r="AC183">
            <v>15</v>
          </cell>
          <cell r="AD183">
            <v>1</v>
          </cell>
          <cell r="AE183">
            <v>12</v>
          </cell>
          <cell r="AF183">
            <v>2</v>
          </cell>
          <cell r="BG183">
            <v>10</v>
          </cell>
          <cell r="BM183" t="str">
            <v>MM</v>
          </cell>
          <cell r="BN183">
            <v>279</v>
          </cell>
          <cell r="BP183" t="b">
            <v>1</v>
          </cell>
          <cell r="BQ183" t="b">
            <v>0</v>
          </cell>
          <cell r="BR183" t="b">
            <v>0</v>
          </cell>
          <cell r="BS183">
            <v>6</v>
          </cell>
          <cell r="BT183" t="str">
            <v/>
          </cell>
          <cell r="BV183" t="b">
            <v>0</v>
          </cell>
          <cell r="BW183">
            <v>13</v>
          </cell>
          <cell r="BX183" t="str">
            <v/>
          </cell>
          <cell r="BY183" t="b">
            <v>1</v>
          </cell>
          <cell r="BZ183" t="b">
            <v>0</v>
          </cell>
          <cell r="CA183">
            <v>6</v>
          </cell>
          <cell r="CB183" t="str">
            <v/>
          </cell>
          <cell r="CD183" t="b">
            <v>0</v>
          </cell>
          <cell r="CE183">
            <v>6</v>
          </cell>
          <cell r="CF183" t="str">
            <v/>
          </cell>
          <cell r="CJ183" t="str">
            <v/>
          </cell>
        </row>
        <row r="184">
          <cell r="A184" t="str">
            <v>Shark, Large</v>
          </cell>
          <cell r="C184" t="str">
            <v>Large</v>
          </cell>
          <cell r="D184" t="str">
            <v>Animal</v>
          </cell>
          <cell r="E184" t="str">
            <v>Aquatic</v>
          </cell>
          <cell r="F184">
            <v>7</v>
          </cell>
          <cell r="L184">
            <v>60</v>
          </cell>
          <cell r="M184">
            <v>4</v>
          </cell>
          <cell r="N184" t="str">
            <v>Bite+5+0+2</v>
          </cell>
          <cell r="S184" t="str">
            <v>normal</v>
          </cell>
          <cell r="AA184">
            <v>17</v>
          </cell>
          <cell r="AB184">
            <v>15</v>
          </cell>
          <cell r="AC184">
            <v>13</v>
          </cell>
          <cell r="AD184">
            <v>1</v>
          </cell>
          <cell r="AE184">
            <v>12</v>
          </cell>
          <cell r="AF184">
            <v>2</v>
          </cell>
          <cell r="BG184">
            <v>4</v>
          </cell>
          <cell r="BM184" t="str">
            <v>MM</v>
          </cell>
          <cell r="BN184">
            <v>279</v>
          </cell>
          <cell r="BP184" t="b">
            <v>1</v>
          </cell>
          <cell r="BQ184" t="b">
            <v>0</v>
          </cell>
          <cell r="BR184" t="b">
            <v>0</v>
          </cell>
          <cell r="BS184">
            <v>6</v>
          </cell>
          <cell r="BT184" t="str">
            <v/>
          </cell>
          <cell r="BV184" t="b">
            <v>0</v>
          </cell>
          <cell r="BW184">
            <v>13</v>
          </cell>
          <cell r="BX184" t="str">
            <v/>
          </cell>
          <cell r="BY184" t="b">
            <v>1</v>
          </cell>
          <cell r="BZ184" t="b">
            <v>0</v>
          </cell>
          <cell r="CA184">
            <v>6</v>
          </cell>
          <cell r="CB184" t="str">
            <v/>
          </cell>
          <cell r="CD184" t="b">
            <v>0</v>
          </cell>
          <cell r="CE184">
            <v>6</v>
          </cell>
          <cell r="CF184" t="str">
            <v/>
          </cell>
          <cell r="CJ184" t="str">
            <v/>
          </cell>
        </row>
        <row r="185">
          <cell r="A185" t="str">
            <v>Shark, Medium</v>
          </cell>
          <cell r="C185" t="str">
            <v>Medium</v>
          </cell>
          <cell r="D185" t="str">
            <v>Animal</v>
          </cell>
          <cell r="E185" t="str">
            <v>Aquatic</v>
          </cell>
          <cell r="F185">
            <v>3</v>
          </cell>
          <cell r="L185">
            <v>60</v>
          </cell>
          <cell r="M185">
            <v>3</v>
          </cell>
          <cell r="N185" t="str">
            <v>Bite+5+0+2</v>
          </cell>
          <cell r="S185" t="str">
            <v>normal</v>
          </cell>
          <cell r="AA185">
            <v>13</v>
          </cell>
          <cell r="AB185">
            <v>15</v>
          </cell>
          <cell r="AC185">
            <v>13</v>
          </cell>
          <cell r="AD185">
            <v>1</v>
          </cell>
          <cell r="AE185">
            <v>12</v>
          </cell>
          <cell r="AF185">
            <v>2</v>
          </cell>
          <cell r="BG185">
            <v>1</v>
          </cell>
          <cell r="BM185" t="str">
            <v>MM</v>
          </cell>
          <cell r="BN185">
            <v>279</v>
          </cell>
          <cell r="BP185" t="b">
            <v>1</v>
          </cell>
          <cell r="BQ185" t="b">
            <v>0</v>
          </cell>
          <cell r="BR185" t="b">
            <v>0</v>
          </cell>
          <cell r="BS185">
            <v>6</v>
          </cell>
          <cell r="BT185" t="str">
            <v/>
          </cell>
          <cell r="BV185" t="b">
            <v>0</v>
          </cell>
          <cell r="BW185">
            <v>13</v>
          </cell>
          <cell r="BX185" t="str">
            <v/>
          </cell>
          <cell r="BY185" t="b">
            <v>1</v>
          </cell>
          <cell r="BZ185" t="b">
            <v>0</v>
          </cell>
          <cell r="CA185">
            <v>6</v>
          </cell>
          <cell r="CB185" t="str">
            <v/>
          </cell>
          <cell r="CD185" t="b">
            <v>0</v>
          </cell>
          <cell r="CE185">
            <v>6</v>
          </cell>
          <cell r="CF185" t="str">
            <v/>
          </cell>
          <cell r="CJ185" t="str">
            <v/>
          </cell>
        </row>
        <row r="186">
          <cell r="A186" t="str">
            <v>Shocker Lizard</v>
          </cell>
          <cell r="C186" t="str">
            <v>Small</v>
          </cell>
          <cell r="D186" t="str">
            <v>Magical Beast</v>
          </cell>
          <cell r="F186">
            <v>2</v>
          </cell>
          <cell r="G186">
            <v>40</v>
          </cell>
          <cell r="I186">
            <v>20</v>
          </cell>
          <cell r="L186">
            <v>20</v>
          </cell>
          <cell r="M186">
            <v>3</v>
          </cell>
          <cell r="N186" t="str">
            <v>Bite;</v>
          </cell>
          <cell r="O186" t="str">
            <v>1d4;</v>
          </cell>
          <cell r="S186" t="str">
            <v>normal</v>
          </cell>
          <cell r="T186">
            <v>60</v>
          </cell>
          <cell r="U186" t="str">
            <v>electricity</v>
          </cell>
          <cell r="AA186">
            <v>10</v>
          </cell>
          <cell r="AB186">
            <v>15</v>
          </cell>
          <cell r="AC186">
            <v>13</v>
          </cell>
          <cell r="AD186">
            <v>2</v>
          </cell>
          <cell r="AE186">
            <v>12</v>
          </cell>
          <cell r="AF186">
            <v>6</v>
          </cell>
          <cell r="AG186" t="str">
            <v>0;0</v>
          </cell>
          <cell r="AH186" t="str">
            <v>0;0</v>
          </cell>
          <cell r="AI186" t="str">
            <v>1;8</v>
          </cell>
          <cell r="AJ186" t="str">
            <v>0;0</v>
          </cell>
          <cell r="AK186" t="str">
            <v>0;0</v>
          </cell>
          <cell r="AL186" t="str">
            <v>1;8</v>
          </cell>
          <cell r="AN186" t="str">
            <v>0;0</v>
          </cell>
          <cell r="AO186" t="str">
            <v>1;4</v>
          </cell>
          <cell r="AP186" t="str">
            <v>1;2</v>
          </cell>
          <cell r="AQ186" t="str">
            <v>0;0</v>
          </cell>
          <cell r="AR186" t="str">
            <v>0;0</v>
          </cell>
          <cell r="AS186" t="str">
            <v>0;0</v>
          </cell>
          <cell r="AT186" t="str">
            <v>0;0</v>
          </cell>
          <cell r="AU186" t="str">
            <v>1;2</v>
          </cell>
          <cell r="AV186" t="str">
            <v>0;0</v>
          </cell>
          <cell r="AW186" t="str">
            <v>2;8</v>
          </cell>
          <cell r="AX186" t="str">
            <v>Improved Initiative;</v>
          </cell>
          <cell r="BB186" t="str">
            <v>Neutral</v>
          </cell>
          <cell r="BD186" t="str">
            <v>Stunning shock;Lethal shock;Electricity sense</v>
          </cell>
          <cell r="BF186">
            <v>5</v>
          </cell>
          <cell r="BG186">
            <v>4</v>
          </cell>
          <cell r="BH186" t="str">
            <v>Improved</v>
          </cell>
          <cell r="BM186" t="str">
            <v>MM</v>
          </cell>
          <cell r="BN186">
            <v>224</v>
          </cell>
          <cell r="BP186" t="b">
            <v>1</v>
          </cell>
          <cell r="BQ186" t="b">
            <v>0</v>
          </cell>
          <cell r="BR186" t="b">
            <v>0</v>
          </cell>
          <cell r="BS186">
            <v>6</v>
          </cell>
          <cell r="BT186" t="str">
            <v/>
          </cell>
          <cell r="BV186" t="b">
            <v>0</v>
          </cell>
          <cell r="BW186">
            <v>13</v>
          </cell>
          <cell r="BX186" t="str">
            <v/>
          </cell>
          <cell r="BY186" t="b">
            <v>0</v>
          </cell>
          <cell r="BZ186" t="b">
            <v>0</v>
          </cell>
          <cell r="CA186">
            <v>6</v>
          </cell>
          <cell r="CB186" t="str">
            <v/>
          </cell>
          <cell r="CD186" t="b">
            <v>0</v>
          </cell>
          <cell r="CE186">
            <v>6</v>
          </cell>
          <cell r="CF186" t="str">
            <v/>
          </cell>
          <cell r="CJ186" t="str">
            <v/>
          </cell>
        </row>
        <row r="187">
          <cell r="A187" t="str">
            <v>Snake, Constrictor</v>
          </cell>
          <cell r="C187" t="str">
            <v>Medium</v>
          </cell>
          <cell r="D187" t="str">
            <v>Animal</v>
          </cell>
          <cell r="F187">
            <v>3</v>
          </cell>
          <cell r="G187">
            <v>20</v>
          </cell>
          <cell r="I187">
            <v>20</v>
          </cell>
          <cell r="L187">
            <v>20</v>
          </cell>
          <cell r="M187">
            <v>2</v>
          </cell>
          <cell r="N187" t="str">
            <v>Bite+3+0+2</v>
          </cell>
          <cell r="S187" t="str">
            <v>normal</v>
          </cell>
          <cell r="AA187">
            <v>17</v>
          </cell>
          <cell r="AB187">
            <v>17</v>
          </cell>
          <cell r="AC187">
            <v>13</v>
          </cell>
          <cell r="AD187">
            <v>1</v>
          </cell>
          <cell r="AE187">
            <v>12</v>
          </cell>
          <cell r="AF187">
            <v>2</v>
          </cell>
          <cell r="BG187">
            <v>4</v>
          </cell>
          <cell r="BM187" t="str">
            <v>MM</v>
          </cell>
          <cell r="BN187">
            <v>279</v>
          </cell>
          <cell r="BP187" t="b">
            <v>1</v>
          </cell>
          <cell r="BQ187" t="b">
            <v>0</v>
          </cell>
          <cell r="BR187" t="b">
            <v>0</v>
          </cell>
          <cell r="BS187">
            <v>6</v>
          </cell>
          <cell r="BT187" t="str">
            <v/>
          </cell>
          <cell r="BV187" t="b">
            <v>0</v>
          </cell>
          <cell r="BW187">
            <v>13</v>
          </cell>
          <cell r="BX187" t="str">
            <v/>
          </cell>
          <cell r="BY187" t="b">
            <v>1</v>
          </cell>
          <cell r="BZ187" t="b">
            <v>0</v>
          </cell>
          <cell r="CA187">
            <v>6</v>
          </cell>
          <cell r="CB187" t="str">
            <v/>
          </cell>
          <cell r="CD187" t="b">
            <v>0</v>
          </cell>
          <cell r="CE187">
            <v>6</v>
          </cell>
          <cell r="CF187" t="str">
            <v/>
          </cell>
          <cell r="CJ187" t="str">
            <v/>
          </cell>
        </row>
        <row r="188">
          <cell r="A188" t="str">
            <v>Snake, Giant Constrictor</v>
          </cell>
          <cell r="C188" t="str">
            <v>Huge</v>
          </cell>
          <cell r="D188" t="str">
            <v>Animal</v>
          </cell>
          <cell r="F188">
            <v>11</v>
          </cell>
          <cell r="G188">
            <v>20</v>
          </cell>
          <cell r="I188">
            <v>20</v>
          </cell>
          <cell r="L188">
            <v>20</v>
          </cell>
          <cell r="M188">
            <v>4</v>
          </cell>
          <cell r="N188" t="str">
            <v>Bite+4+0+2</v>
          </cell>
          <cell r="S188" t="str">
            <v>normal</v>
          </cell>
          <cell r="AA188">
            <v>25</v>
          </cell>
          <cell r="AB188">
            <v>17</v>
          </cell>
          <cell r="AC188">
            <v>13</v>
          </cell>
          <cell r="AD188">
            <v>1</v>
          </cell>
          <cell r="AE188">
            <v>12</v>
          </cell>
          <cell r="AF188">
            <v>2</v>
          </cell>
          <cell r="BG188">
            <v>10</v>
          </cell>
          <cell r="BM188" t="str">
            <v>MM</v>
          </cell>
          <cell r="BN188">
            <v>280</v>
          </cell>
          <cell r="BP188" t="b">
            <v>1</v>
          </cell>
          <cell r="BQ188" t="b">
            <v>0</v>
          </cell>
          <cell r="BR188" t="b">
            <v>0</v>
          </cell>
          <cell r="BS188">
            <v>6</v>
          </cell>
          <cell r="BT188" t="str">
            <v/>
          </cell>
          <cell r="BV188" t="b">
            <v>0</v>
          </cell>
          <cell r="BW188">
            <v>13</v>
          </cell>
          <cell r="BX188" t="str">
            <v/>
          </cell>
          <cell r="BY188" t="b">
            <v>1</v>
          </cell>
          <cell r="BZ188" t="b">
            <v>0</v>
          </cell>
          <cell r="CA188">
            <v>6</v>
          </cell>
          <cell r="CB188" t="str">
            <v/>
          </cell>
          <cell r="CD188" t="b">
            <v>0</v>
          </cell>
          <cell r="CE188">
            <v>6</v>
          </cell>
          <cell r="CF188" t="str">
            <v/>
          </cell>
          <cell r="CJ188" t="str">
            <v/>
          </cell>
        </row>
        <row r="189">
          <cell r="A189" t="str">
            <v>Snake, Huge Viper</v>
          </cell>
          <cell r="C189" t="str">
            <v>Huge</v>
          </cell>
          <cell r="D189" t="str">
            <v>Animal</v>
          </cell>
          <cell r="F189">
            <v>6</v>
          </cell>
          <cell r="G189">
            <v>20</v>
          </cell>
          <cell r="I189">
            <v>20</v>
          </cell>
          <cell r="L189">
            <v>20</v>
          </cell>
          <cell r="M189">
            <v>5</v>
          </cell>
          <cell r="N189" t="str">
            <v>Bite+3+0+2</v>
          </cell>
          <cell r="S189" t="str">
            <v>normal</v>
          </cell>
          <cell r="AA189">
            <v>16</v>
          </cell>
          <cell r="AB189">
            <v>15</v>
          </cell>
          <cell r="AC189">
            <v>13</v>
          </cell>
          <cell r="AD189">
            <v>1</v>
          </cell>
          <cell r="AE189">
            <v>12</v>
          </cell>
          <cell r="AF189">
            <v>2</v>
          </cell>
          <cell r="BG189">
            <v>7</v>
          </cell>
          <cell r="BM189" t="str">
            <v>MM</v>
          </cell>
          <cell r="BN189">
            <v>280</v>
          </cell>
          <cell r="BP189" t="b">
            <v>1</v>
          </cell>
          <cell r="BQ189" t="b">
            <v>0</v>
          </cell>
          <cell r="BR189" t="b">
            <v>0</v>
          </cell>
          <cell r="BS189">
            <v>6</v>
          </cell>
          <cell r="BT189" t="str">
            <v/>
          </cell>
          <cell r="BV189" t="b">
            <v>0</v>
          </cell>
          <cell r="BW189">
            <v>13</v>
          </cell>
          <cell r="BX189" t="str">
            <v/>
          </cell>
          <cell r="BY189" t="b">
            <v>1</v>
          </cell>
          <cell r="BZ189" t="b">
            <v>0</v>
          </cell>
          <cell r="CA189">
            <v>6</v>
          </cell>
          <cell r="CB189" t="str">
            <v/>
          </cell>
          <cell r="CD189" t="b">
            <v>0</v>
          </cell>
          <cell r="CE189">
            <v>6</v>
          </cell>
          <cell r="CF189" t="str">
            <v/>
          </cell>
          <cell r="CJ189" t="str">
            <v/>
          </cell>
        </row>
        <row r="190">
          <cell r="A190" t="str">
            <v>Snake, Large Viper</v>
          </cell>
          <cell r="C190" t="str">
            <v>Large</v>
          </cell>
          <cell r="D190" t="str">
            <v>Animal</v>
          </cell>
          <cell r="F190">
            <v>3</v>
          </cell>
          <cell r="G190">
            <v>20</v>
          </cell>
          <cell r="I190">
            <v>20</v>
          </cell>
          <cell r="L190">
            <v>20</v>
          </cell>
          <cell r="M190">
            <v>3</v>
          </cell>
          <cell r="N190" t="str">
            <v>Bite+3+0+2</v>
          </cell>
          <cell r="S190" t="str">
            <v>normal</v>
          </cell>
          <cell r="AA190">
            <v>10</v>
          </cell>
          <cell r="AB190">
            <v>17</v>
          </cell>
          <cell r="AC190">
            <v>11</v>
          </cell>
          <cell r="AD190">
            <v>1</v>
          </cell>
          <cell r="AE190">
            <v>12</v>
          </cell>
          <cell r="AF190">
            <v>2</v>
          </cell>
          <cell r="BG190">
            <v>4</v>
          </cell>
          <cell r="BM190" t="str">
            <v>MM</v>
          </cell>
          <cell r="BN190">
            <v>281</v>
          </cell>
          <cell r="BP190" t="b">
            <v>1</v>
          </cell>
          <cell r="BQ190" t="b">
            <v>0</v>
          </cell>
          <cell r="BR190" t="b">
            <v>0</v>
          </cell>
          <cell r="BS190">
            <v>6</v>
          </cell>
          <cell r="BT190" t="str">
            <v/>
          </cell>
          <cell r="BV190" t="b">
            <v>0</v>
          </cell>
          <cell r="BW190">
            <v>13</v>
          </cell>
          <cell r="BX190" t="str">
            <v/>
          </cell>
          <cell r="BY190" t="b">
            <v>1</v>
          </cell>
          <cell r="BZ190" t="b">
            <v>0</v>
          </cell>
          <cell r="CA190">
            <v>6</v>
          </cell>
          <cell r="CB190" t="str">
            <v/>
          </cell>
          <cell r="CD190" t="b">
            <v>0</v>
          </cell>
          <cell r="CE190">
            <v>6</v>
          </cell>
          <cell r="CF190" t="str">
            <v/>
          </cell>
          <cell r="CJ190" t="str">
            <v/>
          </cell>
        </row>
        <row r="191">
          <cell r="A191" t="str">
            <v>Snake, Medium Viper</v>
          </cell>
          <cell r="C191" t="str">
            <v>Medium</v>
          </cell>
          <cell r="D191" t="str">
            <v>Animal</v>
          </cell>
          <cell r="F191">
            <v>2</v>
          </cell>
          <cell r="G191">
            <v>20</v>
          </cell>
          <cell r="I191">
            <v>20</v>
          </cell>
          <cell r="L191">
            <v>20</v>
          </cell>
          <cell r="M191">
            <v>3</v>
          </cell>
          <cell r="N191" t="str">
            <v>Bite+4+0+2</v>
          </cell>
          <cell r="S191" t="str">
            <v>normal</v>
          </cell>
          <cell r="AA191">
            <v>8</v>
          </cell>
          <cell r="AB191">
            <v>17</v>
          </cell>
          <cell r="AC191">
            <v>11</v>
          </cell>
          <cell r="AD191">
            <v>1</v>
          </cell>
          <cell r="AE191">
            <v>12</v>
          </cell>
          <cell r="AF191">
            <v>2</v>
          </cell>
          <cell r="BG191">
            <v>1</v>
          </cell>
          <cell r="BM191" t="str">
            <v>MM</v>
          </cell>
          <cell r="BN191">
            <v>282</v>
          </cell>
          <cell r="BP191" t="b">
            <v>1</v>
          </cell>
          <cell r="BQ191" t="b">
            <v>0</v>
          </cell>
          <cell r="BR191" t="b">
            <v>0</v>
          </cell>
          <cell r="BS191">
            <v>6</v>
          </cell>
          <cell r="BT191" t="str">
            <v/>
          </cell>
          <cell r="BV191" t="b">
            <v>0</v>
          </cell>
          <cell r="BW191">
            <v>13</v>
          </cell>
          <cell r="BX191" t="str">
            <v/>
          </cell>
          <cell r="BY191" t="b">
            <v>1</v>
          </cell>
          <cell r="BZ191" t="b">
            <v>0</v>
          </cell>
          <cell r="CA191">
            <v>6</v>
          </cell>
          <cell r="CB191" t="str">
            <v/>
          </cell>
          <cell r="CD191" t="b">
            <v>0</v>
          </cell>
          <cell r="CE191">
            <v>6</v>
          </cell>
          <cell r="CF191" t="str">
            <v/>
          </cell>
          <cell r="CJ191" t="str">
            <v/>
          </cell>
        </row>
        <row r="192">
          <cell r="A192" t="str">
            <v>Snake, Small Viper</v>
          </cell>
          <cell r="C192" t="str">
            <v>Small</v>
          </cell>
          <cell r="D192" t="str">
            <v>Animal</v>
          </cell>
          <cell r="F192">
            <v>1</v>
          </cell>
          <cell r="G192">
            <v>20</v>
          </cell>
          <cell r="I192">
            <v>20</v>
          </cell>
          <cell r="L192">
            <v>20</v>
          </cell>
          <cell r="M192">
            <v>3</v>
          </cell>
          <cell r="N192" t="str">
            <v>Bite+3+0+2</v>
          </cell>
          <cell r="S192" t="str">
            <v>normal</v>
          </cell>
          <cell r="AA192">
            <v>6</v>
          </cell>
          <cell r="AB192">
            <v>17</v>
          </cell>
          <cell r="AC192">
            <v>11</v>
          </cell>
          <cell r="AD192">
            <v>1</v>
          </cell>
          <cell r="AE192">
            <v>12</v>
          </cell>
          <cell r="AF192">
            <v>2</v>
          </cell>
          <cell r="BG192">
            <v>1</v>
          </cell>
          <cell r="BM192" t="str">
            <v>MM</v>
          </cell>
          <cell r="BN192">
            <v>283</v>
          </cell>
          <cell r="BP192" t="b">
            <v>1</v>
          </cell>
          <cell r="BQ192" t="b">
            <v>0</v>
          </cell>
          <cell r="BR192" t="b">
            <v>0</v>
          </cell>
          <cell r="BS192">
            <v>6</v>
          </cell>
          <cell r="BT192" t="str">
            <v/>
          </cell>
          <cell r="BV192" t="b">
            <v>0</v>
          </cell>
          <cell r="BW192">
            <v>13</v>
          </cell>
          <cell r="BX192" t="str">
            <v/>
          </cell>
          <cell r="BY192" t="b">
            <v>1</v>
          </cell>
          <cell r="BZ192" t="b">
            <v>0</v>
          </cell>
          <cell r="CA192">
            <v>6</v>
          </cell>
          <cell r="CB192" t="str">
            <v/>
          </cell>
          <cell r="CD192" t="b">
            <v>0</v>
          </cell>
          <cell r="CE192">
            <v>6</v>
          </cell>
          <cell r="CF192" t="str">
            <v/>
          </cell>
          <cell r="CJ192" t="str">
            <v/>
          </cell>
        </row>
        <row r="193">
          <cell r="A193" t="str">
            <v>Snake, Tiny Viper</v>
          </cell>
          <cell r="C193" t="str">
            <v>Tiny</v>
          </cell>
          <cell r="D193" t="str">
            <v>Animal</v>
          </cell>
          <cell r="F193">
            <v>0.25</v>
          </cell>
          <cell r="G193">
            <v>15</v>
          </cell>
          <cell r="I193">
            <v>15</v>
          </cell>
          <cell r="L193">
            <v>15</v>
          </cell>
          <cell r="M193">
            <v>2</v>
          </cell>
          <cell r="N193" t="str">
            <v>Bite+3+0+2</v>
          </cell>
          <cell r="O193" t="str">
            <v>1;</v>
          </cell>
          <cell r="S193" t="str">
            <v>normal</v>
          </cell>
          <cell r="AA193">
            <v>4</v>
          </cell>
          <cell r="AB193">
            <v>17</v>
          </cell>
          <cell r="AC193">
            <v>11</v>
          </cell>
          <cell r="AD193">
            <v>1</v>
          </cell>
          <cell r="AE193">
            <v>12</v>
          </cell>
          <cell r="AF193">
            <v>2</v>
          </cell>
          <cell r="AG193" t="str">
            <v>0;8</v>
          </cell>
          <cell r="AH193" t="str">
            <v>0;0</v>
          </cell>
          <cell r="AI193" t="str">
            <v>0;8</v>
          </cell>
          <cell r="AJ193" t="str">
            <v>0;0</v>
          </cell>
          <cell r="AK193" t="str">
            <v>0;0</v>
          </cell>
          <cell r="AL193" t="str">
            <v>0;12</v>
          </cell>
          <cell r="AN193" t="str">
            <v>0;0</v>
          </cell>
          <cell r="AO193" t="str">
            <v>0;-6</v>
          </cell>
          <cell r="AP193" t="str">
            <v>1;4</v>
          </cell>
          <cell r="AQ193" t="str">
            <v>0;0</v>
          </cell>
          <cell r="AR193" t="str">
            <v>0;0</v>
          </cell>
          <cell r="AS193" t="str">
            <v>0;0</v>
          </cell>
          <cell r="AT193" t="str">
            <v>0;0</v>
          </cell>
          <cell r="AU193" t="str">
            <v>1;4</v>
          </cell>
          <cell r="AV193" t="str">
            <v>0;0</v>
          </cell>
          <cell r="AW193" t="str">
            <v>0;8</v>
          </cell>
          <cell r="AX193" t="str">
            <v>Weapon Finesse</v>
          </cell>
          <cell r="BA193">
            <v>0</v>
          </cell>
          <cell r="BB193" t="str">
            <v>Neutral</v>
          </cell>
          <cell r="BD193" t="str">
            <v>Poison;Scent</v>
          </cell>
          <cell r="BF193">
            <v>1</v>
          </cell>
          <cell r="BH193" t="str">
            <v>Normal</v>
          </cell>
          <cell r="BM193" t="str">
            <v>MM</v>
          </cell>
          <cell r="BN193">
            <v>280</v>
          </cell>
          <cell r="BP193" t="b">
            <v>1</v>
          </cell>
          <cell r="BQ193" t="b">
            <v>0</v>
          </cell>
          <cell r="BR193" t="b">
            <v>0</v>
          </cell>
          <cell r="BS193">
            <v>6</v>
          </cell>
          <cell r="BT193" t="str">
            <v/>
          </cell>
          <cell r="BV193" t="b">
            <v>1</v>
          </cell>
          <cell r="BW193">
            <v>14</v>
          </cell>
          <cell r="BX193" t="str">
            <v/>
          </cell>
          <cell r="BZ193" t="b">
            <v>0</v>
          </cell>
          <cell r="CA193">
            <v>6</v>
          </cell>
          <cell r="CB193" t="str">
            <v/>
          </cell>
          <cell r="CD193" t="b">
            <v>0</v>
          </cell>
          <cell r="CE193">
            <v>6</v>
          </cell>
          <cell r="CF193" t="str">
            <v/>
          </cell>
          <cell r="CJ193" t="str">
            <v/>
          </cell>
        </row>
        <row r="194">
          <cell r="A194" t="str">
            <v>Sparrow</v>
          </cell>
          <cell r="C194" t="str">
            <v>Fine</v>
          </cell>
          <cell r="D194" t="str">
            <v>Animal</v>
          </cell>
          <cell r="F194">
            <v>1</v>
          </cell>
          <cell r="G194">
            <v>1</v>
          </cell>
          <cell r="J194">
            <v>50</v>
          </cell>
          <cell r="K194" t="str">
            <v>average</v>
          </cell>
          <cell r="S194" t="str">
            <v>normal</v>
          </cell>
          <cell r="AA194">
            <v>1</v>
          </cell>
          <cell r="AB194">
            <v>23</v>
          </cell>
          <cell r="AC194">
            <v>10</v>
          </cell>
          <cell r="BM194" t="str">
            <v>OA</v>
          </cell>
          <cell r="BP194" t="b">
            <v>0</v>
          </cell>
          <cell r="BQ194" t="b">
            <v>0</v>
          </cell>
          <cell r="BR194" t="b">
            <v>0</v>
          </cell>
          <cell r="BS194">
            <v>6</v>
          </cell>
          <cell r="BT194" t="str">
            <v/>
          </cell>
          <cell r="BV194" t="b">
            <v>0</v>
          </cell>
          <cell r="BW194">
            <v>14</v>
          </cell>
          <cell r="BX194" t="str">
            <v/>
          </cell>
          <cell r="BZ194" t="b">
            <v>0</v>
          </cell>
          <cell r="CA194">
            <v>6</v>
          </cell>
          <cell r="CB194" t="str">
            <v/>
          </cell>
          <cell r="CD194" t="b">
            <v>0</v>
          </cell>
          <cell r="CE194">
            <v>6</v>
          </cell>
          <cell r="CF194" t="str">
            <v/>
          </cell>
          <cell r="CJ194" t="str">
            <v/>
          </cell>
        </row>
        <row r="195">
          <cell r="A195" t="str">
            <v>Spider Eater</v>
          </cell>
          <cell r="D195" t="str">
            <v>Magical Beast</v>
          </cell>
          <cell r="N195" t="str">
            <v/>
          </cell>
          <cell r="BG195">
            <v>10</v>
          </cell>
          <cell r="BM195" t="str">
            <v>MM</v>
          </cell>
          <cell r="BN195">
            <v>234</v>
          </cell>
          <cell r="BP195" t="b">
            <v>1</v>
          </cell>
          <cell r="BQ195" t="b">
            <v>0</v>
          </cell>
          <cell r="BR195" t="b">
            <v>0</v>
          </cell>
          <cell r="BS195">
            <v>6</v>
          </cell>
          <cell r="BT195" t="str">
            <v/>
          </cell>
          <cell r="BV195" t="b">
            <v>0</v>
          </cell>
          <cell r="BW195">
            <v>14</v>
          </cell>
          <cell r="BX195" t="str">
            <v/>
          </cell>
          <cell r="BZ195" t="b">
            <v>0</v>
          </cell>
          <cell r="CA195">
            <v>6</v>
          </cell>
          <cell r="CB195" t="str">
            <v/>
          </cell>
          <cell r="CD195" t="b">
            <v>0</v>
          </cell>
          <cell r="CE195">
            <v>6</v>
          </cell>
          <cell r="CF195" t="str">
            <v/>
          </cell>
          <cell r="CJ195" t="str">
            <v/>
          </cell>
        </row>
        <row r="196">
          <cell r="A196" t="str">
            <v>Spider, Hairy</v>
          </cell>
          <cell r="C196" t="str">
            <v>Fine</v>
          </cell>
          <cell r="D196" t="str">
            <v>Vermin</v>
          </cell>
          <cell r="F196">
            <v>0.125</v>
          </cell>
          <cell r="G196">
            <v>20</v>
          </cell>
          <cell r="I196">
            <v>10</v>
          </cell>
          <cell r="N196" t="str">
            <v>Bite;</v>
          </cell>
          <cell r="O196" t="str">
            <v>1d2;</v>
          </cell>
          <cell r="T196">
            <v>60</v>
          </cell>
          <cell r="U196" t="str">
            <v>poison</v>
          </cell>
          <cell r="AA196">
            <v>1</v>
          </cell>
          <cell r="AB196">
            <v>14</v>
          </cell>
          <cell r="AC196">
            <v>10</v>
          </cell>
          <cell r="AD196" t="str">
            <v>-</v>
          </cell>
          <cell r="AE196">
            <v>10</v>
          </cell>
          <cell r="AF196">
            <v>2</v>
          </cell>
          <cell r="AG196" t="str">
            <v>0;0</v>
          </cell>
          <cell r="AH196" t="str">
            <v>0;0</v>
          </cell>
          <cell r="AI196" t="str">
            <v>3;8</v>
          </cell>
          <cell r="AJ196" t="str">
            <v>0;0</v>
          </cell>
          <cell r="AK196" t="str">
            <v>0;0</v>
          </cell>
          <cell r="AL196" t="str">
            <v>3;20</v>
          </cell>
          <cell r="AN196" t="str">
            <v>0;0</v>
          </cell>
          <cell r="AO196" t="str">
            <v>3;6</v>
          </cell>
          <cell r="AP196" t="str">
            <v>0;0</v>
          </cell>
          <cell r="AQ196" t="str">
            <v>0;0</v>
          </cell>
          <cell r="AR196" t="str">
            <v>0;0</v>
          </cell>
          <cell r="AS196" t="str">
            <v>0;0</v>
          </cell>
          <cell r="AT196" t="str">
            <v>0;0</v>
          </cell>
          <cell r="AU196" t="str">
            <v>3;12</v>
          </cell>
          <cell r="AV196" t="str">
            <v>0;0</v>
          </cell>
          <cell r="AW196" t="str">
            <v>0;0</v>
          </cell>
          <cell r="BB196" t="str">
            <v>Neutral</v>
          </cell>
          <cell r="BD196" t="str">
            <v>Poison</v>
          </cell>
          <cell r="BF196">
            <v>1</v>
          </cell>
          <cell r="BH196" t="str">
            <v>Improved</v>
          </cell>
          <cell r="BM196" t="str">
            <v>FRCS</v>
          </cell>
          <cell r="BN196">
            <v>79</v>
          </cell>
          <cell r="BP196" t="b">
            <v>0</v>
          </cell>
          <cell r="BQ196" t="b">
            <v>0</v>
          </cell>
          <cell r="BR196" t="b">
            <v>0</v>
          </cell>
          <cell r="BS196">
            <v>6</v>
          </cell>
          <cell r="BT196" t="str">
            <v/>
          </cell>
          <cell r="BV196" t="b">
            <v>0</v>
          </cell>
          <cell r="BW196">
            <v>14</v>
          </cell>
          <cell r="BX196" t="str">
            <v/>
          </cell>
          <cell r="BZ196" t="b">
            <v>0</v>
          </cell>
          <cell r="CA196">
            <v>6</v>
          </cell>
          <cell r="CB196" t="str">
            <v/>
          </cell>
          <cell r="CD196" t="b">
            <v>0</v>
          </cell>
          <cell r="CE196">
            <v>6</v>
          </cell>
          <cell r="CF196" t="str">
            <v/>
          </cell>
          <cell r="CJ196" t="str">
            <v/>
          </cell>
        </row>
        <row r="197">
          <cell r="A197" t="str">
            <v>Squid</v>
          </cell>
          <cell r="C197" t="str">
            <v>Medium</v>
          </cell>
          <cell r="D197" t="str">
            <v>Animal</v>
          </cell>
          <cell r="N197" t="str">
            <v/>
          </cell>
          <cell r="BG197">
            <v>1</v>
          </cell>
          <cell r="BM197" t="str">
            <v>MM</v>
          </cell>
          <cell r="BN197">
            <v>281</v>
          </cell>
          <cell r="BP197" t="b">
            <v>1</v>
          </cell>
          <cell r="BQ197" t="b">
            <v>0</v>
          </cell>
          <cell r="BR197" t="b">
            <v>0</v>
          </cell>
          <cell r="BS197">
            <v>6</v>
          </cell>
          <cell r="BT197" t="str">
            <v/>
          </cell>
          <cell r="BV197" t="b">
            <v>0</v>
          </cell>
          <cell r="BW197">
            <v>14</v>
          </cell>
          <cell r="BX197" t="str">
            <v/>
          </cell>
          <cell r="BY197" t="b">
            <v>1</v>
          </cell>
          <cell r="BZ197" t="b">
            <v>0</v>
          </cell>
          <cell r="CA197">
            <v>6</v>
          </cell>
          <cell r="CB197" t="str">
            <v/>
          </cell>
          <cell r="CD197" t="b">
            <v>0</v>
          </cell>
          <cell r="CE197">
            <v>6</v>
          </cell>
          <cell r="CF197" t="str">
            <v/>
          </cell>
          <cell r="CJ197" t="str">
            <v/>
          </cell>
        </row>
        <row r="198">
          <cell r="A198" t="str">
            <v>Squid, Giant</v>
          </cell>
          <cell r="C198" t="str">
            <v>Huge</v>
          </cell>
          <cell r="D198" t="str">
            <v>Animal</v>
          </cell>
          <cell r="E198" t="str">
            <v>Aquatic</v>
          </cell>
          <cell r="F198">
            <v>12</v>
          </cell>
          <cell r="L198">
            <v>80</v>
          </cell>
          <cell r="M198">
            <v>6</v>
          </cell>
          <cell r="N198" t="str">
            <v>10 Tentacles+3+0+1,Bite+14+0+0</v>
          </cell>
          <cell r="S198" t="str">
            <v>normal</v>
          </cell>
          <cell r="AA198">
            <v>26</v>
          </cell>
          <cell r="AB198">
            <v>17</v>
          </cell>
          <cell r="AC198">
            <v>13</v>
          </cell>
          <cell r="AD198">
            <v>1</v>
          </cell>
          <cell r="AE198">
            <v>12</v>
          </cell>
          <cell r="AF198">
            <v>2</v>
          </cell>
          <cell r="BG198">
            <v>16</v>
          </cell>
          <cell r="BM198" t="str">
            <v>MM</v>
          </cell>
          <cell r="BN198">
            <v>281</v>
          </cell>
          <cell r="BP198" t="b">
            <v>1</v>
          </cell>
          <cell r="BQ198" t="b">
            <v>0</v>
          </cell>
          <cell r="BR198" t="b">
            <v>0</v>
          </cell>
          <cell r="BS198">
            <v>6</v>
          </cell>
          <cell r="BT198" t="str">
            <v/>
          </cell>
          <cell r="BV198" t="b">
            <v>0</v>
          </cell>
          <cell r="BW198">
            <v>14</v>
          </cell>
          <cell r="BX198" t="str">
            <v/>
          </cell>
          <cell r="BY198" t="b">
            <v>1</v>
          </cell>
          <cell r="BZ198" t="b">
            <v>0</v>
          </cell>
          <cell r="CA198">
            <v>6</v>
          </cell>
          <cell r="CB198" t="str">
            <v/>
          </cell>
          <cell r="CD198" t="b">
            <v>0</v>
          </cell>
          <cell r="CE198">
            <v>6</v>
          </cell>
          <cell r="CF198" t="str">
            <v/>
          </cell>
          <cell r="CJ198" t="str">
            <v/>
          </cell>
        </row>
        <row r="199">
          <cell r="A199" t="str">
            <v>Stirge</v>
          </cell>
          <cell r="C199" t="str">
            <v>Tiny</v>
          </cell>
          <cell r="D199" t="str">
            <v>Magical Beast</v>
          </cell>
          <cell r="F199">
            <v>1</v>
          </cell>
          <cell r="G199">
            <v>10</v>
          </cell>
          <cell r="J199">
            <v>40</v>
          </cell>
          <cell r="K199" t="str">
            <v>avg</v>
          </cell>
          <cell r="M199">
            <v>0</v>
          </cell>
          <cell r="N199" t="str">
            <v>Touch;</v>
          </cell>
          <cell r="O199" t="str">
            <v xml:space="preserve"> ;</v>
          </cell>
          <cell r="S199" t="str">
            <v>normal</v>
          </cell>
          <cell r="T199">
            <v>60</v>
          </cell>
          <cell r="AA199">
            <v>3</v>
          </cell>
          <cell r="AB199">
            <v>19</v>
          </cell>
          <cell r="AC199">
            <v>10</v>
          </cell>
          <cell r="AD199">
            <v>1</v>
          </cell>
          <cell r="AE199">
            <v>12</v>
          </cell>
          <cell r="AF199">
            <v>6</v>
          </cell>
          <cell r="AG199" t="str">
            <v>0;0</v>
          </cell>
          <cell r="AH199" t="str">
            <v>0;0</v>
          </cell>
          <cell r="AI199" t="str">
            <v>0;0</v>
          </cell>
          <cell r="AJ199" t="str">
            <v>0;0</v>
          </cell>
          <cell r="AK199" t="str">
            <v>0;0</v>
          </cell>
          <cell r="AL199" t="str">
            <v>2;8</v>
          </cell>
          <cell r="AN199" t="str">
            <v>0;0</v>
          </cell>
          <cell r="AO199" t="str">
            <v>0;-12</v>
          </cell>
          <cell r="AP199" t="str">
            <v>1;2</v>
          </cell>
          <cell r="AQ199" t="str">
            <v>0;0</v>
          </cell>
          <cell r="AR199" t="str">
            <v>0;0</v>
          </cell>
          <cell r="AS199" t="str">
            <v>0;0</v>
          </cell>
          <cell r="AT199" t="str">
            <v>0;0</v>
          </cell>
          <cell r="AU199" t="str">
            <v>1;2</v>
          </cell>
          <cell r="AV199" t="str">
            <v>0;0</v>
          </cell>
          <cell r="AW199" t="str">
            <v>0;0</v>
          </cell>
          <cell r="AX199" t="str">
            <v>Alertness;Weapon Finesse;</v>
          </cell>
          <cell r="BB199" t="str">
            <v>Neutral</v>
          </cell>
          <cell r="BD199" t="str">
            <v>Attach;Blood drain</v>
          </cell>
          <cell r="BF199">
            <v>5</v>
          </cell>
          <cell r="BG199">
            <v>1</v>
          </cell>
          <cell r="BH199" t="str">
            <v>Improved</v>
          </cell>
          <cell r="BM199" t="str">
            <v>MM</v>
          </cell>
          <cell r="BN199">
            <v>236</v>
          </cell>
          <cell r="BP199" t="b">
            <v>1</v>
          </cell>
          <cell r="BQ199" t="b">
            <v>0</v>
          </cell>
          <cell r="BR199" t="b">
            <v>0</v>
          </cell>
          <cell r="BS199">
            <v>6</v>
          </cell>
          <cell r="BT199" t="str">
            <v/>
          </cell>
          <cell r="BV199" t="b">
            <v>0</v>
          </cell>
          <cell r="BW199">
            <v>14</v>
          </cell>
          <cell r="BX199" t="str">
            <v/>
          </cell>
          <cell r="BY199" t="b">
            <v>0</v>
          </cell>
          <cell r="BZ199" t="b">
            <v>0</v>
          </cell>
          <cell r="CA199">
            <v>6</v>
          </cell>
          <cell r="CB199" t="str">
            <v/>
          </cell>
          <cell r="CD199" t="b">
            <v>0</v>
          </cell>
          <cell r="CE199">
            <v>6</v>
          </cell>
          <cell r="CF199" t="str">
            <v/>
          </cell>
          <cell r="CJ199" t="str">
            <v/>
          </cell>
        </row>
        <row r="200">
          <cell r="A200" t="str">
            <v>Tiger</v>
          </cell>
          <cell r="C200" t="str">
            <v>Large</v>
          </cell>
          <cell r="D200" t="str">
            <v>Animal</v>
          </cell>
          <cell r="F200">
            <v>6</v>
          </cell>
          <cell r="G200">
            <v>40</v>
          </cell>
          <cell r="M200">
            <v>3</v>
          </cell>
          <cell r="N200" t="str">
            <v>2 Claws+5+0+1,Bite+6+0+0,Rake+5+0+0</v>
          </cell>
          <cell r="S200" t="str">
            <v>normal</v>
          </cell>
          <cell r="AA200">
            <v>23</v>
          </cell>
          <cell r="AB200">
            <v>15</v>
          </cell>
          <cell r="AC200">
            <v>17</v>
          </cell>
          <cell r="AD200">
            <v>2</v>
          </cell>
          <cell r="AE200">
            <v>12</v>
          </cell>
          <cell r="AF200">
            <v>6</v>
          </cell>
          <cell r="AG200" t="str">
            <v>balance+4,hide+4,listen,move silently+4,spot,swim</v>
          </cell>
          <cell r="BA200">
            <v>4</v>
          </cell>
          <cell r="BB200" t="str">
            <v>Neutral</v>
          </cell>
          <cell r="BG200">
            <v>7</v>
          </cell>
          <cell r="BM200" t="str">
            <v>MM</v>
          </cell>
          <cell r="BN200">
            <v>281</v>
          </cell>
          <cell r="BP200" t="b">
            <v>1</v>
          </cell>
          <cell r="BQ200" t="b">
            <v>1</v>
          </cell>
          <cell r="BR200" t="b">
            <v>0</v>
          </cell>
          <cell r="BS200">
            <v>6</v>
          </cell>
          <cell r="BT200" t="str">
            <v/>
          </cell>
          <cell r="BV200" t="b">
            <v>0</v>
          </cell>
          <cell r="BW200">
            <v>14</v>
          </cell>
          <cell r="BX200" t="str">
            <v/>
          </cell>
          <cell r="BY200" t="b">
            <v>1</v>
          </cell>
          <cell r="BZ200" t="b">
            <v>0</v>
          </cell>
          <cell r="CA200">
            <v>6</v>
          </cell>
          <cell r="CB200" t="str">
            <v/>
          </cell>
          <cell r="CD200" t="b">
            <v>0</v>
          </cell>
          <cell r="CE200">
            <v>6</v>
          </cell>
          <cell r="CF200" t="str">
            <v/>
          </cell>
          <cell r="CJ200" t="str">
            <v/>
          </cell>
        </row>
        <row r="201">
          <cell r="A201" t="str">
            <v>Toad</v>
          </cell>
          <cell r="C201" t="str">
            <v>Diminutive</v>
          </cell>
          <cell r="D201" t="str">
            <v>Animal</v>
          </cell>
          <cell r="F201">
            <v>0.25</v>
          </cell>
          <cell r="G201">
            <v>5</v>
          </cell>
          <cell r="M201">
            <v>0</v>
          </cell>
          <cell r="N201" t="str">
            <v xml:space="preserve"> ;</v>
          </cell>
          <cell r="O201" t="str">
            <v xml:space="preserve"> ;</v>
          </cell>
          <cell r="S201" t="str">
            <v>normal</v>
          </cell>
          <cell r="AA201">
            <v>1</v>
          </cell>
          <cell r="AB201">
            <v>12</v>
          </cell>
          <cell r="AC201">
            <v>11</v>
          </cell>
          <cell r="AD201">
            <v>1</v>
          </cell>
          <cell r="AE201">
            <v>14</v>
          </cell>
          <cell r="AF201">
            <v>4</v>
          </cell>
          <cell r="AG201" t="str">
            <v>0;0</v>
          </cell>
          <cell r="AH201" t="str">
            <v>0;0</v>
          </cell>
          <cell r="AI201" t="str">
            <v>0;0</v>
          </cell>
          <cell r="AJ201" t="str">
            <v>0;0</v>
          </cell>
          <cell r="AK201" t="str">
            <v>0;0</v>
          </cell>
          <cell r="AL201" t="str">
            <v>0;20</v>
          </cell>
          <cell r="AN201" t="str">
            <v>0;0</v>
          </cell>
          <cell r="AO201" t="str">
            <v>0;-12</v>
          </cell>
          <cell r="AP201" t="str">
            <v>0;2</v>
          </cell>
          <cell r="AQ201" t="str">
            <v>0;0</v>
          </cell>
          <cell r="AR201" t="str">
            <v>0;0</v>
          </cell>
          <cell r="AS201" t="str">
            <v>0;0</v>
          </cell>
          <cell r="AT201" t="str">
            <v>0;0</v>
          </cell>
          <cell r="AU201" t="str">
            <v>0;2</v>
          </cell>
          <cell r="AV201" t="str">
            <v>0;0</v>
          </cell>
          <cell r="AW201" t="str">
            <v>0;0</v>
          </cell>
          <cell r="AX201" t="str">
            <v>Alertness</v>
          </cell>
          <cell r="BA201">
            <v>0</v>
          </cell>
          <cell r="BB201" t="str">
            <v>Neutral</v>
          </cell>
          <cell r="BD201" t="str">
            <v>Amphibious</v>
          </cell>
          <cell r="BF201">
            <v>1</v>
          </cell>
          <cell r="BH201" t="str">
            <v>Normal</v>
          </cell>
          <cell r="BM201" t="str">
            <v>MM</v>
          </cell>
          <cell r="BN201">
            <v>282</v>
          </cell>
          <cell r="BP201" t="b">
            <v>1</v>
          </cell>
          <cell r="BQ201" t="b">
            <v>0</v>
          </cell>
          <cell r="BR201" t="b">
            <v>0</v>
          </cell>
          <cell r="BS201">
            <v>6</v>
          </cell>
          <cell r="BT201" t="str">
            <v/>
          </cell>
          <cell r="BV201" t="b">
            <v>1</v>
          </cell>
          <cell r="BW201">
            <v>15</v>
          </cell>
          <cell r="BX201" t="str">
            <v/>
          </cell>
          <cell r="BZ201" t="b">
            <v>0</v>
          </cell>
          <cell r="CA201">
            <v>6</v>
          </cell>
          <cell r="CB201" t="str">
            <v/>
          </cell>
          <cell r="CD201" t="b">
            <v>0</v>
          </cell>
          <cell r="CE201">
            <v>6</v>
          </cell>
          <cell r="CF201" t="str">
            <v/>
          </cell>
          <cell r="CJ201" t="str">
            <v/>
          </cell>
        </row>
        <row r="202">
          <cell r="A202" t="str">
            <v>Tressym</v>
          </cell>
          <cell r="C202" t="str">
            <v>Tiny</v>
          </cell>
          <cell r="D202" t="str">
            <v>Magical Beast</v>
          </cell>
          <cell r="F202">
            <v>0.5</v>
          </cell>
          <cell r="G202">
            <v>30</v>
          </cell>
          <cell r="J202">
            <v>50</v>
          </cell>
          <cell r="K202" t="str">
            <v>good</v>
          </cell>
          <cell r="M202">
            <v>0</v>
          </cell>
          <cell r="N202" t="str">
            <v>Bite+5+0+1,2 Claws+4+0+0</v>
          </cell>
          <cell r="O202" t="str">
            <v>1d2;1d3;</v>
          </cell>
          <cell r="U202" t="str">
            <v>poison</v>
          </cell>
          <cell r="AA202">
            <v>3</v>
          </cell>
          <cell r="AB202">
            <v>15</v>
          </cell>
          <cell r="AC202">
            <v>10</v>
          </cell>
          <cell r="AD202">
            <v>12</v>
          </cell>
          <cell r="AE202">
            <v>12</v>
          </cell>
          <cell r="AF202">
            <v>13</v>
          </cell>
          <cell r="AG202" t="str">
            <v>0;8</v>
          </cell>
          <cell r="AH202" t="str">
            <v>0;0</v>
          </cell>
          <cell r="AI202" t="str">
            <v>3;0</v>
          </cell>
          <cell r="AJ202" t="str">
            <v>0;0</v>
          </cell>
          <cell r="AK202" t="str">
            <v>0;0</v>
          </cell>
          <cell r="AL202" t="str">
            <v>3;12</v>
          </cell>
          <cell r="AN202" t="str">
            <v>0;0</v>
          </cell>
          <cell r="AO202" t="str">
            <v>0;0</v>
          </cell>
          <cell r="AP202" t="str">
            <v>3;0</v>
          </cell>
          <cell r="AQ202" t="str">
            <v>3;4</v>
          </cell>
          <cell r="AR202" t="str">
            <v>0;0</v>
          </cell>
          <cell r="AS202" t="str">
            <v>0;0</v>
          </cell>
          <cell r="AT202" t="str">
            <v>0;0</v>
          </cell>
          <cell r="AU202" t="str">
            <v>3;0</v>
          </cell>
          <cell r="AV202" t="str">
            <v>0;0</v>
          </cell>
          <cell r="AW202" t="str">
            <v>0;0</v>
          </cell>
          <cell r="AX202" t="str">
            <v>Weapon Finesse;</v>
          </cell>
          <cell r="BB202" t="str">
            <v>Neutral Good</v>
          </cell>
          <cell r="BD202" t="str">
            <v>Scent</v>
          </cell>
          <cell r="BF202">
            <v>5</v>
          </cell>
          <cell r="BH202" t="str">
            <v>Improved</v>
          </cell>
          <cell r="BM202" t="str">
            <v>FRCS</v>
          </cell>
          <cell r="BN202">
            <v>309</v>
          </cell>
          <cell r="BO202" t="str">
            <v>PGtF</v>
          </cell>
          <cell r="BP202" t="b">
            <v>1</v>
          </cell>
          <cell r="BQ202" t="b">
            <v>0</v>
          </cell>
          <cell r="BR202" t="b">
            <v>0</v>
          </cell>
          <cell r="BS202">
            <v>6</v>
          </cell>
          <cell r="BT202" t="str">
            <v/>
          </cell>
          <cell r="BU202" t="b">
            <v>1</v>
          </cell>
          <cell r="BV202" t="b">
            <v>0</v>
          </cell>
          <cell r="BW202">
            <v>15</v>
          </cell>
          <cell r="BX202" t="str">
            <v/>
          </cell>
          <cell r="BZ202" t="b">
            <v>0</v>
          </cell>
          <cell r="CA202">
            <v>6</v>
          </cell>
          <cell r="CB202" t="str">
            <v/>
          </cell>
          <cell r="CD202" t="b">
            <v>0</v>
          </cell>
          <cell r="CE202">
            <v>6</v>
          </cell>
          <cell r="CF202" t="str">
            <v/>
          </cell>
          <cell r="CJ202" t="str">
            <v/>
          </cell>
        </row>
        <row r="203">
          <cell r="A203" t="str">
            <v>Triceratops</v>
          </cell>
          <cell r="C203" t="str">
            <v>Huge</v>
          </cell>
          <cell r="D203" t="str">
            <v>Animal</v>
          </cell>
          <cell r="F203">
            <v>16</v>
          </cell>
          <cell r="G203">
            <v>30</v>
          </cell>
          <cell r="M203">
            <v>11</v>
          </cell>
          <cell r="N203" t="str">
            <v>Gore+14+0+2,Trample+16+0+2</v>
          </cell>
          <cell r="S203" t="str">
            <v>normal</v>
          </cell>
          <cell r="AA203">
            <v>30</v>
          </cell>
          <cell r="AB203">
            <v>9</v>
          </cell>
          <cell r="AC203">
            <v>25</v>
          </cell>
          <cell r="AD203">
            <v>1</v>
          </cell>
          <cell r="AE203">
            <v>12</v>
          </cell>
          <cell r="AF203">
            <v>7</v>
          </cell>
          <cell r="BG203">
            <v>16</v>
          </cell>
          <cell r="BL203" t="str">
            <v>Dinosaur</v>
          </cell>
          <cell r="BM203" t="str">
            <v>MM</v>
          </cell>
          <cell r="BN203">
            <v>61</v>
          </cell>
          <cell r="BP203" t="b">
            <v>1</v>
          </cell>
          <cell r="BQ203" t="b">
            <v>0</v>
          </cell>
          <cell r="BR203" t="b">
            <v>0</v>
          </cell>
          <cell r="BS203">
            <v>6</v>
          </cell>
          <cell r="BT203" t="str">
            <v/>
          </cell>
          <cell r="BV203" t="b">
            <v>0</v>
          </cell>
          <cell r="BW203">
            <v>15</v>
          </cell>
          <cell r="BX203" t="str">
            <v/>
          </cell>
          <cell r="BY203" t="b">
            <v>1</v>
          </cell>
          <cell r="BZ203" t="b">
            <v>0</v>
          </cell>
          <cell r="CA203">
            <v>6</v>
          </cell>
          <cell r="CB203" t="str">
            <v/>
          </cell>
          <cell r="CD203" t="b">
            <v>0</v>
          </cell>
          <cell r="CE203">
            <v>6</v>
          </cell>
          <cell r="CF203" t="str">
            <v/>
          </cell>
          <cell r="CJ203" t="str">
            <v/>
          </cell>
        </row>
        <row r="204">
          <cell r="A204" t="str">
            <v>Tyrannosaurus</v>
          </cell>
          <cell r="C204" t="str">
            <v>Huge</v>
          </cell>
          <cell r="D204" t="str">
            <v>Animal</v>
          </cell>
          <cell r="F204">
            <v>18</v>
          </cell>
          <cell r="G204">
            <v>40</v>
          </cell>
          <cell r="M204">
            <v>5</v>
          </cell>
          <cell r="N204" t="str">
            <v>Bite+6+0+2</v>
          </cell>
          <cell r="S204" t="str">
            <v>normal</v>
          </cell>
          <cell r="AA204">
            <v>28</v>
          </cell>
          <cell r="AB204">
            <v>12</v>
          </cell>
          <cell r="AC204">
            <v>21</v>
          </cell>
          <cell r="AD204">
            <v>2</v>
          </cell>
          <cell r="AE204">
            <v>15</v>
          </cell>
          <cell r="AF204">
            <v>10</v>
          </cell>
          <cell r="BG204">
            <v>16</v>
          </cell>
          <cell r="BL204" t="str">
            <v>Dinosaur</v>
          </cell>
          <cell r="BM204" t="str">
            <v>MM</v>
          </cell>
          <cell r="BN204">
            <v>61</v>
          </cell>
          <cell r="BP204" t="b">
            <v>1</v>
          </cell>
          <cell r="BQ204" t="b">
            <v>0</v>
          </cell>
          <cell r="BR204" t="b">
            <v>0</v>
          </cell>
          <cell r="BS204">
            <v>6</v>
          </cell>
          <cell r="BT204" t="str">
            <v/>
          </cell>
          <cell r="BV204" t="b">
            <v>0</v>
          </cell>
          <cell r="BW204">
            <v>15</v>
          </cell>
          <cell r="BX204" t="str">
            <v/>
          </cell>
          <cell r="BY204" t="b">
            <v>1</v>
          </cell>
          <cell r="BZ204" t="b">
            <v>0</v>
          </cell>
          <cell r="CA204">
            <v>6</v>
          </cell>
          <cell r="CB204" t="str">
            <v/>
          </cell>
          <cell r="CD204" t="b">
            <v>0</v>
          </cell>
          <cell r="CE204">
            <v>6</v>
          </cell>
          <cell r="CF204" t="str">
            <v/>
          </cell>
          <cell r="CJ204" t="str">
            <v/>
          </cell>
        </row>
        <row r="205">
          <cell r="A205" t="str">
            <v>Unicorn</v>
          </cell>
          <cell r="C205" t="str">
            <v>Large</v>
          </cell>
          <cell r="D205" t="str">
            <v>Magical Beast</v>
          </cell>
          <cell r="F205">
            <v>4</v>
          </cell>
          <cell r="G205">
            <v>60</v>
          </cell>
          <cell r="M205">
            <v>6</v>
          </cell>
          <cell r="N205" t="str">
            <v>Horn+5+0+2,2 Hooves+3+0+0</v>
          </cell>
          <cell r="O205" t="str">
            <v>1d8;1d4</v>
          </cell>
          <cell r="AA205">
            <v>20</v>
          </cell>
          <cell r="AB205">
            <v>17</v>
          </cell>
          <cell r="AC205">
            <v>21</v>
          </cell>
          <cell r="AD205">
            <v>10</v>
          </cell>
          <cell r="AE205">
            <v>21</v>
          </cell>
          <cell r="AF205">
            <v>24</v>
          </cell>
          <cell r="BB205" t="str">
            <v>Chaotic Good</v>
          </cell>
          <cell r="BG205">
            <v>7</v>
          </cell>
          <cell r="BM205" t="str">
            <v>MM</v>
          </cell>
          <cell r="BN205">
            <v>249</v>
          </cell>
          <cell r="BP205" t="b">
            <v>1</v>
          </cell>
          <cell r="BQ205" t="b">
            <v>0</v>
          </cell>
          <cell r="BR205" t="b">
            <v>0</v>
          </cell>
          <cell r="BS205">
            <v>6</v>
          </cell>
          <cell r="BT205" t="str">
            <v/>
          </cell>
          <cell r="BV205" t="b">
            <v>0</v>
          </cell>
          <cell r="BW205">
            <v>15</v>
          </cell>
          <cell r="BX205" t="str">
            <v/>
          </cell>
          <cell r="BY205" t="b">
            <v>0</v>
          </cell>
          <cell r="BZ205" t="b">
            <v>0</v>
          </cell>
          <cell r="CA205">
            <v>6</v>
          </cell>
          <cell r="CB205" t="str">
            <v/>
          </cell>
          <cell r="CC205" t="b">
            <v>0</v>
          </cell>
          <cell r="CD205" t="b">
            <v>0</v>
          </cell>
          <cell r="CE205">
            <v>6</v>
          </cell>
          <cell r="CF205" t="str">
            <v/>
          </cell>
          <cell r="CJ205" t="str">
            <v/>
          </cell>
        </row>
        <row r="206">
          <cell r="A206" t="str">
            <v>Vargouille</v>
          </cell>
          <cell r="C206" t="str">
            <v>Small</v>
          </cell>
          <cell r="D206" t="str">
            <v>Magical Beast</v>
          </cell>
          <cell r="F206">
            <v>1</v>
          </cell>
          <cell r="J206">
            <v>30</v>
          </cell>
          <cell r="K206" t="str">
            <v>good</v>
          </cell>
          <cell r="M206">
            <v>0</v>
          </cell>
          <cell r="N206" t="str">
            <v>Bite+5+0+2</v>
          </cell>
          <cell r="O206" t="str">
            <v>1d4;</v>
          </cell>
          <cell r="T206">
            <v>60</v>
          </cell>
          <cell r="AA206">
            <v>10</v>
          </cell>
          <cell r="AB206">
            <v>13</v>
          </cell>
          <cell r="AC206">
            <v>12</v>
          </cell>
          <cell r="AD206">
            <v>5</v>
          </cell>
          <cell r="AE206">
            <v>12</v>
          </cell>
          <cell r="AF206">
            <v>8</v>
          </cell>
          <cell r="AG206" t="str">
            <v>0;0</v>
          </cell>
          <cell r="AH206" t="str">
            <v>0;0</v>
          </cell>
          <cell r="AI206" t="str">
            <v>0;0</v>
          </cell>
          <cell r="AJ206" t="str">
            <v>0;0</v>
          </cell>
          <cell r="AK206" t="str">
            <v>0;0</v>
          </cell>
          <cell r="AL206" t="str">
            <v>4;4</v>
          </cell>
          <cell r="AN206" t="str">
            <v>4;0</v>
          </cell>
          <cell r="AO206" t="str">
            <v>0;0</v>
          </cell>
          <cell r="AP206" t="str">
            <v>4;0</v>
          </cell>
          <cell r="AQ206" t="str">
            <v>4;0</v>
          </cell>
          <cell r="AR206" t="str">
            <v>0;0</v>
          </cell>
          <cell r="AS206" t="str">
            <v>0;0</v>
          </cell>
          <cell r="AT206" t="str">
            <v>0;0</v>
          </cell>
          <cell r="AU206" t="str">
            <v>4;0</v>
          </cell>
          <cell r="AV206" t="str">
            <v>0;0</v>
          </cell>
          <cell r="AW206" t="str">
            <v>0;0</v>
          </cell>
          <cell r="AX206" t="str">
            <v>Weapon Finesse;</v>
          </cell>
          <cell r="BB206" t="str">
            <v>Neutral Evil</v>
          </cell>
          <cell r="BD206" t="str">
            <v>Shriek;Kiss;Poison</v>
          </cell>
          <cell r="BF206">
            <v>7</v>
          </cell>
          <cell r="BH206" t="str">
            <v>Improved</v>
          </cell>
          <cell r="BM206" t="str">
            <v>MM</v>
          </cell>
          <cell r="BP206" t="b">
            <v>1</v>
          </cell>
          <cell r="BQ206" t="b">
            <v>0</v>
          </cell>
          <cell r="BR206" t="b">
            <v>0</v>
          </cell>
          <cell r="BS206">
            <v>6</v>
          </cell>
          <cell r="BT206" t="str">
            <v/>
          </cell>
          <cell r="BV206" t="b">
            <v>0</v>
          </cell>
          <cell r="BW206">
            <v>15</v>
          </cell>
          <cell r="BX206" t="str">
            <v/>
          </cell>
          <cell r="BZ206" t="b">
            <v>0</v>
          </cell>
          <cell r="CA206">
            <v>6</v>
          </cell>
          <cell r="CB206" t="str">
            <v/>
          </cell>
          <cell r="CD206" t="b">
            <v>0</v>
          </cell>
          <cell r="CE206">
            <v>6</v>
          </cell>
          <cell r="CF206" t="str">
            <v/>
          </cell>
          <cell r="CJ206" t="str">
            <v/>
          </cell>
        </row>
        <row r="207">
          <cell r="A207" t="str">
            <v>Weasel</v>
          </cell>
          <cell r="C207" t="str">
            <v>Tiny</v>
          </cell>
          <cell r="D207" t="str">
            <v>Animal</v>
          </cell>
          <cell r="F207">
            <v>0.5</v>
          </cell>
          <cell r="G207">
            <v>20</v>
          </cell>
          <cell r="I207">
            <v>20</v>
          </cell>
          <cell r="M207">
            <v>0</v>
          </cell>
          <cell r="N207" t="str">
            <v>Bite+5+0+2</v>
          </cell>
          <cell r="O207" t="str">
            <v>1d3;</v>
          </cell>
          <cell r="S207" t="str">
            <v>normal</v>
          </cell>
          <cell r="AA207">
            <v>3</v>
          </cell>
          <cell r="AB207">
            <v>15</v>
          </cell>
          <cell r="AC207">
            <v>10</v>
          </cell>
          <cell r="AD207">
            <v>2</v>
          </cell>
          <cell r="AE207">
            <v>12</v>
          </cell>
          <cell r="AF207">
            <v>5</v>
          </cell>
          <cell r="AG207" t="str">
            <v>0;8</v>
          </cell>
          <cell r="AH207" t="str">
            <v>0;0</v>
          </cell>
          <cell r="AI207" t="str">
            <v>0;8</v>
          </cell>
          <cell r="AJ207" t="str">
            <v>0;0</v>
          </cell>
          <cell r="AK207" t="str">
            <v>0;0</v>
          </cell>
          <cell r="AL207" t="str">
            <v>1;8</v>
          </cell>
          <cell r="AN207" t="str">
            <v>0;0</v>
          </cell>
          <cell r="AO207" t="str">
            <v>0;-6</v>
          </cell>
          <cell r="AP207" t="str">
            <v>0;0</v>
          </cell>
          <cell r="AQ207" t="str">
            <v>2;4</v>
          </cell>
          <cell r="AR207" t="str">
            <v>0;0</v>
          </cell>
          <cell r="AS207" t="str">
            <v>0;0</v>
          </cell>
          <cell r="AT207" t="str">
            <v>0;0</v>
          </cell>
          <cell r="AU207" t="str">
            <v>2;0</v>
          </cell>
          <cell r="AV207" t="str">
            <v>0;0</v>
          </cell>
          <cell r="AW207" t="str">
            <v>0;0</v>
          </cell>
          <cell r="AX207" t="str">
            <v>Weapon Finesse</v>
          </cell>
          <cell r="BA207">
            <v>0</v>
          </cell>
          <cell r="BB207" t="str">
            <v>Neutral</v>
          </cell>
          <cell r="BD207" t="str">
            <v>Scent</v>
          </cell>
          <cell r="BF207">
            <v>1</v>
          </cell>
          <cell r="BH207" t="str">
            <v>Normal</v>
          </cell>
          <cell r="BM207" t="str">
            <v>MM</v>
          </cell>
          <cell r="BN207">
            <v>282</v>
          </cell>
          <cell r="BP207" t="b">
            <v>1</v>
          </cell>
          <cell r="BQ207" t="b">
            <v>0</v>
          </cell>
          <cell r="BR207" t="b">
            <v>0</v>
          </cell>
          <cell r="BS207">
            <v>6</v>
          </cell>
          <cell r="BT207" t="str">
            <v/>
          </cell>
          <cell r="BV207" t="b">
            <v>1</v>
          </cell>
          <cell r="BW207">
            <v>16</v>
          </cell>
          <cell r="BX207" t="str">
            <v/>
          </cell>
          <cell r="BZ207" t="b">
            <v>0</v>
          </cell>
          <cell r="CA207">
            <v>6</v>
          </cell>
          <cell r="CB207" t="str">
            <v/>
          </cell>
          <cell r="CD207" t="b">
            <v>0</v>
          </cell>
          <cell r="CE207">
            <v>6</v>
          </cell>
          <cell r="CF207" t="str">
            <v/>
          </cell>
          <cell r="CJ207" t="str">
            <v/>
          </cell>
        </row>
        <row r="208">
          <cell r="A208" t="str">
            <v>Whale, Orca</v>
          </cell>
          <cell r="C208" t="str">
            <v>Huge</v>
          </cell>
          <cell r="D208" t="str">
            <v>Animal</v>
          </cell>
          <cell r="N208" t="str">
            <v/>
          </cell>
          <cell r="BG208">
            <v>10</v>
          </cell>
          <cell r="BM208" t="str">
            <v>MM</v>
          </cell>
          <cell r="BN208">
            <v>283</v>
          </cell>
          <cell r="BP208" t="b">
            <v>1</v>
          </cell>
          <cell r="BQ208" t="b">
            <v>0</v>
          </cell>
          <cell r="BR208" t="b">
            <v>0</v>
          </cell>
          <cell r="BS208">
            <v>6</v>
          </cell>
          <cell r="BT208" t="str">
            <v/>
          </cell>
          <cell r="BV208" t="b">
            <v>0</v>
          </cell>
          <cell r="BW208">
            <v>16</v>
          </cell>
          <cell r="BX208" t="str">
            <v/>
          </cell>
          <cell r="BY208" t="b">
            <v>1</v>
          </cell>
          <cell r="BZ208" t="b">
            <v>0</v>
          </cell>
          <cell r="CA208">
            <v>6</v>
          </cell>
          <cell r="CB208" t="str">
            <v/>
          </cell>
          <cell r="CD208" t="b">
            <v>0</v>
          </cell>
          <cell r="CE208">
            <v>6</v>
          </cell>
          <cell r="CF208" t="str">
            <v/>
          </cell>
          <cell r="CJ208" t="str">
            <v/>
          </cell>
        </row>
        <row r="209">
          <cell r="A209" t="str">
            <v>Winter Wolf</v>
          </cell>
          <cell r="C209" t="str">
            <v>Large</v>
          </cell>
          <cell r="D209" t="str">
            <v>Magical Beast</v>
          </cell>
          <cell r="F209">
            <v>6</v>
          </cell>
          <cell r="G209">
            <v>50</v>
          </cell>
          <cell r="M209">
            <v>5</v>
          </cell>
          <cell r="N209" t="str">
            <v>Bite+5+0+2</v>
          </cell>
          <cell r="O209" t="str">
            <v>1d8;</v>
          </cell>
          <cell r="S209" t="str">
            <v>normal</v>
          </cell>
          <cell r="T209">
            <v>60</v>
          </cell>
          <cell r="U209" t="str">
            <v>cold</v>
          </cell>
          <cell r="V209" t="str">
            <v>fire</v>
          </cell>
          <cell r="AA209">
            <v>18</v>
          </cell>
          <cell r="AB209">
            <v>13</v>
          </cell>
          <cell r="AC209">
            <v>16</v>
          </cell>
          <cell r="AD209">
            <v>9</v>
          </cell>
          <cell r="AE209">
            <v>13</v>
          </cell>
          <cell r="AF209">
            <v>10</v>
          </cell>
          <cell r="AG209" t="str">
            <v>0;0</v>
          </cell>
          <cell r="AH209" t="str">
            <v>0;0</v>
          </cell>
          <cell r="AI209" t="str">
            <v>0;0</v>
          </cell>
          <cell r="AJ209" t="str">
            <v>0;0</v>
          </cell>
          <cell r="AK209" t="str">
            <v>0;0</v>
          </cell>
          <cell r="AL209" t="str">
            <v>0;-2</v>
          </cell>
          <cell r="AN209" t="str">
            <v>0;0</v>
          </cell>
          <cell r="AO209" t="str">
            <v>0;8</v>
          </cell>
          <cell r="AP209" t="str">
            <v>2;3</v>
          </cell>
          <cell r="AQ209" t="str">
            <v>5;1</v>
          </cell>
          <cell r="AR209" t="str">
            <v>0;0</v>
          </cell>
          <cell r="AS209" t="str">
            <v>0;0</v>
          </cell>
          <cell r="AT209" t="str">
            <v>0;0</v>
          </cell>
          <cell r="AU209" t="str">
            <v>2;3</v>
          </cell>
          <cell r="AV209" t="str">
            <v>0;0</v>
          </cell>
          <cell r="AW209" t="str">
            <v>0;0</v>
          </cell>
          <cell r="AX209" t="str">
            <v>Alertness;Improved Initiative;Track;</v>
          </cell>
          <cell r="BB209" t="str">
            <v>Neutral Evil</v>
          </cell>
          <cell r="BD209" t="str">
            <v>Breath Weapon;Freezing Bite;Trip</v>
          </cell>
          <cell r="BF209">
            <v>7</v>
          </cell>
          <cell r="BH209" t="str">
            <v>Improved</v>
          </cell>
          <cell r="BM209" t="str">
            <v>MM</v>
          </cell>
          <cell r="BN209">
            <v>256</v>
          </cell>
          <cell r="BO209" t="str">
            <v>CW</v>
          </cell>
          <cell r="BP209" t="b">
            <v>1</v>
          </cell>
          <cell r="BQ209" t="b">
            <v>0</v>
          </cell>
          <cell r="BR209" t="b">
            <v>0</v>
          </cell>
          <cell r="BS209">
            <v>6</v>
          </cell>
          <cell r="BT209" t="str">
            <v/>
          </cell>
          <cell r="BU209" t="b">
            <v>0</v>
          </cell>
          <cell r="BV209" t="b">
            <v>0</v>
          </cell>
          <cell r="BW209">
            <v>16</v>
          </cell>
          <cell r="BX209" t="str">
            <v/>
          </cell>
          <cell r="BZ209" t="b">
            <v>0</v>
          </cell>
          <cell r="CA209">
            <v>6</v>
          </cell>
          <cell r="CB209" t="str">
            <v/>
          </cell>
          <cell r="CD209" t="b">
            <v>0</v>
          </cell>
          <cell r="CE209">
            <v>6</v>
          </cell>
          <cell r="CF209" t="str">
            <v/>
          </cell>
          <cell r="CJ209" t="str">
            <v/>
          </cell>
        </row>
        <row r="210">
          <cell r="A210" t="str">
            <v>Wolf</v>
          </cell>
          <cell r="C210" t="str">
            <v>Medium</v>
          </cell>
          <cell r="D210" t="str">
            <v>Animal</v>
          </cell>
          <cell r="F210">
            <v>2</v>
          </cell>
          <cell r="G210">
            <v>50</v>
          </cell>
          <cell r="M210">
            <v>2</v>
          </cell>
          <cell r="N210" t="str">
            <v>Bite+5+0+2</v>
          </cell>
          <cell r="S210" t="str">
            <v>normal</v>
          </cell>
          <cell r="AA210">
            <v>13</v>
          </cell>
          <cell r="AB210">
            <v>15</v>
          </cell>
          <cell r="AC210">
            <v>15</v>
          </cell>
          <cell r="AD210">
            <v>2</v>
          </cell>
          <cell r="AE210">
            <v>12</v>
          </cell>
          <cell r="AF210">
            <v>6</v>
          </cell>
          <cell r="AG210" t="str">
            <v>Hide,Listen,Move Silently,Spot</v>
          </cell>
          <cell r="BA210">
            <v>2</v>
          </cell>
          <cell r="BB210" t="str">
            <v>Chaotic Evil</v>
          </cell>
          <cell r="BG210">
            <v>1</v>
          </cell>
          <cell r="BM210" t="str">
            <v>MM</v>
          </cell>
          <cell r="BN210">
            <v>283</v>
          </cell>
          <cell r="BP210" t="b">
            <v>1</v>
          </cell>
          <cell r="BQ210" t="b">
            <v>1</v>
          </cell>
          <cell r="BR210" t="b">
            <v>0</v>
          </cell>
          <cell r="BS210">
            <v>6</v>
          </cell>
          <cell r="BT210" t="str">
            <v/>
          </cell>
          <cell r="BV210" t="b">
            <v>0</v>
          </cell>
          <cell r="BW210">
            <v>16</v>
          </cell>
          <cell r="BX210" t="str">
            <v/>
          </cell>
          <cell r="BY210" t="b">
            <v>1</v>
          </cell>
          <cell r="BZ210" t="b">
            <v>0</v>
          </cell>
          <cell r="CA210">
            <v>6</v>
          </cell>
          <cell r="CB210" t="str">
            <v/>
          </cell>
          <cell r="CD210" t="b">
            <v>0</v>
          </cell>
          <cell r="CE210">
            <v>6</v>
          </cell>
          <cell r="CF210" t="str">
            <v/>
          </cell>
          <cell r="CJ210" t="str">
            <v/>
          </cell>
        </row>
        <row r="211">
          <cell r="A211" t="str">
            <v>Wolf Lizard</v>
          </cell>
          <cell r="N211" t="str">
            <v/>
          </cell>
          <cell r="BG211">
            <v>1</v>
          </cell>
          <cell r="BM211" t="str">
            <v>PGtA</v>
          </cell>
          <cell r="BP211" t="b">
            <v>0</v>
          </cell>
          <cell r="BQ211" t="b">
            <v>0</v>
          </cell>
          <cell r="BR211" t="b">
            <v>0</v>
          </cell>
          <cell r="BS211">
            <v>6</v>
          </cell>
          <cell r="BT211" t="str">
            <v/>
          </cell>
          <cell r="BV211" t="b">
            <v>0</v>
          </cell>
          <cell r="BW211">
            <v>16</v>
          </cell>
          <cell r="BX211" t="str">
            <v/>
          </cell>
          <cell r="BY211" t="b">
            <v>1</v>
          </cell>
          <cell r="BZ211" t="b">
            <v>0</v>
          </cell>
          <cell r="CA211">
            <v>6</v>
          </cell>
          <cell r="CB211" t="str">
            <v/>
          </cell>
          <cell r="CD211" t="b">
            <v>0</v>
          </cell>
          <cell r="CE211">
            <v>6</v>
          </cell>
          <cell r="CF211" t="str">
            <v/>
          </cell>
          <cell r="CJ211" t="str">
            <v/>
          </cell>
        </row>
        <row r="212">
          <cell r="A212" t="str">
            <v>Wolverine</v>
          </cell>
          <cell r="C212" t="str">
            <v>Medium</v>
          </cell>
          <cell r="D212" t="str">
            <v>Animal</v>
          </cell>
          <cell r="N212" t="str">
            <v/>
          </cell>
          <cell r="BG212">
            <v>4</v>
          </cell>
          <cell r="BM212" t="str">
            <v>MM</v>
          </cell>
          <cell r="BN212">
            <v>283</v>
          </cell>
          <cell r="BP212" t="b">
            <v>1</v>
          </cell>
          <cell r="BQ212" t="b">
            <v>0</v>
          </cell>
          <cell r="BR212" t="b">
            <v>0</v>
          </cell>
          <cell r="BS212">
            <v>6</v>
          </cell>
          <cell r="BT212" t="str">
            <v/>
          </cell>
          <cell r="BV212" t="b">
            <v>0</v>
          </cell>
          <cell r="BW212">
            <v>16</v>
          </cell>
          <cell r="BX212" t="str">
            <v/>
          </cell>
          <cell r="BY212" t="b">
            <v>1</v>
          </cell>
          <cell r="BZ212" t="b">
            <v>0</v>
          </cell>
          <cell r="CA212">
            <v>6</v>
          </cell>
          <cell r="CB212" t="str">
            <v/>
          </cell>
          <cell r="CD212" t="b">
            <v>0</v>
          </cell>
          <cell r="CE212">
            <v>6</v>
          </cell>
          <cell r="CF212" t="str">
            <v/>
          </cell>
          <cell r="CJ212" t="str">
            <v/>
          </cell>
        </row>
        <row r="213">
          <cell r="A213" t="str">
            <v>Worg</v>
          </cell>
          <cell r="C213" t="str">
            <v>Medium</v>
          </cell>
          <cell r="D213" t="str">
            <v>Magical Beast</v>
          </cell>
          <cell r="F213">
            <v>4</v>
          </cell>
          <cell r="G213">
            <v>50</v>
          </cell>
          <cell r="M213">
            <v>2</v>
          </cell>
          <cell r="N213" t="str">
            <v>Bite+5+0+2</v>
          </cell>
          <cell r="O213" t="str">
            <v>1d6;</v>
          </cell>
          <cell r="S213" t="str">
            <v>normal</v>
          </cell>
          <cell r="T213">
            <v>60</v>
          </cell>
          <cell r="AA213">
            <v>17</v>
          </cell>
          <cell r="AB213">
            <v>15</v>
          </cell>
          <cell r="AC213">
            <v>15</v>
          </cell>
          <cell r="AD213">
            <v>6</v>
          </cell>
          <cell r="AE213">
            <v>14</v>
          </cell>
          <cell r="AF213">
            <v>10</v>
          </cell>
          <cell r="AG213" t="str">
            <v>0;0</v>
          </cell>
          <cell r="AH213" t="str">
            <v>0;0</v>
          </cell>
          <cell r="AI213" t="str">
            <v>0;0</v>
          </cell>
          <cell r="AJ213" t="str">
            <v>0;0</v>
          </cell>
          <cell r="AK213" t="str">
            <v>0;0</v>
          </cell>
          <cell r="AL213" t="str">
            <v>0;2</v>
          </cell>
          <cell r="AN213" t="str">
            <v>0;0</v>
          </cell>
          <cell r="AO213" t="str">
            <v>0;8</v>
          </cell>
          <cell r="AP213" t="str">
            <v>1;3</v>
          </cell>
          <cell r="AQ213" t="str">
            <v>3;1</v>
          </cell>
          <cell r="AR213" t="str">
            <v>0;0</v>
          </cell>
          <cell r="AS213" t="str">
            <v>0;0</v>
          </cell>
          <cell r="AT213" t="str">
            <v>0;0</v>
          </cell>
          <cell r="AU213" t="str">
            <v>1;3</v>
          </cell>
          <cell r="AV213" t="str">
            <v>0;0</v>
          </cell>
          <cell r="AW213" t="str">
            <v>0;0</v>
          </cell>
          <cell r="AX213" t="str">
            <v>Alertness;Track;</v>
          </cell>
          <cell r="BB213" t="str">
            <v>Neutral Evil</v>
          </cell>
          <cell r="BD213" t="str">
            <v>Trip;Scent</v>
          </cell>
          <cell r="BF213">
            <v>3</v>
          </cell>
          <cell r="BH213" t="str">
            <v>Improved</v>
          </cell>
          <cell r="BM213" t="str">
            <v>MM</v>
          </cell>
          <cell r="BN213">
            <v>256</v>
          </cell>
          <cell r="BO213" t="str">
            <v>CW</v>
          </cell>
          <cell r="BP213" t="b">
            <v>1</v>
          </cell>
          <cell r="BQ213" t="b">
            <v>0</v>
          </cell>
          <cell r="BR213" t="b">
            <v>0</v>
          </cell>
          <cell r="BS213">
            <v>6</v>
          </cell>
          <cell r="BT213" t="str">
            <v/>
          </cell>
          <cell r="BU213" t="b">
            <v>0</v>
          </cell>
          <cell r="BV213" t="b">
            <v>0</v>
          </cell>
          <cell r="BW213">
            <v>16</v>
          </cell>
          <cell r="BX213" t="str">
            <v/>
          </cell>
          <cell r="BZ213" t="b">
            <v>0</v>
          </cell>
          <cell r="CA213">
            <v>6</v>
          </cell>
          <cell r="CB213" t="str">
            <v/>
          </cell>
          <cell r="CD213" t="b">
            <v>0</v>
          </cell>
          <cell r="CE213">
            <v>6</v>
          </cell>
          <cell r="CF213" t="str">
            <v/>
          </cell>
          <cell r="CJ213" t="str">
            <v/>
          </cell>
        </row>
        <row r="214">
          <cell r="A214" t="str">
            <v>Custom Familiar</v>
          </cell>
          <cell r="C214" t="str">
            <v/>
          </cell>
          <cell r="D214" t="str">
            <v>Magical Beast</v>
          </cell>
          <cell r="F214">
            <v>0</v>
          </cell>
          <cell r="G214">
            <v>0</v>
          </cell>
          <cell r="H214">
            <v>0</v>
          </cell>
          <cell r="I214">
            <v>0</v>
          </cell>
          <cell r="J214">
            <v>0</v>
          </cell>
          <cell r="K214" t="str">
            <v/>
          </cell>
          <cell r="L214">
            <v>0</v>
          </cell>
          <cell r="M214">
            <v>0</v>
          </cell>
          <cell r="N214" t="str">
            <v/>
          </cell>
          <cell r="O214" t="str">
            <v/>
          </cell>
          <cell r="X214" t="str">
            <v/>
          </cell>
          <cell r="Y214" t="str">
            <v/>
          </cell>
          <cell r="AA214">
            <v>0</v>
          </cell>
          <cell r="AB214">
            <v>0</v>
          </cell>
          <cell r="AC214">
            <v>0</v>
          </cell>
          <cell r="AD214">
            <v>0</v>
          </cell>
          <cell r="AE214">
            <v>0</v>
          </cell>
          <cell r="AF214">
            <v>0</v>
          </cell>
          <cell r="AG214" t="str">
            <v>0;0</v>
          </cell>
          <cell r="AH214" t="str">
            <v>0;0</v>
          </cell>
          <cell r="AI214" t="str">
            <v>0;0</v>
          </cell>
          <cell r="AJ214" t="str">
            <v>0;0</v>
          </cell>
          <cell r="AK214" t="str">
            <v>0;0</v>
          </cell>
          <cell r="AL214" t="str">
            <v>0;0</v>
          </cell>
          <cell r="AN214" t="str">
            <v>0;0</v>
          </cell>
          <cell r="AO214" t="str">
            <v>0;0</v>
          </cell>
          <cell r="AP214" t="str">
            <v>0;0</v>
          </cell>
          <cell r="AQ214" t="str">
            <v>0;0</v>
          </cell>
          <cell r="AR214" t="str">
            <v>0;0</v>
          </cell>
          <cell r="AS214" t="str">
            <v>0;0</v>
          </cell>
          <cell r="AT214" t="str">
            <v>0;0</v>
          </cell>
          <cell r="AU214" t="str">
            <v>0;0</v>
          </cell>
          <cell r="AV214" t="str">
            <v>0;0</v>
          </cell>
          <cell r="AW214" t="str">
            <v>0;0</v>
          </cell>
          <cell r="AX214" t="str">
            <v/>
          </cell>
          <cell r="BB214" t="str">
            <v/>
          </cell>
          <cell r="BD214" t="str">
            <v/>
          </cell>
          <cell r="BF214">
            <v>1</v>
          </cell>
          <cell r="BM214" t="str">
            <v>CUST`</v>
          </cell>
          <cell r="BQ214" t="b">
            <v>0</v>
          </cell>
          <cell r="BR214" t="b">
            <v>0</v>
          </cell>
          <cell r="BS214">
            <v>6</v>
          </cell>
          <cell r="BT214" t="str">
            <v/>
          </cell>
          <cell r="BV214" t="b">
            <v>1</v>
          </cell>
          <cell r="BW214">
            <v>17</v>
          </cell>
          <cell r="BX214" t="str">
            <v/>
          </cell>
          <cell r="BZ214" t="b">
            <v>0</v>
          </cell>
          <cell r="CA214">
            <v>6</v>
          </cell>
          <cell r="CB214" t="str">
            <v/>
          </cell>
          <cell r="CD214" t="b">
            <v>0</v>
          </cell>
          <cell r="CE214">
            <v>6</v>
          </cell>
          <cell r="CF214" t="str">
            <v/>
          </cell>
          <cell r="CJ214" t="str">
            <v/>
          </cell>
        </row>
      </sheetData>
      <sheetData sheetId="11">
        <row r="5">
          <cell r="J5" t="str">
            <v>Fine</v>
          </cell>
        </row>
        <row r="6">
          <cell r="J6" t="str">
            <v>Diminutive</v>
          </cell>
        </row>
        <row r="7">
          <cell r="B7" t="str">
            <v>Human</v>
          </cell>
          <cell r="J7" t="str">
            <v>Tiny</v>
          </cell>
        </row>
        <row r="8">
          <cell r="B8" t="b">
            <v>1</v>
          </cell>
          <cell r="J8" t="str">
            <v>Small</v>
          </cell>
        </row>
        <row r="9">
          <cell r="B9" t="str">
            <v>Dwarf</v>
          </cell>
          <cell r="J9" t="str">
            <v>Medium</v>
          </cell>
        </row>
        <row r="10">
          <cell r="B10" t="str">
            <v/>
          </cell>
          <cell r="J10" t="str">
            <v>Medium(long)</v>
          </cell>
        </row>
        <row r="11">
          <cell r="B11" t="str">
            <v>Hill</v>
          </cell>
          <cell r="J11" t="str">
            <v>Large</v>
          </cell>
        </row>
        <row r="12">
          <cell r="B12" t="str">
            <v>Dwarf, Hill</v>
          </cell>
          <cell r="J12" t="str">
            <v>Large(long)</v>
          </cell>
        </row>
        <row r="13">
          <cell r="B13" t="str">
            <v>,Dwarf,</v>
          </cell>
          <cell r="J13" t="str">
            <v>Huge</v>
          </cell>
        </row>
        <row r="14">
          <cell r="B14" t="str">
            <v/>
          </cell>
          <cell r="J14" t="str">
            <v>Huge(long)</v>
          </cell>
        </row>
        <row r="15">
          <cell r="B15" t="b">
            <v>0</v>
          </cell>
          <cell r="J15" t="str">
            <v>Gargantuan</v>
          </cell>
        </row>
        <row r="16">
          <cell r="B16" t="b">
            <v>0</v>
          </cell>
          <cell r="J16" t="str">
            <v>Gargantuan(long)</v>
          </cell>
        </row>
        <row r="17">
          <cell r="B17" t="b">
            <v>0</v>
          </cell>
          <cell r="J17" t="str">
            <v>Colossal</v>
          </cell>
        </row>
        <row r="18">
          <cell r="J18" t="str">
            <v>Colossal(long)</v>
          </cell>
        </row>
        <row r="20">
          <cell r="B20">
            <v>8</v>
          </cell>
          <cell r="C20">
            <v>8</v>
          </cell>
          <cell r="D20">
            <v>0.75</v>
          </cell>
          <cell r="E20">
            <v>0.34</v>
          </cell>
          <cell r="F20">
            <v>0.5</v>
          </cell>
          <cell r="G20">
            <v>0.34</v>
          </cell>
          <cell r="H20">
            <v>2</v>
          </cell>
        </row>
        <row r="21">
          <cell r="B21" t="str">
            <v>Constitution+2, Charisma-2</v>
          </cell>
        </row>
        <row r="30">
          <cell r="B30">
            <v>0</v>
          </cell>
        </row>
        <row r="31">
          <cell r="B31" t="str">
            <v>Medium</v>
          </cell>
        </row>
        <row r="32">
          <cell r="B32" t="b">
            <v>0</v>
          </cell>
        </row>
        <row r="33">
          <cell r="B33" t="str">
            <v>Medium</v>
          </cell>
          <cell r="C33">
            <v>5</v>
          </cell>
        </row>
        <row r="34">
          <cell r="B34" t="str">
            <v>5'/5'</v>
          </cell>
        </row>
        <row r="37">
          <cell r="A37" t="str">
            <v>Fine</v>
          </cell>
          <cell r="B37">
            <v>0.1</v>
          </cell>
          <cell r="C37">
            <v>0.125</v>
          </cell>
          <cell r="D37">
            <v>8</v>
          </cell>
          <cell r="E37">
            <v>16</v>
          </cell>
          <cell r="F37">
            <v>1</v>
          </cell>
          <cell r="G37">
            <v>0</v>
          </cell>
          <cell r="H37" t="str">
            <v>1/2</v>
          </cell>
          <cell r="I37">
            <v>0</v>
          </cell>
        </row>
        <row r="38">
          <cell r="A38" t="str">
            <v>Diminutive</v>
          </cell>
          <cell r="B38">
            <v>0.1</v>
          </cell>
          <cell r="C38">
            <v>0.25</v>
          </cell>
          <cell r="D38">
            <v>4</v>
          </cell>
          <cell r="E38">
            <v>12</v>
          </cell>
          <cell r="F38" t="str">
            <v>1d2</v>
          </cell>
          <cell r="G38">
            <v>1</v>
          </cell>
          <cell r="H38">
            <v>1</v>
          </cell>
          <cell r="I38">
            <v>0</v>
          </cell>
        </row>
        <row r="39">
          <cell r="A39" t="str">
            <v>Tiny</v>
          </cell>
          <cell r="B39">
            <v>0.1</v>
          </cell>
          <cell r="C39">
            <v>0.5</v>
          </cell>
          <cell r="D39">
            <v>2</v>
          </cell>
          <cell r="E39">
            <v>8</v>
          </cell>
          <cell r="F39" t="str">
            <v>1d3</v>
          </cell>
          <cell r="G39" t="str">
            <v>1d2</v>
          </cell>
          <cell r="H39">
            <v>2.5</v>
          </cell>
          <cell r="I39">
            <v>0</v>
          </cell>
        </row>
        <row r="40">
          <cell r="A40" t="str">
            <v>Small</v>
          </cell>
          <cell r="B40">
            <v>0.5</v>
          </cell>
          <cell r="C40">
            <v>0.75</v>
          </cell>
          <cell r="D40">
            <v>1</v>
          </cell>
          <cell r="E40">
            <v>4</v>
          </cell>
          <cell r="F40" t="str">
            <v>1d4</v>
          </cell>
          <cell r="G40" t="str">
            <v>1d3</v>
          </cell>
          <cell r="H40">
            <v>5</v>
          </cell>
          <cell r="I40">
            <v>5</v>
          </cell>
        </row>
        <row r="41">
          <cell r="A41" t="str">
            <v>Medium</v>
          </cell>
          <cell r="B41">
            <v>1</v>
          </cell>
          <cell r="C41">
            <v>1</v>
          </cell>
          <cell r="D41">
            <v>0</v>
          </cell>
          <cell r="E41">
            <v>0</v>
          </cell>
          <cell r="F41" t="str">
            <v>1d6</v>
          </cell>
          <cell r="G41" t="str">
            <v>1d4</v>
          </cell>
          <cell r="H41">
            <v>5</v>
          </cell>
          <cell r="I41">
            <v>5</v>
          </cell>
        </row>
        <row r="42">
          <cell r="A42" t="str">
            <v>Large</v>
          </cell>
          <cell r="B42">
            <v>2</v>
          </cell>
          <cell r="C42">
            <v>2</v>
          </cell>
          <cell r="D42">
            <v>-1</v>
          </cell>
          <cell r="E42">
            <v>-4</v>
          </cell>
          <cell r="F42" t="str">
            <v>1d8</v>
          </cell>
          <cell r="G42" t="str">
            <v>1d6</v>
          </cell>
          <cell r="H42">
            <v>10</v>
          </cell>
          <cell r="I42">
            <v>10</v>
          </cell>
          <cell r="J42">
            <v>5</v>
          </cell>
        </row>
        <row r="43">
          <cell r="A43" t="str">
            <v>Huge</v>
          </cell>
          <cell r="B43">
            <v>5</v>
          </cell>
          <cell r="C43">
            <v>4</v>
          </cell>
          <cell r="D43">
            <v>-2</v>
          </cell>
          <cell r="E43">
            <v>-8</v>
          </cell>
          <cell r="F43" t="str">
            <v>2d6</v>
          </cell>
          <cell r="G43" t="str">
            <v>1d8</v>
          </cell>
          <cell r="H43">
            <v>15</v>
          </cell>
          <cell r="I43">
            <v>15</v>
          </cell>
          <cell r="J43">
            <v>10</v>
          </cell>
        </row>
        <row r="44">
          <cell r="A44" t="str">
            <v>Gargantuan</v>
          </cell>
          <cell r="B44">
            <v>8</v>
          </cell>
          <cell r="C44">
            <v>8</v>
          </cell>
          <cell r="D44">
            <v>-4</v>
          </cell>
          <cell r="E44">
            <v>-12</v>
          </cell>
          <cell r="F44" t="str">
            <v>2d8</v>
          </cell>
          <cell r="G44" t="str">
            <v>2d6</v>
          </cell>
          <cell r="H44">
            <v>20</v>
          </cell>
          <cell r="I44">
            <v>20</v>
          </cell>
          <cell r="J44">
            <v>15</v>
          </cell>
        </row>
        <row r="45">
          <cell r="A45" t="str">
            <v>Colossal</v>
          </cell>
          <cell r="B45">
            <v>12</v>
          </cell>
          <cell r="C45">
            <v>16</v>
          </cell>
          <cell r="D45">
            <v>-8</v>
          </cell>
          <cell r="E45">
            <v>-16</v>
          </cell>
          <cell r="F45" t="str">
            <v>4d6</v>
          </cell>
          <cell r="G45" t="str">
            <v>2d8</v>
          </cell>
          <cell r="H45">
            <v>30</v>
          </cell>
          <cell r="I45">
            <v>25</v>
          </cell>
          <cell r="J45">
            <v>15</v>
          </cell>
        </row>
        <row r="47">
          <cell r="A47">
            <v>5</v>
          </cell>
          <cell r="B47">
            <v>1</v>
          </cell>
          <cell r="C47">
            <v>1</v>
          </cell>
          <cell r="D47">
            <v>0</v>
          </cell>
          <cell r="E47">
            <v>0</v>
          </cell>
          <cell r="H47">
            <v>5</v>
          </cell>
          <cell r="I47">
            <v>5</v>
          </cell>
          <cell r="J47">
            <v>0</v>
          </cell>
        </row>
        <row r="50">
          <cell r="B50" t="str">
            <v>Humanoid</v>
          </cell>
          <cell r="F50" t="b">
            <v>1</v>
          </cell>
        </row>
        <row r="54">
          <cell r="B54" t="str">
            <v>Humanoid (dwarf)</v>
          </cell>
          <cell r="C54" t="str">
            <v>Humanoid</v>
          </cell>
        </row>
        <row r="55">
          <cell r="B55">
            <v>11</v>
          </cell>
        </row>
        <row r="57">
          <cell r="A57" t="str">
            <v>Type</v>
          </cell>
          <cell r="B57" t="str">
            <v>Pyramid Value</v>
          </cell>
          <cell r="C57" t="str">
            <v>HD</v>
          </cell>
          <cell r="D57" t="str">
            <v>BAB</v>
          </cell>
          <cell r="E57" t="str">
            <v>Fortitude</v>
          </cell>
          <cell r="F57" t="str">
            <v>Reflex</v>
          </cell>
          <cell r="G57" t="str">
            <v>Will</v>
          </cell>
          <cell r="H57" t="str">
            <v>SkillPnts</v>
          </cell>
        </row>
        <row r="59">
          <cell r="A59" t="str">
            <v>Aberration</v>
          </cell>
          <cell r="B59">
            <v>5000</v>
          </cell>
          <cell r="C59">
            <v>8</v>
          </cell>
          <cell r="D59">
            <v>0.75</v>
          </cell>
          <cell r="E59">
            <v>0.34</v>
          </cell>
          <cell r="F59">
            <v>0.34</v>
          </cell>
          <cell r="G59">
            <v>0.5</v>
          </cell>
          <cell r="H59">
            <v>2</v>
          </cell>
          <cell r="J59" t="str">
            <v>Aberration</v>
          </cell>
        </row>
        <row r="60">
          <cell r="A60" t="str">
            <v>Animal</v>
          </cell>
          <cell r="B60">
            <v>1000</v>
          </cell>
          <cell r="C60">
            <v>8</v>
          </cell>
          <cell r="D60">
            <v>0.75</v>
          </cell>
          <cell r="E60">
            <v>0.5</v>
          </cell>
          <cell r="F60">
            <v>0.5</v>
          </cell>
          <cell r="G60">
            <v>0.34</v>
          </cell>
          <cell r="H60">
            <v>2</v>
          </cell>
          <cell r="J60" t="str">
            <v>Animal</v>
          </cell>
        </row>
        <row r="61">
          <cell r="A61" t="str">
            <v>Construct</v>
          </cell>
          <cell r="B61">
            <v>7000</v>
          </cell>
          <cell r="C61">
            <v>10</v>
          </cell>
          <cell r="D61">
            <v>0.75</v>
          </cell>
          <cell r="E61">
            <v>0.34</v>
          </cell>
          <cell r="F61">
            <v>0.34</v>
          </cell>
          <cell r="G61">
            <v>0.34</v>
          </cell>
          <cell r="H61">
            <v>2</v>
          </cell>
          <cell r="J61" t="str">
            <v>Construct</v>
          </cell>
        </row>
        <row r="62">
          <cell r="A62" t="str">
            <v>Deathless</v>
          </cell>
          <cell r="B62">
            <v>7000</v>
          </cell>
          <cell r="C62">
            <v>12</v>
          </cell>
          <cell r="D62">
            <v>0.5</v>
          </cell>
          <cell r="E62">
            <v>0.34</v>
          </cell>
          <cell r="F62">
            <v>0.34</v>
          </cell>
          <cell r="G62">
            <v>0.5</v>
          </cell>
          <cell r="H62">
            <v>4</v>
          </cell>
          <cell r="J62" t="str">
            <v>Deathless</v>
          </cell>
        </row>
        <row r="63">
          <cell r="A63" t="str">
            <v>Dragon</v>
          </cell>
          <cell r="B63">
            <v>4000</v>
          </cell>
          <cell r="C63">
            <v>12</v>
          </cell>
          <cell r="D63">
            <v>1</v>
          </cell>
          <cell r="E63">
            <v>0.5</v>
          </cell>
          <cell r="F63">
            <v>0.5</v>
          </cell>
          <cell r="G63">
            <v>0.5</v>
          </cell>
          <cell r="H63">
            <v>6</v>
          </cell>
          <cell r="J63" t="str">
            <v>Dragon</v>
          </cell>
        </row>
        <row r="64">
          <cell r="A64" t="str">
            <v>Elemental</v>
          </cell>
          <cell r="B64">
            <v>6000</v>
          </cell>
          <cell r="C64">
            <v>8</v>
          </cell>
          <cell r="D64">
            <v>0.75</v>
          </cell>
          <cell r="E64">
            <v>0.34</v>
          </cell>
          <cell r="F64">
            <v>0.34</v>
          </cell>
          <cell r="G64">
            <v>0.34</v>
          </cell>
          <cell r="H64">
            <v>2</v>
          </cell>
          <cell r="J64" t="str">
            <v>Elemental</v>
          </cell>
        </row>
        <row r="65">
          <cell r="A65" t="str">
            <v>Fey</v>
          </cell>
          <cell r="B65">
            <v>3000</v>
          </cell>
          <cell r="C65">
            <v>6</v>
          </cell>
          <cell r="D65">
            <v>0.5</v>
          </cell>
          <cell r="E65">
            <v>0.34</v>
          </cell>
          <cell r="F65">
            <v>0.5</v>
          </cell>
          <cell r="G65">
            <v>0.5</v>
          </cell>
          <cell r="H65">
            <v>6</v>
          </cell>
          <cell r="J65" t="str">
            <v>Fey</v>
          </cell>
        </row>
        <row r="66">
          <cell r="A66" t="str">
            <v>Giant</v>
          </cell>
          <cell r="B66">
            <v>3000</v>
          </cell>
          <cell r="C66">
            <v>8</v>
          </cell>
          <cell r="D66">
            <v>0.75</v>
          </cell>
          <cell r="E66">
            <v>0.5</v>
          </cell>
          <cell r="F66">
            <v>0.34</v>
          </cell>
          <cell r="G66">
            <v>0.34</v>
          </cell>
          <cell r="H66">
            <v>2</v>
          </cell>
          <cell r="J66" t="str">
            <v>Giant</v>
          </cell>
        </row>
        <row r="67">
          <cell r="A67" t="str">
            <v>Humanoid</v>
          </cell>
          <cell r="B67">
            <v>1000</v>
          </cell>
          <cell r="C67">
            <v>8</v>
          </cell>
          <cell r="D67">
            <v>0.75</v>
          </cell>
          <cell r="E67">
            <v>0.34</v>
          </cell>
          <cell r="F67">
            <v>0.5</v>
          </cell>
          <cell r="G67">
            <v>0.34</v>
          </cell>
          <cell r="H67">
            <v>2</v>
          </cell>
          <cell r="J67" t="str">
            <v>Humanoid</v>
          </cell>
        </row>
        <row r="68">
          <cell r="A68" t="str">
            <v>Humanoid(shapechanger)</v>
          </cell>
          <cell r="B68">
            <v>4000</v>
          </cell>
          <cell r="C68">
            <v>8</v>
          </cell>
          <cell r="D68">
            <v>0.75</v>
          </cell>
          <cell r="E68">
            <v>0.34</v>
          </cell>
          <cell r="F68">
            <v>0.5</v>
          </cell>
          <cell r="G68">
            <v>0.34</v>
          </cell>
          <cell r="H68">
            <v>2</v>
          </cell>
          <cell r="J68" t="str">
            <v>Magical Beast</v>
          </cell>
        </row>
        <row r="69">
          <cell r="A69" t="str">
            <v>Magical Beast</v>
          </cell>
          <cell r="B69">
            <v>2000</v>
          </cell>
          <cell r="C69">
            <v>10</v>
          </cell>
          <cell r="D69">
            <v>1</v>
          </cell>
          <cell r="E69">
            <v>0.5</v>
          </cell>
          <cell r="F69">
            <v>0.5</v>
          </cell>
          <cell r="G69">
            <v>0.34</v>
          </cell>
          <cell r="H69">
            <v>2</v>
          </cell>
          <cell r="J69" t="str">
            <v>Monstrous Humanoid</v>
          </cell>
        </row>
        <row r="70">
          <cell r="A70" t="str">
            <v>Monstrous Humanoid</v>
          </cell>
          <cell r="B70">
            <v>2000</v>
          </cell>
          <cell r="C70">
            <v>8</v>
          </cell>
          <cell r="D70">
            <v>1</v>
          </cell>
          <cell r="E70">
            <v>0.34</v>
          </cell>
          <cell r="F70">
            <v>0.5</v>
          </cell>
          <cell r="G70">
            <v>0.5</v>
          </cell>
          <cell r="H70">
            <v>2</v>
          </cell>
          <cell r="J70" t="str">
            <v>Ooze</v>
          </cell>
        </row>
        <row r="71">
          <cell r="A71" t="str">
            <v>Ooze</v>
          </cell>
          <cell r="B71">
            <v>6000</v>
          </cell>
          <cell r="C71">
            <v>10</v>
          </cell>
          <cell r="D71">
            <v>0.75</v>
          </cell>
          <cell r="E71">
            <v>0.34</v>
          </cell>
          <cell r="F71">
            <v>0.34</v>
          </cell>
          <cell r="G71">
            <v>0.34</v>
          </cell>
          <cell r="H71">
            <v>2</v>
          </cell>
          <cell r="J71" t="str">
            <v>Outsider</v>
          </cell>
        </row>
        <row r="72">
          <cell r="A72" t="str">
            <v>Outsider</v>
          </cell>
          <cell r="B72">
            <v>7000</v>
          </cell>
          <cell r="C72">
            <v>8</v>
          </cell>
          <cell r="D72">
            <v>1</v>
          </cell>
          <cell r="E72">
            <v>0.5</v>
          </cell>
          <cell r="F72">
            <v>0.5</v>
          </cell>
          <cell r="G72">
            <v>0.5</v>
          </cell>
          <cell r="H72">
            <v>8</v>
          </cell>
          <cell r="J72" t="str">
            <v>Plant</v>
          </cell>
        </row>
        <row r="73">
          <cell r="A73" t="str">
            <v>Plant</v>
          </cell>
          <cell r="B73">
            <v>6000</v>
          </cell>
          <cell r="C73">
            <v>8</v>
          </cell>
          <cell r="D73">
            <v>0.75</v>
          </cell>
          <cell r="E73">
            <v>0.5</v>
          </cell>
          <cell r="F73">
            <v>0.34</v>
          </cell>
          <cell r="G73">
            <v>0.34</v>
          </cell>
          <cell r="H73">
            <v>2</v>
          </cell>
          <cell r="J73" t="str">
            <v>Undead</v>
          </cell>
        </row>
        <row r="74">
          <cell r="A74" t="str">
            <v>Undead</v>
          </cell>
          <cell r="B74">
            <v>7000</v>
          </cell>
          <cell r="C74">
            <v>12</v>
          </cell>
          <cell r="D74">
            <v>0.5</v>
          </cell>
          <cell r="E74">
            <v>0.34</v>
          </cell>
          <cell r="F74">
            <v>0.34</v>
          </cell>
          <cell r="G74">
            <v>0.5</v>
          </cell>
          <cell r="H74">
            <v>4</v>
          </cell>
          <cell r="J74" t="str">
            <v>Vermin</v>
          </cell>
        </row>
        <row r="75">
          <cell r="A75" t="str">
            <v>Vermin</v>
          </cell>
          <cell r="B75">
            <v>1000</v>
          </cell>
          <cell r="C75">
            <v>8</v>
          </cell>
          <cell r="D75">
            <v>0.75</v>
          </cell>
          <cell r="E75">
            <v>0.5</v>
          </cell>
          <cell r="F75">
            <v>0.5</v>
          </cell>
          <cell r="G75">
            <v>0.34</v>
          </cell>
          <cell r="H75">
            <v>2</v>
          </cell>
        </row>
        <row r="78">
          <cell r="B78" t="str">
            <v>dwarf</v>
          </cell>
        </row>
        <row r="79">
          <cell r="B79" t="b">
            <v>0</v>
          </cell>
        </row>
        <row r="80">
          <cell r="B80" t="b">
            <v>0</v>
          </cell>
        </row>
        <row r="81">
          <cell r="B81" t="b">
            <v>0</v>
          </cell>
        </row>
        <row r="82">
          <cell r="B82" t="b">
            <v>1</v>
          </cell>
        </row>
        <row r="125">
          <cell r="G125">
            <v>7</v>
          </cell>
        </row>
        <row r="126">
          <cell r="B126">
            <v>35</v>
          </cell>
        </row>
        <row r="129">
          <cell r="D129" t="str">
            <v>Ahlissa (Adri)</v>
          </cell>
          <cell r="I129" t="str">
            <v>Bakluni</v>
          </cell>
        </row>
        <row r="130">
          <cell r="D130" t="str">
            <v>Ahlissa (Naerie)</v>
          </cell>
          <cell r="I130" t="str">
            <v>Flan</v>
          </cell>
        </row>
        <row r="131">
          <cell r="D131" t="str">
            <v>Bandit Kingdoms</v>
          </cell>
          <cell r="I131" t="str">
            <v>Oeridian</v>
          </cell>
        </row>
        <row r="132">
          <cell r="D132" t="str">
            <v>Bissel</v>
          </cell>
          <cell r="I132" t="str">
            <v>Olman</v>
          </cell>
        </row>
        <row r="133">
          <cell r="D133" t="str">
            <v>Bone March</v>
          </cell>
          <cell r="I133" t="str">
            <v>Rhennee</v>
          </cell>
        </row>
        <row r="134">
          <cell r="D134" t="str">
            <v>Bright Lands</v>
          </cell>
          <cell r="I134" t="str">
            <v>Suel</v>
          </cell>
        </row>
        <row r="135">
          <cell r="D135" t="str">
            <v>Crystalmist Mountains</v>
          </cell>
          <cell r="I135" t="str">
            <v>Touv</v>
          </cell>
        </row>
        <row r="136">
          <cell r="D136" t="str">
            <v>Dullstrand, The</v>
          </cell>
          <cell r="I136" t="str">
            <v/>
          </cell>
        </row>
        <row r="137">
          <cell r="D137" t="str">
            <v>Dyvers</v>
          </cell>
          <cell r="I137" t="str">
            <v/>
          </cell>
        </row>
        <row r="138">
          <cell r="D138" t="str">
            <v>Ekbir</v>
          </cell>
          <cell r="I138" t="str">
            <v/>
          </cell>
        </row>
        <row r="139">
          <cell r="D139" t="str">
            <v>Furyondy</v>
          </cell>
          <cell r="I139" t="str">
            <v/>
          </cell>
        </row>
        <row r="140">
          <cell r="D140" t="str">
            <v>Geoff</v>
          </cell>
          <cell r="I140" t="str">
            <v/>
          </cell>
        </row>
        <row r="141">
          <cell r="D141" t="str">
            <v>Gran March</v>
          </cell>
          <cell r="I141" t="str">
            <v/>
          </cell>
        </row>
        <row r="142">
          <cell r="D142" t="str">
            <v>Greyhawk</v>
          </cell>
          <cell r="I142" t="str">
            <v/>
          </cell>
        </row>
        <row r="143">
          <cell r="D143" t="str">
            <v>Highfolk</v>
          </cell>
          <cell r="I143" t="str">
            <v/>
          </cell>
        </row>
        <row r="144">
          <cell r="D144" t="str">
            <v>Keoland</v>
          </cell>
          <cell r="I144" t="str">
            <v/>
          </cell>
        </row>
        <row r="145">
          <cell r="D145" t="str">
            <v>Ket</v>
          </cell>
          <cell r="I145" t="str">
            <v/>
          </cell>
        </row>
        <row r="146">
          <cell r="D146" t="str">
            <v>Lordship of the Isles</v>
          </cell>
          <cell r="I146" t="str">
            <v/>
          </cell>
        </row>
        <row r="147">
          <cell r="D147" t="str">
            <v>Mist Kingdom</v>
          </cell>
          <cell r="I147" t="str">
            <v/>
          </cell>
        </row>
        <row r="148">
          <cell r="D148" t="str">
            <v>Nyrond</v>
          </cell>
          <cell r="I148" t="str">
            <v/>
          </cell>
        </row>
        <row r="149">
          <cell r="D149" t="str">
            <v>Onnwal</v>
          </cell>
          <cell r="I149" t="str">
            <v/>
          </cell>
        </row>
        <row r="150">
          <cell r="D150" t="str">
            <v>Pale, Theocracy</v>
          </cell>
          <cell r="I150" t="str">
            <v/>
          </cell>
        </row>
        <row r="151">
          <cell r="D151" t="str">
            <v>Perrenland</v>
          </cell>
          <cell r="I151" t="str">
            <v/>
          </cell>
        </row>
        <row r="152">
          <cell r="D152" t="str">
            <v>Ratik</v>
          </cell>
          <cell r="I152" t="str">
            <v/>
          </cell>
        </row>
        <row r="153">
          <cell r="D153" t="str">
            <v>Sea Barons</v>
          </cell>
          <cell r="I153" t="str">
            <v/>
          </cell>
        </row>
        <row r="154">
          <cell r="D154" t="str">
            <v>Shield Lands</v>
          </cell>
          <cell r="I154" t="str">
            <v/>
          </cell>
        </row>
        <row r="155">
          <cell r="D155" t="str">
            <v>Sunndi</v>
          </cell>
          <cell r="I155" t="str">
            <v/>
          </cell>
        </row>
        <row r="156">
          <cell r="D156" t="str">
            <v>Tusmit</v>
          </cell>
          <cell r="I156" t="str">
            <v/>
          </cell>
        </row>
        <row r="157">
          <cell r="D157" t="str">
            <v>Ulek, Principality</v>
          </cell>
          <cell r="I157" t="str">
            <v/>
          </cell>
        </row>
        <row r="158">
          <cell r="D158" t="str">
            <v>Urnst, County</v>
          </cell>
          <cell r="I158" t="str">
            <v/>
          </cell>
        </row>
        <row r="159">
          <cell r="D159" t="str">
            <v>Urnst, Duchy</v>
          </cell>
          <cell r="I159" t="str">
            <v/>
          </cell>
        </row>
        <row r="160">
          <cell r="D160" t="str">
            <v>Veluna</v>
          </cell>
          <cell r="I160" t="str">
            <v/>
          </cell>
        </row>
        <row r="161">
          <cell r="D161" t="str">
            <v>Verbobonc</v>
          </cell>
          <cell r="I161" t="str">
            <v/>
          </cell>
        </row>
        <row r="162">
          <cell r="D162" t="str">
            <v>Yeomanry</v>
          </cell>
          <cell r="I162" t="str">
            <v/>
          </cell>
        </row>
        <row r="163">
          <cell r="D163" t="str">
            <v>Zeif</v>
          </cell>
          <cell r="I163" t="str">
            <v/>
          </cell>
        </row>
        <row r="164">
          <cell r="D164" t="str">
            <v/>
          </cell>
          <cell r="I164" t="str">
            <v/>
          </cell>
        </row>
        <row r="165">
          <cell r="D165" t="str">
            <v/>
          </cell>
          <cell r="I165" t="str">
            <v/>
          </cell>
        </row>
        <row r="166">
          <cell r="D166" t="str">
            <v/>
          </cell>
          <cell r="I166" t="str">
            <v/>
          </cell>
        </row>
        <row r="167">
          <cell r="D167" t="str">
            <v/>
          </cell>
          <cell r="I167" t="str">
            <v/>
          </cell>
        </row>
        <row r="168">
          <cell r="D168" t="str">
            <v/>
          </cell>
          <cell r="I168" t="str">
            <v/>
          </cell>
        </row>
        <row r="169">
          <cell r="D169" t="str">
            <v/>
          </cell>
          <cell r="I169" t="str">
            <v/>
          </cell>
        </row>
        <row r="170">
          <cell r="D170"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6">
          <cell r="D206" t="str">
            <v/>
          </cell>
        </row>
        <row r="207">
          <cell r="D207" t="str">
            <v/>
          </cell>
        </row>
        <row r="208">
          <cell r="D208"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4">
          <cell r="D244" t="str">
            <v/>
          </cell>
        </row>
        <row r="245">
          <cell r="D245" t="str">
            <v/>
          </cell>
        </row>
        <row r="246">
          <cell r="D246"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2">
          <cell r="D282" t="str">
            <v/>
          </cell>
        </row>
        <row r="283">
          <cell r="D283" t="str">
            <v/>
          </cell>
        </row>
        <row r="284">
          <cell r="D284"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0">
          <cell r="D320" t="str">
            <v/>
          </cell>
        </row>
        <row r="321">
          <cell r="D321" t="str">
            <v/>
          </cell>
        </row>
        <row r="322">
          <cell r="D322"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sheetData>
      <sheetData sheetId="12">
        <row r="1">
          <cell r="D1" t="str">
            <v xml:space="preserve">× Constitution+2, Charisma-2
× Base land speed of 20 feet.
× Spell Resistance 
× Stonecunning: +2 racial bonus on checks to notice unusual stonework. Can find such by passing within 10 feet, and can find stonework traps as a rogue can. Can intuit depth. 
× Weapon Familiarity: You treat dwarven waraxes and dwarven urgroshes as martial weapons, rather than exotic weapons.
× Stability: Dwarves are exceptionally stable on their feet. A dwarf gains a +4 bonus on ability checks made to resist being bull rushed or tripped when standing on the ground.
× +2 racial bonus on saving throws against spells and spell-like effects
× +1 racial bonus on attack rolls against orcs and goblinoids
× +4 dodge bonus against creatures of the giant type.
× +2 racial bonus on Appraise and Craft checks that deal with stone or metal.
× Favored Class: Fighter
</v>
          </cell>
          <cell r="F1" t="str">
            <v>Dwarf</v>
          </cell>
        </row>
        <row r="3">
          <cell r="F3">
            <v>0</v>
          </cell>
        </row>
        <row r="7">
          <cell r="F7">
            <v>0</v>
          </cell>
        </row>
        <row r="15">
          <cell r="F15">
            <v>0</v>
          </cell>
        </row>
        <row r="16">
          <cell r="F16" t="b">
            <v>0</v>
          </cell>
        </row>
        <row r="681">
          <cell r="G681" t="b">
            <v>0</v>
          </cell>
          <cell r="H681" t="str">
            <v/>
          </cell>
          <cell r="I681" t="str">
            <v/>
          </cell>
          <cell r="J681" t="str">
            <v/>
          </cell>
          <cell r="K681">
            <v>0</v>
          </cell>
          <cell r="L681">
            <v>0</v>
          </cell>
          <cell r="M681" t="str">
            <v/>
          </cell>
          <cell r="N681">
            <v>0</v>
          </cell>
        </row>
        <row r="683">
          <cell r="G683">
            <v>0</v>
          </cell>
          <cell r="H683">
            <v>0</v>
          </cell>
          <cell r="I683">
            <v>0</v>
          </cell>
          <cell r="J683">
            <v>0</v>
          </cell>
        </row>
        <row r="685">
          <cell r="G685" t="str">
            <v>Shifter Trait</v>
          </cell>
          <cell r="H685" t="str">
            <v>Ability</v>
          </cell>
          <cell r="I685" t="str">
            <v>Value</v>
          </cell>
          <cell r="K685" t="str">
            <v>Text</v>
          </cell>
        </row>
        <row r="686">
          <cell r="G686" t="str">
            <v>Beasthide</v>
          </cell>
          <cell r="H686" t="str">
            <v>Constitution</v>
          </cell>
          <cell r="I686">
            <v>2</v>
          </cell>
          <cell r="J686">
            <v>0</v>
          </cell>
          <cell r="K686" t="str">
            <v>Natural Armor (+2)</v>
          </cell>
        </row>
        <row r="687">
          <cell r="G687" t="str">
            <v>Cliffwalk</v>
          </cell>
          <cell r="H687" t="str">
            <v>Dexterity</v>
          </cell>
          <cell r="I687">
            <v>20</v>
          </cell>
          <cell r="J687">
            <v>0</v>
          </cell>
          <cell r="K687" t="str">
            <v>Climb speed 20 feet</v>
          </cell>
        </row>
        <row r="688">
          <cell r="G688" t="str">
            <v>Dreamsight</v>
          </cell>
          <cell r="H688" t="str">
            <v>Wisdom</v>
          </cell>
          <cell r="I688">
            <v>2</v>
          </cell>
          <cell r="J688">
            <v>0</v>
          </cell>
          <cell r="K688" t="str">
            <v>the ability to communicate with animals (as speak with animals spell). When not shifting, you gain a +2 bonus to handle animal and wild empathy checks</v>
          </cell>
        </row>
        <row r="689">
          <cell r="G689" t="str">
            <v>Gorebrute</v>
          </cell>
          <cell r="H689" t="str">
            <v>Strength</v>
          </cell>
          <cell r="I689" t="str">
            <v>Gore+10+0+1</v>
          </cell>
          <cell r="J689" t="str">
            <v/>
          </cell>
          <cell r="K689" t="str">
            <v>Natural Weapon Gore (2d6)</v>
          </cell>
        </row>
        <row r="690">
          <cell r="G690" t="str">
            <v>Longstride</v>
          </cell>
          <cell r="H690" t="str">
            <v>Dexterity</v>
          </cell>
          <cell r="I690">
            <v>10</v>
          </cell>
          <cell r="J690">
            <v>0</v>
          </cell>
          <cell r="K690" t="str">
            <v>a 10 feet bonus to your base land speed.</v>
          </cell>
        </row>
        <row r="691">
          <cell r="G691" t="str">
            <v>Longtooth</v>
          </cell>
          <cell r="H691" t="str">
            <v>Strength</v>
          </cell>
          <cell r="I691" t="str">
            <v>Bite+5+0+1</v>
          </cell>
          <cell r="J691" t="str">
            <v/>
          </cell>
          <cell r="K691" t="str">
            <v>Natural Weapon Bite (1d6)</v>
          </cell>
        </row>
        <row r="692">
          <cell r="G692" t="str">
            <v>Razorclaw</v>
          </cell>
          <cell r="H692" t="str">
            <v>Strength</v>
          </cell>
          <cell r="I692" t="str">
            <v>Claw+4+0+1</v>
          </cell>
          <cell r="J692" t="str">
            <v/>
          </cell>
          <cell r="K692" t="str">
            <v>Natural Weapon Claws (1d4)</v>
          </cell>
        </row>
        <row r="693">
          <cell r="G693" t="str">
            <v>Swiftwing</v>
          </cell>
          <cell r="H693" t="str">
            <v>Dexterity</v>
          </cell>
          <cell r="I693">
            <v>20</v>
          </cell>
          <cell r="J693">
            <v>0</v>
          </cell>
          <cell r="K693" t="str">
            <v>Fly speed 20 feet (average)</v>
          </cell>
        </row>
        <row r="694">
          <cell r="G694" t="str">
            <v>Truedive</v>
          </cell>
          <cell r="H694" t="str">
            <v>Constitution</v>
          </cell>
          <cell r="I694">
            <v>20</v>
          </cell>
          <cell r="J694">
            <v>0</v>
          </cell>
          <cell r="K694" t="str">
            <v>Swim speed 20 feet (+8 racial bonus on swim checks)</v>
          </cell>
        </row>
        <row r="695">
          <cell r="G695" t="str">
            <v>Wildhunt</v>
          </cell>
          <cell r="H695" t="str">
            <v>Constitution</v>
          </cell>
          <cell r="I695">
            <v>2</v>
          </cell>
          <cell r="J695">
            <v>0</v>
          </cell>
          <cell r="K695" t="str">
            <v>Scent. When not shifting, you gain a +2 bonus to Survival checks</v>
          </cell>
        </row>
        <row r="733">
          <cell r="E733">
            <v>0</v>
          </cell>
        </row>
        <row r="870">
          <cell r="F870" t="str">
            <v/>
          </cell>
        </row>
        <row r="875">
          <cell r="G875" t="str">
            <v/>
          </cell>
        </row>
      </sheetData>
      <sheetData sheetId="13">
        <row r="2">
          <cell r="AR2" t="str">
            <v>Swarm Type</v>
          </cell>
          <cell r="AS2" t="str">
            <v>Swarm-Shifter Abilities</v>
          </cell>
        </row>
        <row r="3">
          <cell r="AG3" t="str">
            <v/>
          </cell>
          <cell r="AP3" t="str">
            <v>Corrupting Gaze</v>
          </cell>
          <cell r="AR3" t="str">
            <v>Bats</v>
          </cell>
          <cell r="AS3" t="str">
            <v>Diminutive Undead; Sp. 5ft., Fly 40ft (good); SA: Wounding(Ex); SQ: Blindsense(Ex): 20' (hearing), Immune to Weapon Damage(Ex)</v>
          </cell>
          <cell r="AV3" t="str">
            <v>Bats</v>
          </cell>
          <cell r="BB3" t="str">
            <v>Breed Leech</v>
          </cell>
        </row>
        <row r="4">
          <cell r="AC4" t="b">
            <v>0</v>
          </cell>
          <cell r="AG4" t="str">
            <v/>
          </cell>
          <cell r="AJ4">
            <v>0</v>
          </cell>
          <cell r="AP4" t="str">
            <v>Corrupting Touch</v>
          </cell>
          <cell r="AR4" t="str">
            <v>Beetles</v>
          </cell>
          <cell r="AS4" t="str">
            <v>Diminutive Undead;Sp. 30ft, Burrow 20ft, Fly 10ft. (poor); SQ: Immune to Weapon Damage(Ex), Tremorsense(Ex): 60'</v>
          </cell>
          <cell r="AV4" t="str">
            <v>Beetles</v>
          </cell>
          <cell r="BB4" t="str">
            <v>Crawling Gauntlet</v>
          </cell>
        </row>
        <row r="5">
          <cell r="AG5" t="str">
            <v/>
          </cell>
          <cell r="AP5" t="str">
            <v>Draining Touch</v>
          </cell>
          <cell r="AR5" t="str">
            <v>Centipedes</v>
          </cell>
          <cell r="AS5" t="str">
            <v>Diminutive Undead; Sp. 20ft, Climb 20ft; SA: Poison(Ex): Fort save (DC 8), 1d4 Dex initial &amp; 2nd damage;SQ: Immune to Weapon Damage(Ex)</v>
          </cell>
          <cell r="AV5" t="str">
            <v>Centipedes</v>
          </cell>
          <cell r="BB5" t="str">
            <v>Throwing Scarab</v>
          </cell>
        </row>
        <row r="6">
          <cell r="D6" t="str">
            <v>Dwarf, Hill [PHB]</v>
          </cell>
          <cell r="AG6">
            <v>1</v>
          </cell>
          <cell r="AJ6" t="b">
            <v>0</v>
          </cell>
          <cell r="AP6" t="str">
            <v>Frightful Moan</v>
          </cell>
          <cell r="AR6" t="str">
            <v>Flies</v>
          </cell>
          <cell r="AS6" t="str">
            <v>Fine Undead; Sp. 40ft.(perfect);SA: Disease(Ex): Red Ache - Fort save (DC 8) 1d3 incubation 1d8 Dex damage; SQ: Immune to Weapon Damage(Ex)</v>
          </cell>
          <cell r="AV6" t="str">
            <v>Flies</v>
          </cell>
          <cell r="BB6" t="str">
            <v/>
          </cell>
        </row>
        <row r="7">
          <cell r="AG7" t="b">
            <v>0</v>
          </cell>
          <cell r="AJ7" t="str">
            <v/>
          </cell>
          <cell r="AP7" t="str">
            <v>Horrific Appearance</v>
          </cell>
          <cell r="AR7" t="str">
            <v>Leeches</v>
          </cell>
          <cell r="AS7" t="str">
            <v>Diminutive Undead (Aquatic); Sp. 5ft, Swim 30ft; SA: Wounding(Ex):; SQ: Immune to Weapon Damage(Ex):, Tremorsense(Ex): Land or Water 30ft.</v>
          </cell>
          <cell r="AV7" t="str">
            <v>Leeches</v>
          </cell>
          <cell r="BB7" t="str">
            <v/>
          </cell>
        </row>
        <row r="8">
          <cell r="AG8" t="b">
            <v>0</v>
          </cell>
          <cell r="AJ8">
            <v>7</v>
          </cell>
          <cell r="AP8" t="str">
            <v>Malevolence</v>
          </cell>
          <cell r="AR8" t="str">
            <v>Maggots</v>
          </cell>
          <cell r="AS8" t="str">
            <v>Diminutive Undead; Sp. 20ft.; SA: Extended Nausea(Ex): extends distraction nausea 2d4; SQ: Immune to Weapon Damage(Ex)</v>
          </cell>
          <cell r="AV8" t="str">
            <v>Maggots</v>
          </cell>
          <cell r="BB8" t="str">
            <v/>
          </cell>
        </row>
        <row r="9">
          <cell r="AG9" t="str">
            <v/>
          </cell>
          <cell r="AJ9">
            <v>12</v>
          </cell>
          <cell r="AP9" t="str">
            <v>Telekinesis</v>
          </cell>
          <cell r="AR9" t="str">
            <v>Parts</v>
          </cell>
          <cell r="AS9" t="str">
            <v>Tiny Undead; Sp. 20ft, Fly 20ft (poor);SA: Fear(Su): Will save (DC 8) frightened 1d4 rounds, Parts(Ex): Swarm Attack deals extra 1d6 damage; SQ: Half Damage Slashing and Piercing(Ex)</v>
          </cell>
          <cell r="AV9" t="str">
            <v>Parts</v>
          </cell>
          <cell r="BB9" t="str">
            <v/>
          </cell>
        </row>
        <row r="10">
          <cell r="AG10">
            <v>3</v>
          </cell>
          <cell r="AR10" t="str">
            <v>Rats</v>
          </cell>
          <cell r="AS10" t="str">
            <v>Tiny Undead; Sp. 15ft, Climb 15ft; SA: Disease(Ex): Filth Fever - Fort save (DC 8) 1d3 incubation 1d3 Dex AND Con;SQ: Half Damage from Slashing and Piercing(Ex):, Scent(Ex)</v>
          </cell>
          <cell r="AV10" t="str">
            <v>Rats</v>
          </cell>
          <cell r="BB10" t="str">
            <v/>
          </cell>
        </row>
        <row r="11">
          <cell r="AJ11" t="b">
            <v>0</v>
          </cell>
          <cell r="AN11" t="b">
            <v>0</v>
          </cell>
          <cell r="AP11" t="str">
            <v>+2 Luck Bonus</v>
          </cell>
          <cell r="AR11" t="str">
            <v>Sand</v>
          </cell>
          <cell r="AS11" t="str">
            <v>Fine Undead; Sp. Fly 60ft. (perfect);SQ: Immune to Weapon Damage(Ex)</v>
          </cell>
          <cell r="AV11" t="str">
            <v>Sand</v>
          </cell>
        </row>
        <row r="12">
          <cell r="AG12" t="b">
            <v>0</v>
          </cell>
          <cell r="AN12" t="b">
            <v>0</v>
          </cell>
          <cell r="AP12" t="str">
            <v>Cause Fear</v>
          </cell>
          <cell r="AR12" t="str">
            <v>Scorpions</v>
          </cell>
          <cell r="AS12" t="str">
            <v>Diminutive Undead; Sp. 20ft.; SA: Poison(Ex): Fort save (DC 8) initial &amp; 2nd damage 1d2 Con; SQ: Immune to Weapon Damage(Ex):, Tremorsense(Ex): 60ft.</v>
          </cell>
          <cell r="AV12" t="str">
            <v>Scorpions</v>
          </cell>
          <cell r="AZ12" t="b">
            <v>0</v>
          </cell>
          <cell r="BB12" t="str">
            <v>+2 bonus on saves vs. electricity</v>
          </cell>
        </row>
        <row r="13">
          <cell r="AG13">
            <v>11</v>
          </cell>
          <cell r="AP13" t="str">
            <v>DR 5/magic</v>
          </cell>
          <cell r="AR13" t="str">
            <v>Spiders</v>
          </cell>
          <cell r="AS13" t="str">
            <v>Diminutive Undead; Sp. 20ft., Climb 20ft.; SA: Poison(Ex): Fort save (DC 8) initial &amp; 2nd damage 1d3 Str; SQ: Immune to Weapon Damage(Ex):, Tremorsense(Ex): 60ft.</v>
          </cell>
          <cell r="AV13" t="str">
            <v>Spiders</v>
          </cell>
          <cell r="AZ13" t="b">
            <v>0</v>
          </cell>
          <cell r="BB13" t="str">
            <v>+2 bonus on saves vs. poison</v>
          </cell>
        </row>
        <row r="14">
          <cell r="AN14" t="b">
            <v>0</v>
          </cell>
          <cell r="AP14" t="str">
            <v>Evasion</v>
          </cell>
          <cell r="AR14" t="str">
            <v>Worms</v>
          </cell>
          <cell r="AS14" t="str">
            <v>Diminutive Undead; Sp. 20ft.; SA: Extended Nausea(Ex): extends distraction nausea 2d4; SQ: Immune to Weapon Damage(Ex)</v>
          </cell>
          <cell r="AV14" t="str">
            <v>Worms</v>
          </cell>
          <cell r="AZ14" t="b">
            <v>0</v>
          </cell>
          <cell r="BB14" t="str">
            <v>Charm Person (1/day)</v>
          </cell>
        </row>
        <row r="15">
          <cell r="AP15" t="str">
            <v>Fast Healing 2</v>
          </cell>
          <cell r="AR15" t="str">
            <v>EB Houses</v>
          </cell>
          <cell r="AS15" t="str">
            <v>Mark</v>
          </cell>
          <cell r="AZ15" t="b">
            <v>0</v>
          </cell>
          <cell r="BB15" t="str">
            <v>Clairaudience/Clairvoyance (1/day)</v>
          </cell>
        </row>
        <row r="16">
          <cell r="AN16" t="b">
            <v>0</v>
          </cell>
          <cell r="AP16" t="str">
            <v>Mirror Image</v>
          </cell>
          <cell r="AR16" t="str">
            <v>Cannith</v>
          </cell>
          <cell r="AS16" t="str">
            <v>Making</v>
          </cell>
          <cell r="AV16" t="str">
            <v>Kundarak</v>
          </cell>
          <cell r="AZ16" t="b">
            <v>0</v>
          </cell>
          <cell r="BB16" t="str">
            <v>Darkness (1/day)</v>
          </cell>
        </row>
        <row r="17">
          <cell r="AN17" t="b">
            <v>0</v>
          </cell>
          <cell r="AP17" t="str">
            <v>Plane Shift</v>
          </cell>
          <cell r="AR17" t="str">
            <v>Deneith</v>
          </cell>
          <cell r="AS17" t="str">
            <v>Sentinel</v>
          </cell>
          <cell r="AV17" t="str">
            <v/>
          </cell>
          <cell r="AZ17" t="b">
            <v>0</v>
          </cell>
          <cell r="BB17" t="str">
            <v>Detect Thoughts (1/day)</v>
          </cell>
        </row>
        <row r="18">
          <cell r="AR18" t="str">
            <v>Ghallanda</v>
          </cell>
          <cell r="AS18" t="str">
            <v>Hospitality</v>
          </cell>
          <cell r="AV18" t="str">
            <v/>
          </cell>
          <cell r="AZ18" t="b">
            <v>0</v>
          </cell>
          <cell r="BB18" t="str">
            <v>*Dimension Door</v>
          </cell>
        </row>
        <row r="19">
          <cell r="AP19" t="str">
            <v/>
          </cell>
          <cell r="AR19" t="str">
            <v>Jorasco</v>
          </cell>
          <cell r="AS19" t="str">
            <v>Healing</v>
          </cell>
          <cell r="AV19" t="str">
            <v/>
          </cell>
          <cell r="AZ19" t="b">
            <v>0</v>
          </cell>
          <cell r="BB19" t="str">
            <v>*DR 10/magic</v>
          </cell>
        </row>
        <row r="20">
          <cell r="AP20" t="str">
            <v/>
          </cell>
          <cell r="AR20" t="str">
            <v>Kundarak</v>
          </cell>
          <cell r="AS20" t="str">
            <v>Warding</v>
          </cell>
          <cell r="AV20" t="str">
            <v/>
          </cell>
          <cell r="AZ20" t="b">
            <v>0</v>
          </cell>
          <cell r="BB20" t="str">
            <v>*Enervation (1/day)</v>
          </cell>
        </row>
        <row r="21">
          <cell r="AG21" t="b">
            <v>0</v>
          </cell>
          <cell r="AP21" t="str">
            <v/>
          </cell>
          <cell r="AR21" t="str">
            <v>Lyrandar</v>
          </cell>
          <cell r="AS21" t="str">
            <v>Storm</v>
          </cell>
          <cell r="AV21" t="str">
            <v/>
          </cell>
          <cell r="AZ21" t="b">
            <v>0</v>
          </cell>
          <cell r="BB21" t="str">
            <v>Fire Resistance 10</v>
          </cell>
        </row>
        <row r="22">
          <cell r="AP22" t="str">
            <v/>
          </cell>
          <cell r="AR22" t="str">
            <v>Medani</v>
          </cell>
          <cell r="AS22" t="str">
            <v>Detection</v>
          </cell>
          <cell r="AV22" t="str">
            <v/>
          </cell>
          <cell r="AZ22" t="b">
            <v>0</v>
          </cell>
          <cell r="BB22" t="str">
            <v>Suggestion (1/day)</v>
          </cell>
        </row>
        <row r="23">
          <cell r="AG23" t="b">
            <v>0</v>
          </cell>
          <cell r="AP23" t="str">
            <v/>
          </cell>
          <cell r="AR23" t="str">
            <v>Orien</v>
          </cell>
          <cell r="AS23" t="str">
            <v>Passage</v>
          </cell>
          <cell r="AV23" t="str">
            <v/>
          </cell>
        </row>
        <row r="24">
          <cell r="AG24" t="b">
            <v>0</v>
          </cell>
          <cell r="AP24" t="str">
            <v/>
          </cell>
          <cell r="AR24" t="str">
            <v>Phiarlan</v>
          </cell>
          <cell r="AS24" t="str">
            <v>Shadow</v>
          </cell>
          <cell r="AV24" t="str">
            <v/>
          </cell>
          <cell r="AX24" t="str">
            <v>Black</v>
          </cell>
        </row>
        <row r="25">
          <cell r="AG25" t="b">
            <v>0</v>
          </cell>
          <cell r="AP25" t="str">
            <v/>
          </cell>
          <cell r="AR25" t="str">
            <v>Sivis</v>
          </cell>
          <cell r="AS25" t="str">
            <v>Scribing</v>
          </cell>
          <cell r="AV25" t="str">
            <v/>
          </cell>
          <cell r="AX25" t="str">
            <v>Blue</v>
          </cell>
        </row>
        <row r="26">
          <cell r="AG26" t="b">
            <v>0</v>
          </cell>
          <cell r="AP26" t="str">
            <v/>
          </cell>
          <cell r="AR26" t="str">
            <v>Tharashk</v>
          </cell>
          <cell r="AS26" t="str">
            <v>Finding</v>
          </cell>
          <cell r="AV26" t="str">
            <v/>
          </cell>
          <cell r="AX26" t="str">
            <v>Green</v>
          </cell>
        </row>
        <row r="27">
          <cell r="AG27" t="b">
            <v>0</v>
          </cell>
          <cell r="AP27" t="str">
            <v/>
          </cell>
          <cell r="AR27" t="str">
            <v>Thuranni</v>
          </cell>
          <cell r="AS27" t="str">
            <v>Shadow</v>
          </cell>
          <cell r="AV27" t="str">
            <v/>
          </cell>
          <cell r="AX27" t="str">
            <v>Red</v>
          </cell>
        </row>
        <row r="28">
          <cell r="AG28" t="b">
            <v>0</v>
          </cell>
          <cell r="AP28" t="str">
            <v/>
          </cell>
          <cell r="AR28" t="str">
            <v>Vadalis</v>
          </cell>
          <cell r="AS28" t="str">
            <v>Handling</v>
          </cell>
          <cell r="AV28" t="str">
            <v/>
          </cell>
          <cell r="AX28" t="str">
            <v>Sea</v>
          </cell>
        </row>
        <row r="29">
          <cell r="AG29" t="b">
            <v>0</v>
          </cell>
          <cell r="AP29" t="str">
            <v/>
          </cell>
          <cell r="AX29" t="str">
            <v>White</v>
          </cell>
        </row>
        <row r="30">
          <cell r="AC30" t="b">
            <v>0</v>
          </cell>
          <cell r="AG30" t="b">
            <v>0</v>
          </cell>
          <cell r="AP30" t="str">
            <v/>
          </cell>
        </row>
        <row r="31">
          <cell r="AG31" t="b">
            <v>0</v>
          </cell>
        </row>
        <row r="32">
          <cell r="AG32" t="b">
            <v>0</v>
          </cell>
        </row>
        <row r="33">
          <cell r="AG33" t="b">
            <v>0</v>
          </cell>
        </row>
        <row r="35">
          <cell r="AG35" t="b">
            <v>0</v>
          </cell>
        </row>
        <row r="36">
          <cell r="AG36" t="b">
            <v>0</v>
          </cell>
        </row>
        <row r="37">
          <cell r="AG37" t="b">
            <v>0</v>
          </cell>
        </row>
        <row r="38">
          <cell r="AG38" t="b">
            <v>0</v>
          </cell>
        </row>
        <row r="39">
          <cell r="AG39" t="b">
            <v>0</v>
          </cell>
        </row>
        <row r="40">
          <cell r="AG40" t="b">
            <v>0</v>
          </cell>
        </row>
        <row r="41">
          <cell r="AG41" t="b">
            <v>0</v>
          </cell>
        </row>
        <row r="42">
          <cell r="AG42" t="b">
            <v>0</v>
          </cell>
        </row>
        <row r="44">
          <cell r="AG44" t="b">
            <v>0</v>
          </cell>
        </row>
      </sheetData>
      <sheetData sheetId="14">
        <row r="1">
          <cell r="D1" t="str">
            <v/>
          </cell>
          <cell r="E1" t="str">
            <v/>
          </cell>
          <cell r="F1">
            <v>0</v>
          </cell>
          <cell r="G1">
            <v>0</v>
          </cell>
          <cell r="J1">
            <v>0</v>
          </cell>
          <cell r="K1" t="str">
            <v/>
          </cell>
          <cell r="L1">
            <v>0</v>
          </cell>
          <cell r="M1">
            <v>0</v>
          </cell>
          <cell r="N1" t="str">
            <v/>
          </cell>
          <cell r="P1" t="str">
            <v/>
          </cell>
          <cell r="S1" t="str">
            <v/>
          </cell>
          <cell r="T1">
            <v>0</v>
          </cell>
          <cell r="V1" t="str">
            <v/>
          </cell>
          <cell r="W1" t="str">
            <v/>
          </cell>
          <cell r="X1" t="str">
            <v/>
          </cell>
          <cell r="Y1">
            <v>0</v>
          </cell>
          <cell r="Z1" t="str">
            <v/>
          </cell>
          <cell r="AA1">
            <v>0</v>
          </cell>
          <cell r="AC1">
            <v>0</v>
          </cell>
          <cell r="AD1">
            <v>0</v>
          </cell>
          <cell r="AE1">
            <v>0</v>
          </cell>
          <cell r="AF1">
            <v>0</v>
          </cell>
          <cell r="AG1">
            <v>0</v>
          </cell>
          <cell r="AH1">
            <v>0</v>
          </cell>
          <cell r="AI1" t="str">
            <v/>
          </cell>
          <cell r="AJ1" t="str">
            <v/>
          </cell>
          <cell r="AM1">
            <v>0</v>
          </cell>
          <cell r="AO1">
            <v>0</v>
          </cell>
          <cell r="AP1" t="b">
            <v>0</v>
          </cell>
          <cell r="AQ1">
            <v>0</v>
          </cell>
          <cell r="AR1">
            <v>0</v>
          </cell>
          <cell r="AT1">
            <v>-1</v>
          </cell>
          <cell r="AZ1">
            <v>0</v>
          </cell>
          <cell r="BC1">
            <v>0</v>
          </cell>
        </row>
        <row r="2">
          <cell r="AC2">
            <v>0</v>
          </cell>
          <cell r="AD2">
            <v>0</v>
          </cell>
          <cell r="AE2">
            <v>0</v>
          </cell>
          <cell r="AF2">
            <v>0</v>
          </cell>
          <cell r="AG2">
            <v>0</v>
          </cell>
          <cell r="AH2">
            <v>0</v>
          </cell>
        </row>
        <row r="3">
          <cell r="AC3">
            <v>0</v>
          </cell>
          <cell r="AD3">
            <v>0</v>
          </cell>
          <cell r="AE3">
            <v>0</v>
          </cell>
          <cell r="AF3">
            <v>0</v>
          </cell>
          <cell r="AG3">
            <v>0</v>
          </cell>
          <cell r="AH3">
            <v>0</v>
          </cell>
        </row>
        <row r="4">
          <cell r="AF4">
            <v>0</v>
          </cell>
        </row>
        <row r="5">
          <cell r="A5" t="str">
            <v/>
          </cell>
          <cell r="B5" t="str">
            <v/>
          </cell>
          <cell r="C5" t="str">
            <v/>
          </cell>
          <cell r="D5" t="str">
            <v/>
          </cell>
          <cell r="E5" t="str">
            <v/>
          </cell>
          <cell r="F5">
            <v>0</v>
          </cell>
          <cell r="G5">
            <v>0</v>
          </cell>
          <cell r="H5">
            <v>0</v>
          </cell>
          <cell r="I5">
            <v>0</v>
          </cell>
          <cell r="J5">
            <v>0</v>
          </cell>
          <cell r="K5" t="str">
            <v/>
          </cell>
          <cell r="L5">
            <v>0</v>
          </cell>
          <cell r="M5">
            <v>0</v>
          </cell>
          <cell r="N5" t="str">
            <v/>
          </cell>
          <cell r="O5" t="str">
            <v/>
          </cell>
          <cell r="P5" t="str">
            <v/>
          </cell>
          <cell r="Q5" t="str">
            <v/>
          </cell>
          <cell r="S5" t="str">
            <v/>
          </cell>
          <cell r="T5" t="str">
            <v/>
          </cell>
          <cell r="V5" t="str">
            <v/>
          </cell>
          <cell r="W5" t="str">
            <v/>
          </cell>
          <cell r="X5" t="str">
            <v/>
          </cell>
          <cell r="Y5">
            <v>0</v>
          </cell>
          <cell r="Z5" t="str">
            <v/>
          </cell>
          <cell r="AA5">
            <v>0</v>
          </cell>
          <cell r="AB5" t="str">
            <v/>
          </cell>
          <cell r="AC5">
            <v>0</v>
          </cell>
          <cell r="AD5">
            <v>0</v>
          </cell>
          <cell r="AE5">
            <v>0</v>
          </cell>
          <cell r="AF5">
            <v>0</v>
          </cell>
          <cell r="AG5">
            <v>0</v>
          </cell>
          <cell r="AH5">
            <v>0</v>
          </cell>
          <cell r="AI5" t="str">
            <v/>
          </cell>
          <cell r="AJ5" t="str">
            <v/>
          </cell>
          <cell r="AK5" t="str">
            <v/>
          </cell>
          <cell r="AL5" t="str">
            <v/>
          </cell>
          <cell r="AM5">
            <v>0</v>
          </cell>
          <cell r="AN5" t="str">
            <v/>
          </cell>
          <cell r="AO5">
            <v>0</v>
          </cell>
          <cell r="AP5" t="str">
            <v/>
          </cell>
          <cell r="AQ5">
            <v>0</v>
          </cell>
          <cell r="AR5">
            <v>0</v>
          </cell>
          <cell r="AT5">
            <v>-1</v>
          </cell>
          <cell r="AU5">
            <v>99</v>
          </cell>
          <cell r="AW5">
            <v>0</v>
          </cell>
          <cell r="AX5" t="str">
            <v/>
          </cell>
          <cell r="AY5">
            <v>8</v>
          </cell>
          <cell r="AZ5" t="str">
            <v/>
          </cell>
          <cell r="BA5" t="b">
            <v>0</v>
          </cell>
          <cell r="BC5" t="b">
            <v>0</v>
          </cell>
          <cell r="BD5" t="b">
            <v>0</v>
          </cell>
        </row>
        <row r="6">
          <cell r="A6" t="str">
            <v/>
          </cell>
          <cell r="B6" t="str">
            <v/>
          </cell>
          <cell r="C6" t="str">
            <v/>
          </cell>
          <cell r="D6" t="str">
            <v/>
          </cell>
          <cell r="E6" t="str">
            <v/>
          </cell>
          <cell r="F6">
            <v>0</v>
          </cell>
          <cell r="G6">
            <v>0</v>
          </cell>
          <cell r="H6">
            <v>0</v>
          </cell>
          <cell r="I6">
            <v>0</v>
          </cell>
          <cell r="J6">
            <v>0</v>
          </cell>
          <cell r="K6" t="str">
            <v/>
          </cell>
          <cell r="L6">
            <v>0</v>
          </cell>
          <cell r="M6">
            <v>0</v>
          </cell>
          <cell r="N6" t="str">
            <v/>
          </cell>
          <cell r="O6" t="str">
            <v/>
          </cell>
          <cell r="P6" t="str">
            <v/>
          </cell>
          <cell r="Q6" t="str">
            <v/>
          </cell>
          <cell r="S6" t="str">
            <v/>
          </cell>
          <cell r="T6" t="str">
            <v/>
          </cell>
          <cell r="V6" t="str">
            <v/>
          </cell>
          <cell r="W6" t="str">
            <v/>
          </cell>
          <cell r="X6" t="str">
            <v/>
          </cell>
          <cell r="Y6">
            <v>0</v>
          </cell>
          <cell r="Z6" t="str">
            <v/>
          </cell>
          <cell r="AA6">
            <v>0</v>
          </cell>
          <cell r="AB6" t="str">
            <v/>
          </cell>
          <cell r="AC6">
            <v>0</v>
          </cell>
          <cell r="AD6">
            <v>0</v>
          </cell>
          <cell r="AE6">
            <v>0</v>
          </cell>
          <cell r="AF6">
            <v>0</v>
          </cell>
          <cell r="AG6">
            <v>0</v>
          </cell>
          <cell r="AH6">
            <v>0</v>
          </cell>
          <cell r="AI6" t="str">
            <v/>
          </cell>
          <cell r="AJ6" t="str">
            <v/>
          </cell>
          <cell r="AK6" t="str">
            <v/>
          </cell>
          <cell r="AL6" t="str">
            <v/>
          </cell>
          <cell r="AM6">
            <v>0</v>
          </cell>
          <cell r="AN6" t="str">
            <v/>
          </cell>
          <cell r="AO6">
            <v>0</v>
          </cell>
          <cell r="AP6" t="str">
            <v/>
          </cell>
          <cell r="AQ6">
            <v>0</v>
          </cell>
          <cell r="AR6">
            <v>0</v>
          </cell>
          <cell r="AT6">
            <v>-1</v>
          </cell>
          <cell r="AU6">
            <v>99</v>
          </cell>
          <cell r="AW6">
            <v>0</v>
          </cell>
          <cell r="AX6" t="str">
            <v/>
          </cell>
          <cell r="AY6">
            <v>7</v>
          </cell>
          <cell r="AZ6" t="str">
            <v/>
          </cell>
          <cell r="BA6" t="b">
            <v>0</v>
          </cell>
          <cell r="BC6" t="b">
            <v>0</v>
          </cell>
          <cell r="BD6" t="b">
            <v>0</v>
          </cell>
        </row>
        <row r="7">
          <cell r="A7" t="str">
            <v/>
          </cell>
          <cell r="B7" t="str">
            <v/>
          </cell>
          <cell r="C7" t="str">
            <v/>
          </cell>
          <cell r="D7" t="str">
            <v/>
          </cell>
          <cell r="E7" t="str">
            <v/>
          </cell>
          <cell r="F7">
            <v>0</v>
          </cell>
          <cell r="G7">
            <v>0</v>
          </cell>
          <cell r="H7">
            <v>0</v>
          </cell>
          <cell r="I7">
            <v>0</v>
          </cell>
          <cell r="J7">
            <v>0</v>
          </cell>
          <cell r="K7" t="str">
            <v/>
          </cell>
          <cell r="L7">
            <v>0</v>
          </cell>
          <cell r="M7">
            <v>0</v>
          </cell>
          <cell r="N7" t="str">
            <v/>
          </cell>
          <cell r="O7" t="str">
            <v/>
          </cell>
          <cell r="P7" t="str">
            <v/>
          </cell>
          <cell r="Q7" t="str">
            <v/>
          </cell>
          <cell r="S7" t="str">
            <v/>
          </cell>
          <cell r="T7" t="str">
            <v/>
          </cell>
          <cell r="V7" t="str">
            <v/>
          </cell>
          <cell r="W7" t="str">
            <v/>
          </cell>
          <cell r="X7" t="str">
            <v/>
          </cell>
          <cell r="Y7">
            <v>0</v>
          </cell>
          <cell r="Z7" t="str">
            <v/>
          </cell>
          <cell r="AA7">
            <v>0</v>
          </cell>
          <cell r="AB7" t="str">
            <v/>
          </cell>
          <cell r="AC7">
            <v>0</v>
          </cell>
          <cell r="AD7">
            <v>0</v>
          </cell>
          <cell r="AE7">
            <v>0</v>
          </cell>
          <cell r="AF7">
            <v>0</v>
          </cell>
          <cell r="AG7">
            <v>0</v>
          </cell>
          <cell r="AH7">
            <v>0</v>
          </cell>
          <cell r="AI7" t="str">
            <v/>
          </cell>
          <cell r="AJ7" t="str">
            <v/>
          </cell>
          <cell r="AK7" t="str">
            <v/>
          </cell>
          <cell r="AL7" t="str">
            <v/>
          </cell>
          <cell r="AM7">
            <v>0</v>
          </cell>
          <cell r="AN7" t="str">
            <v/>
          </cell>
          <cell r="AO7">
            <v>0</v>
          </cell>
          <cell r="AP7" t="str">
            <v/>
          </cell>
          <cell r="AQ7">
            <v>0</v>
          </cell>
          <cell r="AR7">
            <v>0</v>
          </cell>
          <cell r="AT7">
            <v>-1</v>
          </cell>
          <cell r="AU7">
            <v>99</v>
          </cell>
          <cell r="AW7">
            <v>0</v>
          </cell>
          <cell r="AX7" t="str">
            <v/>
          </cell>
          <cell r="AY7">
            <v>6</v>
          </cell>
          <cell r="AZ7" t="str">
            <v/>
          </cell>
          <cell r="BA7" t="b">
            <v>0</v>
          </cell>
          <cell r="BC7" t="b">
            <v>0</v>
          </cell>
          <cell r="BD7" t="b">
            <v>0</v>
          </cell>
        </row>
        <row r="8">
          <cell r="A8" t="str">
            <v/>
          </cell>
          <cell r="B8" t="str">
            <v/>
          </cell>
          <cell r="C8" t="str">
            <v/>
          </cell>
          <cell r="D8" t="str">
            <v/>
          </cell>
          <cell r="E8" t="str">
            <v/>
          </cell>
          <cell r="F8">
            <v>0</v>
          </cell>
          <cell r="G8">
            <v>0</v>
          </cell>
          <cell r="H8">
            <v>0</v>
          </cell>
          <cell r="I8">
            <v>0</v>
          </cell>
          <cell r="J8">
            <v>0</v>
          </cell>
          <cell r="K8" t="str">
            <v/>
          </cell>
          <cell r="L8">
            <v>0</v>
          </cell>
          <cell r="M8">
            <v>0</v>
          </cell>
          <cell r="N8" t="str">
            <v/>
          </cell>
          <cell r="O8" t="str">
            <v/>
          </cell>
          <cell r="P8" t="str">
            <v/>
          </cell>
          <cell r="Q8" t="str">
            <v/>
          </cell>
          <cell r="S8" t="str">
            <v/>
          </cell>
          <cell r="T8" t="str">
            <v/>
          </cell>
          <cell r="V8" t="str">
            <v/>
          </cell>
          <cell r="W8" t="str">
            <v/>
          </cell>
          <cell r="X8" t="str">
            <v/>
          </cell>
          <cell r="Y8">
            <v>0</v>
          </cell>
          <cell r="Z8" t="str">
            <v/>
          </cell>
          <cell r="AA8">
            <v>0</v>
          </cell>
          <cell r="AB8" t="str">
            <v/>
          </cell>
          <cell r="AC8">
            <v>0</v>
          </cell>
          <cell r="AD8">
            <v>0</v>
          </cell>
          <cell r="AE8">
            <v>0</v>
          </cell>
          <cell r="AF8">
            <v>0</v>
          </cell>
          <cell r="AG8">
            <v>0</v>
          </cell>
          <cell r="AH8">
            <v>0</v>
          </cell>
          <cell r="AI8" t="str">
            <v/>
          </cell>
          <cell r="AJ8" t="str">
            <v/>
          </cell>
          <cell r="AK8" t="str">
            <v/>
          </cell>
          <cell r="AL8" t="str">
            <v/>
          </cell>
          <cell r="AM8">
            <v>0</v>
          </cell>
          <cell r="AN8" t="str">
            <v/>
          </cell>
          <cell r="AO8">
            <v>0</v>
          </cell>
          <cell r="AP8" t="str">
            <v/>
          </cell>
          <cell r="AQ8">
            <v>0</v>
          </cell>
          <cell r="AR8">
            <v>0</v>
          </cell>
          <cell r="AT8">
            <v>-1</v>
          </cell>
          <cell r="AU8">
            <v>99</v>
          </cell>
          <cell r="AW8">
            <v>0</v>
          </cell>
          <cell r="AX8" t="str">
            <v/>
          </cell>
          <cell r="AY8">
            <v>5</v>
          </cell>
          <cell r="AZ8" t="str">
            <v/>
          </cell>
          <cell r="BA8" t="b">
            <v>0</v>
          </cell>
          <cell r="BC8" t="b">
            <v>0</v>
          </cell>
          <cell r="BD8" t="b">
            <v>0</v>
          </cell>
        </row>
        <row r="9">
          <cell r="A9" t="str">
            <v/>
          </cell>
          <cell r="B9" t="str">
            <v/>
          </cell>
          <cell r="C9" t="str">
            <v/>
          </cell>
          <cell r="D9" t="str">
            <v/>
          </cell>
          <cell r="E9" t="str">
            <v/>
          </cell>
          <cell r="F9">
            <v>0</v>
          </cell>
          <cell r="G9">
            <v>0</v>
          </cell>
          <cell r="H9">
            <v>0</v>
          </cell>
          <cell r="I9">
            <v>0</v>
          </cell>
          <cell r="J9">
            <v>0</v>
          </cell>
          <cell r="K9" t="str">
            <v/>
          </cell>
          <cell r="L9">
            <v>0</v>
          </cell>
          <cell r="M9">
            <v>0</v>
          </cell>
          <cell r="N9" t="str">
            <v/>
          </cell>
          <cell r="O9" t="str">
            <v/>
          </cell>
          <cell r="P9" t="str">
            <v/>
          </cell>
          <cell r="Q9" t="str">
            <v/>
          </cell>
          <cell r="S9" t="str">
            <v/>
          </cell>
          <cell r="T9" t="str">
            <v/>
          </cell>
          <cell r="V9" t="str">
            <v/>
          </cell>
          <cell r="W9" t="str">
            <v/>
          </cell>
          <cell r="X9" t="str">
            <v/>
          </cell>
          <cell r="Y9">
            <v>0</v>
          </cell>
          <cell r="Z9" t="str">
            <v/>
          </cell>
          <cell r="AA9">
            <v>0</v>
          </cell>
          <cell r="AB9" t="str">
            <v/>
          </cell>
          <cell r="AC9">
            <v>0</v>
          </cell>
          <cell r="AD9">
            <v>0</v>
          </cell>
          <cell r="AE9">
            <v>0</v>
          </cell>
          <cell r="AF9">
            <v>0</v>
          </cell>
          <cell r="AG9">
            <v>0</v>
          </cell>
          <cell r="AH9">
            <v>0</v>
          </cell>
          <cell r="AI9" t="str">
            <v/>
          </cell>
          <cell r="AJ9" t="str">
            <v/>
          </cell>
          <cell r="AK9" t="str">
            <v/>
          </cell>
          <cell r="AL9" t="str">
            <v/>
          </cell>
          <cell r="AM9">
            <v>0</v>
          </cell>
          <cell r="AN9" t="str">
            <v/>
          </cell>
          <cell r="AO9">
            <v>0</v>
          </cell>
          <cell r="AP9" t="str">
            <v/>
          </cell>
          <cell r="AQ9">
            <v>0</v>
          </cell>
          <cell r="AR9">
            <v>0</v>
          </cell>
          <cell r="AT9">
            <v>-1</v>
          </cell>
          <cell r="AU9">
            <v>99</v>
          </cell>
          <cell r="AW9">
            <v>0</v>
          </cell>
          <cell r="AX9" t="str">
            <v/>
          </cell>
          <cell r="AY9">
            <v>4</v>
          </cell>
          <cell r="AZ9" t="str">
            <v/>
          </cell>
          <cell r="BA9" t="b">
            <v>0</v>
          </cell>
          <cell r="BC9" t="b">
            <v>0</v>
          </cell>
          <cell r="BD9" t="b">
            <v>0</v>
          </cell>
        </row>
        <row r="10">
          <cell r="A10" t="str">
            <v/>
          </cell>
          <cell r="B10" t="str">
            <v/>
          </cell>
          <cell r="C10" t="str">
            <v/>
          </cell>
          <cell r="D10" t="str">
            <v/>
          </cell>
          <cell r="E10" t="str">
            <v/>
          </cell>
          <cell r="F10">
            <v>0</v>
          </cell>
          <cell r="G10">
            <v>0</v>
          </cell>
          <cell r="H10">
            <v>0</v>
          </cell>
          <cell r="I10">
            <v>0</v>
          </cell>
          <cell r="J10">
            <v>0</v>
          </cell>
          <cell r="K10" t="str">
            <v/>
          </cell>
          <cell r="L10">
            <v>0</v>
          </cell>
          <cell r="M10">
            <v>0</v>
          </cell>
          <cell r="N10" t="str">
            <v/>
          </cell>
          <cell r="O10" t="str">
            <v/>
          </cell>
          <cell r="P10" t="str">
            <v/>
          </cell>
          <cell r="Q10" t="str">
            <v/>
          </cell>
          <cell r="S10" t="str">
            <v/>
          </cell>
          <cell r="T10" t="str">
            <v/>
          </cell>
          <cell r="V10" t="str">
            <v/>
          </cell>
          <cell r="W10" t="str">
            <v/>
          </cell>
          <cell r="X10" t="str">
            <v/>
          </cell>
          <cell r="Y10">
            <v>0</v>
          </cell>
          <cell r="Z10" t="str">
            <v/>
          </cell>
          <cell r="AA10">
            <v>0</v>
          </cell>
          <cell r="AB10" t="str">
            <v/>
          </cell>
          <cell r="AC10">
            <v>0</v>
          </cell>
          <cell r="AD10">
            <v>0</v>
          </cell>
          <cell r="AE10">
            <v>0</v>
          </cell>
          <cell r="AF10">
            <v>0</v>
          </cell>
          <cell r="AG10">
            <v>0</v>
          </cell>
          <cell r="AH10">
            <v>0</v>
          </cell>
          <cell r="AI10" t="str">
            <v/>
          </cell>
          <cell r="AJ10" t="str">
            <v/>
          </cell>
          <cell r="AK10" t="str">
            <v/>
          </cell>
          <cell r="AL10" t="str">
            <v/>
          </cell>
          <cell r="AM10">
            <v>0</v>
          </cell>
          <cell r="AN10" t="str">
            <v/>
          </cell>
          <cell r="AO10">
            <v>0</v>
          </cell>
          <cell r="AP10" t="str">
            <v/>
          </cell>
          <cell r="AQ10">
            <v>0</v>
          </cell>
          <cell r="AR10">
            <v>0</v>
          </cell>
          <cell r="AT10">
            <v>-1</v>
          </cell>
          <cell r="AU10">
            <v>99</v>
          </cell>
          <cell r="AW10">
            <v>0</v>
          </cell>
          <cell r="AX10" t="str">
            <v/>
          </cell>
          <cell r="AY10">
            <v>3</v>
          </cell>
          <cell r="AZ10" t="str">
            <v/>
          </cell>
          <cell r="BA10" t="b">
            <v>0</v>
          </cell>
          <cell r="BC10" t="b">
            <v>0</v>
          </cell>
          <cell r="BD10" t="b">
            <v>0</v>
          </cell>
        </row>
        <row r="11">
          <cell r="A11" t="str">
            <v/>
          </cell>
          <cell r="B11" t="str">
            <v/>
          </cell>
          <cell r="C11" t="str">
            <v/>
          </cell>
          <cell r="D11" t="str">
            <v/>
          </cell>
          <cell r="E11" t="str">
            <v/>
          </cell>
          <cell r="F11">
            <v>0</v>
          </cell>
          <cell r="G11">
            <v>0</v>
          </cell>
          <cell r="H11">
            <v>0</v>
          </cell>
          <cell r="I11">
            <v>0</v>
          </cell>
          <cell r="J11">
            <v>0</v>
          </cell>
          <cell r="K11" t="str">
            <v/>
          </cell>
          <cell r="L11">
            <v>0</v>
          </cell>
          <cell r="M11">
            <v>0</v>
          </cell>
          <cell r="N11" t="str">
            <v/>
          </cell>
          <cell r="O11" t="str">
            <v/>
          </cell>
          <cell r="P11" t="str">
            <v/>
          </cell>
          <cell r="Q11" t="str">
            <v/>
          </cell>
          <cell r="S11" t="str">
            <v/>
          </cell>
          <cell r="T11" t="str">
            <v/>
          </cell>
          <cell r="V11" t="str">
            <v/>
          </cell>
          <cell r="W11" t="str">
            <v/>
          </cell>
          <cell r="X11" t="str">
            <v/>
          </cell>
          <cell r="Y11">
            <v>0</v>
          </cell>
          <cell r="Z11" t="str">
            <v/>
          </cell>
          <cell r="AA11">
            <v>0</v>
          </cell>
          <cell r="AB11" t="str">
            <v/>
          </cell>
          <cell r="AC11">
            <v>0</v>
          </cell>
          <cell r="AD11">
            <v>0</v>
          </cell>
          <cell r="AE11">
            <v>0</v>
          </cell>
          <cell r="AF11">
            <v>0</v>
          </cell>
          <cell r="AG11">
            <v>0</v>
          </cell>
          <cell r="AH11">
            <v>0</v>
          </cell>
          <cell r="AI11" t="str">
            <v/>
          </cell>
          <cell r="AJ11" t="str">
            <v/>
          </cell>
          <cell r="AK11" t="str">
            <v/>
          </cell>
          <cell r="AL11" t="str">
            <v/>
          </cell>
          <cell r="AM11">
            <v>0</v>
          </cell>
          <cell r="AN11" t="str">
            <v/>
          </cell>
          <cell r="AO11">
            <v>0</v>
          </cell>
          <cell r="AP11" t="str">
            <v/>
          </cell>
          <cell r="AQ11">
            <v>0</v>
          </cell>
          <cell r="AR11">
            <v>0</v>
          </cell>
          <cell r="AT11">
            <v>-1</v>
          </cell>
          <cell r="AU11">
            <v>99</v>
          </cell>
          <cell r="AW11">
            <v>0</v>
          </cell>
          <cell r="AX11" t="str">
            <v/>
          </cell>
          <cell r="AY11">
            <v>2</v>
          </cell>
          <cell r="AZ11" t="str">
            <v/>
          </cell>
          <cell r="BA11" t="b">
            <v>0</v>
          </cell>
          <cell r="BC11" t="b">
            <v>0</v>
          </cell>
          <cell r="BD11" t="b">
            <v>0</v>
          </cell>
        </row>
        <row r="12">
          <cell r="A12" t="str">
            <v/>
          </cell>
          <cell r="B12" t="str">
            <v/>
          </cell>
          <cell r="C12" t="str">
            <v/>
          </cell>
          <cell r="D12" t="str">
            <v/>
          </cell>
          <cell r="E12" t="str">
            <v/>
          </cell>
          <cell r="F12">
            <v>0</v>
          </cell>
          <cell r="G12">
            <v>0</v>
          </cell>
          <cell r="H12">
            <v>0</v>
          </cell>
          <cell r="I12">
            <v>0</v>
          </cell>
          <cell r="J12">
            <v>0</v>
          </cell>
          <cell r="K12" t="str">
            <v/>
          </cell>
          <cell r="L12">
            <v>0</v>
          </cell>
          <cell r="M12">
            <v>0</v>
          </cell>
          <cell r="N12" t="str">
            <v/>
          </cell>
          <cell r="O12" t="str">
            <v/>
          </cell>
          <cell r="P12" t="str">
            <v/>
          </cell>
          <cell r="Q12" t="str">
            <v/>
          </cell>
          <cell r="S12" t="str">
            <v/>
          </cell>
          <cell r="T12" t="str">
            <v/>
          </cell>
          <cell r="V12" t="str">
            <v/>
          </cell>
          <cell r="W12" t="str">
            <v/>
          </cell>
          <cell r="X12" t="str">
            <v/>
          </cell>
          <cell r="Y12">
            <v>0</v>
          </cell>
          <cell r="Z12" t="str">
            <v/>
          </cell>
          <cell r="AA12">
            <v>0</v>
          </cell>
          <cell r="AB12" t="str">
            <v/>
          </cell>
          <cell r="AC12">
            <v>0</v>
          </cell>
          <cell r="AD12">
            <v>0</v>
          </cell>
          <cell r="AE12">
            <v>0</v>
          </cell>
          <cell r="AF12">
            <v>0</v>
          </cell>
          <cell r="AG12">
            <v>0</v>
          </cell>
          <cell r="AH12">
            <v>0</v>
          </cell>
          <cell r="AI12" t="str">
            <v/>
          </cell>
          <cell r="AJ12" t="str">
            <v/>
          </cell>
          <cell r="AK12" t="str">
            <v/>
          </cell>
          <cell r="AL12" t="str">
            <v/>
          </cell>
          <cell r="AM12">
            <v>0</v>
          </cell>
          <cell r="AN12" t="str">
            <v/>
          </cell>
          <cell r="AO12">
            <v>0</v>
          </cell>
          <cell r="AP12" t="str">
            <v/>
          </cell>
          <cell r="AQ12">
            <v>0</v>
          </cell>
          <cell r="AR12">
            <v>0</v>
          </cell>
          <cell r="AT12">
            <v>-1</v>
          </cell>
          <cell r="AU12">
            <v>99</v>
          </cell>
          <cell r="AW12">
            <v>0</v>
          </cell>
          <cell r="AX12" t="str">
            <v/>
          </cell>
          <cell r="AY12">
            <v>1</v>
          </cell>
          <cell r="AZ12" t="str">
            <v/>
          </cell>
          <cell r="BA12" t="b">
            <v>0</v>
          </cell>
          <cell r="BC12" t="b">
            <v>0</v>
          </cell>
          <cell r="BD12" t="b">
            <v>0</v>
          </cell>
        </row>
        <row r="14">
          <cell r="A14" t="str">
            <v>Template*</v>
          </cell>
          <cell r="B14" t="str">
            <v>Short description</v>
          </cell>
          <cell r="C14" t="str">
            <v>Size</v>
          </cell>
          <cell r="D14" t="str">
            <v>Type</v>
          </cell>
          <cell r="E14" t="str">
            <v>Subtype</v>
          </cell>
          <cell r="F14" t="str">
            <v>Added HD</v>
          </cell>
          <cell r="G14" t="str">
            <v>Land</v>
          </cell>
          <cell r="H14" t="str">
            <v>Burrow</v>
          </cell>
          <cell r="I14" t="str">
            <v>Climb</v>
          </cell>
          <cell r="J14" t="str">
            <v>Fly</v>
          </cell>
          <cell r="K14" t="str">
            <v>Maneuverability</v>
          </cell>
          <cell r="L14" t="str">
            <v>Swim</v>
          </cell>
          <cell r="M14" t="str">
            <v>Natural Armor</v>
          </cell>
          <cell r="N14" t="str">
            <v>Natural Attacks</v>
          </cell>
          <cell r="O14" t="str">
            <v>Special Attacks</v>
          </cell>
          <cell r="P14" t="str">
            <v>Spell-Like Abilities</v>
          </cell>
          <cell r="Q14" t="str">
            <v>Psionics Abilities</v>
          </cell>
          <cell r="R14" t="str">
            <v>Other Special Abilities</v>
          </cell>
          <cell r="S14" t="str">
            <v>LowLight Vision</v>
          </cell>
          <cell r="T14" t="str">
            <v>Darkvision</v>
          </cell>
          <cell r="U14" t="str">
            <v>Other Senses</v>
          </cell>
          <cell r="V14" t="str">
            <v>Immunities</v>
          </cell>
          <cell r="W14" t="str">
            <v>Vulnerabilities</v>
          </cell>
          <cell r="X14" t="str">
            <v>Energy Resistance</v>
          </cell>
          <cell r="Y14" t="str">
            <v>Spell Resistance</v>
          </cell>
          <cell r="Z14" t="str">
            <v>Damage Reduction</v>
          </cell>
          <cell r="AA14" t="str">
            <v>Fast Healing</v>
          </cell>
          <cell r="AB14" t="str">
            <v>Other Special Qualities</v>
          </cell>
          <cell r="AC14" t="str">
            <v>Str</v>
          </cell>
          <cell r="AD14" t="str">
            <v>Dex</v>
          </cell>
          <cell r="AE14" t="str">
            <v>Con</v>
          </cell>
          <cell r="AF14" t="str">
            <v>Int</v>
          </cell>
          <cell r="AG14" t="str">
            <v>Wis</v>
          </cell>
          <cell r="AH14" t="str">
            <v>Cha</v>
          </cell>
          <cell r="AI14" t="str">
            <v>Skills</v>
          </cell>
          <cell r="AJ14" t="str">
            <v>Bonus Feats</v>
          </cell>
          <cell r="AK14" t="str">
            <v>Automatic Languages</v>
          </cell>
          <cell r="AL14" t="str">
            <v>Bonus Languages</v>
          </cell>
          <cell r="AM14" t="str">
            <v>CR Adj.</v>
          </cell>
          <cell r="AN14" t="str">
            <v>Alignment</v>
          </cell>
          <cell r="AO14" t="str">
            <v>Level Adj.</v>
          </cell>
          <cell r="AP14" t="str">
            <v>Inheritance*</v>
          </cell>
          <cell r="AQ14" t="str">
            <v>Racial HD Change</v>
          </cell>
          <cell r="AR14" t="str">
            <v>HD Change</v>
          </cell>
          <cell r="AS14" t="str">
            <v>Allow Multiple</v>
          </cell>
          <cell r="AT14" t="str">
            <v>Prerequisites</v>
          </cell>
          <cell r="AU14" t="str">
            <v>Prereq</v>
          </cell>
          <cell r="AV14" t="str">
            <v>Special</v>
          </cell>
          <cell r="AW14" t="str">
            <v>Index</v>
          </cell>
          <cell r="AX14" t="str">
            <v>Species</v>
          </cell>
          <cell r="AY14" t="str">
            <v>Src</v>
          </cell>
          <cell r="AZ14" t="str">
            <v>Pg</v>
          </cell>
          <cell r="BA14" t="str">
            <v>AltSrc</v>
          </cell>
          <cell r="BB14" t="str">
            <v>Src Sel</v>
          </cell>
          <cell r="BC14" t="str">
            <v>Selected</v>
          </cell>
          <cell r="BD14" t="str">
            <v>Qualified</v>
          </cell>
        </row>
        <row r="15">
          <cell r="A15" t="str">
            <v xml:space="preserve"> Custom Template</v>
          </cell>
          <cell r="B15" t="str">
            <v/>
          </cell>
          <cell r="C15" t="str">
            <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E15" t="str">
            <v/>
          </cell>
          <cell r="AF15" t="str">
            <v/>
          </cell>
          <cell r="AG15" t="str">
            <v/>
          </cell>
          <cell r="AH15" t="str">
            <v/>
          </cell>
          <cell r="AI15" t="str">
            <v/>
          </cell>
          <cell r="AJ15" t="str">
            <v/>
          </cell>
          <cell r="AK15" t="str">
            <v/>
          </cell>
          <cell r="AL15" t="str">
            <v/>
          </cell>
          <cell r="AM15" t="str">
            <v/>
          </cell>
          <cell r="AN15" t="str">
            <v/>
          </cell>
          <cell r="AO15" t="str">
            <v/>
          </cell>
          <cell r="AP15" t="str">
            <v/>
          </cell>
          <cell r="AQ15" t="str">
            <v/>
          </cell>
          <cell r="AR15" t="str">
            <v/>
          </cell>
          <cell r="AS15" t="b">
            <v>0</v>
          </cell>
          <cell r="AU15" t="b">
            <v>0</v>
          </cell>
          <cell r="AX15" t="str">
            <v>n.a.</v>
          </cell>
          <cell r="AY15" t="str">
            <v>CUST</v>
          </cell>
          <cell r="BA15" t="str">
            <v/>
          </cell>
          <cell r="BB15" t="b">
            <v>0</v>
          </cell>
          <cell r="BC15" t="b">
            <v>0</v>
          </cell>
          <cell r="BD15" t="b">
            <v>0</v>
          </cell>
          <cell r="BF15" t="str">
            <v>Axiomatic</v>
          </cell>
          <cell r="BI15">
            <v>55</v>
          </cell>
        </row>
        <row r="16">
          <cell r="A16" t="str">
            <v>Anarchic</v>
          </cell>
          <cell r="D16" t="str">
            <v/>
          </cell>
          <cell r="E16" t="str">
            <v>Extraplanar</v>
          </cell>
          <cell r="T16">
            <v>60</v>
          </cell>
          <cell r="V16" t="str">
            <v>petrification, polymorph</v>
          </cell>
          <cell r="X16" t="str">
            <v>acid 5, cold 5, electricity 5, fire 5, sonic 5</v>
          </cell>
          <cell r="Z16" t="str">
            <v>5/magic</v>
          </cell>
          <cell r="AA16">
            <v>0</v>
          </cell>
          <cell r="AF16">
            <v>0</v>
          </cell>
          <cell r="AM16" t="str">
            <v/>
          </cell>
          <cell r="AN16" t="str">
            <v>Chaotic</v>
          </cell>
          <cell r="AO16">
            <v>5</v>
          </cell>
          <cell r="AP16" t="str">
            <v>inherited</v>
          </cell>
          <cell r="AS16" t="b">
            <v>0</v>
          </cell>
          <cell r="AT16" t="str">
            <v>Type is living creature, not elemental, ooze, outsider; Subtype is corporeal; Non lawful</v>
          </cell>
          <cell r="AU16" t="b">
            <v>0</v>
          </cell>
          <cell r="AX16" t="str">
            <v>n.a.</v>
          </cell>
          <cell r="AY16" t="str">
            <v>PlH</v>
          </cell>
          <cell r="AZ16">
            <v>107</v>
          </cell>
          <cell r="BA16" t="str">
            <v>MotP</v>
          </cell>
          <cell r="BB16" t="b">
            <v>1</v>
          </cell>
          <cell r="BC16" t="b">
            <v>0</v>
          </cell>
          <cell r="BD16" t="b">
            <v>0</v>
          </cell>
          <cell r="BF16" t="str">
            <v>Celestial</v>
          </cell>
          <cell r="BI16">
            <v>12</v>
          </cell>
        </row>
        <row r="17">
          <cell r="A17" t="str">
            <v>Axiomatic</v>
          </cell>
          <cell r="D17" t="str">
            <v/>
          </cell>
          <cell r="E17" t="str">
            <v>Extraplanar</v>
          </cell>
          <cell r="T17">
            <v>60</v>
          </cell>
          <cell r="X17" t="str">
            <v>cold 5, electricity 5, fire 5, sonic 5</v>
          </cell>
          <cell r="Y17">
            <v>6</v>
          </cell>
          <cell r="AF17">
            <v>0</v>
          </cell>
          <cell r="AM17" t="str">
            <v/>
          </cell>
          <cell r="AN17" t="str">
            <v>Lawful</v>
          </cell>
          <cell r="AO17">
            <v>4</v>
          </cell>
          <cell r="AP17" t="str">
            <v>inherited</v>
          </cell>
          <cell r="AS17" t="b">
            <v>0</v>
          </cell>
          <cell r="AT17" t="str">
            <v>Type is living creature, not elemental, ooze, outsider; Subtype is corporeal; Non chaotic</v>
          </cell>
          <cell r="AU17" t="b">
            <v>1</v>
          </cell>
          <cell r="AX17" t="str">
            <v>n.a.</v>
          </cell>
          <cell r="AY17" t="str">
            <v>PlH</v>
          </cell>
          <cell r="AZ17">
            <v>110</v>
          </cell>
          <cell r="BA17" t="str">
            <v>LF,MotP</v>
          </cell>
          <cell r="BB17" t="b">
            <v>1</v>
          </cell>
          <cell r="BC17" t="b">
            <v>0</v>
          </cell>
          <cell r="BD17" t="b">
            <v>1</v>
          </cell>
          <cell r="BF17" t="str">
            <v>Draconic</v>
          </cell>
          <cell r="BI17" t="b">
            <v>0</v>
          </cell>
        </row>
        <row r="18">
          <cell r="A18" t="str">
            <v>Celestial</v>
          </cell>
          <cell r="D18" t="str">
            <v/>
          </cell>
          <cell r="E18" t="str">
            <v>Extraplanar</v>
          </cell>
          <cell r="T18">
            <v>60</v>
          </cell>
          <cell r="X18" t="str">
            <v>acid 5, cold 5, electricity 5</v>
          </cell>
          <cell r="Z18" t="str">
            <v/>
          </cell>
          <cell r="AF18">
            <v>0</v>
          </cell>
          <cell r="AM18">
            <v>0</v>
          </cell>
          <cell r="AN18" t="str">
            <v>Good</v>
          </cell>
          <cell r="AO18">
            <v>2</v>
          </cell>
          <cell r="AP18" t="str">
            <v>inherited</v>
          </cell>
          <cell r="AS18" t="b">
            <v>0</v>
          </cell>
          <cell r="AT18" t="str">
            <v>Type is living creature, not elemental, ooze, outsider; Subtype is corporeal; Non evil</v>
          </cell>
          <cell r="AU18" t="b">
            <v>1</v>
          </cell>
          <cell r="AX18" t="str">
            <v>n.a.</v>
          </cell>
          <cell r="AY18" t="str">
            <v>MM</v>
          </cell>
          <cell r="AZ18">
            <v>31</v>
          </cell>
          <cell r="BA18" t="str">
            <v/>
          </cell>
          <cell r="BB18" t="b">
            <v>1</v>
          </cell>
          <cell r="BC18" t="b">
            <v>0</v>
          </cell>
          <cell r="BD18" t="b">
            <v>1</v>
          </cell>
          <cell r="BF18" t="str">
            <v>Entropic</v>
          </cell>
        </row>
        <row r="19">
          <cell r="A19" t="str">
            <v>Chameleon</v>
          </cell>
          <cell r="E19" t="str">
            <v>Reptilian</v>
          </cell>
          <cell r="S19" t="str">
            <v>normal</v>
          </cell>
          <cell r="AI19" t="str">
            <v>Climb+8,Hide+10,Move Silently+4</v>
          </cell>
          <cell r="AM19">
            <v>1</v>
          </cell>
          <cell r="AO19">
            <v>1</v>
          </cell>
          <cell r="AP19" t="str">
            <v>inherited</v>
          </cell>
          <cell r="AS19" t="b">
            <v>0</v>
          </cell>
          <cell r="AT19" t="str">
            <v>Type is living creature, not elemental; Subtype is corporeal</v>
          </cell>
          <cell r="AU19" t="b">
            <v>1</v>
          </cell>
          <cell r="AX19" t="str">
            <v>n.a.</v>
          </cell>
          <cell r="AY19" t="str">
            <v>Und</v>
          </cell>
          <cell r="AZ19">
            <v>83</v>
          </cell>
          <cell r="BA19" t="str">
            <v/>
          </cell>
          <cell r="BB19" t="b">
            <v>0</v>
          </cell>
          <cell r="BC19" t="b">
            <v>0</v>
          </cell>
          <cell r="BD19" t="b">
            <v>0</v>
          </cell>
          <cell r="BF19" t="str">
            <v>Ghost</v>
          </cell>
          <cell r="BI19" t="str">
            <v/>
          </cell>
          <cell r="BJ19">
            <v>-1</v>
          </cell>
        </row>
        <row r="20">
          <cell r="A20" t="str">
            <v>Child of the Sea</v>
          </cell>
          <cell r="D20" t="str">
            <v>Fey</v>
          </cell>
          <cell r="E20" t="str">
            <v>Aquatic</v>
          </cell>
          <cell r="L20">
            <v>30</v>
          </cell>
          <cell r="P20" t="str">
            <v>Calm Animals (3/day), Summon Nature's Ally I (3/day), Control Water, Summon Nature's Ally II  (aquatic creatures only)</v>
          </cell>
          <cell r="S20" t="str">
            <v>superior</v>
          </cell>
          <cell r="AE20">
            <v>2</v>
          </cell>
          <cell r="AH20">
            <v>-2</v>
          </cell>
          <cell r="AI20" t="str">
            <v>Swim+8</v>
          </cell>
          <cell r="AM20">
            <v>1</v>
          </cell>
          <cell r="AO20">
            <v>2</v>
          </cell>
          <cell r="AP20" t="str">
            <v>inherited</v>
          </cell>
          <cell r="AQ20">
            <v>6</v>
          </cell>
          <cell r="AS20" t="b">
            <v>0</v>
          </cell>
          <cell r="AT20" t="str">
            <v>Type is humanoid; Subtype is not aquatic</v>
          </cell>
          <cell r="AU20" t="b">
            <v>1</v>
          </cell>
          <cell r="AX20" t="str">
            <v>n.a.</v>
          </cell>
          <cell r="AY20" t="str">
            <v>BoK</v>
          </cell>
          <cell r="AZ20">
            <v>12</v>
          </cell>
          <cell r="BA20" t="str">
            <v/>
          </cell>
          <cell r="BB20" t="b">
            <v>0</v>
          </cell>
          <cell r="BC20" t="b">
            <v>0</v>
          </cell>
          <cell r="BD20" t="b">
            <v>0</v>
          </cell>
          <cell r="BF20" t="str">
            <v>Half-Celestial</v>
          </cell>
          <cell r="BI20" t="str">
            <v/>
          </cell>
          <cell r="BJ20">
            <v>-1</v>
          </cell>
        </row>
        <row r="21">
          <cell r="A21" t="str">
            <v>Death Knight</v>
          </cell>
          <cell r="D21" t="str">
            <v>Undead</v>
          </cell>
          <cell r="M21">
            <v>5</v>
          </cell>
          <cell r="P21" t="str">
            <v>Detect Magic, Dispel Magic, Wall Of Ice</v>
          </cell>
          <cell r="T21">
            <v>60</v>
          </cell>
          <cell r="V21" t="str">
            <v>cold, electricity, polymorph, all mind-affecting effects, poison, sleep effects, paralysis, stunning, disease, death effects</v>
          </cell>
          <cell r="Y21">
            <v>11</v>
          </cell>
          <cell r="Z21" t="str">
            <v>15/magic</v>
          </cell>
          <cell r="AC21">
            <v>4</v>
          </cell>
          <cell r="AG21">
            <v>2</v>
          </cell>
          <cell r="AH21">
            <v>2</v>
          </cell>
          <cell r="AM21">
            <v>3</v>
          </cell>
          <cell r="AN21" t="str">
            <v>Evil</v>
          </cell>
          <cell r="AO21">
            <v>5</v>
          </cell>
          <cell r="AP21" t="str">
            <v>acquired</v>
          </cell>
          <cell r="AR21">
            <v>12</v>
          </cell>
          <cell r="AS21" t="b">
            <v>0</v>
          </cell>
          <cell r="AT21" t="str">
            <v>Type is humanoid; Character level&gt;=6, Evil</v>
          </cell>
          <cell r="AU21" t="b">
            <v>0</v>
          </cell>
          <cell r="AX21" t="str">
            <v>n.a.</v>
          </cell>
          <cell r="AY21" t="str">
            <v>MM2</v>
          </cell>
          <cell r="AZ21">
            <v>207</v>
          </cell>
          <cell r="BA21" t="str">
            <v/>
          </cell>
          <cell r="BB21" t="b">
            <v>0</v>
          </cell>
          <cell r="BC21" t="b">
            <v>0</v>
          </cell>
          <cell r="BD21" t="b">
            <v>0</v>
          </cell>
          <cell r="BF21" t="str">
            <v>Half-Dragon</v>
          </cell>
          <cell r="BI21" t="str">
            <v/>
          </cell>
          <cell r="BJ21">
            <v>-1</v>
          </cell>
        </row>
        <row r="22">
          <cell r="A22" t="str">
            <v>Draconic</v>
          </cell>
          <cell r="D22" t="str">
            <v/>
          </cell>
          <cell r="E22" t="str">
            <v>Dragonblood</v>
          </cell>
          <cell r="M22">
            <v>1</v>
          </cell>
          <cell r="N22" t="str">
            <v>2 Claws+3+0+1</v>
          </cell>
          <cell r="S22" t="str">
            <v>normal</v>
          </cell>
          <cell r="T22">
            <v>60</v>
          </cell>
          <cell r="AC22">
            <v>2</v>
          </cell>
          <cell r="AE22">
            <v>2</v>
          </cell>
          <cell r="AH22">
            <v>2</v>
          </cell>
          <cell r="AI22" t="str">
            <v>Intimidate+2,Spot+2</v>
          </cell>
          <cell r="AM22">
            <v>1</v>
          </cell>
          <cell r="AO22">
            <v>1</v>
          </cell>
          <cell r="AP22" t="str">
            <v>inherited</v>
          </cell>
          <cell r="AS22" t="b">
            <v>0</v>
          </cell>
          <cell r="AT22" t="str">
            <v>Type is living creature, not dragon; Subtype is corporeal</v>
          </cell>
          <cell r="AU22" t="b">
            <v>1</v>
          </cell>
          <cell r="AX22" t="str">
            <v>n.a.</v>
          </cell>
          <cell r="AY22" t="str">
            <v>RotD</v>
          </cell>
          <cell r="AZ22">
            <v>74</v>
          </cell>
          <cell r="BA22" t="str">
            <v>Dr</v>
          </cell>
          <cell r="BB22" t="b">
            <v>1</v>
          </cell>
          <cell r="BC22" t="b">
            <v>0</v>
          </cell>
          <cell r="BD22" t="b">
            <v>1</v>
          </cell>
          <cell r="BF22" t="str">
            <v>Half-Elemental</v>
          </cell>
          <cell r="BI22" t="str">
            <v/>
          </cell>
          <cell r="BJ22">
            <v>-1</v>
          </cell>
        </row>
        <row r="23">
          <cell r="A23" t="str">
            <v>Dragon Vassal</v>
          </cell>
          <cell r="D23" t="str">
            <v>Monstrous Humanoid</v>
          </cell>
          <cell r="E23" t="str">
            <v/>
          </cell>
          <cell r="M23">
            <v>2</v>
          </cell>
          <cell r="T23">
            <v>60</v>
          </cell>
          <cell r="AA23">
            <v>5</v>
          </cell>
          <cell r="AC23">
            <v>8</v>
          </cell>
          <cell r="AD23">
            <v>4</v>
          </cell>
          <cell r="AE23">
            <v>6</v>
          </cell>
          <cell r="AI23" t="str">
            <v>Listen+6,Search+6,Spot+6</v>
          </cell>
          <cell r="AM23">
            <v>1</v>
          </cell>
          <cell r="AN23" t="str">
            <v/>
          </cell>
          <cell r="AO23">
            <v>2</v>
          </cell>
          <cell r="AP23" t="str">
            <v>acquired</v>
          </cell>
          <cell r="AQ23">
            <v>10</v>
          </cell>
          <cell r="AS23" t="b">
            <v>0</v>
          </cell>
          <cell r="AT23" t="str">
            <v>Type is giant, humanoid, monstrous humanoid</v>
          </cell>
          <cell r="AU23" t="b">
            <v>1</v>
          </cell>
          <cell r="AW23" t="str">
            <v/>
          </cell>
          <cell r="AX23" t="str">
            <v/>
          </cell>
          <cell r="AY23" t="str">
            <v>BoK</v>
          </cell>
          <cell r="AZ23">
            <v>42</v>
          </cell>
          <cell r="BA23" t="str">
            <v/>
          </cell>
          <cell r="BB23" t="b">
            <v>0</v>
          </cell>
          <cell r="BC23" t="b">
            <v>0</v>
          </cell>
          <cell r="BD23" t="b">
            <v>0</v>
          </cell>
          <cell r="BF23" t="str">
            <v>Lich</v>
          </cell>
          <cell r="BI23">
            <v>0</v>
          </cell>
        </row>
        <row r="24">
          <cell r="A24" t="str">
            <v>Dragonspawn</v>
          </cell>
          <cell r="D24" t="str">
            <v>Monstrous Humanoid</v>
          </cell>
          <cell r="E24" t="str">
            <v/>
          </cell>
          <cell r="J24">
            <v>40</v>
          </cell>
          <cell r="K24" t="str">
            <v>average</v>
          </cell>
          <cell r="L24">
            <v>0</v>
          </cell>
          <cell r="M24">
            <v>7</v>
          </cell>
          <cell r="N24" t="str">
            <v>2 Claws+4+0+2,Bite+4+0+1</v>
          </cell>
          <cell r="O24" t="str">
            <v/>
          </cell>
          <cell r="S24" t="str">
            <v>normal</v>
          </cell>
          <cell r="T24">
            <v>30</v>
          </cell>
          <cell r="V24" t="str">
            <v>sleep, paralysis</v>
          </cell>
          <cell r="AB24" t="str">
            <v/>
          </cell>
          <cell r="AC24" t="str">
            <v/>
          </cell>
          <cell r="AD24" t="str">
            <v/>
          </cell>
          <cell r="AE24" t="str">
            <v/>
          </cell>
          <cell r="AF24" t="str">
            <v/>
          </cell>
          <cell r="AG24" t="str">
            <v/>
          </cell>
          <cell r="AH24" t="str">
            <v/>
          </cell>
          <cell r="AI24" t="str">
            <v/>
          </cell>
          <cell r="AM24" t="str">
            <v/>
          </cell>
          <cell r="AN24" t="str">
            <v/>
          </cell>
          <cell r="AO24" t="str">
            <v/>
          </cell>
          <cell r="AP24" t="str">
            <v>acquired</v>
          </cell>
          <cell r="AS24" t="b">
            <v>0</v>
          </cell>
          <cell r="AT24" t="str">
            <v>Type is humanoid, monstrous humanoid; Size=small, medium, large</v>
          </cell>
          <cell r="AU24" t="b">
            <v>1</v>
          </cell>
          <cell r="AV24" t="str">
            <v/>
          </cell>
          <cell r="AW24" t="str">
            <v/>
          </cell>
          <cell r="AX24" t="str">
            <v/>
          </cell>
          <cell r="AY24" t="str">
            <v>DCS</v>
          </cell>
          <cell r="BA24" t="str">
            <v>BoK</v>
          </cell>
          <cell r="BB24" t="b">
            <v>0</v>
          </cell>
          <cell r="BC24" t="b">
            <v>0</v>
          </cell>
          <cell r="BD24" t="b">
            <v>0</v>
          </cell>
          <cell r="BF24" t="str">
            <v>Lycanthrope</v>
          </cell>
          <cell r="BI24" t="str">
            <v/>
          </cell>
        </row>
        <row r="25">
          <cell r="A25" t="str">
            <v>Dry Lich</v>
          </cell>
          <cell r="D25" t="str">
            <v>Undead</v>
          </cell>
          <cell r="M25">
            <v>5</v>
          </cell>
          <cell r="T25">
            <v>60</v>
          </cell>
          <cell r="V25" t="str">
            <v>dehydration, heat, polymorph , mind-affecting effects</v>
          </cell>
          <cell r="Z25" t="str">
            <v>10/bludgeoning and magic</v>
          </cell>
          <cell r="AC25">
            <v>2</v>
          </cell>
          <cell r="AG25">
            <v>4</v>
          </cell>
          <cell r="AH25">
            <v>2</v>
          </cell>
          <cell r="AI25" t="str">
            <v>Hide+8,Intimidate+8,Listen+8,Move Silently+8,Search+8,Spot+8</v>
          </cell>
          <cell r="AM25">
            <v>3</v>
          </cell>
          <cell r="AO25">
            <v>5</v>
          </cell>
          <cell r="AP25" t="str">
            <v>acquired</v>
          </cell>
          <cell r="AR25">
            <v>12</v>
          </cell>
          <cell r="AS25" t="b">
            <v>0</v>
          </cell>
          <cell r="AT25" t="str">
            <v>non good, Wlaker in the Waste level&gt;=10</v>
          </cell>
          <cell r="AU25" t="b">
            <v>1</v>
          </cell>
          <cell r="AX25" t="str">
            <v>n.a.</v>
          </cell>
          <cell r="AY25" t="str">
            <v>Sa</v>
          </cell>
          <cell r="AZ25">
            <v>155</v>
          </cell>
          <cell r="BA25" t="str">
            <v/>
          </cell>
          <cell r="BB25" t="b">
            <v>0</v>
          </cell>
          <cell r="BC25" t="b">
            <v>0</v>
          </cell>
          <cell r="BD25" t="b">
            <v>0</v>
          </cell>
          <cell r="BF25" t="str">
            <v>Vampire</v>
          </cell>
          <cell r="BI25" t="str">
            <v>,Humanoid,</v>
          </cell>
        </row>
        <row r="26">
          <cell r="A26" t="str">
            <v>Dust-Stuffed</v>
          </cell>
          <cell r="D26" t="str">
            <v>Construct</v>
          </cell>
          <cell r="E26" t="str">
            <v>Living Construct</v>
          </cell>
          <cell r="Z26" t="str">
            <v>15/bludgeoning</v>
          </cell>
          <cell r="AC26">
            <v>4</v>
          </cell>
          <cell r="AD26">
            <v>4</v>
          </cell>
          <cell r="AE26">
            <v>2</v>
          </cell>
          <cell r="AM26">
            <v>1</v>
          </cell>
          <cell r="AN26" t="str">
            <v>Lawful Evil</v>
          </cell>
          <cell r="AO26">
            <v>5</v>
          </cell>
          <cell r="AP26" t="str">
            <v>acquired</v>
          </cell>
          <cell r="AS26" t="b">
            <v>0</v>
          </cell>
          <cell r="AT26" t="str">
            <v>Type is humanoid, monstrous humanoid</v>
          </cell>
          <cell r="AU26" t="b">
            <v>1</v>
          </cell>
          <cell r="AX26" t="str">
            <v>n.a.</v>
          </cell>
          <cell r="AY26" t="str">
            <v>EH</v>
          </cell>
          <cell r="AZ26">
            <v>114</v>
          </cell>
          <cell r="BA26" t="str">
            <v/>
          </cell>
          <cell r="BB26" t="b">
            <v>0</v>
          </cell>
          <cell r="BC26" t="b">
            <v>0</v>
          </cell>
          <cell r="BD26" t="b">
            <v>0</v>
          </cell>
          <cell r="BF26" t="str">
            <v>Vivacious</v>
          </cell>
          <cell r="BI26" t="str">
            <v>,dwarf,</v>
          </cell>
        </row>
        <row r="27">
          <cell r="A27" t="str">
            <v>Entropic</v>
          </cell>
          <cell r="D27" t="str">
            <v>Outsider</v>
          </cell>
          <cell r="E27" t="str">
            <v>Extraplanar</v>
          </cell>
          <cell r="AE27">
            <v>2</v>
          </cell>
          <cell r="AF27">
            <v>0</v>
          </cell>
          <cell r="AH27">
            <v>2</v>
          </cell>
          <cell r="AM27">
            <v>1</v>
          </cell>
          <cell r="AO27">
            <v>2</v>
          </cell>
          <cell r="AP27" t="str">
            <v>inherited</v>
          </cell>
          <cell r="AS27" t="b">
            <v>0</v>
          </cell>
          <cell r="AT27" t="str">
            <v>Type is not construct, deathless, elemental, ooze; Subtype is corporeal</v>
          </cell>
          <cell r="AU27" t="b">
            <v>1</v>
          </cell>
          <cell r="AX27" t="str">
            <v>n.a.</v>
          </cell>
          <cell r="AY27" t="str">
            <v>PlH</v>
          </cell>
          <cell r="AZ27">
            <v>122</v>
          </cell>
          <cell r="BA27" t="str">
            <v/>
          </cell>
          <cell r="BB27" t="b">
            <v>1</v>
          </cell>
          <cell r="BC27" t="b">
            <v>0</v>
          </cell>
          <cell r="BD27" t="b">
            <v>1</v>
          </cell>
          <cell r="BF27" t="str">
            <v/>
          </cell>
          <cell r="BI27" t="str">
            <v>,Dwarf,</v>
          </cell>
        </row>
        <row r="28">
          <cell r="A28" t="str">
            <v>Evolved</v>
          </cell>
          <cell r="B28" t="str">
            <v>Can be selected up to 4 times.</v>
          </cell>
          <cell r="M28">
            <v>0</v>
          </cell>
          <cell r="P28" t="str">
            <v/>
          </cell>
          <cell r="AA28">
            <v>3</v>
          </cell>
          <cell r="AC28">
            <v>0</v>
          </cell>
          <cell r="AH28">
            <v>0</v>
          </cell>
          <cell r="AM28">
            <v>0</v>
          </cell>
          <cell r="AO28">
            <v>0</v>
          </cell>
          <cell r="AP28" t="str">
            <v>acquired</v>
          </cell>
          <cell r="AS28" t="b">
            <v>1</v>
          </cell>
          <cell r="AT28" t="str">
            <v>Type is undead; Int&gt;0</v>
          </cell>
          <cell r="AU28" t="b">
            <v>0</v>
          </cell>
          <cell r="AX28" t="str">
            <v>n.a.</v>
          </cell>
          <cell r="AY28" t="str">
            <v>LM</v>
          </cell>
          <cell r="AZ28">
            <v>99</v>
          </cell>
          <cell r="BA28" t="str">
            <v/>
          </cell>
          <cell r="BB28" t="b">
            <v>0</v>
          </cell>
          <cell r="BC28" t="b">
            <v>0</v>
          </cell>
          <cell r="BD28" t="b">
            <v>0</v>
          </cell>
          <cell r="BF28" t="str">
            <v/>
          </cell>
          <cell r="BI28">
            <v>0</v>
          </cell>
        </row>
        <row r="29">
          <cell r="A29" t="str">
            <v>Faerzress-Infused</v>
          </cell>
          <cell r="AM29">
            <v>1</v>
          </cell>
          <cell r="AO29">
            <v>1</v>
          </cell>
          <cell r="AP29" t="str">
            <v>inherited</v>
          </cell>
          <cell r="AS29" t="b">
            <v>0</v>
          </cell>
          <cell r="AT29" t="str">
            <v>Subtype is corporeal</v>
          </cell>
          <cell r="AU29" t="b">
            <v>1</v>
          </cell>
          <cell r="AX29" t="str">
            <v>n.a.</v>
          </cell>
          <cell r="AY29" t="str">
            <v>Und</v>
          </cell>
          <cell r="AZ29">
            <v>86</v>
          </cell>
          <cell r="BA29" t="str">
            <v/>
          </cell>
          <cell r="BB29" t="b">
            <v>0</v>
          </cell>
          <cell r="BC29" t="b">
            <v>0</v>
          </cell>
          <cell r="BD29" t="b">
            <v>0</v>
          </cell>
          <cell r="BF29" t="str">
            <v/>
          </cell>
          <cell r="BI29">
            <v>0</v>
          </cell>
        </row>
        <row r="30">
          <cell r="A30" t="str">
            <v>Feral</v>
          </cell>
          <cell r="D30" t="str">
            <v>Monstrous Humanoid</v>
          </cell>
          <cell r="G30">
            <v>30</v>
          </cell>
          <cell r="M30">
            <v>6</v>
          </cell>
          <cell r="N30" t="str">
            <v>2 Claws+6+0+1</v>
          </cell>
          <cell r="T30">
            <v>60</v>
          </cell>
          <cell r="AA30">
            <v>2</v>
          </cell>
          <cell r="AC30">
            <v>4</v>
          </cell>
          <cell r="AD30">
            <v>-2</v>
          </cell>
          <cell r="AE30">
            <v>2</v>
          </cell>
          <cell r="AF30">
            <v>-4</v>
          </cell>
          <cell r="AG30">
            <v>2</v>
          </cell>
          <cell r="AM30">
            <v>1</v>
          </cell>
          <cell r="AO30">
            <v>1</v>
          </cell>
          <cell r="AP30" t="str">
            <v>inherited</v>
          </cell>
          <cell r="AQ30">
            <v>10</v>
          </cell>
          <cell r="AS30" t="b">
            <v>0</v>
          </cell>
          <cell r="AT30" t="str">
            <v>Type is humanoid, monstrous humanoid; Subtype is corporeal</v>
          </cell>
          <cell r="AU30" t="b">
            <v>1</v>
          </cell>
          <cell r="AX30" t="str">
            <v>n.a.</v>
          </cell>
          <cell r="AY30" t="str">
            <v>Sand</v>
          </cell>
          <cell r="AZ30">
            <v>115</v>
          </cell>
          <cell r="BA30" t="str">
            <v/>
          </cell>
          <cell r="BB30" t="b">
            <v>0</v>
          </cell>
          <cell r="BC30" t="b">
            <v>0</v>
          </cell>
          <cell r="BD30" t="b">
            <v>0</v>
          </cell>
          <cell r="BF30" t="str">
            <v/>
          </cell>
          <cell r="BI30" t="b">
            <v>0</v>
          </cell>
        </row>
        <row r="31">
          <cell r="A31" t="str">
            <v>Fiendish</v>
          </cell>
          <cell r="D31" t="str">
            <v/>
          </cell>
          <cell r="E31" t="str">
            <v>Extraplanar</v>
          </cell>
          <cell r="T31">
            <v>60</v>
          </cell>
          <cell r="X31" t="str">
            <v>cold 5, fire 5</v>
          </cell>
          <cell r="Z31" t="str">
            <v>0/magic</v>
          </cell>
          <cell r="AF31">
            <v>0</v>
          </cell>
          <cell r="AM31">
            <v>0</v>
          </cell>
          <cell r="AN31" t="str">
            <v>Evil</v>
          </cell>
          <cell r="AO31">
            <v>2</v>
          </cell>
          <cell r="AP31" t="str">
            <v>inherited</v>
          </cell>
          <cell r="AS31" t="b">
            <v>0</v>
          </cell>
          <cell r="AT31" t="str">
            <v>Type is living creature, not elemental, ooze, outsider; Subtype is corporeal; Non good</v>
          </cell>
          <cell r="AU31" t="b">
            <v>0</v>
          </cell>
          <cell r="AX31" t="str">
            <v>n.a.</v>
          </cell>
          <cell r="AY31" t="str">
            <v>MM</v>
          </cell>
          <cell r="AZ31">
            <v>108</v>
          </cell>
          <cell r="BA31" t="str">
            <v/>
          </cell>
          <cell r="BB31" t="b">
            <v>1</v>
          </cell>
          <cell r="BC31" t="b">
            <v>0</v>
          </cell>
          <cell r="BD31" t="b">
            <v>0</v>
          </cell>
          <cell r="BF31" t="str">
            <v/>
          </cell>
          <cell r="BI31" t="b">
            <v>0</v>
          </cell>
        </row>
        <row r="32">
          <cell r="A32" t="str">
            <v>Ghost</v>
          </cell>
          <cell r="D32" t="str">
            <v>Undead</v>
          </cell>
          <cell r="E32" t="str">
            <v>Incorporeal</v>
          </cell>
          <cell r="J32">
            <v>30</v>
          </cell>
          <cell r="K32" t="str">
            <v>perfect</v>
          </cell>
          <cell r="M32">
            <v>0</v>
          </cell>
          <cell r="T32">
            <v>60</v>
          </cell>
          <cell r="AH32">
            <v>4</v>
          </cell>
          <cell r="AI32" t="str">
            <v>Hide+8,Listen+8,Search+8,Spot+8</v>
          </cell>
          <cell r="AM32">
            <v>2</v>
          </cell>
          <cell r="AO32">
            <v>5</v>
          </cell>
          <cell r="AP32" t="str">
            <v>acquired</v>
          </cell>
          <cell r="AR32">
            <v>12</v>
          </cell>
          <cell r="AS32" t="b">
            <v>0</v>
          </cell>
          <cell r="AT32" t="str">
            <v>Type is aberration, animal, dragon, giant, humanoid, magical beast, monstrous humanoid, plant; Cha&gt;=6</v>
          </cell>
          <cell r="AU32" t="b">
            <v>1</v>
          </cell>
          <cell r="AX32" t="str">
            <v>n.a.</v>
          </cell>
          <cell r="AY32" t="str">
            <v>MM</v>
          </cell>
          <cell r="AZ32">
            <v>116</v>
          </cell>
          <cell r="BA32" t="str">
            <v/>
          </cell>
          <cell r="BB32" t="b">
            <v>1</v>
          </cell>
          <cell r="BC32" t="b">
            <v>0</v>
          </cell>
          <cell r="BD32" t="b">
            <v>1</v>
          </cell>
          <cell r="BF32" t="str">
            <v/>
          </cell>
        </row>
        <row r="33">
          <cell r="A33" t="str">
            <v>GraveTouched Ghoul</v>
          </cell>
          <cell r="D33" t="str">
            <v>Undead</v>
          </cell>
          <cell r="M33">
            <v>2</v>
          </cell>
          <cell r="N33" t="str">
            <v>Bite+5+0+1,2 Claws+5+0+0</v>
          </cell>
          <cell r="T33">
            <v>60</v>
          </cell>
          <cell r="V33" t="str">
            <v>damage to physical ability scores, death effects, death from massive damage, disease, energy drain, exhaustion, extra damage from critical hits, fatigue, mind-affecting spells and abilities, paralysis, poison, sleep, stunning</v>
          </cell>
          <cell r="AC33">
            <v>2</v>
          </cell>
          <cell r="AD33">
            <v>4</v>
          </cell>
          <cell r="AF33">
            <v>2</v>
          </cell>
          <cell r="AG33">
            <v>4</v>
          </cell>
          <cell r="AH33">
            <v>2</v>
          </cell>
          <cell r="AJ33" t="str">
            <v>Multiattack</v>
          </cell>
          <cell r="AM33">
            <v>1</v>
          </cell>
          <cell r="AN33" t="str">
            <v>Chaotic Evil</v>
          </cell>
          <cell r="AO33">
            <v>2</v>
          </cell>
          <cell r="AP33" t="str">
            <v>acquired</v>
          </cell>
          <cell r="AR33">
            <v>12</v>
          </cell>
          <cell r="AS33" t="b">
            <v>0</v>
          </cell>
          <cell r="AT33" t="str">
            <v>Type is aberration, fey, giant, humanoid, monstrous humanoid; Subtype is corporeal</v>
          </cell>
          <cell r="AU33" t="b">
            <v>1</v>
          </cell>
          <cell r="AX33" t="str">
            <v>n.a.</v>
          </cell>
          <cell r="AY33" t="str">
            <v>LM</v>
          </cell>
          <cell r="AZ33">
            <v>103</v>
          </cell>
          <cell r="BA33" t="str">
            <v/>
          </cell>
          <cell r="BB33" t="b">
            <v>0</v>
          </cell>
          <cell r="BC33" t="b">
            <v>0</v>
          </cell>
          <cell r="BD33" t="b">
            <v>0</v>
          </cell>
          <cell r="BF33" t="str">
            <v/>
          </cell>
        </row>
        <row r="34">
          <cell r="A34" t="str">
            <v>Gurik Cha'Ahl</v>
          </cell>
          <cell r="M34">
            <v>1</v>
          </cell>
          <cell r="AC34">
            <v>4</v>
          </cell>
          <cell r="AE34">
            <v>2</v>
          </cell>
          <cell r="AH34">
            <v>-2</v>
          </cell>
          <cell r="AI34" t="str">
            <v>Hide+6,Move Silently+6</v>
          </cell>
          <cell r="AM34">
            <v>1</v>
          </cell>
          <cell r="AO34">
            <v>1</v>
          </cell>
          <cell r="AP34" t="str">
            <v>inherited</v>
          </cell>
          <cell r="AS34" t="b">
            <v>0</v>
          </cell>
          <cell r="AT34" t="str">
            <v>Subtype is goblinoid</v>
          </cell>
          <cell r="AU34" t="b">
            <v>0</v>
          </cell>
          <cell r="AX34" t="str">
            <v>n.a.</v>
          </cell>
          <cell r="AY34" t="str">
            <v>BoK</v>
          </cell>
          <cell r="AZ34">
            <v>61</v>
          </cell>
          <cell r="BA34" t="str">
            <v/>
          </cell>
          <cell r="BB34" t="b">
            <v>0</v>
          </cell>
          <cell r="BC34" t="b">
            <v>0</v>
          </cell>
          <cell r="BD34" t="b">
            <v>0</v>
          </cell>
          <cell r="BF34" t="str">
            <v/>
          </cell>
        </row>
        <row r="35">
          <cell r="A35" t="str">
            <v>Half-Celestial</v>
          </cell>
          <cell r="D35" t="str">
            <v>Outsider</v>
          </cell>
          <cell r="E35" t="str">
            <v>Native</v>
          </cell>
          <cell r="J35">
            <v>40</v>
          </cell>
          <cell r="K35" t="str">
            <v>good</v>
          </cell>
          <cell r="M35">
            <v>1</v>
          </cell>
          <cell r="P35" t="str">
            <v/>
          </cell>
          <cell r="V35" t="str">
            <v>disease</v>
          </cell>
          <cell r="Z35" t="str">
            <v>5/magic</v>
          </cell>
          <cell r="AC35">
            <v>4</v>
          </cell>
          <cell r="AD35">
            <v>2</v>
          </cell>
          <cell r="AE35">
            <v>4</v>
          </cell>
          <cell r="AF35">
            <v>2</v>
          </cell>
          <cell r="AG35">
            <v>4</v>
          </cell>
          <cell r="AH35">
            <v>4</v>
          </cell>
          <cell r="AM35">
            <v>1</v>
          </cell>
          <cell r="AN35" t="str">
            <v>Good</v>
          </cell>
          <cell r="AO35">
            <v>4</v>
          </cell>
          <cell r="AP35" t="str">
            <v>inherited</v>
          </cell>
          <cell r="AS35" t="b">
            <v>0</v>
          </cell>
          <cell r="AT35" t="str">
            <v>Type is living creature; Subtype is corporeal; Non evil, Int&gt;=4</v>
          </cell>
          <cell r="AU35" t="b">
            <v>1</v>
          </cell>
          <cell r="AX35" t="str">
            <v>n.a.</v>
          </cell>
          <cell r="AY35" t="str">
            <v>MM</v>
          </cell>
          <cell r="AZ35">
            <v>144</v>
          </cell>
          <cell r="BA35" t="str">
            <v/>
          </cell>
          <cell r="BB35" t="b">
            <v>1</v>
          </cell>
          <cell r="BC35" t="b">
            <v>0</v>
          </cell>
          <cell r="BD35" t="b">
            <v>1</v>
          </cell>
          <cell r="BF35" t="str">
            <v/>
          </cell>
        </row>
        <row r="36">
          <cell r="A36" t="str">
            <v>Half-Dragon</v>
          </cell>
          <cell r="D36" t="str">
            <v>Dragon</v>
          </cell>
          <cell r="J36">
            <v>0</v>
          </cell>
          <cell r="K36" t="str">
            <v/>
          </cell>
          <cell r="M36">
            <v>4</v>
          </cell>
          <cell r="N36" t="str">
            <v>2 Claws+4+0+0,Bite+5+0+1</v>
          </cell>
          <cell r="S36" t="str">
            <v>normal</v>
          </cell>
          <cell r="T36">
            <v>60</v>
          </cell>
          <cell r="V36" t="str">
            <v>sleep, paralysis</v>
          </cell>
          <cell r="AB36" t="str">
            <v/>
          </cell>
          <cell r="AC36">
            <v>8</v>
          </cell>
          <cell r="AE36">
            <v>2</v>
          </cell>
          <cell r="AF36">
            <v>2</v>
          </cell>
          <cell r="AH36">
            <v>2</v>
          </cell>
          <cell r="AM36">
            <v>2</v>
          </cell>
          <cell r="AO36">
            <v>3</v>
          </cell>
          <cell r="AP36" t="str">
            <v>inherited</v>
          </cell>
          <cell r="AQ36">
            <v>10</v>
          </cell>
          <cell r="AS36" t="b">
            <v>0</v>
          </cell>
          <cell r="AT36" t="str">
            <v>Type is living creature; Subtype is corporeal</v>
          </cell>
          <cell r="AU36" t="b">
            <v>1</v>
          </cell>
          <cell r="AW36" t="str">
            <v/>
          </cell>
          <cell r="AX36" t="str">
            <v/>
          </cell>
          <cell r="AY36" t="str">
            <v>MM</v>
          </cell>
          <cell r="AZ36">
            <v>146</v>
          </cell>
          <cell r="BA36" t="str">
            <v/>
          </cell>
          <cell r="BB36" t="b">
            <v>1</v>
          </cell>
          <cell r="BC36" t="b">
            <v>0</v>
          </cell>
          <cell r="BD36" t="b">
            <v>1</v>
          </cell>
          <cell r="BF36" t="str">
            <v/>
          </cell>
        </row>
        <row r="37">
          <cell r="A37" t="str">
            <v>Half-Elemental</v>
          </cell>
          <cell r="D37" t="str">
            <v>Outsider</v>
          </cell>
          <cell r="E37" t="str">
            <v>Native</v>
          </cell>
          <cell r="M37" t="str">
            <v/>
          </cell>
          <cell r="P37" t="str">
            <v/>
          </cell>
          <cell r="AC37" t="str">
            <v/>
          </cell>
          <cell r="AD37" t="str">
            <v/>
          </cell>
          <cell r="AE37" t="str">
            <v/>
          </cell>
          <cell r="AF37" t="str">
            <v/>
          </cell>
          <cell r="AG37" t="str">
            <v/>
          </cell>
          <cell r="AH37" t="str">
            <v/>
          </cell>
          <cell r="AM37">
            <v>2</v>
          </cell>
          <cell r="AO37">
            <v>3</v>
          </cell>
          <cell r="AP37" t="str">
            <v>inherited</v>
          </cell>
          <cell r="AS37" t="b">
            <v>0</v>
          </cell>
          <cell r="AT37" t="str">
            <v>Type is living creature; Subtype is corporeal; Int&gt;=4.</v>
          </cell>
          <cell r="AU37" t="b">
            <v>1</v>
          </cell>
          <cell r="AW37" t="str">
            <v/>
          </cell>
          <cell r="AX37" t="str">
            <v/>
          </cell>
          <cell r="AY37" t="str">
            <v>MotP</v>
          </cell>
          <cell r="AZ37">
            <v>188</v>
          </cell>
          <cell r="BA37" t="str">
            <v>RT</v>
          </cell>
          <cell r="BB37" t="b">
            <v>1</v>
          </cell>
          <cell r="BC37" t="b">
            <v>0</v>
          </cell>
          <cell r="BD37" t="b">
            <v>1</v>
          </cell>
          <cell r="BF37" t="str">
            <v/>
          </cell>
        </row>
        <row r="38">
          <cell r="A38" t="str">
            <v>Half-Farspawn</v>
          </cell>
          <cell r="D38" t="str">
            <v>Outsider</v>
          </cell>
          <cell r="E38" t="str">
            <v>Native</v>
          </cell>
          <cell r="M38">
            <v>3</v>
          </cell>
          <cell r="N38" t="str">
            <v>2 Tentacles+5+0+0</v>
          </cell>
          <cell r="P38" t="str">
            <v/>
          </cell>
          <cell r="V38" t="str">
            <v>poison</v>
          </cell>
          <cell r="X38" t="str">
            <v>acid 10, electricity 10</v>
          </cell>
          <cell r="Y38">
            <v>11</v>
          </cell>
          <cell r="Z38" t="str">
            <v>5/magic</v>
          </cell>
          <cell r="AC38">
            <v>2</v>
          </cell>
          <cell r="AD38">
            <v>2</v>
          </cell>
          <cell r="AE38">
            <v>6</v>
          </cell>
          <cell r="AG38">
            <v>4</v>
          </cell>
          <cell r="AH38">
            <v>2</v>
          </cell>
          <cell r="AM38">
            <v>1</v>
          </cell>
          <cell r="AN38" t="str">
            <v>Chaotic Evil</v>
          </cell>
          <cell r="AO38">
            <v>4</v>
          </cell>
          <cell r="AP38" t="str">
            <v>inherited</v>
          </cell>
          <cell r="AS38" t="b">
            <v>0</v>
          </cell>
          <cell r="AT38" t="str">
            <v>Type is living creature, not outsider; Subtype is corporeal</v>
          </cell>
          <cell r="AU38" t="b">
            <v>1</v>
          </cell>
          <cell r="AX38" t="str">
            <v>n.a.</v>
          </cell>
          <cell r="AY38" t="str">
            <v>LoM</v>
          </cell>
          <cell r="AZ38">
            <v>151</v>
          </cell>
          <cell r="BA38" t="str">
            <v/>
          </cell>
          <cell r="BB38" t="b">
            <v>0</v>
          </cell>
          <cell r="BC38" t="b">
            <v>0</v>
          </cell>
          <cell r="BD38" t="b">
            <v>0</v>
          </cell>
          <cell r="BF38" t="str">
            <v/>
          </cell>
        </row>
        <row r="39">
          <cell r="A39" t="str">
            <v>Half-Fey</v>
          </cell>
          <cell r="D39" t="str">
            <v>Fey</v>
          </cell>
          <cell r="J39">
            <v>40</v>
          </cell>
          <cell r="K39" t="str">
            <v>good</v>
          </cell>
          <cell r="P39" t="str">
            <v/>
          </cell>
          <cell r="V39" t="str">
            <v>enchantment</v>
          </cell>
          <cell r="Z39" t="str">
            <v>5/cold iron</v>
          </cell>
          <cell r="AD39">
            <v>2</v>
          </cell>
          <cell r="AE39">
            <v>-2</v>
          </cell>
          <cell r="AG39">
            <v>2</v>
          </cell>
          <cell r="AH39">
            <v>4</v>
          </cell>
          <cell r="AM39">
            <v>1</v>
          </cell>
          <cell r="AN39" t="str">
            <v>Chaotic</v>
          </cell>
          <cell r="AO39">
            <v>2</v>
          </cell>
          <cell r="AP39" t="str">
            <v>inherited</v>
          </cell>
          <cell r="AQ39">
            <v>6</v>
          </cell>
          <cell r="AS39" t="b">
            <v>0</v>
          </cell>
          <cell r="AT39" t="str">
            <v>Type is living creature; Subtype is corporeal</v>
          </cell>
          <cell r="AU39" t="b">
            <v>1</v>
          </cell>
          <cell r="AX39" t="str">
            <v>n.a.</v>
          </cell>
          <cell r="AY39" t="str">
            <v>FF</v>
          </cell>
          <cell r="AZ39">
            <v>89</v>
          </cell>
          <cell r="BA39" t="str">
            <v/>
          </cell>
          <cell r="BB39" t="b">
            <v>0</v>
          </cell>
          <cell r="BC39" t="b">
            <v>0</v>
          </cell>
          <cell r="BD39" t="b">
            <v>0</v>
          </cell>
          <cell r="BF39" t="str">
            <v/>
          </cell>
        </row>
        <row r="40">
          <cell r="A40" t="str">
            <v>Half-Fiend</v>
          </cell>
          <cell r="D40" t="str">
            <v>Outsider</v>
          </cell>
          <cell r="E40" t="str">
            <v>Native</v>
          </cell>
          <cell r="J40">
            <v>20</v>
          </cell>
          <cell r="K40" t="str">
            <v>average</v>
          </cell>
          <cell r="M40">
            <v>1</v>
          </cell>
          <cell r="N40" t="str">
            <v>2 Claws+4+0+0,Bite+5+0+1</v>
          </cell>
          <cell r="P40" t="str">
            <v/>
          </cell>
          <cell r="V40" t="str">
            <v>poison</v>
          </cell>
          <cell r="X40" t="str">
            <v>acid 10, cold 10, electricity 10, fire 10</v>
          </cell>
          <cell r="Z40" t="str">
            <v>5/magic</v>
          </cell>
          <cell r="AC40">
            <v>4</v>
          </cell>
          <cell r="AD40">
            <v>4</v>
          </cell>
          <cell r="AE40">
            <v>2</v>
          </cell>
          <cell r="AF40">
            <v>4</v>
          </cell>
          <cell r="AH40">
            <v>2</v>
          </cell>
          <cell r="AM40">
            <v>1</v>
          </cell>
          <cell r="AN40" t="str">
            <v>Evil</v>
          </cell>
          <cell r="AO40">
            <v>4</v>
          </cell>
          <cell r="AP40" t="str">
            <v>inherited</v>
          </cell>
          <cell r="AS40" t="b">
            <v>0</v>
          </cell>
          <cell r="AT40" t="str">
            <v>Type is living creature; Subtype is corporeal; Non good, Int&gt;=4</v>
          </cell>
          <cell r="AU40" t="b">
            <v>0</v>
          </cell>
          <cell r="AX40" t="str">
            <v>n.a.</v>
          </cell>
          <cell r="AY40" t="str">
            <v>MM</v>
          </cell>
          <cell r="AZ40">
            <v>147</v>
          </cell>
          <cell r="BA40" t="str">
            <v/>
          </cell>
          <cell r="BB40" t="b">
            <v>1</v>
          </cell>
          <cell r="BC40" t="b">
            <v>0</v>
          </cell>
          <cell r="BD40" t="b">
            <v>0</v>
          </cell>
          <cell r="BF40" t="str">
            <v/>
          </cell>
        </row>
        <row r="41">
          <cell r="A41" t="str">
            <v>Half-Illithid</v>
          </cell>
          <cell r="D41" t="str">
            <v>Aberration</v>
          </cell>
          <cell r="M41">
            <v>1</v>
          </cell>
          <cell r="N41" t="str">
            <v>4 Tentacles+4+0+0</v>
          </cell>
          <cell r="P41" t="str">
            <v/>
          </cell>
          <cell r="T41">
            <v>60</v>
          </cell>
          <cell r="Y41">
            <v>10</v>
          </cell>
          <cell r="AF41">
            <v>4</v>
          </cell>
          <cell r="AG41">
            <v>4</v>
          </cell>
          <cell r="AH41">
            <v>4</v>
          </cell>
          <cell r="AM41">
            <v>3</v>
          </cell>
          <cell r="AN41" t="str">
            <v>Evil</v>
          </cell>
          <cell r="AO41">
            <v>5</v>
          </cell>
          <cell r="AP41" t="str">
            <v>inherited</v>
          </cell>
          <cell r="AQ41">
            <v>8</v>
          </cell>
          <cell r="AS41" t="b">
            <v>0</v>
          </cell>
          <cell r="AT41" t="str">
            <v>Type is not construct; Subtype is corporeal</v>
          </cell>
          <cell r="AU41" t="b">
            <v>1</v>
          </cell>
          <cell r="AX41" t="str">
            <v>n.a.</v>
          </cell>
          <cell r="AY41" t="str">
            <v>Und</v>
          </cell>
          <cell r="AZ41">
            <v>89</v>
          </cell>
          <cell r="BA41" t="str">
            <v>FF</v>
          </cell>
          <cell r="BB41" t="b">
            <v>0</v>
          </cell>
          <cell r="BC41" t="b">
            <v>0</v>
          </cell>
          <cell r="BD41" t="b">
            <v>0</v>
          </cell>
          <cell r="BF41" t="str">
            <v/>
          </cell>
        </row>
        <row r="42">
          <cell r="A42" t="str">
            <v>Half-Troll</v>
          </cell>
          <cell r="D42" t="str">
            <v>Giant</v>
          </cell>
          <cell r="M42">
            <v>4</v>
          </cell>
          <cell r="N42" t="str">
            <v>2 Claws+5+0+0,Bite+5+0+1</v>
          </cell>
          <cell r="T42">
            <v>60</v>
          </cell>
          <cell r="AA42">
            <v>5</v>
          </cell>
          <cell r="AC42">
            <v>6</v>
          </cell>
          <cell r="AD42">
            <v>2</v>
          </cell>
          <cell r="AE42">
            <v>6</v>
          </cell>
          <cell r="AF42">
            <v>-2</v>
          </cell>
          <cell r="AH42">
            <v>-2</v>
          </cell>
          <cell r="AM42">
            <v>2</v>
          </cell>
          <cell r="AO42">
            <v>4</v>
          </cell>
          <cell r="AP42" t="str">
            <v>inherited</v>
          </cell>
          <cell r="AS42" t="b">
            <v>0</v>
          </cell>
          <cell r="AT42" t="str">
            <v>Type is dragon, fey, giant, humanoid, monstrous humanoid, outsider</v>
          </cell>
          <cell r="AU42" t="b">
            <v>1</v>
          </cell>
          <cell r="AX42" t="str">
            <v>n.a.</v>
          </cell>
          <cell r="AY42" t="str">
            <v>FF</v>
          </cell>
          <cell r="AZ42">
            <v>92</v>
          </cell>
          <cell r="BA42" t="str">
            <v/>
          </cell>
          <cell r="BB42" t="b">
            <v>0</v>
          </cell>
          <cell r="BC42" t="b">
            <v>0</v>
          </cell>
          <cell r="BD42" t="b">
            <v>0</v>
          </cell>
          <cell r="BF42" t="str">
            <v/>
          </cell>
        </row>
        <row r="43">
          <cell r="A43" t="str">
            <v>Half-Vampire</v>
          </cell>
          <cell r="M43">
            <v>2</v>
          </cell>
          <cell r="N43" t="str">
            <v>Slam+5+0+1</v>
          </cell>
          <cell r="X43" t="str">
            <v>cold 5, electricity 5</v>
          </cell>
          <cell r="Z43" t="str">
            <v>5/silver or magic</v>
          </cell>
          <cell r="AC43">
            <v>2</v>
          </cell>
          <cell r="AD43">
            <v>2</v>
          </cell>
          <cell r="AH43">
            <v>2</v>
          </cell>
          <cell r="AI43" t="str">
            <v>Bluff+2,Hide+2,Listen+2,Move Silently+2,Spot+2</v>
          </cell>
          <cell r="AM43">
            <v>1</v>
          </cell>
          <cell r="AO43">
            <v>2</v>
          </cell>
          <cell r="AP43" t="str">
            <v>inherited</v>
          </cell>
          <cell r="AS43" t="b">
            <v>0</v>
          </cell>
          <cell r="AT43" t="str">
            <v>Type is humanoid, monstrous humanoid</v>
          </cell>
          <cell r="AU43" t="b">
            <v>1</v>
          </cell>
          <cell r="AX43" t="str">
            <v>n.a.</v>
          </cell>
          <cell r="AY43" t="str">
            <v>LM</v>
          </cell>
          <cell r="AZ43">
            <v>106</v>
          </cell>
          <cell r="BA43" t="str">
            <v/>
          </cell>
          <cell r="BB43" t="b">
            <v>0</v>
          </cell>
          <cell r="BC43" t="b">
            <v>0</v>
          </cell>
          <cell r="BD43" t="b">
            <v>0</v>
          </cell>
          <cell r="BF43" t="str">
            <v/>
          </cell>
        </row>
        <row r="44">
          <cell r="A44" t="str">
            <v>Hooded Pupil</v>
          </cell>
          <cell r="M44">
            <v>2</v>
          </cell>
          <cell r="X44" t="str">
            <v>cold 5</v>
          </cell>
          <cell r="AC44">
            <v>2</v>
          </cell>
          <cell r="AG44">
            <v>2</v>
          </cell>
          <cell r="AH44">
            <v>2</v>
          </cell>
          <cell r="AI44" t="str">
            <v>Hide+2,Listen+2,Move Silently+2,Spot+2</v>
          </cell>
          <cell r="AJ44" t="str">
            <v>Alertness, Improved Initiative, Lightning Reflexes</v>
          </cell>
          <cell r="AM44">
            <v>1</v>
          </cell>
          <cell r="AN44" t="str">
            <v>Evil</v>
          </cell>
          <cell r="AO44">
            <v>4</v>
          </cell>
          <cell r="AP44" t="str">
            <v>acquired</v>
          </cell>
          <cell r="AS44" t="b">
            <v>0</v>
          </cell>
          <cell r="AT44" t="str">
            <v>Type is giant, humanoid; Subtype is corporeal</v>
          </cell>
          <cell r="AU44" t="b">
            <v>1</v>
          </cell>
          <cell r="AX44" t="str">
            <v>n.a.</v>
          </cell>
          <cell r="AY44" t="str">
            <v>LM</v>
          </cell>
          <cell r="AZ44">
            <v>108</v>
          </cell>
          <cell r="BA44" t="str">
            <v/>
          </cell>
          <cell r="BB44" t="b">
            <v>0</v>
          </cell>
          <cell r="BC44" t="b">
            <v>0</v>
          </cell>
          <cell r="BD44" t="b">
            <v>0</v>
          </cell>
          <cell r="BF44" t="str">
            <v/>
          </cell>
        </row>
        <row r="45">
          <cell r="A45" t="str">
            <v>Insectile</v>
          </cell>
          <cell r="D45" t="str">
            <v>Aberration</v>
          </cell>
          <cell r="M45">
            <v>2</v>
          </cell>
          <cell r="T45">
            <v>60</v>
          </cell>
          <cell r="AD45">
            <v>4</v>
          </cell>
          <cell r="AG45">
            <v>2</v>
          </cell>
          <cell r="AI45" t="str">
            <v>Spot+4</v>
          </cell>
          <cell r="AM45">
            <v>1</v>
          </cell>
          <cell r="AO45">
            <v>2</v>
          </cell>
          <cell r="AP45" t="str">
            <v>inherited</v>
          </cell>
          <cell r="AS45" t="b">
            <v>0</v>
          </cell>
          <cell r="AT45" t="str">
            <v>Type is giant, humanoid, monstrous humanoid</v>
          </cell>
          <cell r="AU45" t="b">
            <v>1</v>
          </cell>
          <cell r="AX45" t="str">
            <v>n.a.</v>
          </cell>
          <cell r="AY45" t="str">
            <v>Sand</v>
          </cell>
          <cell r="AZ45">
            <v>121</v>
          </cell>
          <cell r="BA45" t="str">
            <v/>
          </cell>
          <cell r="BB45" t="b">
            <v>0</v>
          </cell>
          <cell r="BC45" t="b">
            <v>0</v>
          </cell>
          <cell r="BD45" t="b">
            <v>0</v>
          </cell>
          <cell r="BF45" t="str">
            <v/>
          </cell>
        </row>
        <row r="46">
          <cell r="A46" t="str">
            <v>Lich</v>
          </cell>
          <cell r="D46" t="str">
            <v>Undead</v>
          </cell>
          <cell r="M46">
            <v>5</v>
          </cell>
          <cell r="T46">
            <v>60</v>
          </cell>
          <cell r="V46" t="str">
            <v>cold, electricity, polymorph, mind-affecting effects</v>
          </cell>
          <cell r="Z46" t="str">
            <v>15/bludgeoning and magic</v>
          </cell>
          <cell r="AF46">
            <v>2</v>
          </cell>
          <cell r="AG46">
            <v>2</v>
          </cell>
          <cell r="AH46">
            <v>2</v>
          </cell>
          <cell r="AI46" t="str">
            <v>Hide+8,Listen+8,Move Silently+8,Search+8,Sense Motive+8,Spot+8</v>
          </cell>
          <cell r="AM46">
            <v>2</v>
          </cell>
          <cell r="AN46" t="str">
            <v>Evil</v>
          </cell>
          <cell r="AO46">
            <v>4</v>
          </cell>
          <cell r="AP46" t="str">
            <v>acquired</v>
          </cell>
          <cell r="AR46">
            <v>12</v>
          </cell>
          <cell r="AS46" t="b">
            <v>0</v>
          </cell>
          <cell r="AT46" t="str">
            <v>Type is humanoid</v>
          </cell>
          <cell r="AU46" t="b">
            <v>1</v>
          </cell>
          <cell r="AX46" t="str">
            <v>n.a.</v>
          </cell>
          <cell r="AY46" t="str">
            <v>MM</v>
          </cell>
          <cell r="AZ46">
            <v>166</v>
          </cell>
          <cell r="BA46" t="str">
            <v/>
          </cell>
          <cell r="BB46" t="b">
            <v>1</v>
          </cell>
          <cell r="BC46" t="b">
            <v>0</v>
          </cell>
          <cell r="BD46" t="b">
            <v>1</v>
          </cell>
          <cell r="BF46" t="str">
            <v/>
          </cell>
        </row>
        <row r="47">
          <cell r="A47" t="str">
            <v>Lolth-Touched</v>
          </cell>
          <cell r="AC47">
            <v>6</v>
          </cell>
          <cell r="AE47">
            <v>6</v>
          </cell>
          <cell r="AI47" t="str">
            <v>Hide+4,Move Silently+4</v>
          </cell>
          <cell r="AM47">
            <v>1</v>
          </cell>
          <cell r="AN47" t="str">
            <v>Chaotic Evil</v>
          </cell>
          <cell r="AO47">
            <v>1</v>
          </cell>
          <cell r="AP47" t="str">
            <v>acquired</v>
          </cell>
          <cell r="AS47" t="b">
            <v>0</v>
          </cell>
          <cell r="AT47" t="str">
            <v>Type is humanoid, monstrous humanoid; Subtype is corporeal; not lawful good</v>
          </cell>
          <cell r="AU47" t="b">
            <v>0</v>
          </cell>
          <cell r="AX47" t="str">
            <v>n.a.</v>
          </cell>
          <cell r="AY47" t="str">
            <v>MM4</v>
          </cell>
          <cell r="AZ47">
            <v>92</v>
          </cell>
          <cell r="BA47" t="str">
            <v/>
          </cell>
          <cell r="BB47" t="b">
            <v>0</v>
          </cell>
          <cell r="BC47" t="b">
            <v>0</v>
          </cell>
          <cell r="BD47" t="b">
            <v>0</v>
          </cell>
          <cell r="BF47" t="str">
            <v/>
          </cell>
        </row>
        <row r="48">
          <cell r="A48" t="str">
            <v>Lycanthrope</v>
          </cell>
          <cell r="C48" t="str">
            <v/>
          </cell>
          <cell r="D48" t="str">
            <v>Humanoid(shapechanger)</v>
          </cell>
          <cell r="E48" t="str">
            <v>Shapechanger</v>
          </cell>
          <cell r="F48" t="str">
            <v/>
          </cell>
          <cell r="G48" t="str">
            <v/>
          </cell>
          <cell r="H48" t="str">
            <v/>
          </cell>
          <cell r="I48" t="str">
            <v/>
          </cell>
          <cell r="J48" t="str">
            <v/>
          </cell>
          <cell r="K48" t="str">
            <v/>
          </cell>
          <cell r="L48" t="str">
            <v/>
          </cell>
          <cell r="M48" t="str">
            <v/>
          </cell>
          <cell r="N48" t="str">
            <v/>
          </cell>
          <cell r="S48" t="str">
            <v/>
          </cell>
          <cell r="Z48" t="str">
            <v/>
          </cell>
          <cell r="AC48" t="str">
            <v/>
          </cell>
          <cell r="AD48" t="str">
            <v/>
          </cell>
          <cell r="AE48" t="str">
            <v/>
          </cell>
          <cell r="AG48">
            <v>2</v>
          </cell>
          <cell r="AI48" t="str">
            <v/>
          </cell>
          <cell r="AJ48" t="str">
            <v>Iron Will</v>
          </cell>
          <cell r="AM48" t="str">
            <v/>
          </cell>
          <cell r="AO48">
            <v>2</v>
          </cell>
          <cell r="AP48" t="str">
            <v>acquired</v>
          </cell>
          <cell r="AS48" t="b">
            <v>0</v>
          </cell>
          <cell r="AT48" t="str">
            <v>Type is giant, humanoid</v>
          </cell>
          <cell r="AU48" t="b">
            <v>1</v>
          </cell>
          <cell r="AW48" t="str">
            <v/>
          </cell>
          <cell r="AX48" t="str">
            <v/>
          </cell>
          <cell r="AY48" t="str">
            <v>MM</v>
          </cell>
          <cell r="AZ48">
            <v>171</v>
          </cell>
          <cell r="BB48" t="b">
            <v>1</v>
          </cell>
          <cell r="BC48" t="b">
            <v>0</v>
          </cell>
          <cell r="BD48" t="b">
            <v>1</v>
          </cell>
          <cell r="BF48" t="str">
            <v/>
          </cell>
        </row>
        <row r="49">
          <cell r="A49" t="str">
            <v>Mineral Warrior</v>
          </cell>
          <cell r="E49" t="str">
            <v>Earth</v>
          </cell>
          <cell r="M49">
            <v>3</v>
          </cell>
          <cell r="T49">
            <v>60</v>
          </cell>
          <cell r="Z49" t="str">
            <v>8/adamantine</v>
          </cell>
          <cell r="AC49">
            <v>2</v>
          </cell>
          <cell r="AE49">
            <v>4</v>
          </cell>
          <cell r="AF49">
            <v>-2</v>
          </cell>
          <cell r="AG49">
            <v>-2</v>
          </cell>
          <cell r="AH49">
            <v>-2</v>
          </cell>
          <cell r="AM49">
            <v>1</v>
          </cell>
          <cell r="AO49">
            <v>1</v>
          </cell>
          <cell r="AP49" t="str">
            <v>acquired</v>
          </cell>
          <cell r="AS49" t="b">
            <v>0</v>
          </cell>
          <cell r="AT49" t="str">
            <v>Type is living creature, not elemental; Subtype is corporeal</v>
          </cell>
          <cell r="AU49" t="b">
            <v>1</v>
          </cell>
          <cell r="AX49" t="str">
            <v>n.a.</v>
          </cell>
          <cell r="AY49" t="str">
            <v>Und</v>
          </cell>
          <cell r="AZ49">
            <v>96</v>
          </cell>
          <cell r="BA49" t="str">
            <v/>
          </cell>
          <cell r="BB49" t="b">
            <v>0</v>
          </cell>
          <cell r="BC49" t="b">
            <v>0</v>
          </cell>
          <cell r="BD49" t="b">
            <v>0</v>
          </cell>
          <cell r="BF49" t="str">
            <v/>
          </cell>
        </row>
        <row r="50">
          <cell r="A50" t="str">
            <v>Mummified</v>
          </cell>
          <cell r="D50" t="str">
            <v>Undead</v>
          </cell>
          <cell r="G50">
            <v>10</v>
          </cell>
          <cell r="M50">
            <v>10</v>
          </cell>
          <cell r="N50" t="str">
            <v>Slam+5+0+0</v>
          </cell>
          <cell r="T50">
            <v>60</v>
          </cell>
          <cell r="V50" t="str">
            <v>damage to physical ability scores, death effects, death from massive damage, disease, energy drain, exhaustion, extra damage from critical hits, fatigue, mind-affecting spells and abilities, paralysis, poison, sleep, stunning</v>
          </cell>
          <cell r="W50" t="str">
            <v>fire</v>
          </cell>
          <cell r="Z50" t="str">
            <v>5/-</v>
          </cell>
          <cell r="AC50">
            <v>8</v>
          </cell>
          <cell r="AF50">
            <v>-4</v>
          </cell>
          <cell r="AG50">
            <v>4</v>
          </cell>
          <cell r="AH50">
            <v>4</v>
          </cell>
          <cell r="AM50">
            <v>3</v>
          </cell>
          <cell r="AN50" t="str">
            <v>Lawful Evil</v>
          </cell>
          <cell r="AO50">
            <v>4</v>
          </cell>
          <cell r="AP50" t="str">
            <v>acquired</v>
          </cell>
          <cell r="AR50">
            <v>12</v>
          </cell>
          <cell r="AS50" t="b">
            <v>0</v>
          </cell>
          <cell r="AT50" t="str">
            <v>Type is giant, humanoid, monstrous humanoid; Subtype is corporeal</v>
          </cell>
          <cell r="AU50" t="b">
            <v>1</v>
          </cell>
          <cell r="AX50" t="str">
            <v>n.a.</v>
          </cell>
          <cell r="AY50" t="str">
            <v>LM</v>
          </cell>
          <cell r="AZ50">
            <v>110</v>
          </cell>
          <cell r="BA50" t="str">
            <v>Sand</v>
          </cell>
          <cell r="BB50" t="b">
            <v>0</v>
          </cell>
          <cell r="BC50" t="b">
            <v>0</v>
          </cell>
          <cell r="BD50" t="b">
            <v>0</v>
          </cell>
          <cell r="BF50" t="str">
            <v/>
          </cell>
        </row>
        <row r="51">
          <cell r="A51" t="str">
            <v>Necropolitan</v>
          </cell>
          <cell r="D51" t="str">
            <v>Undead</v>
          </cell>
          <cell r="T51">
            <v>60</v>
          </cell>
          <cell r="V51" t="str">
            <v>damage to physical ability scores, death effects, death from massive damage, disease, energy drain, exhaustion, extra damage from critical hits, fatigue, mind-affecting spells and abilities, paralysis, poison, sleep, stunning</v>
          </cell>
          <cell r="AM51">
            <v>0</v>
          </cell>
          <cell r="AO51">
            <v>0</v>
          </cell>
          <cell r="AP51" t="str">
            <v>acquired</v>
          </cell>
          <cell r="AR51">
            <v>12</v>
          </cell>
          <cell r="AS51" t="b">
            <v>0</v>
          </cell>
          <cell r="AT51" t="str">
            <v>Type is humanoid, monstrous humanoid</v>
          </cell>
          <cell r="AU51" t="b">
            <v>1</v>
          </cell>
          <cell r="AX51" t="str">
            <v>n.a.</v>
          </cell>
          <cell r="AY51" t="str">
            <v>LM</v>
          </cell>
          <cell r="AZ51">
            <v>114</v>
          </cell>
          <cell r="BA51" t="str">
            <v/>
          </cell>
          <cell r="BB51" t="b">
            <v>0</v>
          </cell>
          <cell r="BC51" t="b">
            <v>0</v>
          </cell>
          <cell r="BD51" t="b">
            <v>0</v>
          </cell>
          <cell r="BF51" t="str">
            <v/>
          </cell>
        </row>
        <row r="52">
          <cell r="A52" t="str">
            <v>Ogre Titan</v>
          </cell>
          <cell r="D52" t="str">
            <v>Monstrous Humanoid</v>
          </cell>
          <cell r="E52" t="str">
            <v>Ogre</v>
          </cell>
          <cell r="M52">
            <v>4</v>
          </cell>
          <cell r="T52">
            <v>30</v>
          </cell>
          <cell r="AC52">
            <v>6</v>
          </cell>
          <cell r="AD52">
            <v>4</v>
          </cell>
          <cell r="AE52">
            <v>4</v>
          </cell>
          <cell r="AF52">
            <v>8</v>
          </cell>
          <cell r="AG52">
            <v>4</v>
          </cell>
          <cell r="AH52">
            <v>10</v>
          </cell>
          <cell r="AI52" t="str">
            <v>Concentration+8,Intimidate+8,Knowledge (arcana)+8,Knowledge (history)+8,Listen+10,Search+10;Sense Motive+8,Spot+10</v>
          </cell>
          <cell r="AM52">
            <v>2</v>
          </cell>
          <cell r="AO52">
            <v>6</v>
          </cell>
          <cell r="AP52" t="str">
            <v>acquired</v>
          </cell>
          <cell r="AS52" t="b">
            <v>0</v>
          </cell>
          <cell r="AT52" t="str">
            <v>Race is half-ogre, minotaur, ogre, ogre mage; Con&gt;=12</v>
          </cell>
          <cell r="AU52" t="b">
            <v>0</v>
          </cell>
          <cell r="AX52" t="str">
            <v>n.a.</v>
          </cell>
          <cell r="AY52" t="str">
            <v>AoM</v>
          </cell>
          <cell r="BA52" t="str">
            <v/>
          </cell>
          <cell r="BB52" t="b">
            <v>0</v>
          </cell>
          <cell r="BC52" t="b">
            <v>0</v>
          </cell>
          <cell r="BD52" t="b">
            <v>0</v>
          </cell>
          <cell r="BF52" t="str">
            <v/>
          </cell>
        </row>
        <row r="53">
          <cell r="A53" t="str">
            <v>Primordial</v>
          </cell>
          <cell r="P53" t="str">
            <v/>
          </cell>
          <cell r="AC53">
            <v>-4</v>
          </cell>
          <cell r="AE53">
            <v>-2</v>
          </cell>
          <cell r="AF53">
            <v>4</v>
          </cell>
          <cell r="AH53">
            <v>4</v>
          </cell>
          <cell r="AI53" t="str">
            <v>Speak Language+2,Tumble+2</v>
          </cell>
          <cell r="AP53" t="str">
            <v>inherited</v>
          </cell>
          <cell r="AS53" t="b">
            <v>0</v>
          </cell>
          <cell r="AT53" t="str">
            <v>Type is giant</v>
          </cell>
          <cell r="AU53" t="b">
            <v>0</v>
          </cell>
          <cell r="AX53" t="str">
            <v>n.a.</v>
          </cell>
          <cell r="AY53" t="str">
            <v>SoX</v>
          </cell>
          <cell r="AZ53">
            <v>79</v>
          </cell>
          <cell r="BA53" t="str">
            <v/>
          </cell>
          <cell r="BB53" t="b">
            <v>0</v>
          </cell>
          <cell r="BC53" t="b">
            <v>0</v>
          </cell>
          <cell r="BD53" t="b">
            <v>0</v>
          </cell>
          <cell r="BF53" t="str">
            <v/>
          </cell>
        </row>
        <row r="54">
          <cell r="A54" t="str">
            <v>Pseudonatural</v>
          </cell>
          <cell r="D54" t="str">
            <v>Outsider</v>
          </cell>
          <cell r="X54" t="str">
            <v>acid 5, electricity 5</v>
          </cell>
          <cell r="Y54">
            <v>11</v>
          </cell>
          <cell r="Z54" t="str">
            <v/>
          </cell>
          <cell r="AM54">
            <v>0</v>
          </cell>
          <cell r="AP54" t="str">
            <v>acquired</v>
          </cell>
          <cell r="AS54" t="b">
            <v>0</v>
          </cell>
          <cell r="AT54" t="str">
            <v>Corporeal</v>
          </cell>
          <cell r="AU54" t="b">
            <v>1</v>
          </cell>
          <cell r="AX54" t="str">
            <v>n.a.</v>
          </cell>
          <cell r="AY54" t="str">
            <v>CA</v>
          </cell>
          <cell r="AZ54">
            <v>161</v>
          </cell>
          <cell r="BB54" t="b">
            <v>0</v>
          </cell>
          <cell r="BC54" t="b">
            <v>0</v>
          </cell>
          <cell r="BD54" t="b">
            <v>0</v>
          </cell>
          <cell r="BF54" t="str">
            <v/>
          </cell>
        </row>
        <row r="55">
          <cell r="A55" t="str">
            <v>Risen Martyr</v>
          </cell>
          <cell r="B55" t="str">
            <v>Pseudo-template, select from Classes</v>
          </cell>
          <cell r="D55" t="str">
            <v>Deathless</v>
          </cell>
          <cell r="AP55" t="str">
            <v>acquired</v>
          </cell>
          <cell r="AR55">
            <v>12</v>
          </cell>
          <cell r="AS55" t="b">
            <v>0</v>
          </cell>
          <cell r="AT55" t="str">
            <v/>
          </cell>
          <cell r="AU55" t="b">
            <v>0</v>
          </cell>
          <cell r="AX55" t="str">
            <v>n.a.</v>
          </cell>
          <cell r="AY55" t="str">
            <v>BE</v>
          </cell>
          <cell r="AZ55">
            <v>68</v>
          </cell>
          <cell r="BB55" t="b">
            <v>0</v>
          </cell>
          <cell r="BC55" t="b">
            <v>0</v>
          </cell>
          <cell r="BD55" t="b">
            <v>0</v>
          </cell>
          <cell r="BF55" t="str">
            <v/>
          </cell>
        </row>
        <row r="56">
          <cell r="A56" t="str">
            <v>Saint</v>
          </cell>
          <cell r="D56" t="str">
            <v>Outsider</v>
          </cell>
          <cell r="E56" t="str">
            <v>Native</v>
          </cell>
          <cell r="P56" t="str">
            <v>at will - guidance, resistance, virtue, bless</v>
          </cell>
          <cell r="S56" t="str">
            <v>normal</v>
          </cell>
          <cell r="T56">
            <v>60</v>
          </cell>
          <cell r="V56" t="str">
            <v>acid, cold, electricity, petrification</v>
          </cell>
          <cell r="X56" t="str">
            <v>fire 10</v>
          </cell>
          <cell r="Z56" t="str">
            <v/>
          </cell>
          <cell r="AA56">
            <v>0</v>
          </cell>
          <cell r="AE56">
            <v>2</v>
          </cell>
          <cell r="AG56">
            <v>2</v>
          </cell>
          <cell r="AH56">
            <v>4</v>
          </cell>
          <cell r="AM56">
            <v>2</v>
          </cell>
          <cell r="AO56">
            <v>2</v>
          </cell>
          <cell r="AP56" t="str">
            <v>acquired</v>
          </cell>
          <cell r="AS56" t="b">
            <v>0</v>
          </cell>
          <cell r="AT56" t="str">
            <v>Type is not outsider or elemental; alignment is good; living creature</v>
          </cell>
          <cell r="AU56" t="b">
            <v>1</v>
          </cell>
          <cell r="AX56" t="str">
            <v>n.a.</v>
          </cell>
          <cell r="AY56" t="str">
            <v>BE</v>
          </cell>
          <cell r="AZ56">
            <v>186</v>
          </cell>
          <cell r="BB56" t="b">
            <v>0</v>
          </cell>
          <cell r="BC56" t="b">
            <v>0</v>
          </cell>
          <cell r="BD56" t="b">
            <v>0</v>
          </cell>
        </row>
        <row r="57">
          <cell r="A57" t="str">
            <v>Shadow</v>
          </cell>
          <cell r="D57" t="str">
            <v/>
          </cell>
          <cell r="E57" t="str">
            <v>Extraplanar</v>
          </cell>
          <cell r="G57">
            <v>30</v>
          </cell>
          <cell r="T57">
            <v>60</v>
          </cell>
          <cell r="X57" t="str">
            <v>cold 6</v>
          </cell>
          <cell r="Z57" t="str">
            <v>5/magic</v>
          </cell>
          <cell r="AA57">
            <v>2</v>
          </cell>
          <cell r="AI57" t="str">
            <v>Move Silently+6</v>
          </cell>
          <cell r="AM57">
            <v>1</v>
          </cell>
          <cell r="AO57">
            <v>2</v>
          </cell>
          <cell r="AP57" t="str">
            <v>inherited</v>
          </cell>
          <cell r="AS57" t="b">
            <v>0</v>
          </cell>
          <cell r="AT57" t="str">
            <v>Type is not construct, deathless, elemental, ooze, outsider</v>
          </cell>
          <cell r="AU57" t="b">
            <v>1</v>
          </cell>
          <cell r="AX57" t="str">
            <v>n.a.</v>
          </cell>
          <cell r="AY57" t="str">
            <v>LoM</v>
          </cell>
          <cell r="AZ57">
            <v>167</v>
          </cell>
          <cell r="BA57" t="str">
            <v>MotP</v>
          </cell>
          <cell r="BB57" t="b">
            <v>0</v>
          </cell>
          <cell r="BC57" t="b">
            <v>0</v>
          </cell>
          <cell r="BD57" t="b">
            <v>0</v>
          </cell>
          <cell r="BF57" t="str">
            <v/>
          </cell>
        </row>
        <row r="58">
          <cell r="A58" t="str">
            <v>Spellwarped</v>
          </cell>
          <cell r="D58" t="str">
            <v>Aberration</v>
          </cell>
          <cell r="M58">
            <v>2</v>
          </cell>
          <cell r="Y58">
            <v>12</v>
          </cell>
          <cell r="AC58">
            <v>4</v>
          </cell>
          <cell r="AD58">
            <v>2</v>
          </cell>
          <cell r="AE58">
            <v>4</v>
          </cell>
          <cell r="AF58">
            <v>4</v>
          </cell>
          <cell r="AM58">
            <v>0</v>
          </cell>
          <cell r="AO58">
            <v>3</v>
          </cell>
          <cell r="AP58" t="str">
            <v>inherited</v>
          </cell>
          <cell r="AS58" t="b">
            <v>0</v>
          </cell>
          <cell r="AT58" t="str">
            <v>Type is living creature, not elemental, ooze, outsider; Subtype is corporeal</v>
          </cell>
          <cell r="AU58" t="b">
            <v>1</v>
          </cell>
          <cell r="AX58" t="str">
            <v>n.a.</v>
          </cell>
          <cell r="AY58" t="str">
            <v>MM3</v>
          </cell>
          <cell r="AZ58">
            <v>162</v>
          </cell>
          <cell r="BA58" t="str">
            <v/>
          </cell>
          <cell r="BB58" t="b">
            <v>0</v>
          </cell>
          <cell r="BC58" t="b">
            <v>0</v>
          </cell>
          <cell r="BD58" t="b">
            <v>0</v>
          </cell>
          <cell r="BF58" t="str">
            <v/>
          </cell>
        </row>
        <row r="59">
          <cell r="A59" t="str">
            <v>Swarm-Shifter</v>
          </cell>
          <cell r="B59" t="str">
            <v>Can be selected up to 3 times.</v>
          </cell>
          <cell r="E59" t="str">
            <v>Shapechanger</v>
          </cell>
          <cell r="AM59">
            <v>1</v>
          </cell>
          <cell r="AP59" t="str">
            <v>acquired</v>
          </cell>
          <cell r="AS59" t="b">
            <v>1</v>
          </cell>
          <cell r="AT59" t="str">
            <v>Type is undead; Subtype is corporeal; Int&gt;0</v>
          </cell>
          <cell r="AU59" t="b">
            <v>0</v>
          </cell>
          <cell r="AX59" t="str">
            <v>n.a.</v>
          </cell>
          <cell r="AY59" t="str">
            <v>LM</v>
          </cell>
          <cell r="AZ59">
            <v>123</v>
          </cell>
          <cell r="BA59" t="str">
            <v/>
          </cell>
          <cell r="BB59" t="b">
            <v>0</v>
          </cell>
          <cell r="BC59" t="b">
            <v>0</v>
          </cell>
          <cell r="BD59" t="b">
            <v>0</v>
          </cell>
          <cell r="BF59" t="str">
            <v/>
          </cell>
        </row>
        <row r="60">
          <cell r="A60" t="str">
            <v>Swordwraith</v>
          </cell>
          <cell r="D60" t="str">
            <v>Undead</v>
          </cell>
          <cell r="T60">
            <v>60</v>
          </cell>
          <cell r="V60" t="str">
            <v>mind-affecting effects, poison, sleep, paralysis, stunning, disease, death effects, exhaustion, fatigue, critical hits, non-lethal damage, ability drain, energy drain.</v>
          </cell>
          <cell r="Z60" t="str">
            <v>10/magic and slashing</v>
          </cell>
          <cell r="AI60" t="str">
            <v>Hide+4,Move Silently+4</v>
          </cell>
          <cell r="AJ60" t="str">
            <v>Alertness, Iron Will</v>
          </cell>
          <cell r="AM60">
            <v>2</v>
          </cell>
          <cell r="AN60" t="str">
            <v>Chaotic Good</v>
          </cell>
          <cell r="AO60">
            <v>4</v>
          </cell>
          <cell r="AP60" t="str">
            <v>acquired</v>
          </cell>
          <cell r="AR60">
            <v>12</v>
          </cell>
          <cell r="AS60" t="b">
            <v>0</v>
          </cell>
          <cell r="AT60" t="str">
            <v>Type is humanoid, monstrous humanoid; Fighter level&gt;0</v>
          </cell>
          <cell r="AU60" t="b">
            <v>0</v>
          </cell>
          <cell r="AX60" t="str">
            <v>n.a.</v>
          </cell>
          <cell r="AY60" t="str">
            <v>FF</v>
          </cell>
          <cell r="AZ60">
            <v>173</v>
          </cell>
          <cell r="BA60" t="str">
            <v/>
          </cell>
          <cell r="BB60" t="b">
            <v>0</v>
          </cell>
          <cell r="BC60" t="b">
            <v>0</v>
          </cell>
          <cell r="BD60" t="b">
            <v>0</v>
          </cell>
          <cell r="BF60" t="str">
            <v/>
          </cell>
        </row>
        <row r="61">
          <cell r="A61" t="str">
            <v>Tainted One</v>
          </cell>
          <cell r="AE61">
            <v>2</v>
          </cell>
          <cell r="AJ61" t="str">
            <v>Alertness</v>
          </cell>
          <cell r="AM61">
            <v>0</v>
          </cell>
          <cell r="AO61">
            <v>2</v>
          </cell>
          <cell r="AP61" t="str">
            <v>acquired</v>
          </cell>
          <cell r="AS61" t="b">
            <v>0</v>
          </cell>
          <cell r="AT61" t="str">
            <v>Type is humanoid</v>
          </cell>
          <cell r="AU61" t="b">
            <v>1</v>
          </cell>
          <cell r="AX61" t="str">
            <v>n.a.</v>
          </cell>
          <cell r="AY61" t="str">
            <v>Mon</v>
          </cell>
          <cell r="AZ61">
            <v>94</v>
          </cell>
          <cell r="BB61" t="b">
            <v>0</v>
          </cell>
          <cell r="BC61" t="b">
            <v>0</v>
          </cell>
          <cell r="BD61" t="b">
            <v>0</v>
          </cell>
          <cell r="BF61" t="str">
            <v/>
          </cell>
        </row>
        <row r="62">
          <cell r="A62" t="str">
            <v>Vampire</v>
          </cell>
          <cell r="D62" t="str">
            <v>Undead</v>
          </cell>
          <cell r="M62">
            <v>6</v>
          </cell>
          <cell r="N62" t="str">
            <v>Slam+5+0+2</v>
          </cell>
          <cell r="T62">
            <v>60</v>
          </cell>
          <cell r="V62" t="str">
            <v>damage to physical ability scores, death effects, death from massive damage, disease, energy drain, exhaustion, extra damage from critical hits, fatigue, mind-affecting spells and abilities, paralysis, poison, sleep, stunning</v>
          </cell>
          <cell r="X62" t="str">
            <v>cold 10, electricity 10</v>
          </cell>
          <cell r="Z62" t="str">
            <v>10/silver and magic</v>
          </cell>
          <cell r="AC62">
            <v>6</v>
          </cell>
          <cell r="AD62">
            <v>4</v>
          </cell>
          <cell r="AF62">
            <v>2</v>
          </cell>
          <cell r="AG62">
            <v>2</v>
          </cell>
          <cell r="AH62">
            <v>4</v>
          </cell>
          <cell r="AI62" t="str">
            <v>Bluff+8,Hide+8,Listen+8,Move Silently+8,Search+8,Sense Motive+8,Spot+8</v>
          </cell>
          <cell r="AJ62" t="str">
            <v>Alertness, Combat Reflexes, Dodge, Improved Initiative, Lightning Reflexes</v>
          </cell>
          <cell r="AM62">
            <v>2</v>
          </cell>
          <cell r="AN62" t="str">
            <v>Evil</v>
          </cell>
          <cell r="AO62">
            <v>8</v>
          </cell>
          <cell r="AP62" t="str">
            <v>acquired</v>
          </cell>
          <cell r="AR62">
            <v>12</v>
          </cell>
          <cell r="AS62" t="b">
            <v>0</v>
          </cell>
          <cell r="AT62" t="str">
            <v>Type is humanoid, monstrous humanoid</v>
          </cell>
          <cell r="AU62" t="b">
            <v>1</v>
          </cell>
          <cell r="AX62" t="str">
            <v>n.a.</v>
          </cell>
          <cell r="AY62" t="str">
            <v>MM</v>
          </cell>
          <cell r="AZ62">
            <v>250</v>
          </cell>
          <cell r="BA62" t="str">
            <v/>
          </cell>
          <cell r="BB62" t="b">
            <v>1</v>
          </cell>
          <cell r="BC62" t="b">
            <v>0</v>
          </cell>
          <cell r="BD62" t="b">
            <v>1</v>
          </cell>
          <cell r="BF62" t="str">
            <v/>
          </cell>
        </row>
        <row r="63">
          <cell r="A63" t="str">
            <v>Vivacious</v>
          </cell>
          <cell r="D63" t="str">
            <v>Outsider</v>
          </cell>
          <cell r="E63" t="str">
            <v>Extraplanar, Incorporeal</v>
          </cell>
          <cell r="J63">
            <v>20</v>
          </cell>
          <cell r="K63" t="str">
            <v>perfect</v>
          </cell>
          <cell r="AA63">
            <v>5</v>
          </cell>
          <cell r="AC63" t="str">
            <v>-</v>
          </cell>
          <cell r="AE63">
            <v>2</v>
          </cell>
          <cell r="AF63">
            <v>0</v>
          </cell>
          <cell r="AH63">
            <v>2</v>
          </cell>
          <cell r="AM63">
            <v>1</v>
          </cell>
          <cell r="AO63">
            <v>5</v>
          </cell>
          <cell r="AP63" t="str">
            <v>inherited</v>
          </cell>
          <cell r="AS63" t="b">
            <v>0</v>
          </cell>
          <cell r="AT63" t="str">
            <v>Type is living creature, not elemental, ooze; Subtype is corporeal</v>
          </cell>
          <cell r="AU63" t="b">
            <v>1</v>
          </cell>
          <cell r="AX63" t="str">
            <v>n.a.</v>
          </cell>
          <cell r="AY63" t="str">
            <v>PlH</v>
          </cell>
          <cell r="AZ63">
            <v>131</v>
          </cell>
          <cell r="BA63" t="str">
            <v/>
          </cell>
          <cell r="BB63" t="b">
            <v>1</v>
          </cell>
          <cell r="BC63" t="b">
            <v>0</v>
          </cell>
          <cell r="BD63" t="b">
            <v>1</v>
          </cell>
          <cell r="BF63" t="str">
            <v/>
          </cell>
        </row>
        <row r="64">
          <cell r="A64" t="str">
            <v>Voidmind</v>
          </cell>
          <cell r="M64">
            <v>4</v>
          </cell>
          <cell r="N64" t="str">
            <v>Tentacle+5+0+0</v>
          </cell>
          <cell r="V64" t="str">
            <v>mind-affecting spells and abilities, ability damage, ability drain, energy drain</v>
          </cell>
          <cell r="Y64">
            <v>11</v>
          </cell>
          <cell r="Z64" t="str">
            <v>5/magic</v>
          </cell>
          <cell r="AC64">
            <v>4</v>
          </cell>
          <cell r="AD64">
            <v>2</v>
          </cell>
          <cell r="AE64">
            <v>4</v>
          </cell>
          <cell r="AF64">
            <v>2</v>
          </cell>
          <cell r="AH64">
            <v>-2</v>
          </cell>
          <cell r="AI64" t="str">
            <v>Bluff+4,Escape Artist+4,Intimidate+4</v>
          </cell>
          <cell r="AJ64" t="str">
            <v>Alertness, Combat Reflexes, Great Fortitude</v>
          </cell>
          <cell r="AM64">
            <v>1</v>
          </cell>
          <cell r="AO64">
            <v>3</v>
          </cell>
          <cell r="AP64" t="str">
            <v>acquired</v>
          </cell>
          <cell r="AS64" t="b">
            <v>0</v>
          </cell>
          <cell r="AT64" t="str">
            <v>Type is living creature, not elemental, ooze, plant; Subtype is corporeal</v>
          </cell>
          <cell r="AU64" t="b">
            <v>1</v>
          </cell>
          <cell r="AX64" t="str">
            <v>n.a.</v>
          </cell>
          <cell r="AY64" t="str">
            <v>MM3</v>
          </cell>
          <cell r="AZ64">
            <v>187</v>
          </cell>
          <cell r="BA64" t="str">
            <v/>
          </cell>
          <cell r="BB64" t="b">
            <v>0</v>
          </cell>
          <cell r="BC64" t="b">
            <v>0</v>
          </cell>
          <cell r="BD64" t="b">
            <v>0</v>
          </cell>
          <cell r="BF64" t="str">
            <v/>
          </cell>
        </row>
        <row r="65">
          <cell r="A65" t="str">
            <v>Wendigo</v>
          </cell>
          <cell r="D65" t="str">
            <v>Fey</v>
          </cell>
          <cell r="E65" t="str">
            <v>Cold</v>
          </cell>
          <cell r="J65">
            <v>120</v>
          </cell>
          <cell r="K65" t="str">
            <v>perfect</v>
          </cell>
          <cell r="N65" t="str">
            <v>Bite+5+0+0</v>
          </cell>
          <cell r="V65" t="str">
            <v>cold</v>
          </cell>
          <cell r="W65" t="str">
            <v>fire</v>
          </cell>
          <cell r="AC65">
            <v>4</v>
          </cell>
          <cell r="AD65">
            <v>8</v>
          </cell>
          <cell r="AE65">
            <v>4</v>
          </cell>
          <cell r="AG65">
            <v>2</v>
          </cell>
          <cell r="AH65">
            <v>4</v>
          </cell>
          <cell r="AI65" t="str">
            <v>Hide+8,Move Silently+8,Survival+8</v>
          </cell>
          <cell r="AM65">
            <v>2</v>
          </cell>
          <cell r="AN65" t="str">
            <v>Chaotic Evil</v>
          </cell>
          <cell r="AO65">
            <v>4</v>
          </cell>
          <cell r="AP65" t="str">
            <v>acquired</v>
          </cell>
          <cell r="AQ65">
            <v>6</v>
          </cell>
          <cell r="AS65" t="b">
            <v>0</v>
          </cell>
          <cell r="AT65" t="str">
            <v>Type is giant, humanoid, monstrous humanoid</v>
          </cell>
          <cell r="AU65" t="b">
            <v>1</v>
          </cell>
          <cell r="AX65" t="str">
            <v>n.a.</v>
          </cell>
          <cell r="AY65" t="str">
            <v>FF</v>
          </cell>
          <cell r="AZ65">
            <v>186</v>
          </cell>
          <cell r="BA65" t="str">
            <v/>
          </cell>
          <cell r="BB65" t="b">
            <v>0</v>
          </cell>
          <cell r="BC65" t="b">
            <v>0</v>
          </cell>
          <cell r="BD65" t="b">
            <v>0</v>
          </cell>
          <cell r="BF65" t="str">
            <v/>
          </cell>
        </row>
        <row r="66">
          <cell r="A66" t="str">
            <v>Wichtlin</v>
          </cell>
          <cell r="D66" t="str">
            <v>Undead</v>
          </cell>
          <cell r="M66">
            <v>4</v>
          </cell>
          <cell r="P66" t="str">
            <v>Poison (at will, non-elvenblooded creatures hit with a Touch Attack), Suggestion (at will, elvenblooded paralyzed by your Touch Attack)</v>
          </cell>
          <cell r="T66">
            <v>60</v>
          </cell>
          <cell r="V66" t="str">
            <v>damage to physical ability scores, death effects, death from massive damage, disease, energy drain, exhaustion, extra damage from critical hits, fatigue, mind-affecting spells and abilities, paralysis, poison, sleep, stunning</v>
          </cell>
          <cell r="Z66" t="str">
            <v>10/silver and  magic</v>
          </cell>
          <cell r="AD66">
            <v>4</v>
          </cell>
          <cell r="AF66">
            <v>-4</v>
          </cell>
          <cell r="AH66">
            <v>4</v>
          </cell>
          <cell r="AI66" t="str">
            <v>Hide+8,Move Silently+9</v>
          </cell>
          <cell r="AM66">
            <v>2</v>
          </cell>
          <cell r="AN66" t="str">
            <v>Neutral Evil</v>
          </cell>
          <cell r="AO66">
            <v>4</v>
          </cell>
          <cell r="AP66" t="str">
            <v>acquired</v>
          </cell>
          <cell r="AR66">
            <v>12</v>
          </cell>
          <cell r="AS66" t="b">
            <v>0</v>
          </cell>
          <cell r="AT66" t="str">
            <v>Subtype is elf</v>
          </cell>
          <cell r="AU66" t="b">
            <v>0</v>
          </cell>
          <cell r="AX66" t="str">
            <v>n.a.</v>
          </cell>
          <cell r="AY66" t="str">
            <v>BoK</v>
          </cell>
          <cell r="AZ66">
            <v>112</v>
          </cell>
          <cell r="BA66" t="str">
            <v/>
          </cell>
          <cell r="BB66" t="b">
            <v>0</v>
          </cell>
          <cell r="BC66" t="b">
            <v>0</v>
          </cell>
          <cell r="BD66" t="b">
            <v>0</v>
          </cell>
          <cell r="BF66" t="str">
            <v/>
          </cell>
        </row>
        <row r="67">
          <cell r="A67" t="str">
            <v>Woodling</v>
          </cell>
          <cell r="M67">
            <v>7</v>
          </cell>
          <cell r="N67" t="str">
            <v>Slam+5+0+1</v>
          </cell>
          <cell r="P67" t="str">
            <v/>
          </cell>
          <cell r="V67" t="str">
            <v>poison, magic sleep, paralysis, polymorph, stunning, mind-affecting spells and effects, critical hits</v>
          </cell>
          <cell r="W67" t="str">
            <v>fire</v>
          </cell>
          <cell r="Z67" t="str">
            <v>5/slashing</v>
          </cell>
          <cell r="AB67">
            <v>1</v>
          </cell>
          <cell r="AM67">
            <v>2</v>
          </cell>
          <cell r="AO67">
            <v>3</v>
          </cell>
          <cell r="AP67" t="str">
            <v>inherited</v>
          </cell>
          <cell r="AS67" t="b">
            <v>0</v>
          </cell>
          <cell r="AT67" t="str">
            <v>Type is animal, dragon, fey, giant, humanoid, magical beast, monstrous humanoid; Subtype is corporeal</v>
          </cell>
          <cell r="AU67" t="b">
            <v>1</v>
          </cell>
          <cell r="AX67" t="str">
            <v>n.a.</v>
          </cell>
          <cell r="AY67" t="str">
            <v>MM3</v>
          </cell>
          <cell r="AZ67">
            <v>197</v>
          </cell>
          <cell r="BA67" t="str">
            <v/>
          </cell>
          <cell r="BB67" t="b">
            <v>0</v>
          </cell>
          <cell r="BC67" t="b">
            <v>0</v>
          </cell>
          <cell r="BD67" t="b">
            <v>0</v>
          </cell>
          <cell r="BF67" t="str">
            <v/>
          </cell>
        </row>
        <row r="68">
          <cell r="A68" t="str">
            <v>Stitched Flesh</v>
          </cell>
          <cell r="B68" t="str">
            <v>Familair only</v>
          </cell>
          <cell r="D68" t="str">
            <v>Undead</v>
          </cell>
          <cell r="T68">
            <v>60</v>
          </cell>
          <cell r="AR68">
            <v>12</v>
          </cell>
          <cell r="AY68" t="str">
            <v>LM</v>
          </cell>
          <cell r="AZ68">
            <v>30</v>
          </cell>
          <cell r="BF68" t="str">
            <v/>
          </cell>
        </row>
        <row r="69">
          <cell r="BF69" t="str">
            <v/>
          </cell>
        </row>
        <row r="70">
          <cell r="BF70" t="str">
            <v/>
          </cell>
        </row>
        <row r="71">
          <cell r="BF71" t="str">
            <v/>
          </cell>
        </row>
        <row r="72">
          <cell r="BF72" t="str">
            <v/>
          </cell>
        </row>
        <row r="73">
          <cell r="BF73" t="str">
            <v/>
          </cell>
        </row>
        <row r="74">
          <cell r="BF74" t="str">
            <v/>
          </cell>
        </row>
        <row r="75">
          <cell r="BF75" t="str">
            <v/>
          </cell>
        </row>
        <row r="76">
          <cell r="BF76" t="str">
            <v/>
          </cell>
        </row>
        <row r="77">
          <cell r="BF77" t="str">
            <v/>
          </cell>
        </row>
        <row r="78">
          <cell r="BF78" t="str">
            <v/>
          </cell>
        </row>
        <row r="79">
          <cell r="BF79" t="str">
            <v/>
          </cell>
        </row>
      </sheetData>
      <sheetData sheetId="15">
        <row r="2">
          <cell r="A2">
            <v>1</v>
          </cell>
          <cell r="C2">
            <v>12</v>
          </cell>
          <cell r="E2">
            <v>1</v>
          </cell>
          <cell r="F2">
            <v>8</v>
          </cell>
          <cell r="AH2" t="str">
            <v>Wiz1</v>
          </cell>
          <cell r="AI2" t="str">
            <v/>
          </cell>
          <cell r="AK2" t="str">
            <v/>
          </cell>
          <cell r="AN2" t="str">
            <v>Wiz1</v>
          </cell>
          <cell r="AO2" t="str">
            <v/>
          </cell>
          <cell r="AP2" t="str">
            <v/>
          </cell>
          <cell r="BI2" t="str">
            <v/>
          </cell>
          <cell r="BJ2" t="str">
            <v>–1</v>
          </cell>
          <cell r="BK2" t="str">
            <v>–1</v>
          </cell>
          <cell r="BN2" t="str">
            <v>Select a Class Skill</v>
          </cell>
        </row>
        <row r="3">
          <cell r="A3">
            <v>2</v>
          </cell>
          <cell r="C3">
            <v>1</v>
          </cell>
          <cell r="E3">
            <v>1</v>
          </cell>
          <cell r="F3">
            <v>0</v>
          </cell>
          <cell r="AH3" t="str">
            <v/>
          </cell>
          <cell r="AI3" t="str">
            <v/>
          </cell>
          <cell r="AK3" t="str">
            <v/>
          </cell>
          <cell r="AN3" t="str">
            <v/>
          </cell>
          <cell r="AO3" t="str">
            <v/>
          </cell>
          <cell r="AP3" t="str">
            <v/>
          </cell>
          <cell r="BI3">
            <v>0</v>
          </cell>
          <cell r="BN3" t="str">
            <v/>
          </cell>
          <cell r="BR3" t="str">
            <v>Black</v>
          </cell>
          <cell r="BU3" t="str">
            <v>Bronze</v>
          </cell>
        </row>
        <row r="4">
          <cell r="A4">
            <v>3</v>
          </cell>
          <cell r="C4">
            <v>1</v>
          </cell>
          <cell r="E4">
            <v>1</v>
          </cell>
          <cell r="F4">
            <v>0</v>
          </cell>
          <cell r="AH4" t="str">
            <v/>
          </cell>
          <cell r="AI4" t="str">
            <v/>
          </cell>
          <cell r="AK4" t="str">
            <v/>
          </cell>
          <cell r="AN4" t="str">
            <v/>
          </cell>
          <cell r="AO4" t="str">
            <v/>
          </cell>
          <cell r="AP4" t="str">
            <v/>
          </cell>
          <cell r="BN4" t="str">
            <v/>
          </cell>
          <cell r="BR4" t="str">
            <v>Blue</v>
          </cell>
          <cell r="BU4" t="str">
            <v>Gold</v>
          </cell>
          <cell r="BX4" t="str">
            <v/>
          </cell>
          <cell r="BY4">
            <v>99</v>
          </cell>
          <cell r="BZ4">
            <v>99</v>
          </cell>
        </row>
        <row r="5">
          <cell r="A5">
            <v>4</v>
          </cell>
          <cell r="C5">
            <v>1</v>
          </cell>
          <cell r="E5">
            <v>1</v>
          </cell>
          <cell r="F5">
            <v>0</v>
          </cell>
          <cell r="AH5" t="str">
            <v/>
          </cell>
          <cell r="AI5" t="str">
            <v/>
          </cell>
          <cell r="AK5" t="str">
            <v/>
          </cell>
          <cell r="AN5" t="str">
            <v/>
          </cell>
          <cell r="AO5" t="str">
            <v/>
          </cell>
          <cell r="AP5" t="str">
            <v/>
          </cell>
          <cell r="BR5" t="str">
            <v>Green</v>
          </cell>
          <cell r="BU5" t="str">
            <v>Silver</v>
          </cell>
          <cell r="BX5" t="str">
            <v/>
          </cell>
          <cell r="BY5">
            <v>8</v>
          </cell>
          <cell r="CA5" t="str">
            <v>Diplomacy¹</v>
          </cell>
        </row>
        <row r="6">
          <cell r="A6">
            <v>5</v>
          </cell>
          <cell r="C6">
            <v>1</v>
          </cell>
          <cell r="E6">
            <v>1</v>
          </cell>
          <cell r="F6">
            <v>0</v>
          </cell>
          <cell r="AH6" t="str">
            <v/>
          </cell>
          <cell r="AI6" t="str">
            <v/>
          </cell>
          <cell r="AK6" t="str">
            <v/>
          </cell>
          <cell r="AN6" t="str">
            <v/>
          </cell>
          <cell r="AO6" t="str">
            <v/>
          </cell>
          <cell r="AP6" t="str">
            <v/>
          </cell>
          <cell r="BN6">
            <v>3</v>
          </cell>
          <cell r="BR6" t="str">
            <v>Red</v>
          </cell>
          <cell r="BU6" t="str">
            <v/>
          </cell>
          <cell r="BX6" t="str">
            <v/>
          </cell>
          <cell r="BY6">
            <v>8</v>
          </cell>
          <cell r="CA6" t="str">
            <v>Diplomacy¹</v>
          </cell>
        </row>
        <row r="7">
          <cell r="A7">
            <v>6</v>
          </cell>
          <cell r="C7">
            <v>1</v>
          </cell>
          <cell r="E7">
            <v>1</v>
          </cell>
          <cell r="F7">
            <v>0</v>
          </cell>
          <cell r="AH7" t="str">
            <v/>
          </cell>
          <cell r="AI7" t="str">
            <v/>
          </cell>
          <cell r="AK7" t="str">
            <v/>
          </cell>
          <cell r="AN7" t="str">
            <v/>
          </cell>
          <cell r="AO7" t="str">
            <v/>
          </cell>
          <cell r="AP7" t="str">
            <v/>
          </cell>
          <cell r="BR7" t="str">
            <v>White</v>
          </cell>
          <cell r="BU7" t="str">
            <v/>
          </cell>
          <cell r="BX7" t="str">
            <v/>
          </cell>
          <cell r="BY7">
            <v>8</v>
          </cell>
          <cell r="CA7" t="str">
            <v>Diplomacy¹</v>
          </cell>
        </row>
        <row r="8">
          <cell r="A8">
            <v>7</v>
          </cell>
          <cell r="C8">
            <v>1</v>
          </cell>
          <cell r="E8">
            <v>1</v>
          </cell>
          <cell r="F8">
            <v>0</v>
          </cell>
          <cell r="AH8" t="str">
            <v/>
          </cell>
          <cell r="AI8" t="str">
            <v/>
          </cell>
          <cell r="AK8" t="str">
            <v/>
          </cell>
          <cell r="AN8" t="str">
            <v/>
          </cell>
          <cell r="AO8" t="str">
            <v/>
          </cell>
          <cell r="AP8" t="str">
            <v/>
          </cell>
          <cell r="BN8" t="str">
            <v/>
          </cell>
          <cell r="BR8" t="str">
            <v>Brass</v>
          </cell>
          <cell r="BU8" t="str">
            <v/>
          </cell>
          <cell r="BX8" t="str">
            <v/>
          </cell>
          <cell r="CA8" t="str">
            <v>Knowledge (the planes)</v>
          </cell>
        </row>
        <row r="9">
          <cell r="A9">
            <v>8</v>
          </cell>
          <cell r="C9">
            <v>1</v>
          </cell>
          <cell r="E9">
            <v>1</v>
          </cell>
          <cell r="F9">
            <v>0</v>
          </cell>
          <cell r="AH9" t="str">
            <v/>
          </cell>
          <cell r="AI9" t="str">
            <v/>
          </cell>
          <cell r="AK9" t="str">
            <v/>
          </cell>
          <cell r="AN9" t="str">
            <v/>
          </cell>
          <cell r="AO9" t="str">
            <v/>
          </cell>
          <cell r="AP9" t="str">
            <v/>
          </cell>
          <cell r="BR9" t="str">
            <v>Bronze</v>
          </cell>
          <cell r="BU9" t="str">
            <v/>
          </cell>
          <cell r="BX9" t="str">
            <v/>
          </cell>
          <cell r="CA9" t="str">
            <v>Knowledge (the planes)</v>
          </cell>
        </row>
        <row r="10">
          <cell r="A10">
            <v>9</v>
          </cell>
          <cell r="C10">
            <v>1</v>
          </cell>
          <cell r="E10">
            <v>1</v>
          </cell>
          <cell r="F10">
            <v>0</v>
          </cell>
          <cell r="AH10" t="str">
            <v/>
          </cell>
          <cell r="AI10" t="str">
            <v/>
          </cell>
          <cell r="AK10" t="str">
            <v/>
          </cell>
          <cell r="AN10" t="str">
            <v/>
          </cell>
          <cell r="AO10" t="str">
            <v/>
          </cell>
          <cell r="AP10" t="str">
            <v/>
          </cell>
          <cell r="BR10" t="str">
            <v>Copper</v>
          </cell>
          <cell r="BU10" t="str">
            <v/>
          </cell>
          <cell r="BX10" t="str">
            <v/>
          </cell>
          <cell r="CA10" t="str">
            <v>Knowledge (the planes)</v>
          </cell>
        </row>
        <row r="11">
          <cell r="A11">
            <v>10</v>
          </cell>
          <cell r="C11">
            <v>1</v>
          </cell>
          <cell r="E11">
            <v>1</v>
          </cell>
          <cell r="F11">
            <v>0</v>
          </cell>
          <cell r="AH11" t="str">
            <v/>
          </cell>
          <cell r="AI11" t="str">
            <v/>
          </cell>
          <cell r="AK11" t="str">
            <v/>
          </cell>
          <cell r="AN11" t="str">
            <v/>
          </cell>
          <cell r="AO11" t="str">
            <v/>
          </cell>
          <cell r="AP11" t="str">
            <v/>
          </cell>
          <cell r="BR11" t="str">
            <v>Gold</v>
          </cell>
          <cell r="BU11" t="str">
            <v/>
          </cell>
          <cell r="BX11" t="str">
            <v/>
          </cell>
          <cell r="BZ11">
            <v>4</v>
          </cell>
          <cell r="CA11" t="str">
            <v>Bluff¹, Disguise¹</v>
          </cell>
        </row>
        <row r="12">
          <cell r="A12">
            <v>11</v>
          </cell>
          <cell r="C12">
            <v>1</v>
          </cell>
          <cell r="E12">
            <v>1</v>
          </cell>
          <cell r="F12">
            <v>0</v>
          </cell>
          <cell r="AH12" t="str">
            <v/>
          </cell>
          <cell r="AI12" t="str">
            <v/>
          </cell>
          <cell r="AK12" t="str">
            <v/>
          </cell>
          <cell r="AN12" t="str">
            <v/>
          </cell>
          <cell r="AO12" t="str">
            <v/>
          </cell>
          <cell r="AP12" t="str">
            <v/>
          </cell>
          <cell r="BR12" t="str">
            <v>Silver</v>
          </cell>
          <cell r="BU12" t="str">
            <v/>
          </cell>
          <cell r="BX12" t="str">
            <v/>
          </cell>
          <cell r="BZ12">
            <v>4</v>
          </cell>
          <cell r="CA12" t="str">
            <v>Bluff¹, Disguise¹</v>
          </cell>
        </row>
        <row r="13">
          <cell r="A13">
            <v>12</v>
          </cell>
          <cell r="C13">
            <v>1</v>
          </cell>
          <cell r="E13">
            <v>1</v>
          </cell>
          <cell r="F13">
            <v>0</v>
          </cell>
          <cell r="AH13" t="str">
            <v/>
          </cell>
          <cell r="AI13" t="str">
            <v/>
          </cell>
          <cell r="AK13" t="str">
            <v/>
          </cell>
          <cell r="AN13" t="str">
            <v/>
          </cell>
          <cell r="AO13" t="str">
            <v/>
          </cell>
          <cell r="AP13" t="str">
            <v/>
          </cell>
          <cell r="BJ13" t="str">
            <v>1d4</v>
          </cell>
          <cell r="BX13" t="str">
            <v/>
          </cell>
          <cell r="BZ13">
            <v>4</v>
          </cell>
          <cell r="CA13" t="str">
            <v>Bluff¹, Disguise¹</v>
          </cell>
        </row>
        <row r="14">
          <cell r="A14">
            <v>13</v>
          </cell>
          <cell r="C14">
            <v>1</v>
          </cell>
          <cell r="E14">
            <v>1</v>
          </cell>
          <cell r="F14">
            <v>0</v>
          </cell>
          <cell r="AH14" t="str">
            <v/>
          </cell>
          <cell r="AI14" t="str">
            <v/>
          </cell>
          <cell r="AK14" t="str">
            <v/>
          </cell>
          <cell r="AN14" t="str">
            <v/>
          </cell>
          <cell r="AO14" t="str">
            <v/>
          </cell>
          <cell r="AP14" t="str">
            <v/>
          </cell>
          <cell r="BN14">
            <v>1</v>
          </cell>
          <cell r="BX14" t="str">
            <v/>
          </cell>
          <cell r="BZ14">
            <v>10</v>
          </cell>
          <cell r="CA14" t="str">
            <v/>
          </cell>
        </row>
        <row r="15">
          <cell r="A15">
            <v>14</v>
          </cell>
          <cell r="C15">
            <v>1</v>
          </cell>
          <cell r="E15">
            <v>1</v>
          </cell>
          <cell r="F15">
            <v>0</v>
          </cell>
          <cell r="AH15" t="str">
            <v/>
          </cell>
          <cell r="AI15" t="str">
            <v/>
          </cell>
          <cell r="AK15" t="str">
            <v/>
          </cell>
          <cell r="AN15" t="str">
            <v/>
          </cell>
          <cell r="AO15" t="str">
            <v/>
          </cell>
          <cell r="AP15" t="str">
            <v/>
          </cell>
          <cell r="BI15" t="str">
            <v>Turn/Rebuke</v>
          </cell>
          <cell r="BJ15" t="str">
            <v>Rebuke/Turn</v>
          </cell>
          <cell r="BN15">
            <v>1</v>
          </cell>
          <cell r="BO15">
            <v>2</v>
          </cell>
          <cell r="BP15">
            <v>99</v>
          </cell>
          <cell r="BT15" t="str">
            <v>Skill Focus</v>
          </cell>
          <cell r="BX15" t="str">
            <v/>
          </cell>
          <cell r="BZ15">
            <v>10</v>
          </cell>
        </row>
        <row r="16">
          <cell r="A16">
            <v>15</v>
          </cell>
          <cell r="C16">
            <v>1</v>
          </cell>
          <cell r="E16">
            <v>1</v>
          </cell>
          <cell r="F16">
            <v>0</v>
          </cell>
          <cell r="AH16" t="str">
            <v/>
          </cell>
          <cell r="AI16" t="str">
            <v/>
          </cell>
          <cell r="AK16" t="str">
            <v/>
          </cell>
          <cell r="AN16" t="str">
            <v/>
          </cell>
          <cell r="AO16" t="str">
            <v/>
          </cell>
          <cell r="AP16" t="str">
            <v/>
          </cell>
          <cell r="BI16" t="str">
            <v>Turning/Rebuking</v>
          </cell>
          <cell r="BJ16" t="str">
            <v>Rebuking/Turning</v>
          </cell>
          <cell r="BN16">
            <v>131</v>
          </cell>
          <cell r="BR16" t="str">
            <v>Select Aura</v>
          </cell>
          <cell r="BT16" t="str">
            <v/>
          </cell>
          <cell r="BU16" t="str">
            <v/>
          </cell>
          <cell r="BX16" t="str">
            <v/>
          </cell>
          <cell r="BZ16">
            <v>10</v>
          </cell>
        </row>
        <row r="17">
          <cell r="A17">
            <v>16</v>
          </cell>
          <cell r="C17">
            <v>1</v>
          </cell>
          <cell r="E17">
            <v>1</v>
          </cell>
          <cell r="F17">
            <v>0</v>
          </cell>
          <cell r="AH17" t="str">
            <v/>
          </cell>
          <cell r="AI17" t="str">
            <v/>
          </cell>
          <cell r="AK17" t="str">
            <v/>
          </cell>
          <cell r="AN17" t="str">
            <v/>
          </cell>
          <cell r="AO17" t="str">
            <v/>
          </cell>
          <cell r="AP17" t="str">
            <v/>
          </cell>
          <cell r="BI17" t="str">
            <v>Turned/Rebuked</v>
          </cell>
          <cell r="BJ17" t="str">
            <v>Rebuked/Turned</v>
          </cell>
          <cell r="BN17">
            <v>131</v>
          </cell>
          <cell r="BR17" t="str">
            <v>Energy</v>
          </cell>
          <cell r="BT17" t="str">
            <v/>
          </cell>
          <cell r="BU17" t="str">
            <v/>
          </cell>
          <cell r="BX17" t="str">
            <v/>
          </cell>
          <cell r="BZ17">
            <v>4</v>
          </cell>
          <cell r="CA17" t="str">
            <v>Bluff¹, Disguise¹, Sleight of Hand</v>
          </cell>
        </row>
        <row r="18">
          <cell r="A18">
            <v>17</v>
          </cell>
          <cell r="C18">
            <v>1</v>
          </cell>
          <cell r="E18">
            <v>1</v>
          </cell>
          <cell r="F18">
            <v>0</v>
          </cell>
          <cell r="AH18" t="str">
            <v/>
          </cell>
          <cell r="AI18" t="str">
            <v/>
          </cell>
          <cell r="AK18" t="str">
            <v/>
          </cell>
          <cell r="AN18" t="str">
            <v/>
          </cell>
          <cell r="AO18" t="str">
            <v/>
          </cell>
          <cell r="AP18" t="str">
            <v/>
          </cell>
          <cell r="BI18" t="str">
            <v>Destroyed/Commanded</v>
          </cell>
          <cell r="BR18" t="str">
            <v>Energy Shield</v>
          </cell>
          <cell r="BT18" t="str">
            <v/>
          </cell>
          <cell r="BU18" t="str">
            <v/>
          </cell>
          <cell r="BX18" t="str">
            <v/>
          </cell>
          <cell r="BZ18">
            <v>4</v>
          </cell>
          <cell r="CA18" t="str">
            <v>Bluff¹, Disguise¹, Sleight of Hand</v>
          </cell>
        </row>
        <row r="19">
          <cell r="A19">
            <v>18</v>
          </cell>
          <cell r="C19">
            <v>1</v>
          </cell>
          <cell r="E19">
            <v>1</v>
          </cell>
          <cell r="F19">
            <v>0</v>
          </cell>
          <cell r="AH19" t="str">
            <v/>
          </cell>
          <cell r="AI19" t="str">
            <v/>
          </cell>
          <cell r="AK19" t="str">
            <v/>
          </cell>
          <cell r="AN19" t="str">
            <v/>
          </cell>
          <cell r="AO19" t="str">
            <v/>
          </cell>
          <cell r="AP19" t="str">
            <v/>
          </cell>
          <cell r="BI19" t="str">
            <v>Inflict</v>
          </cell>
          <cell r="BR19" t="str">
            <v>Insight</v>
          </cell>
          <cell r="BX19" t="str">
            <v/>
          </cell>
          <cell r="BZ19">
            <v>4</v>
          </cell>
          <cell r="CA19" t="str">
            <v>Bluff¹, Disguise¹, Sleight of Hand</v>
          </cell>
        </row>
        <row r="20">
          <cell r="A20">
            <v>19</v>
          </cell>
          <cell r="C20">
            <v>1</v>
          </cell>
          <cell r="E20">
            <v>1</v>
          </cell>
          <cell r="F20">
            <v>0</v>
          </cell>
          <cell r="AH20" t="str">
            <v/>
          </cell>
          <cell r="AI20" t="str">
            <v/>
          </cell>
          <cell r="AK20" t="str">
            <v/>
          </cell>
          <cell r="AN20" t="str">
            <v/>
          </cell>
          <cell r="AO20" t="str">
            <v/>
          </cell>
          <cell r="AP20" t="str">
            <v/>
          </cell>
          <cell r="BR20" t="str">
            <v>Power</v>
          </cell>
          <cell r="BX20" t="str">
            <v/>
          </cell>
          <cell r="BY20">
            <v>10</v>
          </cell>
          <cell r="CA20" t="str">
            <v>Knowledge (the planes)</v>
          </cell>
        </row>
        <row r="21">
          <cell r="A21">
            <v>20</v>
          </cell>
          <cell r="C21">
            <v>1</v>
          </cell>
          <cell r="E21">
            <v>1</v>
          </cell>
          <cell r="F21">
            <v>0</v>
          </cell>
          <cell r="AH21" t="str">
            <v/>
          </cell>
          <cell r="AI21" t="str">
            <v/>
          </cell>
          <cell r="AK21" t="str">
            <v/>
          </cell>
          <cell r="AN21" t="str">
            <v/>
          </cell>
          <cell r="AO21" t="str">
            <v/>
          </cell>
          <cell r="AP21" t="str">
            <v/>
          </cell>
          <cell r="BN21" t="str">
            <v>Wizard</v>
          </cell>
          <cell r="BR21" t="str">
            <v>Presence</v>
          </cell>
          <cell r="BX21" t="str">
            <v/>
          </cell>
          <cell r="BY21">
            <v>10</v>
          </cell>
          <cell r="CA21" t="str">
            <v>Knowledge (the planes)</v>
          </cell>
        </row>
        <row r="22">
          <cell r="A22">
            <v>21</v>
          </cell>
          <cell r="C22">
            <v>1</v>
          </cell>
          <cell r="E22">
            <v>1</v>
          </cell>
          <cell r="F22">
            <v>0</v>
          </cell>
          <cell r="AH22" t="str">
            <v/>
          </cell>
          <cell r="AI22" t="str">
            <v/>
          </cell>
          <cell r="AK22" t="str">
            <v/>
          </cell>
          <cell r="AN22" t="str">
            <v/>
          </cell>
          <cell r="AO22" t="str">
            <v/>
          </cell>
          <cell r="AP22" t="str">
            <v/>
          </cell>
          <cell r="BH22" t="str">
            <v>Select a favored enemy</v>
          </cell>
          <cell r="BI22" t="str">
            <v/>
          </cell>
          <cell r="BN22" t="b">
            <v>0</v>
          </cell>
          <cell r="BR22" t="str">
            <v>Resistance</v>
          </cell>
          <cell r="BX22" t="str">
            <v/>
          </cell>
          <cell r="BY22">
            <v>10</v>
          </cell>
          <cell r="CA22" t="str">
            <v>Knowledge (the planes)</v>
          </cell>
        </row>
        <row r="23">
          <cell r="A23">
            <v>22</v>
          </cell>
          <cell r="C23">
            <v>1</v>
          </cell>
          <cell r="E23">
            <v>1</v>
          </cell>
          <cell r="F23">
            <v>0</v>
          </cell>
          <cell r="AH23" t="str">
            <v/>
          </cell>
          <cell r="AI23" t="str">
            <v/>
          </cell>
          <cell r="AK23" t="str">
            <v/>
          </cell>
          <cell r="AN23" t="str">
            <v/>
          </cell>
          <cell r="AO23" t="str">
            <v/>
          </cell>
          <cell r="AP23" t="str">
            <v/>
          </cell>
          <cell r="BH23" t="str">
            <v>Select a favored enemy</v>
          </cell>
          <cell r="BI23" t="str">
            <v/>
          </cell>
          <cell r="BN23" t="b">
            <v>1</v>
          </cell>
          <cell r="BR23" t="str">
            <v>Resolve</v>
          </cell>
          <cell r="BX23" t="str">
            <v/>
          </cell>
          <cell r="BY23">
            <v>10</v>
          </cell>
          <cell r="CA23" t="str">
            <v>Knowledge (dungeoneering)</v>
          </cell>
        </row>
        <row r="24">
          <cell r="A24">
            <v>23</v>
          </cell>
          <cell r="C24">
            <v>1</v>
          </cell>
          <cell r="E24">
            <v>1</v>
          </cell>
          <cell r="F24">
            <v>0</v>
          </cell>
          <cell r="AH24" t="str">
            <v/>
          </cell>
          <cell r="AI24" t="str">
            <v/>
          </cell>
          <cell r="AK24" t="str">
            <v/>
          </cell>
          <cell r="AN24" t="str">
            <v/>
          </cell>
          <cell r="AO24" t="str">
            <v/>
          </cell>
          <cell r="AP24" t="str">
            <v/>
          </cell>
          <cell r="BH24" t="str">
            <v>Select a favored enemy</v>
          </cell>
          <cell r="BI24" t="str">
            <v/>
          </cell>
          <cell r="BN24" t="b">
            <v>0</v>
          </cell>
          <cell r="BR24" t="str">
            <v>Senses</v>
          </cell>
          <cell r="BX24" t="str">
            <v/>
          </cell>
          <cell r="BY24">
            <v>10</v>
          </cell>
          <cell r="CA24" t="str">
            <v>Knowledge (dungeoneering)</v>
          </cell>
        </row>
        <row r="25">
          <cell r="A25">
            <v>24</v>
          </cell>
          <cell r="C25">
            <v>1</v>
          </cell>
          <cell r="E25">
            <v>1</v>
          </cell>
          <cell r="F25">
            <v>0</v>
          </cell>
          <cell r="AH25" t="str">
            <v/>
          </cell>
          <cell r="AI25" t="str">
            <v/>
          </cell>
          <cell r="AK25" t="str">
            <v/>
          </cell>
          <cell r="AN25" t="str">
            <v/>
          </cell>
          <cell r="AO25" t="str">
            <v/>
          </cell>
          <cell r="AP25" t="str">
            <v/>
          </cell>
          <cell r="BH25" t="str">
            <v>Select a favored enemy</v>
          </cell>
          <cell r="BI25" t="str">
            <v/>
          </cell>
          <cell r="BN25">
            <v>0</v>
          </cell>
          <cell r="BR25" t="str">
            <v>Stamina</v>
          </cell>
          <cell r="BX25" t="str">
            <v/>
          </cell>
          <cell r="BY25">
            <v>10</v>
          </cell>
          <cell r="CA25" t="str">
            <v>Knowledge (dungeoneering)</v>
          </cell>
        </row>
        <row r="26">
          <cell r="A26">
            <v>25</v>
          </cell>
          <cell r="C26">
            <v>1</v>
          </cell>
          <cell r="E26">
            <v>1</v>
          </cell>
          <cell r="F26">
            <v>0</v>
          </cell>
          <cell r="AH26" t="str">
            <v/>
          </cell>
          <cell r="AI26" t="str">
            <v/>
          </cell>
          <cell r="AK26" t="str">
            <v/>
          </cell>
          <cell r="AN26" t="str">
            <v/>
          </cell>
          <cell r="AO26" t="str">
            <v/>
          </cell>
          <cell r="AP26" t="str">
            <v/>
          </cell>
          <cell r="BH26" t="str">
            <v>Select a favored enemy</v>
          </cell>
          <cell r="BI26" t="str">
            <v/>
          </cell>
          <cell r="BN26">
            <v>0</v>
          </cell>
          <cell r="BR26" t="str">
            <v>Swiftness</v>
          </cell>
          <cell r="BX26" t="str">
            <v/>
          </cell>
          <cell r="BY26">
            <v>12</v>
          </cell>
          <cell r="CA26" t="str">
            <v>Knowledge (dungeoneering)</v>
          </cell>
        </row>
        <row r="27">
          <cell r="A27">
            <v>26</v>
          </cell>
          <cell r="C27">
            <v>1</v>
          </cell>
          <cell r="E27">
            <v>1</v>
          </cell>
          <cell r="F27">
            <v>0</v>
          </cell>
          <cell r="AH27" t="str">
            <v/>
          </cell>
          <cell r="AI27" t="str">
            <v/>
          </cell>
          <cell r="AK27" t="str">
            <v/>
          </cell>
          <cell r="AN27" t="str">
            <v/>
          </cell>
          <cell r="AO27" t="str">
            <v/>
          </cell>
          <cell r="AP27" t="str">
            <v/>
          </cell>
          <cell r="BH27" t="str">
            <v>Select a favored enemy</v>
          </cell>
          <cell r="BI27" t="str">
            <v/>
          </cell>
          <cell r="BN27">
            <v>0</v>
          </cell>
          <cell r="BR27" t="str">
            <v>Toughness</v>
          </cell>
          <cell r="BX27" t="str">
            <v/>
          </cell>
          <cell r="BY27">
            <v>12</v>
          </cell>
          <cell r="CA27" t="str">
            <v>Knowledge (dungeoneering)</v>
          </cell>
        </row>
        <row r="28">
          <cell r="A28">
            <v>27</v>
          </cell>
          <cell r="C28">
            <v>1</v>
          </cell>
          <cell r="E28">
            <v>1</v>
          </cell>
          <cell r="F28">
            <v>0</v>
          </cell>
          <cell r="AH28" t="str">
            <v/>
          </cell>
          <cell r="AI28" t="str">
            <v/>
          </cell>
          <cell r="AK28" t="str">
            <v/>
          </cell>
          <cell r="AN28" t="str">
            <v/>
          </cell>
          <cell r="AO28" t="str">
            <v/>
          </cell>
          <cell r="AP28" t="str">
            <v/>
          </cell>
          <cell r="BH28" t="str">
            <v>Select a favored enemy</v>
          </cell>
          <cell r="BI28" t="str">
            <v/>
          </cell>
          <cell r="BN28" t="b">
            <v>0</v>
          </cell>
          <cell r="BR28" t="str">
            <v>Vigor</v>
          </cell>
          <cell r="BX28" t="str">
            <v/>
          </cell>
          <cell r="BY28">
            <v>12</v>
          </cell>
          <cell r="CA28" t="str">
            <v>Knowledge (dungeoneering)</v>
          </cell>
        </row>
        <row r="29">
          <cell r="A29">
            <v>28</v>
          </cell>
          <cell r="C29">
            <v>1</v>
          </cell>
          <cell r="E29">
            <v>1</v>
          </cell>
          <cell r="F29">
            <v>0</v>
          </cell>
          <cell r="AH29" t="str">
            <v/>
          </cell>
          <cell r="AI29" t="str">
            <v/>
          </cell>
          <cell r="AK29" t="str">
            <v/>
          </cell>
          <cell r="AN29" t="str">
            <v/>
          </cell>
          <cell r="AO29" t="str">
            <v/>
          </cell>
          <cell r="AP29" t="str">
            <v/>
          </cell>
          <cell r="BH29" t="str">
            <v>Select a favored enemy</v>
          </cell>
          <cell r="BI29" t="str">
            <v/>
          </cell>
          <cell r="BN29" t="b">
            <v>0</v>
          </cell>
          <cell r="BX29" t="str">
            <v/>
          </cell>
          <cell r="BY29">
            <v>6</v>
          </cell>
          <cell r="CA29" t="str">
            <v>Knowledge (dungeoneering)</v>
          </cell>
        </row>
        <row r="30">
          <cell r="A30">
            <v>29</v>
          </cell>
          <cell r="C30">
            <v>1</v>
          </cell>
          <cell r="E30">
            <v>1</v>
          </cell>
          <cell r="F30">
            <v>0</v>
          </cell>
          <cell r="AH30" t="str">
            <v/>
          </cell>
          <cell r="AI30" t="str">
            <v/>
          </cell>
          <cell r="AK30" t="str">
            <v/>
          </cell>
          <cell r="AN30" t="str">
            <v/>
          </cell>
          <cell r="AO30" t="str">
            <v/>
          </cell>
          <cell r="AP30" t="str">
            <v/>
          </cell>
          <cell r="BH30" t="str">
            <v>Select a favored enemy</v>
          </cell>
          <cell r="BI30" t="str">
            <v/>
          </cell>
          <cell r="BX30" t="str">
            <v/>
          </cell>
          <cell r="BY30">
            <v>6</v>
          </cell>
          <cell r="CA30" t="str">
            <v>Knowledge (dungeoneering)</v>
          </cell>
        </row>
        <row r="31">
          <cell r="A31">
            <v>30</v>
          </cell>
          <cell r="C31">
            <v>1</v>
          </cell>
          <cell r="E31">
            <v>1</v>
          </cell>
          <cell r="F31">
            <v>0</v>
          </cell>
          <cell r="M31" t="str">
            <v>O</v>
          </cell>
          <cell r="AH31" t="str">
            <v/>
          </cell>
          <cell r="AI31" t="str">
            <v/>
          </cell>
          <cell r="AK31" t="str">
            <v/>
          </cell>
          <cell r="AN31" t="str">
            <v/>
          </cell>
          <cell r="AO31" t="str">
            <v/>
          </cell>
          <cell r="AP31" t="str">
            <v/>
          </cell>
          <cell r="BH31" t="str">
            <v>Select a favored enemy</v>
          </cell>
          <cell r="BI31" t="str">
            <v/>
          </cell>
          <cell r="BN31">
            <v>0</v>
          </cell>
          <cell r="BX31" t="str">
            <v/>
          </cell>
          <cell r="BY31">
            <v>6</v>
          </cell>
          <cell r="CA31" t="str">
            <v>Knowledge (dungeoneering)</v>
          </cell>
        </row>
        <row r="32">
          <cell r="A32">
            <v>31</v>
          </cell>
          <cell r="C32">
            <v>1</v>
          </cell>
          <cell r="E32">
            <v>1</v>
          </cell>
          <cell r="F32">
            <v>0</v>
          </cell>
          <cell r="M32" t="str">
            <v>O</v>
          </cell>
          <cell r="AH32" t="str">
            <v/>
          </cell>
          <cell r="AI32" t="str">
            <v/>
          </cell>
          <cell r="AK32" t="str">
            <v/>
          </cell>
          <cell r="AN32" t="str">
            <v/>
          </cell>
          <cell r="AO32" t="str">
            <v/>
          </cell>
          <cell r="AP32" t="str">
            <v/>
          </cell>
          <cell r="BH32" t="str">
            <v>Select a favored enemy</v>
          </cell>
          <cell r="BI32" t="str">
            <v/>
          </cell>
          <cell r="BN32">
            <v>0</v>
          </cell>
          <cell r="BY32">
            <v>12</v>
          </cell>
          <cell r="CA32" t="str">
            <v>Knowledge (dungeoneering)</v>
          </cell>
        </row>
        <row r="33">
          <cell r="A33">
            <v>32</v>
          </cell>
          <cell r="C33">
            <v>1</v>
          </cell>
          <cell r="E33">
            <v>1</v>
          </cell>
          <cell r="F33">
            <v>0</v>
          </cell>
          <cell r="M33" t="str">
            <v>O</v>
          </cell>
          <cell r="AH33" t="str">
            <v/>
          </cell>
          <cell r="AI33" t="str">
            <v/>
          </cell>
          <cell r="AK33" t="str">
            <v/>
          </cell>
          <cell r="AN33" t="str">
            <v/>
          </cell>
          <cell r="AO33" t="str">
            <v/>
          </cell>
          <cell r="AP33" t="str">
            <v/>
          </cell>
          <cell r="BH33" t="str">
            <v>Select a favored enemy</v>
          </cell>
          <cell r="BI33" t="str">
            <v/>
          </cell>
          <cell r="BN33">
            <v>0</v>
          </cell>
          <cell r="BY33">
            <v>12</v>
          </cell>
          <cell r="CA33" t="str">
            <v>Knowledge (dungeoneering)</v>
          </cell>
        </row>
        <row r="34">
          <cell r="A34">
            <v>33</v>
          </cell>
          <cell r="C34">
            <v>1</v>
          </cell>
          <cell r="E34">
            <v>1</v>
          </cell>
          <cell r="F34">
            <v>0</v>
          </cell>
          <cell r="M34" t="str">
            <v>O</v>
          </cell>
          <cell r="AH34" t="str">
            <v/>
          </cell>
          <cell r="AI34" t="str">
            <v/>
          </cell>
          <cell r="AK34" t="str">
            <v/>
          </cell>
          <cell r="AN34" t="str">
            <v/>
          </cell>
          <cell r="AO34" t="str">
            <v/>
          </cell>
          <cell r="AP34" t="str">
            <v/>
          </cell>
          <cell r="BH34" t="str">
            <v>Select a favored enemy</v>
          </cell>
          <cell r="BI34" t="str">
            <v/>
          </cell>
          <cell r="BN34">
            <v>2</v>
          </cell>
          <cell r="BY34">
            <v>12</v>
          </cell>
          <cell r="CA34" t="str">
            <v>Knowledge (dungeoneering)</v>
          </cell>
        </row>
        <row r="35">
          <cell r="A35">
            <v>34</v>
          </cell>
          <cell r="C35">
            <v>1</v>
          </cell>
          <cell r="E35">
            <v>1</v>
          </cell>
          <cell r="F35">
            <v>0</v>
          </cell>
          <cell r="M35" t="str">
            <v>O</v>
          </cell>
          <cell r="AH35" t="str">
            <v/>
          </cell>
          <cell r="AI35" t="str">
            <v/>
          </cell>
          <cell r="AK35" t="str">
            <v/>
          </cell>
          <cell r="AN35" t="str">
            <v/>
          </cell>
          <cell r="AO35" t="str">
            <v/>
          </cell>
          <cell r="AP35" t="str">
            <v/>
          </cell>
          <cell r="BH35" t="str">
            <v>Select a favored enemy</v>
          </cell>
          <cell r="BI35" t="str">
            <v/>
          </cell>
          <cell r="BN35">
            <v>0</v>
          </cell>
          <cell r="BX35" t="str">
            <v/>
          </cell>
          <cell r="CA35" t="str">
            <v>Survival¹</v>
          </cell>
        </row>
        <row r="36">
          <cell r="A36">
            <v>35</v>
          </cell>
          <cell r="C36">
            <v>1</v>
          </cell>
          <cell r="E36">
            <v>1</v>
          </cell>
          <cell r="F36">
            <v>0</v>
          </cell>
          <cell r="M36" t="str">
            <v>O</v>
          </cell>
          <cell r="AH36" t="str">
            <v/>
          </cell>
          <cell r="AI36" t="str">
            <v/>
          </cell>
          <cell r="AK36" t="str">
            <v/>
          </cell>
          <cell r="AN36" t="str">
            <v/>
          </cell>
          <cell r="AO36" t="str">
            <v/>
          </cell>
          <cell r="AP36" t="str">
            <v/>
          </cell>
          <cell r="BH36" t="str">
            <v>Select a favored enemy</v>
          </cell>
          <cell r="BI36" t="str">
            <v/>
          </cell>
          <cell r="BN36">
            <v>0</v>
          </cell>
          <cell r="BX36" t="str">
            <v/>
          </cell>
          <cell r="CA36" t="str">
            <v>Survival¹</v>
          </cell>
        </row>
        <row r="37">
          <cell r="A37">
            <v>36</v>
          </cell>
          <cell r="C37">
            <v>1</v>
          </cell>
          <cell r="E37">
            <v>1</v>
          </cell>
          <cell r="F37">
            <v>0</v>
          </cell>
          <cell r="M37" t="str">
            <v>O</v>
          </cell>
          <cell r="AH37" t="str">
            <v/>
          </cell>
          <cell r="AI37" t="str">
            <v/>
          </cell>
          <cell r="AK37" t="str">
            <v/>
          </cell>
          <cell r="AN37" t="str">
            <v/>
          </cell>
          <cell r="AO37" t="str">
            <v/>
          </cell>
          <cell r="AP37" t="str">
            <v/>
          </cell>
          <cell r="BI37" t="str">
            <v/>
          </cell>
          <cell r="BN37">
            <v>0</v>
          </cell>
          <cell r="BO37">
            <v>0</v>
          </cell>
          <cell r="BX37" t="str">
            <v/>
          </cell>
          <cell r="CA37" t="str">
            <v>Survival¹</v>
          </cell>
        </row>
        <row r="38">
          <cell r="A38">
            <v>37</v>
          </cell>
          <cell r="C38">
            <v>1</v>
          </cell>
          <cell r="E38">
            <v>1</v>
          </cell>
          <cell r="F38">
            <v>0</v>
          </cell>
          <cell r="M38" t="str">
            <v>O</v>
          </cell>
          <cell r="AH38" t="str">
            <v/>
          </cell>
          <cell r="AI38" t="str">
            <v/>
          </cell>
          <cell r="AK38" t="str">
            <v/>
          </cell>
          <cell r="AN38" t="str">
            <v/>
          </cell>
          <cell r="AO38" t="str">
            <v/>
          </cell>
          <cell r="AP38" t="str">
            <v/>
          </cell>
          <cell r="BI38" t="str">
            <v/>
          </cell>
          <cell r="BN38">
            <v>0</v>
          </cell>
          <cell r="BO38">
            <v>0</v>
          </cell>
          <cell r="BX38" t="str">
            <v/>
          </cell>
          <cell r="BY38">
            <v>6</v>
          </cell>
          <cell r="BZ38">
            <v>8</v>
          </cell>
          <cell r="CA38" t="str">
            <v>Balance¹</v>
          </cell>
        </row>
        <row r="39">
          <cell r="A39">
            <v>38</v>
          </cell>
          <cell r="C39">
            <v>1</v>
          </cell>
          <cell r="E39">
            <v>1</v>
          </cell>
          <cell r="F39">
            <v>0</v>
          </cell>
          <cell r="M39" t="str">
            <v>O</v>
          </cell>
          <cell r="AH39" t="str">
            <v/>
          </cell>
          <cell r="AI39" t="str">
            <v/>
          </cell>
          <cell r="AK39" t="str">
            <v/>
          </cell>
          <cell r="AN39" t="str">
            <v/>
          </cell>
          <cell r="AO39" t="str">
            <v/>
          </cell>
          <cell r="AP39" t="str">
            <v/>
          </cell>
          <cell r="BI39" t="str">
            <v/>
          </cell>
          <cell r="BN39">
            <v>2</v>
          </cell>
          <cell r="BO39">
            <v>2</v>
          </cell>
          <cell r="BX39" t="str">
            <v/>
          </cell>
          <cell r="BY39">
            <v>6</v>
          </cell>
          <cell r="BZ39">
            <v>8</v>
          </cell>
          <cell r="CA39" t="str">
            <v>Balance¹</v>
          </cell>
        </row>
        <row r="40">
          <cell r="A40">
            <v>39</v>
          </cell>
          <cell r="C40">
            <v>1</v>
          </cell>
          <cell r="E40">
            <v>1</v>
          </cell>
          <cell r="F40">
            <v>0</v>
          </cell>
          <cell r="M40" t="str">
            <v>O</v>
          </cell>
          <cell r="AH40" t="str">
            <v/>
          </cell>
          <cell r="AI40" t="str">
            <v/>
          </cell>
          <cell r="AK40" t="str">
            <v/>
          </cell>
          <cell r="AN40" t="str">
            <v/>
          </cell>
          <cell r="AO40" t="str">
            <v/>
          </cell>
          <cell r="AP40" t="str">
            <v/>
          </cell>
          <cell r="BX40" t="str">
            <v/>
          </cell>
          <cell r="BY40">
            <v>6</v>
          </cell>
          <cell r="BZ40">
            <v>8</v>
          </cell>
          <cell r="CA40" t="str">
            <v>Balance¹</v>
          </cell>
        </row>
        <row r="41">
          <cell r="A41">
            <v>40</v>
          </cell>
          <cell r="C41">
            <v>1</v>
          </cell>
          <cell r="E41">
            <v>1</v>
          </cell>
          <cell r="F41">
            <v>0</v>
          </cell>
          <cell r="M41" t="str">
            <v>O</v>
          </cell>
          <cell r="AH41" t="str">
            <v/>
          </cell>
          <cell r="AI41" t="str">
            <v/>
          </cell>
          <cell r="AK41" t="str">
            <v/>
          </cell>
          <cell r="AN41" t="str">
            <v/>
          </cell>
          <cell r="AO41" t="str">
            <v/>
          </cell>
          <cell r="AP41" t="str">
            <v/>
          </cell>
          <cell r="CA41" t="str">
            <v>Search¹, Spot¹</v>
          </cell>
        </row>
        <row r="42">
          <cell r="A42">
            <v>41</v>
          </cell>
          <cell r="C42">
            <v>1</v>
          </cell>
          <cell r="E42">
            <v>1</v>
          </cell>
          <cell r="F42">
            <v>0</v>
          </cell>
          <cell r="M42" t="str">
            <v>O</v>
          </cell>
          <cell r="AH42" t="str">
            <v/>
          </cell>
          <cell r="AI42" t="str">
            <v/>
          </cell>
          <cell r="AK42" t="str">
            <v/>
          </cell>
          <cell r="AN42" t="str">
            <v/>
          </cell>
          <cell r="AO42" t="str">
            <v/>
          </cell>
          <cell r="AP42" t="str">
            <v/>
          </cell>
          <cell r="CA42" t="str">
            <v>Search¹, Spot¹</v>
          </cell>
        </row>
        <row r="43">
          <cell r="A43">
            <v>42</v>
          </cell>
          <cell r="C43">
            <v>1</v>
          </cell>
          <cell r="E43">
            <v>1</v>
          </cell>
          <cell r="F43">
            <v>0</v>
          </cell>
          <cell r="M43" t="str">
            <v>O</v>
          </cell>
          <cell r="AH43" t="str">
            <v/>
          </cell>
          <cell r="AI43" t="str">
            <v/>
          </cell>
          <cell r="AK43" t="str">
            <v/>
          </cell>
          <cell r="AN43" t="str">
            <v/>
          </cell>
          <cell r="AO43" t="str">
            <v/>
          </cell>
          <cell r="AP43" t="str">
            <v/>
          </cell>
          <cell r="CA43" t="str">
            <v>Search¹, Spot¹</v>
          </cell>
        </row>
        <row r="44">
          <cell r="A44">
            <v>43</v>
          </cell>
          <cell r="C44">
            <v>1</v>
          </cell>
          <cell r="E44">
            <v>1</v>
          </cell>
          <cell r="F44">
            <v>0</v>
          </cell>
          <cell r="AH44" t="str">
            <v/>
          </cell>
          <cell r="AI44" t="str">
            <v/>
          </cell>
          <cell r="AK44" t="str">
            <v/>
          </cell>
          <cell r="AN44" t="str">
            <v/>
          </cell>
          <cell r="AO44" t="str">
            <v/>
          </cell>
          <cell r="AP44" t="str">
            <v/>
          </cell>
          <cell r="BN44" t="b">
            <v>0</v>
          </cell>
          <cell r="BX44" t="str">
            <v/>
          </cell>
          <cell r="CA44" t="str">
            <v>Search¹</v>
          </cell>
        </row>
        <row r="45">
          <cell r="A45">
            <v>44</v>
          </cell>
          <cell r="C45">
            <v>1</v>
          </cell>
          <cell r="E45">
            <v>1</v>
          </cell>
          <cell r="F45">
            <v>0</v>
          </cell>
          <cell r="AH45" t="str">
            <v/>
          </cell>
          <cell r="AI45" t="str">
            <v/>
          </cell>
          <cell r="AK45" t="str">
            <v/>
          </cell>
          <cell r="AN45" t="str">
            <v/>
          </cell>
          <cell r="AO45" t="str">
            <v/>
          </cell>
          <cell r="AP45" t="str">
            <v/>
          </cell>
          <cell r="BN45" t="b">
            <v>0</v>
          </cell>
          <cell r="BX45" t="str">
            <v/>
          </cell>
          <cell r="CA45" t="str">
            <v>Search¹</v>
          </cell>
        </row>
        <row r="46">
          <cell r="A46">
            <v>45</v>
          </cell>
          <cell r="C46">
            <v>1</v>
          </cell>
          <cell r="E46">
            <v>1</v>
          </cell>
          <cell r="F46">
            <v>0</v>
          </cell>
          <cell r="AH46" t="str">
            <v/>
          </cell>
          <cell r="AI46" t="str">
            <v/>
          </cell>
          <cell r="AK46" t="str">
            <v/>
          </cell>
          <cell r="AN46" t="str">
            <v/>
          </cell>
          <cell r="AO46" t="str">
            <v/>
          </cell>
          <cell r="AP46" t="str">
            <v/>
          </cell>
          <cell r="BX46" t="str">
            <v/>
          </cell>
          <cell r="CA46" t="str">
            <v>Search¹</v>
          </cell>
        </row>
        <row r="47">
          <cell r="A47">
            <v>46</v>
          </cell>
          <cell r="C47">
            <v>1</v>
          </cell>
          <cell r="E47">
            <v>1</v>
          </cell>
          <cell r="F47">
            <v>0</v>
          </cell>
          <cell r="AH47" t="str">
            <v/>
          </cell>
          <cell r="AI47" t="str">
            <v/>
          </cell>
          <cell r="AK47" t="str">
            <v/>
          </cell>
          <cell r="AN47" t="str">
            <v/>
          </cell>
          <cell r="AO47" t="str">
            <v/>
          </cell>
          <cell r="AP47" t="str">
            <v/>
          </cell>
          <cell r="BX47" t="str">
            <v/>
          </cell>
        </row>
        <row r="48">
          <cell r="A48">
            <v>47</v>
          </cell>
          <cell r="C48">
            <v>1</v>
          </cell>
          <cell r="E48">
            <v>1</v>
          </cell>
          <cell r="F48">
            <v>0</v>
          </cell>
          <cell r="AH48" t="str">
            <v/>
          </cell>
          <cell r="AI48" t="str">
            <v/>
          </cell>
          <cell r="AK48" t="str">
            <v/>
          </cell>
          <cell r="AN48" t="str">
            <v/>
          </cell>
          <cell r="AO48" t="str">
            <v/>
          </cell>
          <cell r="AP48" t="str">
            <v/>
          </cell>
          <cell r="BN48">
            <v>0</v>
          </cell>
          <cell r="BX48" t="str">
            <v/>
          </cell>
        </row>
        <row r="49">
          <cell r="A49">
            <v>48</v>
          </cell>
          <cell r="C49">
            <v>1</v>
          </cell>
          <cell r="E49">
            <v>1</v>
          </cell>
          <cell r="F49">
            <v>0</v>
          </cell>
          <cell r="AH49" t="str">
            <v/>
          </cell>
          <cell r="AI49" t="str">
            <v/>
          </cell>
          <cell r="AK49" t="str">
            <v/>
          </cell>
          <cell r="AN49" t="str">
            <v/>
          </cell>
          <cell r="AO49" t="str">
            <v/>
          </cell>
          <cell r="AP49" t="str">
            <v/>
          </cell>
          <cell r="BN49">
            <v>0</v>
          </cell>
          <cell r="BX49" t="str">
            <v/>
          </cell>
        </row>
        <row r="50">
          <cell r="A50">
            <v>49</v>
          </cell>
          <cell r="C50">
            <v>1</v>
          </cell>
          <cell r="E50">
            <v>1</v>
          </cell>
          <cell r="F50">
            <v>0</v>
          </cell>
          <cell r="AH50" t="str">
            <v/>
          </cell>
          <cell r="AI50" t="str">
            <v/>
          </cell>
          <cell r="AK50" t="str">
            <v/>
          </cell>
          <cell r="AN50" t="str">
            <v/>
          </cell>
          <cell r="AO50" t="str">
            <v/>
          </cell>
          <cell r="AP50" t="str">
            <v/>
          </cell>
          <cell r="BN50" t="b">
            <v>0</v>
          </cell>
          <cell r="BX50" t="str">
            <v/>
          </cell>
        </row>
        <row r="51">
          <cell r="A51">
            <v>50</v>
          </cell>
          <cell r="C51">
            <v>1</v>
          </cell>
          <cell r="E51">
            <v>1</v>
          </cell>
          <cell r="F51">
            <v>0</v>
          </cell>
          <cell r="AH51" t="str">
            <v/>
          </cell>
          <cell r="AI51" t="str">
            <v/>
          </cell>
          <cell r="AK51" t="str">
            <v/>
          </cell>
          <cell r="AN51" t="str">
            <v/>
          </cell>
          <cell r="AO51" t="str">
            <v/>
          </cell>
          <cell r="AP51" t="str">
            <v/>
          </cell>
          <cell r="BN51">
            <v>0</v>
          </cell>
          <cell r="BX51" t="str">
            <v/>
          </cell>
        </row>
        <row r="52">
          <cell r="A52">
            <v>51</v>
          </cell>
          <cell r="C52">
            <v>1</v>
          </cell>
          <cell r="E52">
            <v>1</v>
          </cell>
          <cell r="F52">
            <v>0</v>
          </cell>
          <cell r="AH52" t="str">
            <v/>
          </cell>
          <cell r="AI52" t="str">
            <v/>
          </cell>
          <cell r="AK52" t="str">
            <v/>
          </cell>
          <cell r="AN52" t="str">
            <v/>
          </cell>
          <cell r="AO52" t="str">
            <v/>
          </cell>
          <cell r="AP52" t="str">
            <v/>
          </cell>
          <cell r="BN52" t="str">
            <v/>
          </cell>
          <cell r="BX52" t="str">
            <v/>
          </cell>
        </row>
        <row r="53">
          <cell r="A53">
            <v>52</v>
          </cell>
          <cell r="C53">
            <v>1</v>
          </cell>
          <cell r="E53">
            <v>1</v>
          </cell>
          <cell r="F53">
            <v>0</v>
          </cell>
          <cell r="AH53" t="str">
            <v/>
          </cell>
          <cell r="AI53" t="str">
            <v/>
          </cell>
          <cell r="AK53" t="str">
            <v/>
          </cell>
          <cell r="AN53" t="str">
            <v/>
          </cell>
          <cell r="AO53" t="str">
            <v/>
          </cell>
          <cell r="AP53" t="str">
            <v/>
          </cell>
          <cell r="BX53" t="str">
            <v/>
          </cell>
        </row>
        <row r="54">
          <cell r="A54">
            <v>53</v>
          </cell>
          <cell r="C54">
            <v>1</v>
          </cell>
          <cell r="E54">
            <v>1</v>
          </cell>
          <cell r="F54">
            <v>0</v>
          </cell>
          <cell r="AH54" t="str">
            <v/>
          </cell>
          <cell r="AI54" t="str">
            <v/>
          </cell>
          <cell r="AK54" t="str">
            <v/>
          </cell>
          <cell r="AN54" t="str">
            <v/>
          </cell>
          <cell r="AO54" t="str">
            <v/>
          </cell>
          <cell r="AP54" t="str">
            <v/>
          </cell>
          <cell r="BX54" t="str">
            <v/>
          </cell>
          <cell r="BY54">
            <v>4</v>
          </cell>
          <cell r="CA54" t="str">
            <v>Hide¹</v>
          </cell>
        </row>
        <row r="55">
          <cell r="A55">
            <v>54</v>
          </cell>
          <cell r="C55">
            <v>1</v>
          </cell>
          <cell r="E55">
            <v>1</v>
          </cell>
          <cell r="F55">
            <v>0</v>
          </cell>
          <cell r="AH55" t="str">
            <v/>
          </cell>
          <cell r="AI55" t="str">
            <v/>
          </cell>
          <cell r="AK55" t="str">
            <v/>
          </cell>
          <cell r="AN55" t="str">
            <v/>
          </cell>
          <cell r="AO55" t="str">
            <v/>
          </cell>
          <cell r="AP55" t="str">
            <v/>
          </cell>
          <cell r="BX55" t="str">
            <v/>
          </cell>
          <cell r="BY55">
            <v>4</v>
          </cell>
          <cell r="CA55" t="str">
            <v>Hide¹</v>
          </cell>
        </row>
        <row r="56">
          <cell r="A56">
            <v>55</v>
          </cell>
          <cell r="C56">
            <v>1</v>
          </cell>
          <cell r="E56">
            <v>1</v>
          </cell>
          <cell r="F56">
            <v>0</v>
          </cell>
          <cell r="AH56" t="str">
            <v/>
          </cell>
          <cell r="AI56" t="str">
            <v/>
          </cell>
          <cell r="AK56" t="str">
            <v/>
          </cell>
          <cell r="AN56" t="str">
            <v/>
          </cell>
          <cell r="AO56" t="str">
            <v/>
          </cell>
          <cell r="AP56" t="str">
            <v/>
          </cell>
          <cell r="BX56" t="str">
            <v/>
          </cell>
          <cell r="BY56">
            <v>4</v>
          </cell>
          <cell r="CA56" t="str">
            <v>Hide¹</v>
          </cell>
        </row>
        <row r="57">
          <cell r="A57">
            <v>56</v>
          </cell>
          <cell r="C57">
            <v>1</v>
          </cell>
          <cell r="E57">
            <v>1</v>
          </cell>
          <cell r="F57">
            <v>0</v>
          </cell>
          <cell r="AH57" t="str">
            <v/>
          </cell>
          <cell r="AI57" t="str">
            <v/>
          </cell>
          <cell r="AK57" t="str">
            <v/>
          </cell>
          <cell r="AN57" t="str">
            <v/>
          </cell>
          <cell r="AO57" t="str">
            <v/>
          </cell>
          <cell r="AP57" t="str">
            <v/>
          </cell>
          <cell r="BX57" t="str">
            <v/>
          </cell>
        </row>
        <row r="58">
          <cell r="A58">
            <v>57</v>
          </cell>
          <cell r="C58">
            <v>1</v>
          </cell>
          <cell r="E58">
            <v>1</v>
          </cell>
          <cell r="F58">
            <v>0</v>
          </cell>
          <cell r="O58" t="str">
            <v/>
          </cell>
          <cell r="AH58" t="str">
            <v/>
          </cell>
          <cell r="AI58" t="str">
            <v/>
          </cell>
          <cell r="AK58" t="str">
            <v/>
          </cell>
          <cell r="AN58" t="str">
            <v/>
          </cell>
          <cell r="AO58" t="str">
            <v/>
          </cell>
          <cell r="AP58" t="str">
            <v/>
          </cell>
          <cell r="BX58" t="str">
            <v/>
          </cell>
        </row>
        <row r="59">
          <cell r="A59">
            <v>58</v>
          </cell>
          <cell r="C59">
            <v>1</v>
          </cell>
          <cell r="E59">
            <v>1</v>
          </cell>
          <cell r="F59">
            <v>0</v>
          </cell>
          <cell r="AH59" t="str">
            <v/>
          </cell>
          <cell r="AI59" t="str">
            <v/>
          </cell>
          <cell r="AK59" t="str">
            <v/>
          </cell>
          <cell r="AN59" t="str">
            <v/>
          </cell>
          <cell r="AO59" t="str">
            <v/>
          </cell>
          <cell r="AP59" t="str">
            <v/>
          </cell>
          <cell r="BX59" t="str">
            <v/>
          </cell>
        </row>
        <row r="60">
          <cell r="A60">
            <v>59</v>
          </cell>
          <cell r="C60">
            <v>1</v>
          </cell>
          <cell r="E60">
            <v>1</v>
          </cell>
          <cell r="F60">
            <v>0</v>
          </cell>
          <cell r="AH60" t="str">
            <v/>
          </cell>
          <cell r="AI60" t="str">
            <v/>
          </cell>
          <cell r="AK60" t="str">
            <v/>
          </cell>
          <cell r="AN60" t="str">
            <v/>
          </cell>
          <cell r="AO60" t="str">
            <v/>
          </cell>
          <cell r="AP60" t="str">
            <v/>
          </cell>
          <cell r="BX60" t="str">
            <v/>
          </cell>
        </row>
        <row r="61">
          <cell r="A61">
            <v>60</v>
          </cell>
          <cell r="C61">
            <v>1</v>
          </cell>
          <cell r="E61">
            <v>1</v>
          </cell>
          <cell r="F61">
            <v>0</v>
          </cell>
          <cell r="AH61" t="str">
            <v/>
          </cell>
          <cell r="AI61" t="str">
            <v/>
          </cell>
          <cell r="AK61" t="str">
            <v/>
          </cell>
          <cell r="AN61" t="str">
            <v/>
          </cell>
          <cell r="AO61" t="str">
            <v/>
          </cell>
          <cell r="AP61" t="str">
            <v/>
          </cell>
          <cell r="BX61" t="str">
            <v/>
          </cell>
        </row>
        <row r="62">
          <cell r="BX62" t="str">
            <v/>
          </cell>
        </row>
        <row r="63">
          <cell r="H63">
            <v>4</v>
          </cell>
          <cell r="BX63" t="str">
            <v/>
          </cell>
        </row>
        <row r="64">
          <cell r="BX64" t="str">
            <v/>
          </cell>
        </row>
        <row r="65">
          <cell r="BX65" t="str">
            <v/>
          </cell>
        </row>
        <row r="66">
          <cell r="BX66" t="str">
            <v/>
          </cell>
          <cell r="BY66">
            <v>8</v>
          </cell>
          <cell r="CA66" t="str">
            <v>Survival¹</v>
          </cell>
        </row>
        <row r="67">
          <cell r="BX67" t="str">
            <v/>
          </cell>
          <cell r="BY67">
            <v>8</v>
          </cell>
          <cell r="CA67" t="str">
            <v>Survival¹</v>
          </cell>
        </row>
        <row r="68">
          <cell r="BX68" t="str">
            <v/>
          </cell>
          <cell r="BY68">
            <v>8</v>
          </cell>
          <cell r="CA68" t="str">
            <v>Survival¹</v>
          </cell>
        </row>
        <row r="69">
          <cell r="BX69" t="str">
            <v/>
          </cell>
        </row>
        <row r="70">
          <cell r="BX70" t="str">
            <v/>
          </cell>
        </row>
        <row r="71">
          <cell r="BX71" t="str">
            <v/>
          </cell>
        </row>
        <row r="72">
          <cell r="BX72" t="str">
            <v/>
          </cell>
          <cell r="BY72">
            <v>8</v>
          </cell>
          <cell r="BZ72">
            <v>4</v>
          </cell>
          <cell r="CA72" t="str">
            <v>Bluff¹, Diplomacy¹, Sense Motive¹</v>
          </cell>
        </row>
        <row r="73">
          <cell r="BX73" t="str">
            <v/>
          </cell>
          <cell r="BY73">
            <v>8</v>
          </cell>
          <cell r="BZ73">
            <v>4</v>
          </cell>
          <cell r="CA73" t="str">
            <v>Bluff¹, Diplomacy¹, Sense Motive¹</v>
          </cell>
        </row>
        <row r="74">
          <cell r="BX74" t="str">
            <v/>
          </cell>
          <cell r="BY74">
            <v>8</v>
          </cell>
          <cell r="BZ74">
            <v>4</v>
          </cell>
          <cell r="CA74" t="str">
            <v>Bluff¹, Diplomacy¹, Sense Motive¹</v>
          </cell>
        </row>
        <row r="75">
          <cell r="BX75" t="str">
            <v/>
          </cell>
          <cell r="CA75" t="str">
            <v>Gather Information¹, Speak Language</v>
          </cell>
        </row>
        <row r="76">
          <cell r="BX76" t="str">
            <v/>
          </cell>
          <cell r="CA76" t="str">
            <v>Gather Information¹, Speak Language</v>
          </cell>
        </row>
        <row r="77">
          <cell r="BX77" t="str">
            <v/>
          </cell>
          <cell r="CA77" t="str">
            <v>Gather Information¹, Speak Language</v>
          </cell>
        </row>
        <row r="78">
          <cell r="BX78" t="str">
            <v/>
          </cell>
        </row>
        <row r="79">
          <cell r="BX79" t="str">
            <v/>
          </cell>
        </row>
        <row r="80">
          <cell r="BX80" t="str">
            <v/>
          </cell>
        </row>
        <row r="81">
          <cell r="BX81" t="str">
            <v/>
          </cell>
          <cell r="BY81">
            <v>10</v>
          </cell>
          <cell r="CA81" t="str">
            <v>Intimidate¹</v>
          </cell>
        </row>
        <row r="82">
          <cell r="BX82" t="str">
            <v/>
          </cell>
          <cell r="BY82">
            <v>10</v>
          </cell>
          <cell r="CA82" t="str">
            <v>Intimidate¹</v>
          </cell>
        </row>
        <row r="83">
          <cell r="BX83" t="str">
            <v/>
          </cell>
          <cell r="BY83">
            <v>10</v>
          </cell>
          <cell r="CA83" t="str">
            <v>Intimidate¹</v>
          </cell>
        </row>
        <row r="84">
          <cell r="BX84" t="str">
            <v/>
          </cell>
          <cell r="BY84">
            <v>12</v>
          </cell>
          <cell r="CA84" t="str">
            <v>Intimidate¹</v>
          </cell>
          <cell r="CB84" t="str">
            <v>Diplomacy¹</v>
          </cell>
        </row>
        <row r="85">
          <cell r="BX85" t="str">
            <v/>
          </cell>
          <cell r="BY85">
            <v>12</v>
          </cell>
          <cell r="CA85" t="str">
            <v>Intimidate¹</v>
          </cell>
          <cell r="CB85" t="str">
            <v>Diplomacy¹</v>
          </cell>
        </row>
        <row r="86">
          <cell r="BX86" t="str">
            <v/>
          </cell>
          <cell r="BY86">
            <v>12</v>
          </cell>
          <cell r="CA86" t="str">
            <v>Intimidate¹</v>
          </cell>
          <cell r="CB86" t="str">
            <v>Diplomacy¹</v>
          </cell>
        </row>
        <row r="87">
          <cell r="BX87" t="str">
            <v/>
          </cell>
          <cell r="BZ87">
            <v>6</v>
          </cell>
          <cell r="CA87" t="str">
            <v>Climb¹, Hide¹, Jump¹, Move Silently¹</v>
          </cell>
        </row>
        <row r="88">
          <cell r="BX88" t="str">
            <v/>
          </cell>
          <cell r="BZ88">
            <v>6</v>
          </cell>
          <cell r="CA88" t="str">
            <v>Climb¹, Hide¹, Jump¹, Move Silently¹</v>
          </cell>
        </row>
        <row r="89">
          <cell r="BX89" t="str">
            <v/>
          </cell>
          <cell r="BZ89">
            <v>6</v>
          </cell>
          <cell r="CA89" t="str">
            <v>Climb¹, Hide¹, Jump¹, Move Silently¹</v>
          </cell>
        </row>
        <row r="90">
          <cell r="BX90" t="str">
            <v/>
          </cell>
          <cell r="BY90">
            <v>6</v>
          </cell>
          <cell r="BZ90">
            <v>6</v>
          </cell>
        </row>
        <row r="91">
          <cell r="BX91" t="str">
            <v/>
          </cell>
          <cell r="BY91">
            <v>6</v>
          </cell>
          <cell r="BZ91">
            <v>6</v>
          </cell>
        </row>
        <row r="92">
          <cell r="BX92" t="str">
            <v/>
          </cell>
          <cell r="BY92">
            <v>6</v>
          </cell>
          <cell r="BZ92">
            <v>6</v>
          </cell>
        </row>
        <row r="93">
          <cell r="BX93" t="str">
            <v/>
          </cell>
        </row>
        <row r="94">
          <cell r="BX94" t="str">
            <v/>
          </cell>
        </row>
        <row r="95">
          <cell r="BX95" t="str">
            <v/>
          </cell>
        </row>
        <row r="96">
          <cell r="BZ96">
            <v>6</v>
          </cell>
          <cell r="CA96" t="str">
            <v>Climb¹, Hide¹, Jump¹, Move Silently¹</v>
          </cell>
        </row>
        <row r="97">
          <cell r="BZ97">
            <v>6</v>
          </cell>
          <cell r="CA97" t="str">
            <v>Climb¹, Hide¹, Jump¹, Move Silently¹</v>
          </cell>
        </row>
        <row r="98">
          <cell r="BZ98">
            <v>6</v>
          </cell>
          <cell r="CA98" t="str">
            <v>Climb¹, Hide¹, Jump¹, Move Silently¹</v>
          </cell>
        </row>
        <row r="99">
          <cell r="BX99" t="str">
            <v/>
          </cell>
          <cell r="CA99" t="str">
            <v>Autohypnosis, Knowledge (psionics)</v>
          </cell>
        </row>
        <row r="100">
          <cell r="BX100" t="str">
            <v/>
          </cell>
          <cell r="CA100" t="str">
            <v>Autohypnosis, Knowledge (psionics)</v>
          </cell>
        </row>
        <row r="101">
          <cell r="BX101" t="str">
            <v/>
          </cell>
          <cell r="CA101" t="str">
            <v>Autohypnosis, Knowledge (psionics)</v>
          </cell>
        </row>
        <row r="102">
          <cell r="BX102" t="str">
            <v/>
          </cell>
          <cell r="BY102">
            <v>8</v>
          </cell>
          <cell r="CA102" t="str">
            <v>Disguise¹, Knowledge (the planes), Perform skills ...¹</v>
          </cell>
        </row>
        <row r="103">
          <cell r="BX103" t="str">
            <v/>
          </cell>
          <cell r="BY103">
            <v>8</v>
          </cell>
          <cell r="CA103" t="str">
            <v>Disguise¹, Knowledge (the planes), Perform skills ...¹</v>
          </cell>
        </row>
        <row r="104">
          <cell r="BX104" t="str">
            <v/>
          </cell>
          <cell r="BY104">
            <v>8</v>
          </cell>
          <cell r="CA104" t="str">
            <v>Disguise¹, Knowledge (the planes), Perform skills ...¹</v>
          </cell>
        </row>
        <row r="105">
          <cell r="BX105" t="str">
            <v/>
          </cell>
          <cell r="CA105" t="str">
            <v>Intimidate¹</v>
          </cell>
        </row>
        <row r="106">
          <cell r="BX106" t="str">
            <v/>
          </cell>
          <cell r="CA106" t="str">
            <v>Intimidate¹</v>
          </cell>
        </row>
        <row r="107">
          <cell r="BX107" t="str">
            <v/>
          </cell>
          <cell r="CA107" t="str">
            <v>Intimidate¹</v>
          </cell>
        </row>
        <row r="108">
          <cell r="BX108" t="str">
            <v/>
          </cell>
          <cell r="CA108" t="str">
            <v>Search¹, Profession (miner)</v>
          </cell>
        </row>
        <row r="109">
          <cell r="BX109" t="str">
            <v/>
          </cell>
          <cell r="CA109" t="str">
            <v>Search¹, Profession (miner)</v>
          </cell>
        </row>
        <row r="110">
          <cell r="BX110" t="str">
            <v/>
          </cell>
          <cell r="CA110" t="str">
            <v>Search¹, Profession (miner)</v>
          </cell>
        </row>
        <row r="111">
          <cell r="BX111" t="str">
            <v/>
          </cell>
        </row>
        <row r="112">
          <cell r="BX112" t="str">
            <v/>
          </cell>
        </row>
        <row r="113">
          <cell r="BX113" t="str">
            <v/>
          </cell>
        </row>
        <row r="114">
          <cell r="BX114" t="str">
            <v/>
          </cell>
          <cell r="BY114">
            <v>4</v>
          </cell>
          <cell r="CA114" t="str">
            <v>Knowledge (dungeoneering)</v>
          </cell>
        </row>
        <row r="115">
          <cell r="BX115" t="str">
            <v/>
          </cell>
          <cell r="BY115">
            <v>4</v>
          </cell>
          <cell r="CA115" t="str">
            <v>Knowledge (dungeoneering)</v>
          </cell>
        </row>
        <row r="116">
          <cell r="BX116" t="str">
            <v/>
          </cell>
          <cell r="BY116">
            <v>4</v>
          </cell>
          <cell r="CA116" t="str">
            <v>Knowledge (dungeoneering)</v>
          </cell>
        </row>
        <row r="117">
          <cell r="BX117" t="str">
            <v/>
          </cell>
          <cell r="BY117">
            <v>6</v>
          </cell>
        </row>
        <row r="118">
          <cell r="BX118" t="str">
            <v/>
          </cell>
          <cell r="BY118">
            <v>6</v>
          </cell>
        </row>
        <row r="119">
          <cell r="BX119" t="str">
            <v/>
          </cell>
          <cell r="BY119">
            <v>6</v>
          </cell>
        </row>
        <row r="120">
          <cell r="BX120" t="str">
            <v/>
          </cell>
        </row>
        <row r="121">
          <cell r="BX121" t="str">
            <v/>
          </cell>
        </row>
        <row r="122">
          <cell r="BX122" t="str">
            <v/>
          </cell>
        </row>
        <row r="123">
          <cell r="BX123" t="str">
            <v/>
          </cell>
        </row>
        <row r="124">
          <cell r="BX124" t="str">
            <v/>
          </cell>
        </row>
        <row r="125">
          <cell r="BX125" t="str">
            <v/>
          </cell>
        </row>
        <row r="126">
          <cell r="BX126" t="str">
            <v/>
          </cell>
          <cell r="CA126" t="str">
            <v>Balance¹, Climb¹, Jump¹</v>
          </cell>
        </row>
        <row r="127">
          <cell r="BX127" t="str">
            <v/>
          </cell>
          <cell r="CA127" t="str">
            <v>Balance¹, Climb¹, Jump¹</v>
          </cell>
        </row>
        <row r="128">
          <cell r="BX128" t="str">
            <v/>
          </cell>
          <cell r="CA128" t="str">
            <v>Balance¹, Climb¹, Jump¹</v>
          </cell>
        </row>
        <row r="129">
          <cell r="BX129" t="str">
            <v/>
          </cell>
          <cell r="CA129" t="str">
            <v>Balance¹</v>
          </cell>
        </row>
        <row r="130">
          <cell r="BX130" t="str">
            <v/>
          </cell>
          <cell r="CA130" t="str">
            <v>Balance¹</v>
          </cell>
        </row>
        <row r="131">
          <cell r="BX131" t="str">
            <v/>
          </cell>
          <cell r="CA131" t="str">
            <v>Balance¹</v>
          </cell>
        </row>
        <row r="132">
          <cell r="BX132" t="str">
            <v/>
          </cell>
          <cell r="CA132" t="str">
            <v>Survival¹</v>
          </cell>
        </row>
        <row r="133">
          <cell r="BX133" t="str">
            <v/>
          </cell>
          <cell r="CA133" t="str">
            <v>Survival¹</v>
          </cell>
        </row>
        <row r="134">
          <cell r="BX134" t="str">
            <v/>
          </cell>
          <cell r="CA134" t="str">
            <v>Survival¹</v>
          </cell>
        </row>
        <row r="135">
          <cell r="BX135" t="str">
            <v/>
          </cell>
          <cell r="CA135" t="str">
            <v>Intimidate¹</v>
          </cell>
        </row>
        <row r="136">
          <cell r="BX136" t="str">
            <v/>
          </cell>
          <cell r="CA136" t="str">
            <v>Intimidate¹</v>
          </cell>
        </row>
        <row r="137">
          <cell r="BX137" t="str">
            <v/>
          </cell>
          <cell r="CA137" t="str">
            <v>Intimidate¹</v>
          </cell>
        </row>
        <row r="138">
          <cell r="BX138" t="str">
            <v/>
          </cell>
          <cell r="CA138" t="str">
            <v>Bluff¹, Hide¹</v>
          </cell>
        </row>
        <row r="139">
          <cell r="BX139" t="str">
            <v/>
          </cell>
          <cell r="CA139" t="str">
            <v>Bluff¹, Hide¹</v>
          </cell>
        </row>
        <row r="140">
          <cell r="BX140" t="str">
            <v/>
          </cell>
          <cell r="CA140" t="str">
            <v>Bluff¹, Hide¹</v>
          </cell>
        </row>
        <row r="141">
          <cell r="BX141" t="str">
            <v/>
          </cell>
          <cell r="BZ141">
            <v>4</v>
          </cell>
        </row>
        <row r="142">
          <cell r="BX142" t="str">
            <v/>
          </cell>
          <cell r="BZ142">
            <v>4</v>
          </cell>
        </row>
        <row r="143">
          <cell r="BX143" t="str">
            <v/>
          </cell>
          <cell r="BZ143">
            <v>4</v>
          </cell>
        </row>
        <row r="144">
          <cell r="BX144" t="str">
            <v/>
          </cell>
        </row>
        <row r="145">
          <cell r="BX145" t="str">
            <v/>
          </cell>
        </row>
        <row r="146">
          <cell r="BX146" t="str">
            <v/>
          </cell>
        </row>
        <row r="147">
          <cell r="BX147" t="str">
            <v/>
          </cell>
          <cell r="BY147">
            <v>12</v>
          </cell>
          <cell r="CB147" t="str">
            <v>Climb¹, Handle Animal, Jump¹, Ride¹, Swim¹</v>
          </cell>
        </row>
        <row r="148">
          <cell r="BX148" t="str">
            <v/>
          </cell>
          <cell r="BY148">
            <v>12</v>
          </cell>
          <cell r="CB148" t="str">
            <v>Climb¹, Handle Animal, Jump¹, Ride¹, Swim¹</v>
          </cell>
        </row>
        <row r="149">
          <cell r="BX149" t="str">
            <v/>
          </cell>
          <cell r="BY149">
            <v>12</v>
          </cell>
          <cell r="CB149" t="str">
            <v>Climb¹, Handle Animal, Jump¹, Ride¹, Swim¹</v>
          </cell>
        </row>
        <row r="150">
          <cell r="BX150" t="str">
            <v/>
          </cell>
          <cell r="CB150" t="str">
            <v>Diplomacy¹, Handle Animal, Heal¹,Sense Motive¹</v>
          </cell>
        </row>
        <row r="151">
          <cell r="BX151" t="str">
            <v/>
          </cell>
          <cell r="CB151" t="str">
            <v>Diplomacy¹, Handle Animal, Heal¹,Sense Motive¹</v>
          </cell>
        </row>
        <row r="152">
          <cell r="BX152" t="str">
            <v/>
          </cell>
          <cell r="CB152" t="str">
            <v>Diplomacy¹, Handle Animal, Heal¹,Sense Motive¹</v>
          </cell>
        </row>
        <row r="153">
          <cell r="BX153" t="str">
            <v/>
          </cell>
        </row>
        <row r="154">
          <cell r="BX154" t="str">
            <v/>
          </cell>
        </row>
        <row r="155">
          <cell r="BX155" t="str">
            <v/>
          </cell>
        </row>
        <row r="156">
          <cell r="BX156" t="str">
            <v/>
          </cell>
          <cell r="CA156" t="str">
            <v>Use Magic Device</v>
          </cell>
          <cell r="CB156" t="str">
            <v>Craft skills…¹, Profession skills …</v>
          </cell>
        </row>
        <row r="157">
          <cell r="BX157" t="str">
            <v/>
          </cell>
          <cell r="CA157" t="str">
            <v>Use Magic Device</v>
          </cell>
          <cell r="CB157" t="str">
            <v>Craft skills…¹, Profession skills …</v>
          </cell>
        </row>
        <row r="158">
          <cell r="BX158" t="str">
            <v/>
          </cell>
          <cell r="CA158" t="str">
            <v>Use Magic Device</v>
          </cell>
          <cell r="CB158" t="str">
            <v>Craft skills…¹, Profession skills …</v>
          </cell>
        </row>
        <row r="159">
          <cell r="BX159" t="str">
            <v/>
          </cell>
          <cell r="CA159" t="str">
            <v>Knowledge (arcana)</v>
          </cell>
        </row>
        <row r="160">
          <cell r="BX160" t="str">
            <v/>
          </cell>
          <cell r="CA160" t="str">
            <v>Knowledge (arcana)</v>
          </cell>
        </row>
        <row r="161">
          <cell r="BX161" t="str">
            <v/>
          </cell>
          <cell r="CA161" t="str">
            <v>Knowledge (arcana)</v>
          </cell>
        </row>
      </sheetData>
      <sheetData sheetId="16">
        <row r="6">
          <cell r="E6">
            <v>0</v>
          </cell>
        </row>
      </sheetData>
      <sheetData sheetId="17">
        <row r="33">
          <cell r="H33">
            <v>1</v>
          </cell>
        </row>
        <row r="185">
          <cell r="P185" t="str">
            <v>Knowledge (arcana)</v>
          </cell>
        </row>
        <row r="442">
          <cell r="P442" t="str">
            <v>Select Energy Type</v>
          </cell>
        </row>
      </sheetData>
      <sheetData sheetId="18" refreshError="1"/>
      <sheetData sheetId="19" refreshError="1"/>
      <sheetData sheetId="20">
        <row r="2">
          <cell r="M2" t="str">
            <v/>
          </cell>
        </row>
        <row r="3">
          <cell r="M3" t="str">
            <v>Constitution</v>
          </cell>
        </row>
        <row r="4">
          <cell r="M4" t="str">
            <v>Charisma</v>
          </cell>
        </row>
        <row r="6">
          <cell r="M6" t="str">
            <v>Select an Element</v>
          </cell>
        </row>
        <row r="7">
          <cell r="M7" t="str">
            <v>Select an Element</v>
          </cell>
        </row>
        <row r="16">
          <cell r="M16" t="str">
            <v/>
          </cell>
        </row>
        <row r="17">
          <cell r="M17" t="str">
            <v/>
          </cell>
        </row>
        <row r="18">
          <cell r="M18" t="str">
            <v/>
          </cell>
        </row>
        <row r="19">
          <cell r="M19" t="str">
            <v/>
          </cell>
        </row>
        <row r="43">
          <cell r="C43" t="str">
            <v>O</v>
          </cell>
        </row>
      </sheetData>
      <sheetData sheetId="21">
        <row r="5">
          <cell r="E5" t="str">
            <v>O</v>
          </cell>
        </row>
        <row r="12">
          <cell r="B12" t="str">
            <v>O</v>
          </cell>
        </row>
        <row r="13">
          <cell r="B13" t="str">
            <v>O</v>
          </cell>
        </row>
        <row r="16">
          <cell r="H16" t="str">
            <v>O</v>
          </cell>
        </row>
        <row r="23">
          <cell r="S23" t="str">
            <v/>
          </cell>
        </row>
        <row r="24">
          <cell r="S24" t="str">
            <v/>
          </cell>
        </row>
        <row r="25">
          <cell r="S25" t="str">
            <v/>
          </cell>
        </row>
        <row r="26">
          <cell r="S26" t="str">
            <v/>
          </cell>
        </row>
        <row r="27">
          <cell r="S27" t="str">
            <v/>
          </cell>
        </row>
        <row r="28">
          <cell r="R28" t="str">
            <v/>
          </cell>
        </row>
        <row r="30">
          <cell r="R30" t="str">
            <v/>
          </cell>
        </row>
        <row r="31">
          <cell r="R31" t="str">
            <v/>
          </cell>
        </row>
        <row r="40">
          <cell r="I40">
            <v>0</v>
          </cell>
        </row>
      </sheetData>
      <sheetData sheetId="22">
        <row r="1">
          <cell r="AB1">
            <v>0</v>
          </cell>
          <cell r="AE1">
            <v>0</v>
          </cell>
          <cell r="AH1">
            <v>0</v>
          </cell>
          <cell r="AK1">
            <v>0</v>
          </cell>
          <cell r="AN1">
            <v>0</v>
          </cell>
        </row>
        <row r="7">
          <cell r="AB7" t="str">
            <v>Select Vestige</v>
          </cell>
          <cell r="AE7" t="str">
            <v>Select Vestige</v>
          </cell>
          <cell r="AH7" t="str">
            <v>Select Vestige</v>
          </cell>
          <cell r="AK7" t="str">
            <v>Select Vestige</v>
          </cell>
          <cell r="AN7" t="str">
            <v>Select Vestige</v>
          </cell>
        </row>
        <row r="8">
          <cell r="AB8" t="str">
            <v/>
          </cell>
          <cell r="AE8" t="str">
            <v/>
          </cell>
          <cell r="AH8" t="str">
            <v/>
          </cell>
          <cell r="AK8" t="str">
            <v/>
          </cell>
          <cell r="AN8" t="str">
            <v/>
          </cell>
        </row>
        <row r="9">
          <cell r="AB9" t="str">
            <v/>
          </cell>
          <cell r="AE9" t="str">
            <v/>
          </cell>
          <cell r="AH9" t="str">
            <v/>
          </cell>
          <cell r="AK9" t="str">
            <v/>
          </cell>
          <cell r="AN9" t="str">
            <v/>
          </cell>
        </row>
        <row r="10">
          <cell r="AB10" t="str">
            <v/>
          </cell>
          <cell r="AE10" t="str">
            <v/>
          </cell>
          <cell r="AH10" t="str">
            <v/>
          </cell>
          <cell r="AK10" t="str">
            <v/>
          </cell>
          <cell r="AN10" t="str">
            <v/>
          </cell>
        </row>
        <row r="11">
          <cell r="AB11" t="str">
            <v/>
          </cell>
          <cell r="AE11" t="str">
            <v/>
          </cell>
          <cell r="AH11" t="str">
            <v/>
          </cell>
          <cell r="AK11" t="str">
            <v/>
          </cell>
          <cell r="AN11" t="str">
            <v/>
          </cell>
        </row>
        <row r="12">
          <cell r="AB12" t="str">
            <v/>
          </cell>
          <cell r="AE12" t="str">
            <v/>
          </cell>
          <cell r="AH12" t="str">
            <v/>
          </cell>
          <cell r="AK12" t="str">
            <v/>
          </cell>
          <cell r="AN12" t="str">
            <v/>
          </cell>
        </row>
        <row r="13">
          <cell r="AB13" t="str">
            <v/>
          </cell>
          <cell r="AE13" t="str">
            <v/>
          </cell>
          <cell r="AH13" t="str">
            <v/>
          </cell>
          <cell r="AK13" t="str">
            <v/>
          </cell>
          <cell r="AN13" t="str">
            <v/>
          </cell>
        </row>
        <row r="14">
          <cell r="AB14" t="str">
            <v/>
          </cell>
          <cell r="AE14" t="str">
            <v/>
          </cell>
          <cell r="AH14" t="str">
            <v/>
          </cell>
          <cell r="AK14" t="str">
            <v/>
          </cell>
          <cell r="AN14" t="str">
            <v/>
          </cell>
        </row>
        <row r="15">
          <cell r="AB15" t="str">
            <v/>
          </cell>
          <cell r="AE15" t="str">
            <v/>
          </cell>
          <cell r="AH15" t="str">
            <v/>
          </cell>
          <cell r="AK15" t="str">
            <v/>
          </cell>
          <cell r="AN15" t="str">
            <v/>
          </cell>
        </row>
        <row r="16">
          <cell r="AB16" t="str">
            <v/>
          </cell>
          <cell r="AE16" t="str">
            <v/>
          </cell>
          <cell r="AH16" t="str">
            <v/>
          </cell>
          <cell r="AK16" t="str">
            <v/>
          </cell>
          <cell r="AN16" t="str">
            <v/>
          </cell>
        </row>
        <row r="17">
          <cell r="AB17" t="str">
            <v/>
          </cell>
          <cell r="AE17" t="str">
            <v/>
          </cell>
          <cell r="AH17" t="str">
            <v/>
          </cell>
          <cell r="AK17" t="str">
            <v/>
          </cell>
          <cell r="AN17" t="str">
            <v/>
          </cell>
        </row>
        <row r="18">
          <cell r="AB18" t="str">
            <v/>
          </cell>
          <cell r="AE18" t="str">
            <v/>
          </cell>
          <cell r="AH18" t="str">
            <v/>
          </cell>
          <cell r="AK18" t="str">
            <v/>
          </cell>
          <cell r="AN18" t="str">
            <v/>
          </cell>
        </row>
        <row r="19">
          <cell r="AB19" t="str">
            <v/>
          </cell>
          <cell r="AE19" t="str">
            <v/>
          </cell>
          <cell r="AH19" t="str">
            <v/>
          </cell>
          <cell r="AK19" t="str">
            <v/>
          </cell>
          <cell r="AN19" t="str">
            <v/>
          </cell>
        </row>
        <row r="20">
          <cell r="AB20" t="str">
            <v/>
          </cell>
          <cell r="AE20" t="str">
            <v/>
          </cell>
          <cell r="AH20" t="str">
            <v/>
          </cell>
          <cell r="AK20" t="str">
            <v/>
          </cell>
          <cell r="AN20" t="str">
            <v/>
          </cell>
        </row>
        <row r="21">
          <cell r="AB21" t="str">
            <v/>
          </cell>
          <cell r="AE21" t="str">
            <v/>
          </cell>
          <cell r="AH21" t="str">
            <v/>
          </cell>
          <cell r="AK21" t="str">
            <v/>
          </cell>
          <cell r="AN21" t="str">
            <v/>
          </cell>
        </row>
        <row r="22">
          <cell r="AB22" t="str">
            <v/>
          </cell>
          <cell r="AE22" t="str">
            <v/>
          </cell>
          <cell r="AH22" t="str">
            <v/>
          </cell>
          <cell r="AK22" t="str">
            <v/>
          </cell>
          <cell r="AN22" t="str">
            <v/>
          </cell>
        </row>
        <row r="23">
          <cell r="AB23" t="str">
            <v/>
          </cell>
          <cell r="AE23" t="str">
            <v/>
          </cell>
          <cell r="AH23" t="str">
            <v/>
          </cell>
          <cell r="AK23" t="str">
            <v/>
          </cell>
          <cell r="AN23" t="str">
            <v/>
          </cell>
        </row>
        <row r="24">
          <cell r="AB24" t="str">
            <v/>
          </cell>
          <cell r="AE24" t="str">
            <v/>
          </cell>
          <cell r="AH24" t="str">
            <v/>
          </cell>
          <cell r="AK24" t="str">
            <v/>
          </cell>
          <cell r="AN24" t="str">
            <v/>
          </cell>
        </row>
        <row r="25">
          <cell r="AB25" t="str">
            <v/>
          </cell>
          <cell r="AE25" t="str">
            <v/>
          </cell>
          <cell r="AH25" t="str">
            <v/>
          </cell>
          <cell r="AK25" t="str">
            <v/>
          </cell>
          <cell r="AN25" t="str">
            <v/>
          </cell>
        </row>
        <row r="26">
          <cell r="AB26" t="str">
            <v/>
          </cell>
          <cell r="AE26" t="str">
            <v/>
          </cell>
          <cell r="AH26" t="str">
            <v/>
          </cell>
          <cell r="AK26" t="str">
            <v/>
          </cell>
          <cell r="AN26" t="str">
            <v/>
          </cell>
        </row>
        <row r="27">
          <cell r="AB27" t="str">
            <v/>
          </cell>
          <cell r="AE27" t="str">
            <v/>
          </cell>
          <cell r="AH27" t="str">
            <v/>
          </cell>
          <cell r="AK27" t="str">
            <v/>
          </cell>
          <cell r="AN27" t="str">
            <v/>
          </cell>
        </row>
        <row r="28">
          <cell r="AB28" t="str">
            <v/>
          </cell>
          <cell r="AE28" t="str">
            <v/>
          </cell>
          <cell r="AH28" t="str">
            <v/>
          </cell>
          <cell r="AK28" t="str">
            <v/>
          </cell>
          <cell r="AN28" t="str">
            <v/>
          </cell>
        </row>
        <row r="29">
          <cell r="AB29" t="str">
            <v/>
          </cell>
          <cell r="AE29" t="str">
            <v/>
          </cell>
          <cell r="AH29" t="str">
            <v/>
          </cell>
          <cell r="AK29" t="str">
            <v/>
          </cell>
          <cell r="AN29" t="str">
            <v/>
          </cell>
        </row>
        <row r="30">
          <cell r="AB30" t="str">
            <v/>
          </cell>
          <cell r="AE30" t="str">
            <v/>
          </cell>
          <cell r="AH30" t="str">
            <v/>
          </cell>
          <cell r="AK30" t="str">
            <v/>
          </cell>
          <cell r="AN30" t="str">
            <v/>
          </cell>
        </row>
        <row r="31">
          <cell r="AB31" t="str">
            <v/>
          </cell>
          <cell r="AE31" t="str">
            <v/>
          </cell>
          <cell r="AH31" t="str">
            <v/>
          </cell>
          <cell r="AK31" t="str">
            <v/>
          </cell>
          <cell r="AN31" t="str">
            <v/>
          </cell>
        </row>
        <row r="32">
          <cell r="AB32" t="str">
            <v/>
          </cell>
          <cell r="AE32" t="str">
            <v/>
          </cell>
          <cell r="AH32" t="str">
            <v/>
          </cell>
          <cell r="AK32" t="str">
            <v/>
          </cell>
          <cell r="AN32" t="str">
            <v/>
          </cell>
        </row>
        <row r="33">
          <cell r="AB33" t="str">
            <v/>
          </cell>
          <cell r="AE33" t="str">
            <v/>
          </cell>
          <cell r="AH33" t="str">
            <v/>
          </cell>
          <cell r="AK33" t="str">
            <v/>
          </cell>
          <cell r="AN33" t="str">
            <v/>
          </cell>
        </row>
        <row r="34">
          <cell r="AB34" t="str">
            <v/>
          </cell>
          <cell r="AE34" t="str">
            <v/>
          </cell>
          <cell r="AH34" t="str">
            <v/>
          </cell>
          <cell r="AK34" t="str">
            <v/>
          </cell>
          <cell r="AN34" t="str">
            <v/>
          </cell>
        </row>
        <row r="35">
          <cell r="AB35" t="str">
            <v/>
          </cell>
          <cell r="AE35" t="str">
            <v/>
          </cell>
          <cell r="AH35" t="str">
            <v/>
          </cell>
          <cell r="AK35" t="str">
            <v/>
          </cell>
          <cell r="AN35" t="str">
            <v/>
          </cell>
        </row>
        <row r="36">
          <cell r="AB36" t="str">
            <v/>
          </cell>
          <cell r="AE36" t="str">
            <v/>
          </cell>
          <cell r="AH36" t="str">
            <v/>
          </cell>
          <cell r="AK36" t="str">
            <v/>
          </cell>
          <cell r="AN36" t="str">
            <v/>
          </cell>
        </row>
        <row r="37">
          <cell r="AB37" t="str">
            <v/>
          </cell>
          <cell r="AE37" t="str">
            <v/>
          </cell>
          <cell r="AH37" t="str">
            <v/>
          </cell>
          <cell r="AK37" t="str">
            <v/>
          </cell>
          <cell r="AN37" t="str">
            <v/>
          </cell>
        </row>
        <row r="38">
          <cell r="AB38" t="str">
            <v/>
          </cell>
          <cell r="AE38" t="str">
            <v/>
          </cell>
          <cell r="AH38" t="str">
            <v/>
          </cell>
          <cell r="AK38" t="str">
            <v/>
          </cell>
          <cell r="AN38" t="str">
            <v/>
          </cell>
        </row>
        <row r="39">
          <cell r="AB39" t="str">
            <v/>
          </cell>
          <cell r="AE39" t="str">
            <v/>
          </cell>
          <cell r="AH39" t="str">
            <v/>
          </cell>
          <cell r="AK39" t="str">
            <v/>
          </cell>
          <cell r="AN39" t="str">
            <v/>
          </cell>
        </row>
        <row r="40">
          <cell r="AB40" t="str">
            <v/>
          </cell>
          <cell r="AE40" t="str">
            <v/>
          </cell>
          <cell r="AH40" t="str">
            <v/>
          </cell>
          <cell r="AK40" t="str">
            <v/>
          </cell>
          <cell r="AN40" t="str">
            <v/>
          </cell>
        </row>
        <row r="41">
          <cell r="AB41" t="str">
            <v/>
          </cell>
          <cell r="AE41" t="str">
            <v/>
          </cell>
          <cell r="AH41" t="str">
            <v/>
          </cell>
          <cell r="AK41" t="str">
            <v/>
          </cell>
          <cell r="AN41" t="str">
            <v/>
          </cell>
        </row>
        <row r="42">
          <cell r="AB42" t="str">
            <v/>
          </cell>
          <cell r="AE42" t="str">
            <v/>
          </cell>
          <cell r="AH42" t="str">
            <v/>
          </cell>
          <cell r="AK42" t="str">
            <v/>
          </cell>
          <cell r="AN42" t="str">
            <v/>
          </cell>
        </row>
        <row r="43">
          <cell r="AB43" t="str">
            <v/>
          </cell>
          <cell r="AE43" t="str">
            <v/>
          </cell>
          <cell r="AH43" t="str">
            <v/>
          </cell>
          <cell r="AK43" t="str">
            <v/>
          </cell>
          <cell r="AN43" t="str">
            <v/>
          </cell>
        </row>
        <row r="44">
          <cell r="AB44" t="str">
            <v/>
          </cell>
          <cell r="AE44" t="str">
            <v/>
          </cell>
          <cell r="AH44" t="str">
            <v/>
          </cell>
          <cell r="AK44" t="str">
            <v/>
          </cell>
          <cell r="AN44" t="str">
            <v/>
          </cell>
        </row>
        <row r="45">
          <cell r="AB45" t="str">
            <v/>
          </cell>
          <cell r="AE45" t="str">
            <v/>
          </cell>
          <cell r="AH45" t="str">
            <v/>
          </cell>
          <cell r="AK45" t="str">
            <v/>
          </cell>
          <cell r="AN45" t="str">
            <v/>
          </cell>
        </row>
        <row r="46">
          <cell r="AB46" t="str">
            <v/>
          </cell>
          <cell r="AE46" t="str">
            <v/>
          </cell>
          <cell r="AH46" t="str">
            <v/>
          </cell>
          <cell r="AK46" t="str">
            <v/>
          </cell>
          <cell r="AN46" t="str">
            <v/>
          </cell>
        </row>
        <row r="47">
          <cell r="AB47" t="str">
            <v/>
          </cell>
          <cell r="AE47" t="str">
            <v/>
          </cell>
          <cell r="AH47" t="str">
            <v/>
          </cell>
          <cell r="AK47" t="str">
            <v/>
          </cell>
          <cell r="AN47" t="str">
            <v/>
          </cell>
        </row>
        <row r="48">
          <cell r="AB48" t="str">
            <v/>
          </cell>
          <cell r="AE48" t="str">
            <v/>
          </cell>
          <cell r="AH48" t="str">
            <v/>
          </cell>
          <cell r="AK48" t="str">
            <v/>
          </cell>
          <cell r="AN48" t="str">
            <v/>
          </cell>
        </row>
        <row r="49">
          <cell r="AB49" t="str">
            <v/>
          </cell>
          <cell r="AE49" t="str">
            <v/>
          </cell>
          <cell r="AH49" t="str">
            <v/>
          </cell>
          <cell r="AK49" t="str">
            <v/>
          </cell>
          <cell r="AN49" t="str">
            <v/>
          </cell>
        </row>
        <row r="50">
          <cell r="AB50" t="str">
            <v/>
          </cell>
          <cell r="AE50" t="str">
            <v/>
          </cell>
          <cell r="AH50" t="str">
            <v/>
          </cell>
          <cell r="AK50" t="str">
            <v/>
          </cell>
          <cell r="AN50" t="str">
            <v/>
          </cell>
        </row>
        <row r="51">
          <cell r="AB51" t="str">
            <v/>
          </cell>
          <cell r="AE51" t="str">
            <v/>
          </cell>
          <cell r="AH51" t="str">
            <v/>
          </cell>
          <cell r="AK51" t="str">
            <v/>
          </cell>
        </row>
        <row r="61">
          <cell r="Q61" t="str">
            <v>+5 hit points</v>
          </cell>
          <cell r="S61">
            <v>0</v>
          </cell>
        </row>
        <row r="62">
          <cell r="Q62" t="str">
            <v>acid resistance 5</v>
          </cell>
          <cell r="S62">
            <v>0</v>
          </cell>
        </row>
        <row r="63">
          <cell r="Q63" t="str">
            <v>cold resistance 5</v>
          </cell>
          <cell r="S63">
            <v>0</v>
          </cell>
        </row>
        <row r="64">
          <cell r="Q64" t="str">
            <v>electricity resistance 5</v>
          </cell>
          <cell r="S64">
            <v>0</v>
          </cell>
        </row>
        <row r="65">
          <cell r="Q65" t="str">
            <v>fire resistance 5</v>
          </cell>
          <cell r="S65">
            <v>0</v>
          </cell>
        </row>
        <row r="66">
          <cell r="Q66" t="str">
            <v>sonic resistance 5</v>
          </cell>
          <cell r="S66">
            <v>0</v>
          </cell>
        </row>
        <row r="67">
          <cell r="Q67" t="str">
            <v>+1 insight bonus on saving throws</v>
          </cell>
          <cell r="S67">
            <v>0</v>
          </cell>
        </row>
        <row r="68">
          <cell r="Q68" t="str">
            <v>damage reduction 1/-</v>
          </cell>
          <cell r="S68">
            <v>0</v>
          </cell>
          <cell r="T68">
            <v>0</v>
          </cell>
        </row>
        <row r="69">
          <cell r="Q69" t="str">
            <v>+1 insight bonus to AC</v>
          </cell>
          <cell r="S69">
            <v>0</v>
          </cell>
        </row>
        <row r="70">
          <cell r="Q70" t="str">
            <v>+1 insight bonus on attack rolls</v>
          </cell>
          <cell r="S70">
            <v>0</v>
          </cell>
        </row>
        <row r="71">
          <cell r="Q71" t="str">
            <v>+1 insight bonus on damage rolls</v>
          </cell>
          <cell r="S71">
            <v>0</v>
          </cell>
        </row>
        <row r="72">
          <cell r="Q72" t="str">
            <v>+2 insight bonus on initiative checks</v>
          </cell>
          <cell r="S72">
            <v>0</v>
          </cell>
        </row>
      </sheetData>
      <sheetData sheetId="23">
        <row r="1">
          <cell r="H1">
            <v>0</v>
          </cell>
          <cell r="I1">
            <v>0</v>
          </cell>
          <cell r="J1">
            <v>0</v>
          </cell>
        </row>
        <row r="2">
          <cell r="H2">
            <v>1</v>
          </cell>
          <cell r="I2">
            <v>1</v>
          </cell>
          <cell r="J2">
            <v>0</v>
          </cell>
        </row>
        <row r="3">
          <cell r="H3">
            <v>2</v>
          </cell>
          <cell r="I3">
            <v>1</v>
          </cell>
          <cell r="J3">
            <v>1</v>
          </cell>
        </row>
        <row r="4">
          <cell r="H4">
            <v>3</v>
          </cell>
          <cell r="I4">
            <v>2</v>
          </cell>
          <cell r="J4">
            <v>1</v>
          </cell>
        </row>
        <row r="5">
          <cell r="H5">
            <v>4</v>
          </cell>
          <cell r="I5">
            <v>2</v>
          </cell>
          <cell r="J5">
            <v>1</v>
          </cell>
        </row>
        <row r="6">
          <cell r="H6">
            <v>5</v>
          </cell>
          <cell r="I6">
            <v>3</v>
          </cell>
          <cell r="J6">
            <v>2</v>
          </cell>
        </row>
        <row r="7">
          <cell r="H7">
            <v>6</v>
          </cell>
          <cell r="I7">
            <v>3</v>
          </cell>
          <cell r="J7">
            <v>2</v>
          </cell>
        </row>
        <row r="8">
          <cell r="H8">
            <v>7</v>
          </cell>
          <cell r="I8">
            <v>4</v>
          </cell>
          <cell r="J8">
            <v>2</v>
          </cell>
        </row>
        <row r="9">
          <cell r="H9">
            <v>8</v>
          </cell>
          <cell r="I9">
            <v>4</v>
          </cell>
          <cell r="J9">
            <v>2</v>
          </cell>
        </row>
        <row r="10">
          <cell r="H10">
            <v>9</v>
          </cell>
          <cell r="I10">
            <v>5</v>
          </cell>
          <cell r="J10">
            <v>3</v>
          </cell>
        </row>
        <row r="11">
          <cell r="H11">
            <v>10</v>
          </cell>
          <cell r="I11">
            <v>5</v>
          </cell>
          <cell r="J11">
            <v>3</v>
          </cell>
        </row>
        <row r="12">
          <cell r="H12">
            <v>11</v>
          </cell>
          <cell r="I12">
            <v>5</v>
          </cell>
          <cell r="J12">
            <v>3</v>
          </cell>
        </row>
        <row r="13">
          <cell r="H13">
            <v>12</v>
          </cell>
          <cell r="I13">
            <v>6</v>
          </cell>
          <cell r="J13">
            <v>3</v>
          </cell>
        </row>
        <row r="14">
          <cell r="H14">
            <v>13</v>
          </cell>
          <cell r="I14">
            <v>6</v>
          </cell>
          <cell r="J14">
            <v>3</v>
          </cell>
        </row>
        <row r="15">
          <cell r="H15">
            <v>14</v>
          </cell>
          <cell r="I15">
            <v>6</v>
          </cell>
          <cell r="J15">
            <v>4</v>
          </cell>
        </row>
        <row r="16">
          <cell r="H16">
            <v>15</v>
          </cell>
          <cell r="I16">
            <v>7</v>
          </cell>
          <cell r="J16">
            <v>4</v>
          </cell>
        </row>
        <row r="17">
          <cell r="H17">
            <v>16</v>
          </cell>
          <cell r="I17">
            <v>7</v>
          </cell>
          <cell r="J17">
            <v>4</v>
          </cell>
        </row>
        <row r="18">
          <cell r="H18">
            <v>17</v>
          </cell>
          <cell r="I18">
            <v>7</v>
          </cell>
          <cell r="J18">
            <v>4</v>
          </cell>
        </row>
        <row r="19">
          <cell r="H19">
            <v>18</v>
          </cell>
          <cell r="I19">
            <v>7</v>
          </cell>
          <cell r="J19">
            <v>4</v>
          </cell>
        </row>
        <row r="20">
          <cell r="H20">
            <v>19</v>
          </cell>
          <cell r="I20">
            <v>8</v>
          </cell>
          <cell r="J20">
            <v>4</v>
          </cell>
        </row>
        <row r="21">
          <cell r="H21">
            <v>20</v>
          </cell>
          <cell r="I21">
            <v>8</v>
          </cell>
          <cell r="J21">
            <v>5</v>
          </cell>
        </row>
      </sheetData>
      <sheetData sheetId="24">
        <row r="1">
          <cell r="AK1" t="str">
            <v>not valid</v>
          </cell>
          <cell r="AN1" t="str">
            <v>Incarnate</v>
          </cell>
          <cell r="AO1" t="str">
            <v>Soulborn</v>
          </cell>
          <cell r="AP1" t="str">
            <v>Totemist</v>
          </cell>
          <cell r="AQ1" t="str">
            <v>Incandescent Champion</v>
          </cell>
          <cell r="AR1" t="str">
            <v>Spinemeld Warrior</v>
          </cell>
          <cell r="AS1" t="str">
            <v>Umbral Disciple</v>
          </cell>
          <cell r="AT1" t="str">
            <v>Incarnate</v>
          </cell>
          <cell r="AU1" t="str">
            <v>Soulborn</v>
          </cell>
          <cell r="AV1" t="str">
            <v>Totemist</v>
          </cell>
          <cell r="AW1" t="str">
            <v>Spinemeld Warrior</v>
          </cell>
          <cell r="AX1" t="str">
            <v>Incarnate</v>
          </cell>
          <cell r="AY1" t="str">
            <v>Soulborn</v>
          </cell>
          <cell r="AZ1" t="str">
            <v>Totemist</v>
          </cell>
          <cell r="BA1" t="str">
            <v>Spinemeld Warrior</v>
          </cell>
        </row>
        <row r="2">
          <cell r="AK2" t="str">
            <v>not valid</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J2" t="str">
            <v>None</v>
          </cell>
          <cell r="BK2" t="str">
            <v>None</v>
          </cell>
          <cell r="BL2" t="str">
            <v>None</v>
          </cell>
        </row>
        <row r="3">
          <cell r="AE3" t="str">
            <v>Select Meldshaping Class</v>
          </cell>
          <cell r="AK3" t="str">
            <v>not valid</v>
          </cell>
          <cell r="AN3">
            <v>1</v>
          </cell>
          <cell r="AO3">
            <v>0</v>
          </cell>
          <cell r="AP3">
            <v>1</v>
          </cell>
          <cell r="AQ3">
            <v>1</v>
          </cell>
          <cell r="AR3">
            <v>0</v>
          </cell>
          <cell r="AS3">
            <v>1</v>
          </cell>
          <cell r="AT3">
            <v>2</v>
          </cell>
          <cell r="AU3">
            <v>0</v>
          </cell>
          <cell r="AV3">
            <v>2</v>
          </cell>
          <cell r="AW3">
            <v>0</v>
          </cell>
          <cell r="AX3">
            <v>0</v>
          </cell>
          <cell r="AY3">
            <v>0</v>
          </cell>
          <cell r="AZ3">
            <v>0</v>
          </cell>
          <cell r="BA3">
            <v>0</v>
          </cell>
          <cell r="BJ3" t="str">
            <v/>
          </cell>
          <cell r="BK3" t="str">
            <v/>
          </cell>
          <cell r="BL3" t="str">
            <v/>
          </cell>
          <cell r="BS3">
            <v>0</v>
          </cell>
        </row>
        <row r="4">
          <cell r="AA4">
            <v>0</v>
          </cell>
          <cell r="AE4" t="str">
            <v/>
          </cell>
          <cell r="AK4" t="str">
            <v>not valid</v>
          </cell>
          <cell r="AN4">
            <v>2</v>
          </cell>
          <cell r="AO4">
            <v>0</v>
          </cell>
          <cell r="AP4">
            <v>2</v>
          </cell>
          <cell r="AQ4">
            <v>2</v>
          </cell>
          <cell r="AR4">
            <v>1</v>
          </cell>
          <cell r="AS4">
            <v>1</v>
          </cell>
          <cell r="AT4">
            <v>3</v>
          </cell>
          <cell r="AU4">
            <v>0</v>
          </cell>
          <cell r="AV4">
            <v>3</v>
          </cell>
          <cell r="AW4">
            <v>0</v>
          </cell>
          <cell r="AX4">
            <v>1</v>
          </cell>
          <cell r="AY4">
            <v>0</v>
          </cell>
          <cell r="AZ4">
            <v>1</v>
          </cell>
          <cell r="BA4">
            <v>0</v>
          </cell>
          <cell r="BJ4" t="str">
            <v/>
          </cell>
          <cell r="BK4" t="str">
            <v/>
          </cell>
          <cell r="BL4" t="str">
            <v/>
          </cell>
          <cell r="BS4">
            <v>0</v>
          </cell>
        </row>
        <row r="5">
          <cell r="AA5">
            <v>0</v>
          </cell>
          <cell r="AE5" t="str">
            <v/>
          </cell>
          <cell r="AK5" t="str">
            <v>not valid</v>
          </cell>
          <cell r="AN5">
            <v>3</v>
          </cell>
          <cell r="AO5">
            <v>0</v>
          </cell>
          <cell r="AP5">
            <v>2</v>
          </cell>
          <cell r="AQ5">
            <v>3</v>
          </cell>
          <cell r="AR5">
            <v>2</v>
          </cell>
          <cell r="AS5">
            <v>2</v>
          </cell>
          <cell r="AT5">
            <v>3</v>
          </cell>
          <cell r="AU5">
            <v>0</v>
          </cell>
          <cell r="AV5">
            <v>3</v>
          </cell>
          <cell r="AW5">
            <v>1</v>
          </cell>
          <cell r="AX5">
            <v>1</v>
          </cell>
          <cell r="AY5">
            <v>0</v>
          </cell>
          <cell r="AZ5">
            <v>1</v>
          </cell>
          <cell r="BA5">
            <v>0</v>
          </cell>
          <cell r="BJ5" t="str">
            <v/>
          </cell>
          <cell r="BK5" t="str">
            <v/>
          </cell>
          <cell r="BL5" t="str">
            <v/>
          </cell>
          <cell r="BS5">
            <v>0</v>
          </cell>
        </row>
        <row r="6">
          <cell r="AA6">
            <v>0</v>
          </cell>
          <cell r="AE6" t="str">
            <v/>
          </cell>
          <cell r="AK6" t="str">
            <v>not valid</v>
          </cell>
          <cell r="AN6">
            <v>4</v>
          </cell>
          <cell r="AO6">
            <v>0</v>
          </cell>
          <cell r="AP6">
            <v>3</v>
          </cell>
          <cell r="AQ6">
            <v>3</v>
          </cell>
          <cell r="AR6">
            <v>3</v>
          </cell>
          <cell r="AS6">
            <v>2</v>
          </cell>
          <cell r="AT6">
            <v>4</v>
          </cell>
          <cell r="AU6">
            <v>1</v>
          </cell>
          <cell r="AV6">
            <v>4</v>
          </cell>
          <cell r="AW6">
            <v>1</v>
          </cell>
          <cell r="AX6">
            <v>1</v>
          </cell>
          <cell r="AY6">
            <v>0</v>
          </cell>
          <cell r="AZ6">
            <v>1</v>
          </cell>
          <cell r="BA6">
            <v>0</v>
          </cell>
          <cell r="BJ6" t="str">
            <v/>
          </cell>
          <cell r="BK6" t="str">
            <v/>
          </cell>
          <cell r="BL6" t="str">
            <v/>
          </cell>
          <cell r="BS6">
            <v>0</v>
          </cell>
        </row>
        <row r="7">
          <cell r="AA7">
            <v>0</v>
          </cell>
          <cell r="AE7" t="str">
            <v/>
          </cell>
          <cell r="AK7" t="str">
            <v>not valid</v>
          </cell>
          <cell r="AN7">
            <v>5</v>
          </cell>
          <cell r="AO7">
            <v>0</v>
          </cell>
          <cell r="AP7">
            <v>3</v>
          </cell>
          <cell r="AQ7">
            <v>4</v>
          </cell>
          <cell r="AR7">
            <v>3</v>
          </cell>
          <cell r="AS7">
            <v>3</v>
          </cell>
          <cell r="AT7">
            <v>4</v>
          </cell>
          <cell r="AU7">
            <v>1</v>
          </cell>
          <cell r="AV7">
            <v>4</v>
          </cell>
          <cell r="AW7">
            <v>1</v>
          </cell>
          <cell r="AX7">
            <v>1</v>
          </cell>
          <cell r="AY7">
            <v>0</v>
          </cell>
          <cell r="AZ7">
            <v>1</v>
          </cell>
          <cell r="BA7">
            <v>0</v>
          </cell>
          <cell r="BJ7" t="str">
            <v/>
          </cell>
          <cell r="BK7" t="str">
            <v/>
          </cell>
          <cell r="BL7" t="str">
            <v/>
          </cell>
          <cell r="BS7">
            <v>0</v>
          </cell>
        </row>
        <row r="8">
          <cell r="AA8">
            <v>0</v>
          </cell>
          <cell r="AK8" t="str">
            <v>not valid</v>
          </cell>
          <cell r="AN8">
            <v>6</v>
          </cell>
          <cell r="AO8">
            <v>1</v>
          </cell>
          <cell r="AP8">
            <v>4</v>
          </cell>
          <cell r="AQ8">
            <v>5</v>
          </cell>
          <cell r="AR8">
            <v>4</v>
          </cell>
          <cell r="AS8">
            <v>3</v>
          </cell>
          <cell r="AT8">
            <v>4</v>
          </cell>
          <cell r="AU8">
            <v>1</v>
          </cell>
          <cell r="AV8">
            <v>4</v>
          </cell>
          <cell r="AW8">
            <v>1</v>
          </cell>
          <cell r="AX8">
            <v>2</v>
          </cell>
          <cell r="AY8">
            <v>0</v>
          </cell>
          <cell r="AZ8">
            <v>2</v>
          </cell>
          <cell r="BA8">
            <v>0</v>
          </cell>
          <cell r="BJ8" t="str">
            <v/>
          </cell>
          <cell r="BK8" t="str">
            <v/>
          </cell>
          <cell r="BL8" t="str">
            <v/>
          </cell>
        </row>
        <row r="9">
          <cell r="AK9" t="str">
            <v>not valid</v>
          </cell>
          <cell r="AN9">
            <v>7</v>
          </cell>
          <cell r="AO9">
            <v>1</v>
          </cell>
          <cell r="AP9">
            <v>5</v>
          </cell>
          <cell r="AQ9">
            <v>6</v>
          </cell>
          <cell r="AR9">
            <v>5</v>
          </cell>
          <cell r="AS9">
            <v>4</v>
          </cell>
          <cell r="AT9">
            <v>5</v>
          </cell>
          <cell r="AU9">
            <v>1</v>
          </cell>
          <cell r="AV9">
            <v>5</v>
          </cell>
          <cell r="AW9">
            <v>2</v>
          </cell>
          <cell r="AX9">
            <v>2</v>
          </cell>
          <cell r="AY9">
            <v>0</v>
          </cell>
          <cell r="AZ9">
            <v>2</v>
          </cell>
          <cell r="BA9">
            <v>1</v>
          </cell>
          <cell r="BJ9" t="str">
            <v/>
          </cell>
          <cell r="BK9" t="str">
            <v/>
          </cell>
          <cell r="BL9" t="str">
            <v/>
          </cell>
        </row>
        <row r="10">
          <cell r="AK10" t="str">
            <v>not valid</v>
          </cell>
          <cell r="AN10">
            <v>8</v>
          </cell>
          <cell r="AO10">
            <v>2</v>
          </cell>
          <cell r="AP10">
            <v>5</v>
          </cell>
          <cell r="AQ10">
            <v>6</v>
          </cell>
          <cell r="AR10">
            <v>6</v>
          </cell>
          <cell r="AS10">
            <v>5</v>
          </cell>
          <cell r="AT10">
            <v>5</v>
          </cell>
          <cell r="AU10">
            <v>2</v>
          </cell>
          <cell r="AV10">
            <v>5</v>
          </cell>
          <cell r="AW10">
            <v>2</v>
          </cell>
          <cell r="AX10">
            <v>2</v>
          </cell>
          <cell r="AY10">
            <v>1</v>
          </cell>
          <cell r="AZ10">
            <v>2</v>
          </cell>
          <cell r="BA10">
            <v>1</v>
          </cell>
          <cell r="BJ10" t="str">
            <v/>
          </cell>
          <cell r="BK10" t="str">
            <v/>
          </cell>
          <cell r="BL10" t="str">
            <v/>
          </cell>
        </row>
        <row r="11">
          <cell r="AK11" t="str">
            <v>not valid</v>
          </cell>
          <cell r="AN11">
            <v>9</v>
          </cell>
          <cell r="AO11">
            <v>2</v>
          </cell>
          <cell r="AP11">
            <v>6</v>
          </cell>
          <cell r="AQ11">
            <v>7</v>
          </cell>
          <cell r="AR11">
            <v>6</v>
          </cell>
          <cell r="AS11">
            <v>6</v>
          </cell>
          <cell r="AT11">
            <v>5</v>
          </cell>
          <cell r="AU11">
            <v>2</v>
          </cell>
          <cell r="AV11">
            <v>5</v>
          </cell>
          <cell r="AW11">
            <v>2</v>
          </cell>
          <cell r="AX11">
            <v>2</v>
          </cell>
          <cell r="AY11">
            <v>1</v>
          </cell>
          <cell r="AZ11">
            <v>2</v>
          </cell>
          <cell r="BA11">
            <v>1</v>
          </cell>
          <cell r="BJ11" t="str">
            <v/>
          </cell>
          <cell r="BK11" t="str">
            <v/>
          </cell>
          <cell r="BL11" t="str">
            <v/>
          </cell>
          <cell r="BS11">
            <v>0</v>
          </cell>
        </row>
        <row r="12">
          <cell r="AK12" t="str">
            <v>not valid</v>
          </cell>
          <cell r="AN12">
            <v>10</v>
          </cell>
          <cell r="AO12">
            <v>3</v>
          </cell>
          <cell r="AP12">
            <v>7</v>
          </cell>
          <cell r="AQ12">
            <v>8</v>
          </cell>
          <cell r="AR12">
            <v>7</v>
          </cell>
          <cell r="AS12">
            <v>7</v>
          </cell>
          <cell r="AT12">
            <v>6</v>
          </cell>
          <cell r="AU12">
            <v>2</v>
          </cell>
          <cell r="AV12">
            <v>6</v>
          </cell>
          <cell r="AW12">
            <v>2</v>
          </cell>
          <cell r="AX12">
            <v>3</v>
          </cell>
          <cell r="AY12">
            <v>1</v>
          </cell>
          <cell r="AZ12">
            <v>3</v>
          </cell>
          <cell r="BA12">
            <v>1</v>
          </cell>
          <cell r="BJ12" t="str">
            <v/>
          </cell>
          <cell r="BK12" t="str">
            <v/>
          </cell>
          <cell r="BL12" t="str">
            <v/>
          </cell>
          <cell r="BS12">
            <v>0</v>
          </cell>
        </row>
        <row r="13">
          <cell r="X13" t="str">
            <v>Select a Chakra</v>
          </cell>
          <cell r="AG13" t="str">
            <v>No totem binds available</v>
          </cell>
          <cell r="AJ13" t="str">
            <v>No totem binds available</v>
          </cell>
          <cell r="AK13" t="str">
            <v>not valid</v>
          </cell>
          <cell r="AN13">
            <v>11</v>
          </cell>
          <cell r="AO13">
            <v>3</v>
          </cell>
          <cell r="AP13">
            <v>8</v>
          </cell>
          <cell r="AQ13">
            <v>8</v>
          </cell>
          <cell r="AR13">
            <v>7</v>
          </cell>
          <cell r="AS13">
            <v>7</v>
          </cell>
          <cell r="AT13">
            <v>6</v>
          </cell>
          <cell r="AU13">
            <v>2</v>
          </cell>
          <cell r="AV13">
            <v>6</v>
          </cell>
          <cell r="AW13">
            <v>2</v>
          </cell>
          <cell r="AX13">
            <v>3</v>
          </cell>
          <cell r="AY13">
            <v>1</v>
          </cell>
          <cell r="AZ13">
            <v>3</v>
          </cell>
          <cell r="BA13">
            <v>1</v>
          </cell>
          <cell r="BS13">
            <v>0</v>
          </cell>
        </row>
        <row r="14">
          <cell r="X14" t="str">
            <v>Crown</v>
          </cell>
          <cell r="Y14" t="str">
            <v>Select a Soulmeld</v>
          </cell>
          <cell r="Z14" t="str">
            <v>Not Bound</v>
          </cell>
          <cell r="AA14" t="b">
            <v>0</v>
          </cell>
          <cell r="AB14">
            <v>0</v>
          </cell>
          <cell r="AC14" t="str">
            <v/>
          </cell>
          <cell r="AG14" t="str">
            <v/>
          </cell>
          <cell r="AJ14" t="str">
            <v/>
          </cell>
          <cell r="AK14" t="str">
            <v>not valid</v>
          </cell>
          <cell r="AN14">
            <v>12</v>
          </cell>
          <cell r="AO14">
            <v>4</v>
          </cell>
          <cell r="AP14">
            <v>9</v>
          </cell>
          <cell r="AQ14">
            <v>8</v>
          </cell>
          <cell r="AR14">
            <v>7</v>
          </cell>
          <cell r="AS14">
            <v>7</v>
          </cell>
          <cell r="AT14">
            <v>6</v>
          </cell>
          <cell r="AU14">
            <v>3</v>
          </cell>
          <cell r="AV14">
            <v>6</v>
          </cell>
          <cell r="AW14">
            <v>2</v>
          </cell>
          <cell r="AX14">
            <v>3</v>
          </cell>
          <cell r="AY14">
            <v>1</v>
          </cell>
          <cell r="AZ14">
            <v>3</v>
          </cell>
          <cell r="BA14">
            <v>1</v>
          </cell>
          <cell r="BS14">
            <v>0</v>
          </cell>
        </row>
        <row r="15">
          <cell r="X15" t="str">
            <v>Feet</v>
          </cell>
          <cell r="Y15" t="str">
            <v>Select a Soulmeld</v>
          </cell>
          <cell r="Z15" t="str">
            <v>Not Bound</v>
          </cell>
          <cell r="AA15" t="b">
            <v>0</v>
          </cell>
          <cell r="AB15">
            <v>0</v>
          </cell>
          <cell r="AC15" t="str">
            <v/>
          </cell>
          <cell r="AG15" t="str">
            <v/>
          </cell>
          <cell r="AJ15" t="str">
            <v/>
          </cell>
          <cell r="AK15" t="str">
            <v>not valid</v>
          </cell>
          <cell r="AN15">
            <v>13</v>
          </cell>
          <cell r="AO15">
            <v>4</v>
          </cell>
          <cell r="AP15">
            <v>10</v>
          </cell>
          <cell r="AQ15">
            <v>8</v>
          </cell>
          <cell r="AR15">
            <v>7</v>
          </cell>
          <cell r="AS15">
            <v>7</v>
          </cell>
          <cell r="AT15">
            <v>7</v>
          </cell>
          <cell r="AU15">
            <v>3</v>
          </cell>
          <cell r="AV15">
            <v>7</v>
          </cell>
          <cell r="AW15">
            <v>2</v>
          </cell>
          <cell r="AX15">
            <v>3</v>
          </cell>
          <cell r="AY15">
            <v>1</v>
          </cell>
          <cell r="AZ15">
            <v>3</v>
          </cell>
          <cell r="BA15">
            <v>1</v>
          </cell>
          <cell r="BC15" t="str">
            <v>None</v>
          </cell>
          <cell r="BS15">
            <v>0</v>
          </cell>
        </row>
        <row r="16">
          <cell r="X16" t="str">
            <v>Hands</v>
          </cell>
          <cell r="Y16" t="str">
            <v>Select a Soulmeld</v>
          </cell>
          <cell r="Z16" t="str">
            <v>Not Bound</v>
          </cell>
          <cell r="AA16" t="b">
            <v>0</v>
          </cell>
          <cell r="AB16">
            <v>0</v>
          </cell>
          <cell r="AC16" t="str">
            <v/>
          </cell>
          <cell r="AG16" t="str">
            <v/>
          </cell>
          <cell r="AJ16" t="str">
            <v/>
          </cell>
          <cell r="AK16" t="str">
            <v>not valid</v>
          </cell>
          <cell r="AN16">
            <v>14</v>
          </cell>
          <cell r="AO16">
            <v>5</v>
          </cell>
          <cell r="AP16">
            <v>11</v>
          </cell>
          <cell r="AQ16">
            <v>8</v>
          </cell>
          <cell r="AR16">
            <v>7</v>
          </cell>
          <cell r="AS16">
            <v>7</v>
          </cell>
          <cell r="AT16">
            <v>7</v>
          </cell>
          <cell r="AU16">
            <v>3</v>
          </cell>
          <cell r="AV16">
            <v>7</v>
          </cell>
          <cell r="AW16">
            <v>2</v>
          </cell>
          <cell r="AX16">
            <v>4</v>
          </cell>
          <cell r="AY16">
            <v>2</v>
          </cell>
          <cell r="AZ16">
            <v>4</v>
          </cell>
          <cell r="BA16">
            <v>1</v>
          </cell>
          <cell r="BC16" t="str">
            <v>None</v>
          </cell>
        </row>
        <row r="17">
          <cell r="X17" t="str">
            <v>Arms</v>
          </cell>
          <cell r="Y17" t="str">
            <v>Select a Soulmeld</v>
          </cell>
          <cell r="Z17" t="str">
            <v>Not Bound</v>
          </cell>
          <cell r="AA17" t="b">
            <v>0</v>
          </cell>
          <cell r="AB17">
            <v>0</v>
          </cell>
          <cell r="AC17" t="str">
            <v/>
          </cell>
          <cell r="AG17" t="str">
            <v/>
          </cell>
          <cell r="AJ17" t="str">
            <v/>
          </cell>
          <cell r="AK17" t="str">
            <v>not valid</v>
          </cell>
          <cell r="AN17">
            <v>16</v>
          </cell>
          <cell r="AO17">
            <v>5</v>
          </cell>
          <cell r="AP17">
            <v>12</v>
          </cell>
          <cell r="AQ17">
            <v>8</v>
          </cell>
          <cell r="AR17">
            <v>7</v>
          </cell>
          <cell r="AS17">
            <v>7</v>
          </cell>
          <cell r="AT17">
            <v>7</v>
          </cell>
          <cell r="AU17">
            <v>3</v>
          </cell>
          <cell r="AV17">
            <v>7</v>
          </cell>
          <cell r="AW17">
            <v>2</v>
          </cell>
          <cell r="AX17">
            <v>4</v>
          </cell>
          <cell r="AY17">
            <v>2</v>
          </cell>
          <cell r="AZ17">
            <v>4</v>
          </cell>
          <cell r="BA17">
            <v>1</v>
          </cell>
          <cell r="BC17" t="str">
            <v>None</v>
          </cell>
          <cell r="BG17">
            <v>0</v>
          </cell>
          <cell r="BH17">
            <v>0</v>
          </cell>
        </row>
        <row r="18">
          <cell r="X18" t="str">
            <v>Brow</v>
          </cell>
          <cell r="Y18" t="str">
            <v>Select a Soulmeld</v>
          </cell>
          <cell r="Z18" t="str">
            <v>Not Bound</v>
          </cell>
          <cell r="AA18" t="b">
            <v>0</v>
          </cell>
          <cell r="AB18">
            <v>0</v>
          </cell>
          <cell r="AC18" t="str">
            <v/>
          </cell>
          <cell r="AG18" t="str">
            <v/>
          </cell>
          <cell r="AJ18" t="str">
            <v/>
          </cell>
          <cell r="AK18" t="str">
            <v>not valid</v>
          </cell>
          <cell r="AN18">
            <v>18</v>
          </cell>
          <cell r="AO18">
            <v>6</v>
          </cell>
          <cell r="AP18">
            <v>13</v>
          </cell>
          <cell r="AQ18">
            <v>8</v>
          </cell>
          <cell r="AR18">
            <v>7</v>
          </cell>
          <cell r="AS18">
            <v>7</v>
          </cell>
          <cell r="AT18">
            <v>8</v>
          </cell>
          <cell r="AU18">
            <v>4</v>
          </cell>
          <cell r="AV18">
            <v>8</v>
          </cell>
          <cell r="AW18">
            <v>2</v>
          </cell>
          <cell r="AX18">
            <v>4</v>
          </cell>
          <cell r="AY18">
            <v>2</v>
          </cell>
          <cell r="AZ18">
            <v>4</v>
          </cell>
          <cell r="BA18">
            <v>1</v>
          </cell>
        </row>
        <row r="19">
          <cell r="X19" t="str">
            <v>Shoulders</v>
          </cell>
          <cell r="Y19" t="str">
            <v>Select a Soulmeld</v>
          </cell>
          <cell r="Z19" t="str">
            <v>Not Bound</v>
          </cell>
          <cell r="AA19" t="b">
            <v>0</v>
          </cell>
          <cell r="AB19">
            <v>0</v>
          </cell>
          <cell r="AC19" t="str">
            <v/>
          </cell>
          <cell r="AG19" t="str">
            <v/>
          </cell>
          <cell r="AJ19" t="str">
            <v/>
          </cell>
          <cell r="AK19" t="str">
            <v>not valid</v>
          </cell>
          <cell r="AN19">
            <v>20</v>
          </cell>
          <cell r="AO19">
            <v>7</v>
          </cell>
          <cell r="AP19">
            <v>14</v>
          </cell>
          <cell r="AQ19">
            <v>8</v>
          </cell>
          <cell r="AR19">
            <v>7</v>
          </cell>
          <cell r="AS19">
            <v>7</v>
          </cell>
          <cell r="AT19">
            <v>8</v>
          </cell>
          <cell r="AU19">
            <v>4</v>
          </cell>
          <cell r="AV19">
            <v>8</v>
          </cell>
          <cell r="AW19">
            <v>2</v>
          </cell>
          <cell r="AX19">
            <v>4</v>
          </cell>
          <cell r="AY19">
            <v>2</v>
          </cell>
          <cell r="AZ19">
            <v>4</v>
          </cell>
          <cell r="BA19">
            <v>1</v>
          </cell>
        </row>
        <row r="20">
          <cell r="X20" t="str">
            <v>Throat</v>
          </cell>
          <cell r="Y20" t="str">
            <v>Select a Soulmeld</v>
          </cell>
          <cell r="Z20" t="str">
            <v>Not Bound</v>
          </cell>
          <cell r="AA20" t="b">
            <v>0</v>
          </cell>
          <cell r="AB20">
            <v>0</v>
          </cell>
          <cell r="AC20" t="str">
            <v/>
          </cell>
          <cell r="AG20" t="str">
            <v/>
          </cell>
          <cell r="AJ20" t="str">
            <v/>
          </cell>
          <cell r="AK20" t="str">
            <v>not valid</v>
          </cell>
          <cell r="AN20">
            <v>22</v>
          </cell>
          <cell r="AO20">
            <v>8</v>
          </cell>
          <cell r="AP20">
            <v>16</v>
          </cell>
          <cell r="AQ20">
            <v>8</v>
          </cell>
          <cell r="AR20">
            <v>7</v>
          </cell>
          <cell r="AS20">
            <v>7</v>
          </cell>
          <cell r="AT20">
            <v>8</v>
          </cell>
          <cell r="AU20">
            <v>4</v>
          </cell>
          <cell r="AV20">
            <v>8</v>
          </cell>
          <cell r="AW20">
            <v>2</v>
          </cell>
          <cell r="AX20">
            <v>5</v>
          </cell>
          <cell r="AY20">
            <v>3</v>
          </cell>
          <cell r="AZ20">
            <v>5</v>
          </cell>
          <cell r="BA20">
            <v>1</v>
          </cell>
          <cell r="BC20" t="str">
            <v/>
          </cell>
          <cell r="BD20" t="str">
            <v/>
          </cell>
        </row>
        <row r="21">
          <cell r="X21" t="str">
            <v>Waist</v>
          </cell>
          <cell r="Y21" t="str">
            <v>Select a Soulmeld</v>
          </cell>
          <cell r="Z21" t="str">
            <v>Not Bound</v>
          </cell>
          <cell r="AA21" t="b">
            <v>0</v>
          </cell>
          <cell r="AB21">
            <v>0</v>
          </cell>
          <cell r="AC21" t="str">
            <v/>
          </cell>
          <cell r="AG21" t="str">
            <v/>
          </cell>
          <cell r="AJ21" t="str">
            <v/>
          </cell>
          <cell r="AK21" t="str">
            <v>not valid</v>
          </cell>
          <cell r="AN21">
            <v>24</v>
          </cell>
          <cell r="AO21">
            <v>9</v>
          </cell>
          <cell r="AP21">
            <v>18</v>
          </cell>
          <cell r="AQ21">
            <v>8</v>
          </cell>
          <cell r="AR21">
            <v>7</v>
          </cell>
          <cell r="AS21">
            <v>7</v>
          </cell>
          <cell r="AT21">
            <v>9</v>
          </cell>
          <cell r="AU21">
            <v>4</v>
          </cell>
          <cell r="AV21">
            <v>9</v>
          </cell>
          <cell r="AW21">
            <v>2</v>
          </cell>
          <cell r="AX21">
            <v>5</v>
          </cell>
          <cell r="AY21">
            <v>3</v>
          </cell>
          <cell r="AZ21">
            <v>5</v>
          </cell>
          <cell r="BA21">
            <v>1</v>
          </cell>
          <cell r="BC21" t="str">
            <v/>
          </cell>
          <cell r="BD21" t="str">
            <v/>
          </cell>
        </row>
        <row r="22">
          <cell r="X22" t="str">
            <v>Heart</v>
          </cell>
          <cell r="Y22" t="str">
            <v>Select a Soulmeld</v>
          </cell>
          <cell r="Z22" t="str">
            <v>Not Bound</v>
          </cell>
          <cell r="AA22" t="b">
            <v>0</v>
          </cell>
          <cell r="AB22">
            <v>0</v>
          </cell>
          <cell r="AC22" t="str">
            <v/>
          </cell>
          <cell r="AG22" t="str">
            <v/>
          </cell>
          <cell r="AJ22" t="str">
            <v/>
          </cell>
          <cell r="AK22" t="str">
            <v>not valid</v>
          </cell>
          <cell r="AN22">
            <v>26</v>
          </cell>
          <cell r="AO22">
            <v>10</v>
          </cell>
          <cell r="AP22">
            <v>20</v>
          </cell>
          <cell r="AQ22">
            <v>8</v>
          </cell>
          <cell r="AR22">
            <v>7</v>
          </cell>
          <cell r="AS22">
            <v>7</v>
          </cell>
          <cell r="AT22">
            <v>9</v>
          </cell>
          <cell r="AU22">
            <v>5</v>
          </cell>
          <cell r="AV22">
            <v>9</v>
          </cell>
          <cell r="AW22">
            <v>2</v>
          </cell>
          <cell r="AX22">
            <v>5</v>
          </cell>
          <cell r="AY22">
            <v>3</v>
          </cell>
          <cell r="AZ22">
            <v>5</v>
          </cell>
          <cell r="BA22">
            <v>1</v>
          </cell>
          <cell r="BC22" t="str">
            <v/>
          </cell>
          <cell r="BD22" t="str">
            <v/>
          </cell>
        </row>
        <row r="23">
          <cell r="X23" t="str">
            <v>Soul</v>
          </cell>
          <cell r="Y23" t="str">
            <v>Select a Soulmeld</v>
          </cell>
          <cell r="Z23" t="str">
            <v>Not Bound</v>
          </cell>
          <cell r="AA23" t="b">
            <v>0</v>
          </cell>
          <cell r="AB23">
            <v>0</v>
          </cell>
          <cell r="AC23" t="str">
            <v/>
          </cell>
          <cell r="AG23" t="str">
            <v/>
          </cell>
          <cell r="AJ23" t="str">
            <v/>
          </cell>
          <cell r="AK23" t="str">
            <v>not valid</v>
          </cell>
        </row>
        <row r="24">
          <cell r="Y24" t="str">
            <v>You do not have this ability</v>
          </cell>
          <cell r="Z24" t="str">
            <v>Not Bound</v>
          </cell>
          <cell r="AA24" t="b">
            <v>0</v>
          </cell>
          <cell r="AB24">
            <v>0</v>
          </cell>
          <cell r="AC24" t="str">
            <v/>
          </cell>
          <cell r="AG24" t="str">
            <v/>
          </cell>
          <cell r="AJ24" t="str">
            <v/>
          </cell>
          <cell r="AK24" t="str">
            <v>not valid</v>
          </cell>
        </row>
        <row r="25">
          <cell r="Y25" t="str">
            <v>You do not have this ability</v>
          </cell>
          <cell r="Z25" t="str">
            <v>Not Bound</v>
          </cell>
          <cell r="AA25" t="b">
            <v>0</v>
          </cell>
          <cell r="AB25">
            <v>0</v>
          </cell>
          <cell r="AC25" t="str">
            <v/>
          </cell>
          <cell r="AG25" t="str">
            <v/>
          </cell>
          <cell r="AJ25" t="str">
            <v/>
          </cell>
          <cell r="AK25" t="str">
            <v>not valid</v>
          </cell>
        </row>
        <row r="26">
          <cell r="Y26" t="str">
            <v>You do not have this ability</v>
          </cell>
          <cell r="Z26" t="str">
            <v>Not Bound</v>
          </cell>
          <cell r="AA26" t="b">
            <v>0</v>
          </cell>
          <cell r="AB26">
            <v>0</v>
          </cell>
          <cell r="AC26" t="str">
            <v/>
          </cell>
          <cell r="AG26" t="str">
            <v/>
          </cell>
          <cell r="AJ26" t="str">
            <v/>
          </cell>
        </row>
        <row r="27">
          <cell r="AL27">
            <v>1</v>
          </cell>
          <cell r="AW27" t="str">
            <v/>
          </cell>
          <cell r="AZ27" t="str">
            <v/>
          </cell>
          <cell r="BC27" t="str">
            <v/>
          </cell>
          <cell r="BF27" t="str">
            <v/>
          </cell>
          <cell r="BI27" t="str">
            <v/>
          </cell>
          <cell r="BL27" t="str">
            <v/>
          </cell>
          <cell r="BO27" t="str">
            <v/>
          </cell>
          <cell r="BR27" t="str">
            <v/>
          </cell>
          <cell r="BU27" t="str">
            <v/>
          </cell>
          <cell r="BX27" t="str">
            <v/>
          </cell>
        </row>
        <row r="28">
          <cell r="AF28" t="str">
            <v>Select a Chakra</v>
          </cell>
          <cell r="AN28">
            <v>0</v>
          </cell>
          <cell r="AW28" t="str">
            <v/>
          </cell>
          <cell r="AZ28" t="str">
            <v/>
          </cell>
          <cell r="BC28" t="str">
            <v/>
          </cell>
          <cell r="BF28" t="str">
            <v/>
          </cell>
          <cell r="BI28" t="str">
            <v/>
          </cell>
          <cell r="BL28" t="str">
            <v/>
          </cell>
          <cell r="BO28" t="str">
            <v/>
          </cell>
          <cell r="BR28" t="str">
            <v/>
          </cell>
          <cell r="BU28" t="str">
            <v/>
          </cell>
          <cell r="BX28" t="str">
            <v/>
          </cell>
        </row>
        <row r="29">
          <cell r="Z29" t="str">
            <v>Incarnate</v>
          </cell>
          <cell r="AA29" t="str">
            <v>Soulborn</v>
          </cell>
          <cell r="AB29" t="str">
            <v>Totemist</v>
          </cell>
          <cell r="AC29" t="str">
            <v>Spinemeld Warrior</v>
          </cell>
          <cell r="AF29" t="str">
            <v/>
          </cell>
          <cell r="AL29">
            <v>0</v>
          </cell>
          <cell r="AW29" t="str">
            <v/>
          </cell>
          <cell r="AZ29" t="str">
            <v/>
          </cell>
          <cell r="BC29" t="str">
            <v/>
          </cell>
          <cell r="BF29" t="str">
            <v/>
          </cell>
          <cell r="BI29" t="str">
            <v/>
          </cell>
          <cell r="BL29" t="str">
            <v/>
          </cell>
          <cell r="BO29" t="str">
            <v/>
          </cell>
          <cell r="BR29" t="str">
            <v/>
          </cell>
          <cell r="BU29" t="str">
            <v/>
          </cell>
          <cell r="BX29" t="str">
            <v/>
          </cell>
        </row>
        <row r="30">
          <cell r="Y30" t="str">
            <v>Crown</v>
          </cell>
          <cell r="Z30" t="str">
            <v/>
          </cell>
          <cell r="AA30" t="str">
            <v/>
          </cell>
          <cell r="AB30" t="str">
            <v/>
          </cell>
          <cell r="AC30" t="str">
            <v/>
          </cell>
          <cell r="AF30" t="str">
            <v/>
          </cell>
          <cell r="AW30" t="str">
            <v/>
          </cell>
          <cell r="AZ30" t="str">
            <v/>
          </cell>
          <cell r="BC30" t="str">
            <v/>
          </cell>
          <cell r="BF30" t="str">
            <v/>
          </cell>
          <cell r="BI30" t="str">
            <v/>
          </cell>
          <cell r="BL30" t="str">
            <v/>
          </cell>
          <cell r="BO30" t="str">
            <v/>
          </cell>
          <cell r="BR30" t="str">
            <v/>
          </cell>
          <cell r="BU30" t="str">
            <v/>
          </cell>
          <cell r="BX30" t="str">
            <v/>
          </cell>
        </row>
        <row r="31">
          <cell r="Y31" t="str">
            <v>Hands</v>
          </cell>
          <cell r="Z31" t="str">
            <v/>
          </cell>
          <cell r="AA31" t="str">
            <v/>
          </cell>
          <cell r="AB31" t="str">
            <v/>
          </cell>
          <cell r="AC31" t="str">
            <v/>
          </cell>
          <cell r="AF31" t="str">
            <v/>
          </cell>
          <cell r="AW31" t="str">
            <v>Not Bound</v>
          </cell>
          <cell r="AZ31" t="str">
            <v>Not Bound</v>
          </cell>
          <cell r="BC31" t="str">
            <v>Not Bound</v>
          </cell>
          <cell r="BF31" t="str">
            <v>Not Bound</v>
          </cell>
          <cell r="BI31" t="str">
            <v>Not Bound</v>
          </cell>
          <cell r="BL31" t="str">
            <v>Not Bound</v>
          </cell>
          <cell r="BO31" t="str">
            <v>Not Bound</v>
          </cell>
          <cell r="BR31" t="str">
            <v>Not Bound</v>
          </cell>
          <cell r="BU31" t="str">
            <v>Not Bound</v>
          </cell>
          <cell r="BX31" t="str">
            <v>Not Bound</v>
          </cell>
        </row>
        <row r="32">
          <cell r="Y32" t="str">
            <v>Feet</v>
          </cell>
          <cell r="Z32" t="str">
            <v/>
          </cell>
          <cell r="AA32" t="str">
            <v/>
          </cell>
          <cell r="AB32" t="str">
            <v/>
          </cell>
          <cell r="AC32" t="str">
            <v/>
          </cell>
          <cell r="AF32" t="str">
            <v/>
          </cell>
          <cell r="AW32" t="str">
            <v/>
          </cell>
          <cell r="AZ32" t="str">
            <v/>
          </cell>
          <cell r="BC32" t="str">
            <v/>
          </cell>
          <cell r="BF32" t="str">
            <v/>
          </cell>
          <cell r="BI32" t="str">
            <v/>
          </cell>
          <cell r="BL32" t="str">
            <v/>
          </cell>
          <cell r="BO32" t="str">
            <v/>
          </cell>
          <cell r="BR32" t="str">
            <v/>
          </cell>
          <cell r="BU32" t="str">
            <v/>
          </cell>
          <cell r="BX32" t="str">
            <v/>
          </cell>
        </row>
        <row r="33">
          <cell r="Y33" t="str">
            <v>Arms</v>
          </cell>
          <cell r="Z33" t="str">
            <v/>
          </cell>
          <cell r="AA33" t="str">
            <v/>
          </cell>
          <cell r="AB33" t="str">
            <v/>
          </cell>
          <cell r="AC33" t="str">
            <v/>
          </cell>
          <cell r="AF33" t="str">
            <v/>
          </cell>
        </row>
        <row r="34">
          <cell r="Y34" t="str">
            <v>Brow</v>
          </cell>
          <cell r="Z34" t="str">
            <v/>
          </cell>
          <cell r="AA34" t="str">
            <v/>
          </cell>
          <cell r="AB34" t="str">
            <v/>
          </cell>
          <cell r="AC34" t="str">
            <v/>
          </cell>
          <cell r="AF34" t="str">
            <v/>
          </cell>
        </row>
        <row r="35">
          <cell r="Y35" t="str">
            <v>Shoulders</v>
          </cell>
          <cell r="Z35" t="str">
            <v/>
          </cell>
          <cell r="AA35" t="str">
            <v/>
          </cell>
          <cell r="AB35" t="str">
            <v/>
          </cell>
          <cell r="AC35" t="str">
            <v/>
          </cell>
          <cell r="AF35" t="str">
            <v/>
          </cell>
        </row>
        <row r="36">
          <cell r="Y36" t="str">
            <v>Throat</v>
          </cell>
          <cell r="Z36" t="str">
            <v/>
          </cell>
          <cell r="AA36" t="str">
            <v/>
          </cell>
          <cell r="AB36" t="str">
            <v/>
          </cell>
          <cell r="AC36" t="str">
            <v/>
          </cell>
          <cell r="AF36" t="str">
            <v/>
          </cell>
        </row>
        <row r="37">
          <cell r="Y37" t="str">
            <v>Waist</v>
          </cell>
          <cell r="Z37" t="str">
            <v/>
          </cell>
          <cell r="AA37" t="str">
            <v/>
          </cell>
          <cell r="AB37" t="str">
            <v/>
          </cell>
          <cell r="AC37" t="str">
            <v/>
          </cell>
          <cell r="AF37" t="str">
            <v/>
          </cell>
          <cell r="AW37" t="str">
            <v/>
          </cell>
          <cell r="AZ37" t="str">
            <v/>
          </cell>
          <cell r="BC37" t="str">
            <v/>
          </cell>
          <cell r="BG37" t="str">
            <v/>
          </cell>
          <cell r="BJ37" t="str">
            <v/>
          </cell>
          <cell r="BM37" t="str">
            <v/>
          </cell>
        </row>
        <row r="38">
          <cell r="Y38" t="str">
            <v>Heart</v>
          </cell>
          <cell r="Z38" t="str">
            <v/>
          </cell>
          <cell r="AA38" t="str">
            <v/>
          </cell>
          <cell r="AB38" t="str">
            <v/>
          </cell>
          <cell r="AC38" t="str">
            <v/>
          </cell>
          <cell r="AF38" t="str">
            <v/>
          </cell>
          <cell r="AW38" t="str">
            <v/>
          </cell>
          <cell r="AZ38" t="str">
            <v/>
          </cell>
          <cell r="BC38" t="str">
            <v/>
          </cell>
          <cell r="BG38" t="str">
            <v/>
          </cell>
          <cell r="BJ38" t="str">
            <v/>
          </cell>
          <cell r="BM38" t="str">
            <v/>
          </cell>
        </row>
        <row r="39">
          <cell r="Y39" t="str">
            <v>Soul</v>
          </cell>
          <cell r="Z39" t="str">
            <v/>
          </cell>
          <cell r="AA39" t="str">
            <v/>
          </cell>
          <cell r="AB39" t="str">
            <v/>
          </cell>
          <cell r="AC39" t="str">
            <v/>
          </cell>
          <cell r="AF39" t="str">
            <v/>
          </cell>
          <cell r="AW39" t="str">
            <v/>
          </cell>
          <cell r="AZ39" t="str">
            <v/>
          </cell>
          <cell r="BC39" t="str">
            <v/>
          </cell>
          <cell r="BG39" t="str">
            <v/>
          </cell>
          <cell r="BJ39" t="str">
            <v/>
          </cell>
          <cell r="BM39" t="str">
            <v/>
          </cell>
        </row>
        <row r="40">
          <cell r="AW40" t="str">
            <v/>
          </cell>
          <cell r="AZ40" t="str">
            <v/>
          </cell>
          <cell r="BC40" t="str">
            <v/>
          </cell>
        </row>
        <row r="41">
          <cell r="Y41" t="b">
            <v>0</v>
          </cell>
          <cell r="AW41" t="str">
            <v>Not Bound</v>
          </cell>
          <cell r="AZ41" t="str">
            <v>Not Bound</v>
          </cell>
          <cell r="BC41" t="str">
            <v>Not Bound</v>
          </cell>
        </row>
        <row r="42">
          <cell r="Y42">
            <v>0</v>
          </cell>
          <cell r="AW42" t="str">
            <v/>
          </cell>
          <cell r="AZ42" t="str">
            <v/>
          </cell>
          <cell r="BC42" t="str">
            <v/>
          </cell>
        </row>
      </sheetData>
      <sheetData sheetId="25">
        <row r="3">
          <cell r="A3" t="str">
            <v>Soulmeld</v>
          </cell>
          <cell r="B3" t="str">
            <v>Row</v>
          </cell>
          <cell r="C3" t="str">
            <v>Available</v>
          </cell>
          <cell r="D3" t="str">
            <v>Shape Soulmeld Option</v>
          </cell>
          <cell r="E3" t="str">
            <v>Draconic?</v>
          </cell>
          <cell r="F3" t="str">
            <v>Alignment</v>
          </cell>
          <cell r="G3" t="str">
            <v>Incarnate</v>
          </cell>
          <cell r="H3" t="str">
            <v>Soulborn</v>
          </cell>
          <cell r="I3" t="str">
            <v>Totemist</v>
          </cell>
          <cell r="J3" t="str">
            <v>Spinemeld Warrior</v>
          </cell>
          <cell r="K3" t="str">
            <v>Shape Soulmeld Selected</v>
          </cell>
          <cell r="L3" t="str">
            <v>Crown</v>
          </cell>
          <cell r="M3" t="str">
            <v>Feet</v>
          </cell>
          <cell r="N3" t="str">
            <v>Hands</v>
          </cell>
          <cell r="O3" t="str">
            <v>Arms</v>
          </cell>
          <cell r="P3" t="str">
            <v>Brow</v>
          </cell>
          <cell r="Q3" t="str">
            <v>Shoulders</v>
          </cell>
          <cell r="R3" t="str">
            <v>Throat</v>
          </cell>
          <cell r="S3" t="str">
            <v>Waist</v>
          </cell>
          <cell r="T3" t="str">
            <v>Heart</v>
          </cell>
          <cell r="U3" t="str">
            <v>Soul</v>
          </cell>
        </row>
        <row r="4">
          <cell r="A4">
            <v>1</v>
          </cell>
          <cell r="B4">
            <v>2</v>
          </cell>
          <cell r="C4">
            <v>3</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X4" t="str">
            <v>Select a Soulmeld</v>
          </cell>
          <cell r="AA4" t="str">
            <v>Select a Soulmeld</v>
          </cell>
          <cell r="AD4" t="str">
            <v>Select a Soulmeld</v>
          </cell>
          <cell r="AG4" t="str">
            <v>Select a Soulmeld</v>
          </cell>
          <cell r="AJ4" t="str">
            <v>Select a Soulmeld</v>
          </cell>
          <cell r="AM4" t="str">
            <v>Select a Soulmeld</v>
          </cell>
          <cell r="AP4" t="str">
            <v>Select a Soulmeld</v>
          </cell>
          <cell r="AS4" t="str">
            <v>Select a Soulmeld</v>
          </cell>
          <cell r="AV4" t="str">
            <v>Select a Soulmeld</v>
          </cell>
          <cell r="AY4" t="str">
            <v>Select a Soulmeld</v>
          </cell>
          <cell r="BB4" t="str">
            <v>Select a Soulmeld</v>
          </cell>
          <cell r="BE4" t="str">
            <v>You do not have this ability</v>
          </cell>
          <cell r="BH4" t="str">
            <v>You do not have this ability</v>
          </cell>
          <cell r="BK4" t="str">
            <v>You do not have this ability</v>
          </cell>
          <cell r="BN4" t="str">
            <v>Select a Soulmeld</v>
          </cell>
        </row>
        <row r="5">
          <cell r="A5" t="str">
            <v/>
          </cell>
          <cell r="B5">
            <v>1</v>
          </cell>
          <cell r="C5" t="b">
            <v>0</v>
          </cell>
          <cell r="D5" t="b">
            <v>0</v>
          </cell>
          <cell r="E5" t="b">
            <v>0</v>
          </cell>
          <cell r="G5" t="b">
            <v>0</v>
          </cell>
          <cell r="H5" t="b">
            <v>0</v>
          </cell>
          <cell r="I5" t="b">
            <v>0</v>
          </cell>
          <cell r="J5" t="b">
            <v>0</v>
          </cell>
          <cell r="K5" t="b">
            <v>0</v>
          </cell>
          <cell r="L5" t="b">
            <v>0</v>
          </cell>
          <cell r="M5" t="b">
            <v>0</v>
          </cell>
          <cell r="N5" t="b">
            <v>0</v>
          </cell>
          <cell r="O5" t="b">
            <v>0</v>
          </cell>
          <cell r="P5" t="b">
            <v>0</v>
          </cell>
          <cell r="Q5" t="b">
            <v>0</v>
          </cell>
          <cell r="R5" t="b">
            <v>0</v>
          </cell>
          <cell r="S5" t="b">
            <v>0</v>
          </cell>
          <cell r="T5" t="b">
            <v>0</v>
          </cell>
          <cell r="U5" t="b">
            <v>0</v>
          </cell>
          <cell r="X5" t="str">
            <v/>
          </cell>
          <cell r="AA5" t="str">
            <v/>
          </cell>
          <cell r="AD5" t="str">
            <v/>
          </cell>
          <cell r="AG5" t="str">
            <v/>
          </cell>
          <cell r="AJ5" t="str">
            <v/>
          </cell>
          <cell r="AM5" t="str">
            <v/>
          </cell>
          <cell r="AP5" t="str">
            <v/>
          </cell>
          <cell r="AS5" t="str">
            <v/>
          </cell>
          <cell r="AV5" t="str">
            <v/>
          </cell>
          <cell r="AY5" t="str">
            <v/>
          </cell>
          <cell r="BB5" t="str">
            <v/>
          </cell>
          <cell r="BE5" t="str">
            <v/>
          </cell>
          <cell r="BH5" t="str">
            <v/>
          </cell>
          <cell r="BK5" t="str">
            <v/>
          </cell>
          <cell r="BN5" t="str">
            <v>Acrobat Boots</v>
          </cell>
        </row>
        <row r="6">
          <cell r="A6" t="str">
            <v>Select a Soulmeld</v>
          </cell>
          <cell r="B6">
            <v>2</v>
          </cell>
          <cell r="C6" t="b">
            <v>0</v>
          </cell>
          <cell r="D6" t="b">
            <v>0</v>
          </cell>
          <cell r="E6" t="b">
            <v>0</v>
          </cell>
          <cell r="G6" t="b">
            <v>0</v>
          </cell>
          <cell r="H6" t="b">
            <v>0</v>
          </cell>
          <cell r="I6" t="b">
            <v>0</v>
          </cell>
          <cell r="J6" t="b">
            <v>0</v>
          </cell>
          <cell r="K6" t="b">
            <v>0</v>
          </cell>
          <cell r="L6" t="b">
            <v>0</v>
          </cell>
          <cell r="M6" t="b">
            <v>0</v>
          </cell>
          <cell r="N6" t="b">
            <v>0</v>
          </cell>
          <cell r="O6" t="b">
            <v>0</v>
          </cell>
          <cell r="P6" t="b">
            <v>0</v>
          </cell>
          <cell r="Q6" t="b">
            <v>0</v>
          </cell>
          <cell r="R6" t="b">
            <v>0</v>
          </cell>
          <cell r="S6" t="b">
            <v>0</v>
          </cell>
          <cell r="T6" t="b">
            <v>0</v>
          </cell>
          <cell r="U6" t="b">
            <v>0</v>
          </cell>
          <cell r="X6" t="str">
            <v/>
          </cell>
          <cell r="AA6" t="str">
            <v/>
          </cell>
          <cell r="AD6" t="str">
            <v/>
          </cell>
          <cell r="AG6" t="str">
            <v/>
          </cell>
          <cell r="AJ6" t="str">
            <v/>
          </cell>
          <cell r="AM6" t="str">
            <v/>
          </cell>
          <cell r="AP6" t="str">
            <v/>
          </cell>
          <cell r="AS6" t="str">
            <v/>
          </cell>
          <cell r="AV6" t="str">
            <v/>
          </cell>
          <cell r="AY6" t="str">
            <v/>
          </cell>
          <cell r="BB6" t="str">
            <v/>
          </cell>
          <cell r="BE6" t="str">
            <v/>
          </cell>
          <cell r="BH6" t="str">
            <v/>
          </cell>
          <cell r="BK6" t="str">
            <v/>
          </cell>
          <cell r="BN6" t="str">
            <v>Adamant Pauldrons</v>
          </cell>
        </row>
        <row r="7">
          <cell r="A7" t="str">
            <v>You do not have this ability</v>
          </cell>
          <cell r="B7">
            <v>3</v>
          </cell>
          <cell r="C7" t="b">
            <v>0</v>
          </cell>
          <cell r="D7" t="b">
            <v>0</v>
          </cell>
          <cell r="E7" t="b">
            <v>0</v>
          </cell>
          <cell r="G7" t="b">
            <v>0</v>
          </cell>
          <cell r="H7" t="b">
            <v>0</v>
          </cell>
          <cell r="I7" t="b">
            <v>0</v>
          </cell>
          <cell r="J7" t="b">
            <v>0</v>
          </cell>
          <cell r="K7" t="b">
            <v>0</v>
          </cell>
          <cell r="L7" t="b">
            <v>0</v>
          </cell>
          <cell r="M7" t="b">
            <v>0</v>
          </cell>
          <cell r="N7" t="b">
            <v>0</v>
          </cell>
          <cell r="O7" t="b">
            <v>0</v>
          </cell>
          <cell r="P7" t="b">
            <v>0</v>
          </cell>
          <cell r="Q7" t="b">
            <v>0</v>
          </cell>
          <cell r="R7" t="b">
            <v>0</v>
          </cell>
          <cell r="S7" t="b">
            <v>0</v>
          </cell>
          <cell r="T7" t="b">
            <v>0</v>
          </cell>
          <cell r="U7" t="b">
            <v>0</v>
          </cell>
          <cell r="X7" t="str">
            <v/>
          </cell>
          <cell r="AA7" t="str">
            <v/>
          </cell>
          <cell r="AD7" t="str">
            <v/>
          </cell>
          <cell r="AG7" t="str">
            <v/>
          </cell>
          <cell r="AJ7" t="str">
            <v/>
          </cell>
          <cell r="AM7" t="str">
            <v/>
          </cell>
          <cell r="AP7" t="str">
            <v/>
          </cell>
          <cell r="AS7" t="str">
            <v/>
          </cell>
          <cell r="AV7" t="str">
            <v/>
          </cell>
          <cell r="AY7" t="str">
            <v/>
          </cell>
          <cell r="BB7" t="str">
            <v/>
          </cell>
          <cell r="BE7" t="str">
            <v/>
          </cell>
          <cell r="BH7" t="str">
            <v/>
          </cell>
          <cell r="BK7" t="str">
            <v/>
          </cell>
          <cell r="BN7" t="str">
            <v>Airstep Sandals</v>
          </cell>
        </row>
        <row r="8">
          <cell r="A8" t="str">
            <v>Acrobat Boots</v>
          </cell>
          <cell r="B8">
            <v>4</v>
          </cell>
          <cell r="C8" t="b">
            <v>0</v>
          </cell>
          <cell r="D8" t="b">
            <v>1</v>
          </cell>
          <cell r="E8" t="b">
            <v>0</v>
          </cell>
          <cell r="G8" t="b">
            <v>1</v>
          </cell>
          <cell r="H8" t="b">
            <v>0</v>
          </cell>
          <cell r="I8" t="b">
            <v>0</v>
          </cell>
          <cell r="J8" t="b">
            <v>0</v>
          </cell>
          <cell r="K8" t="b">
            <v>0</v>
          </cell>
          <cell r="L8" t="b">
            <v>0</v>
          </cell>
          <cell r="M8" t="b">
            <v>1</v>
          </cell>
          <cell r="N8" t="b">
            <v>0</v>
          </cell>
          <cell r="O8" t="b">
            <v>0</v>
          </cell>
          <cell r="P8" t="b">
            <v>0</v>
          </cell>
          <cell r="Q8" t="b">
            <v>0</v>
          </cell>
          <cell r="R8" t="b">
            <v>0</v>
          </cell>
          <cell r="S8" t="b">
            <v>0</v>
          </cell>
          <cell r="T8" t="b">
            <v>0</v>
          </cell>
          <cell r="U8" t="b">
            <v>0</v>
          </cell>
          <cell r="X8" t="str">
            <v/>
          </cell>
          <cell r="AA8" t="str">
            <v/>
          </cell>
          <cell r="AD8" t="str">
            <v/>
          </cell>
          <cell r="AG8" t="str">
            <v/>
          </cell>
          <cell r="AJ8" t="str">
            <v/>
          </cell>
          <cell r="AM8" t="str">
            <v/>
          </cell>
          <cell r="AP8" t="str">
            <v/>
          </cell>
          <cell r="AS8" t="str">
            <v/>
          </cell>
          <cell r="AV8" t="str">
            <v/>
          </cell>
          <cell r="AY8" t="str">
            <v/>
          </cell>
          <cell r="BB8" t="str">
            <v/>
          </cell>
          <cell r="BE8" t="str">
            <v/>
          </cell>
          <cell r="BH8" t="str">
            <v/>
          </cell>
          <cell r="BK8" t="str">
            <v/>
          </cell>
          <cell r="BN8" t="str">
            <v>Ankheg Breastplate</v>
          </cell>
        </row>
        <row r="9">
          <cell r="A9" t="str">
            <v>Adamant Pauldrons</v>
          </cell>
          <cell r="B9">
            <v>5</v>
          </cell>
          <cell r="C9" t="b">
            <v>0</v>
          </cell>
          <cell r="D9" t="b">
            <v>1</v>
          </cell>
          <cell r="E9" t="b">
            <v>0</v>
          </cell>
          <cell r="G9" t="b">
            <v>1</v>
          </cell>
          <cell r="H9" t="b">
            <v>0</v>
          </cell>
          <cell r="I9" t="b">
            <v>0</v>
          </cell>
          <cell r="J9" t="b">
            <v>0</v>
          </cell>
          <cell r="K9" t="b">
            <v>0</v>
          </cell>
          <cell r="L9" t="b">
            <v>0</v>
          </cell>
          <cell r="M9" t="b">
            <v>0</v>
          </cell>
          <cell r="N9" t="b">
            <v>0</v>
          </cell>
          <cell r="O9" t="b">
            <v>0</v>
          </cell>
          <cell r="P9" t="b">
            <v>0</v>
          </cell>
          <cell r="Q9" t="b">
            <v>1</v>
          </cell>
          <cell r="R9" t="b">
            <v>0</v>
          </cell>
          <cell r="S9" t="b">
            <v>0</v>
          </cell>
          <cell r="T9" t="b">
            <v>0</v>
          </cell>
          <cell r="U9" t="b">
            <v>0</v>
          </cell>
          <cell r="X9" t="str">
            <v/>
          </cell>
          <cell r="AA9" t="str">
            <v/>
          </cell>
          <cell r="AD9" t="str">
            <v/>
          </cell>
          <cell r="AG9" t="str">
            <v/>
          </cell>
          <cell r="AJ9" t="str">
            <v/>
          </cell>
          <cell r="AM9" t="str">
            <v/>
          </cell>
          <cell r="AP9" t="str">
            <v/>
          </cell>
          <cell r="AS9" t="str">
            <v/>
          </cell>
          <cell r="AV9" t="str">
            <v/>
          </cell>
          <cell r="AY9" t="str">
            <v/>
          </cell>
          <cell r="BB9" t="str">
            <v/>
          </cell>
          <cell r="BE9" t="str">
            <v/>
          </cell>
          <cell r="BH9" t="str">
            <v/>
          </cell>
          <cell r="BK9" t="str">
            <v/>
          </cell>
          <cell r="BN9" t="str">
            <v>Apparition Ribbon</v>
          </cell>
        </row>
        <row r="10">
          <cell r="A10" t="str">
            <v>Airstep Sandals</v>
          </cell>
          <cell r="B10">
            <v>6</v>
          </cell>
          <cell r="C10" t="b">
            <v>0</v>
          </cell>
          <cell r="D10" t="b">
            <v>1</v>
          </cell>
          <cell r="E10" t="b">
            <v>0</v>
          </cell>
          <cell r="G10" t="b">
            <v>1</v>
          </cell>
          <cell r="H10" t="b">
            <v>0</v>
          </cell>
          <cell r="I10" t="b">
            <v>0</v>
          </cell>
          <cell r="J10" t="b">
            <v>0</v>
          </cell>
          <cell r="K10" t="b">
            <v>0</v>
          </cell>
          <cell r="L10" t="b">
            <v>0</v>
          </cell>
          <cell r="M10" t="b">
            <v>1</v>
          </cell>
          <cell r="N10" t="b">
            <v>0</v>
          </cell>
          <cell r="O10" t="b">
            <v>0</v>
          </cell>
          <cell r="P10" t="b">
            <v>0</v>
          </cell>
          <cell r="Q10" t="b">
            <v>0</v>
          </cell>
          <cell r="R10" t="b">
            <v>0</v>
          </cell>
          <cell r="S10" t="b">
            <v>0</v>
          </cell>
          <cell r="T10" t="b">
            <v>0</v>
          </cell>
          <cell r="U10" t="b">
            <v>0</v>
          </cell>
          <cell r="X10" t="str">
            <v/>
          </cell>
          <cell r="AA10" t="str">
            <v/>
          </cell>
          <cell r="AD10" t="str">
            <v/>
          </cell>
          <cell r="AG10" t="str">
            <v/>
          </cell>
          <cell r="AJ10" t="str">
            <v/>
          </cell>
          <cell r="AM10" t="str">
            <v/>
          </cell>
          <cell r="AP10" t="str">
            <v/>
          </cell>
          <cell r="AS10" t="str">
            <v/>
          </cell>
          <cell r="AV10" t="str">
            <v/>
          </cell>
          <cell r="AY10" t="str">
            <v/>
          </cell>
          <cell r="BB10" t="str">
            <v/>
          </cell>
          <cell r="BE10" t="str">
            <v/>
          </cell>
          <cell r="BH10" t="str">
            <v/>
          </cell>
          <cell r="BK10" t="str">
            <v/>
          </cell>
          <cell r="BN10" t="str">
            <v>Arcane Focus</v>
          </cell>
        </row>
        <row r="11">
          <cell r="A11" t="str">
            <v>Ankheg Breastplate</v>
          </cell>
          <cell r="B11">
            <v>7</v>
          </cell>
          <cell r="C11" t="b">
            <v>0</v>
          </cell>
          <cell r="D11" t="b">
            <v>1</v>
          </cell>
          <cell r="E11" t="b">
            <v>0</v>
          </cell>
          <cell r="G11" t="b">
            <v>0</v>
          </cell>
          <cell r="H11" t="b">
            <v>0</v>
          </cell>
          <cell r="I11" t="b">
            <v>1</v>
          </cell>
          <cell r="J11" t="b">
            <v>0</v>
          </cell>
          <cell r="K11" t="b">
            <v>0</v>
          </cell>
          <cell r="L11" t="b">
            <v>0</v>
          </cell>
          <cell r="M11" t="b">
            <v>0</v>
          </cell>
          <cell r="N11" t="b">
            <v>0</v>
          </cell>
          <cell r="O11" t="b">
            <v>0</v>
          </cell>
          <cell r="P11" t="b">
            <v>0</v>
          </cell>
          <cell r="Q11" t="b">
            <v>0</v>
          </cell>
          <cell r="R11" t="b">
            <v>1</v>
          </cell>
          <cell r="S11" t="b">
            <v>0</v>
          </cell>
          <cell r="T11" t="b">
            <v>0</v>
          </cell>
          <cell r="U11" t="b">
            <v>0</v>
          </cell>
          <cell r="X11" t="str">
            <v/>
          </cell>
          <cell r="AA11" t="str">
            <v/>
          </cell>
          <cell r="AD11" t="str">
            <v/>
          </cell>
          <cell r="AG11" t="str">
            <v/>
          </cell>
          <cell r="AJ11" t="str">
            <v/>
          </cell>
          <cell r="AM11" t="str">
            <v/>
          </cell>
          <cell r="AP11" t="str">
            <v/>
          </cell>
          <cell r="AS11" t="str">
            <v/>
          </cell>
          <cell r="AV11" t="str">
            <v/>
          </cell>
          <cell r="AY11" t="str">
            <v/>
          </cell>
          <cell r="BB11" t="str">
            <v/>
          </cell>
          <cell r="BE11" t="str">
            <v/>
          </cell>
          <cell r="BH11" t="str">
            <v/>
          </cell>
          <cell r="BK11" t="str">
            <v/>
          </cell>
          <cell r="BN11" t="str">
            <v>Armguards of Destruction</v>
          </cell>
        </row>
        <row r="12">
          <cell r="A12" t="str">
            <v>Apparition Ribbon</v>
          </cell>
          <cell r="B12">
            <v>8</v>
          </cell>
          <cell r="C12" t="b">
            <v>0</v>
          </cell>
          <cell r="D12" t="b">
            <v>1</v>
          </cell>
          <cell r="E12" t="b">
            <v>0</v>
          </cell>
          <cell r="G12" t="b">
            <v>1</v>
          </cell>
          <cell r="H12" t="b">
            <v>0</v>
          </cell>
          <cell r="I12" t="b">
            <v>0</v>
          </cell>
          <cell r="J12" t="b">
            <v>0</v>
          </cell>
          <cell r="K12" t="b">
            <v>0</v>
          </cell>
          <cell r="L12" t="b">
            <v>0</v>
          </cell>
          <cell r="M12" t="b">
            <v>0</v>
          </cell>
          <cell r="N12" t="b">
            <v>0</v>
          </cell>
          <cell r="O12" t="b">
            <v>0</v>
          </cell>
          <cell r="P12" t="b">
            <v>0</v>
          </cell>
          <cell r="Q12" t="b">
            <v>0</v>
          </cell>
          <cell r="R12" t="b">
            <v>1</v>
          </cell>
          <cell r="S12" t="b">
            <v>0</v>
          </cell>
          <cell r="T12" t="b">
            <v>0</v>
          </cell>
          <cell r="U12" t="b">
            <v>0</v>
          </cell>
          <cell r="X12" t="str">
            <v/>
          </cell>
          <cell r="AA12" t="str">
            <v/>
          </cell>
          <cell r="AD12" t="str">
            <v/>
          </cell>
          <cell r="AG12" t="str">
            <v/>
          </cell>
          <cell r="AJ12" t="str">
            <v/>
          </cell>
          <cell r="AM12" t="str">
            <v/>
          </cell>
          <cell r="AP12" t="str">
            <v/>
          </cell>
          <cell r="AS12" t="str">
            <v/>
          </cell>
          <cell r="AV12" t="str">
            <v/>
          </cell>
          <cell r="AY12" t="str">
            <v/>
          </cell>
          <cell r="BB12" t="str">
            <v/>
          </cell>
          <cell r="BE12" t="str">
            <v/>
          </cell>
          <cell r="BH12" t="str">
            <v/>
          </cell>
          <cell r="BK12" t="str">
            <v/>
          </cell>
          <cell r="BN12" t="str">
            <v>Astral Vambraces</v>
          </cell>
        </row>
        <row r="13">
          <cell r="A13" t="str">
            <v>Arcane Focus</v>
          </cell>
          <cell r="B13">
            <v>9</v>
          </cell>
          <cell r="C13" t="b">
            <v>0</v>
          </cell>
          <cell r="D13" t="b">
            <v>1</v>
          </cell>
          <cell r="E13" t="b">
            <v>0</v>
          </cell>
          <cell r="G13" t="b">
            <v>1</v>
          </cell>
          <cell r="H13" t="b">
            <v>1</v>
          </cell>
          <cell r="I13" t="b">
            <v>0</v>
          </cell>
          <cell r="J13" t="b">
            <v>1</v>
          </cell>
          <cell r="K13" t="b">
            <v>0</v>
          </cell>
          <cell r="L13" t="b">
            <v>0</v>
          </cell>
          <cell r="M13" t="b">
            <v>0</v>
          </cell>
          <cell r="N13" t="b">
            <v>0</v>
          </cell>
          <cell r="O13" t="b">
            <v>0</v>
          </cell>
          <cell r="P13" t="b">
            <v>0</v>
          </cell>
          <cell r="Q13" t="b">
            <v>0</v>
          </cell>
          <cell r="R13" t="b">
            <v>1</v>
          </cell>
          <cell r="S13" t="b">
            <v>0</v>
          </cell>
          <cell r="T13" t="b">
            <v>0</v>
          </cell>
          <cell r="U13" t="b">
            <v>0</v>
          </cell>
          <cell r="X13" t="str">
            <v/>
          </cell>
          <cell r="AA13" t="str">
            <v/>
          </cell>
          <cell r="AD13" t="str">
            <v/>
          </cell>
          <cell r="AG13" t="str">
            <v/>
          </cell>
          <cell r="AJ13" t="str">
            <v/>
          </cell>
          <cell r="AM13" t="str">
            <v/>
          </cell>
          <cell r="AP13" t="str">
            <v/>
          </cell>
          <cell r="AS13" t="str">
            <v/>
          </cell>
          <cell r="AV13" t="str">
            <v/>
          </cell>
          <cell r="AY13" t="str">
            <v/>
          </cell>
          <cell r="BB13" t="str">
            <v/>
          </cell>
          <cell r="BE13" t="str">
            <v/>
          </cell>
          <cell r="BH13" t="str">
            <v/>
          </cell>
          <cell r="BK13" t="str">
            <v/>
          </cell>
          <cell r="BN13" t="str">
            <v>Basilisk Mask</v>
          </cell>
        </row>
        <row r="14">
          <cell r="A14" t="str">
            <v>Armguards of Destruction</v>
          </cell>
          <cell r="B14">
            <v>10</v>
          </cell>
          <cell r="C14" t="b">
            <v>0</v>
          </cell>
          <cell r="D14" t="b">
            <v>1</v>
          </cell>
          <cell r="E14" t="b">
            <v>0</v>
          </cell>
          <cell r="F14" t="str">
            <v>Good</v>
          </cell>
          <cell r="G14" t="b">
            <v>1</v>
          </cell>
          <cell r="H14" t="b">
            <v>1</v>
          </cell>
          <cell r="I14" t="b">
            <v>0</v>
          </cell>
          <cell r="J14" t="b">
            <v>1</v>
          </cell>
          <cell r="K14" t="b">
            <v>0</v>
          </cell>
          <cell r="L14" t="b">
            <v>0</v>
          </cell>
          <cell r="M14" t="b">
            <v>0</v>
          </cell>
          <cell r="N14" t="b">
            <v>0</v>
          </cell>
          <cell r="O14" t="b">
            <v>1</v>
          </cell>
          <cell r="P14" t="b">
            <v>0</v>
          </cell>
          <cell r="Q14" t="b">
            <v>0</v>
          </cell>
          <cell r="R14" t="b">
            <v>0</v>
          </cell>
          <cell r="S14" t="b">
            <v>0</v>
          </cell>
          <cell r="T14" t="b">
            <v>0</v>
          </cell>
          <cell r="U14" t="b">
            <v>0</v>
          </cell>
          <cell r="X14" t="str">
            <v/>
          </cell>
          <cell r="AA14" t="str">
            <v/>
          </cell>
          <cell r="AD14" t="str">
            <v/>
          </cell>
          <cell r="AG14" t="str">
            <v/>
          </cell>
          <cell r="AJ14" t="str">
            <v/>
          </cell>
          <cell r="AM14" t="str">
            <v/>
          </cell>
          <cell r="AP14" t="str">
            <v/>
          </cell>
          <cell r="AS14" t="str">
            <v/>
          </cell>
          <cell r="AV14" t="str">
            <v/>
          </cell>
          <cell r="AY14" t="str">
            <v/>
          </cell>
          <cell r="BB14" t="str">
            <v/>
          </cell>
          <cell r="BE14" t="str">
            <v/>
          </cell>
          <cell r="BH14" t="str">
            <v/>
          </cell>
          <cell r="BK14" t="str">
            <v/>
          </cell>
          <cell r="BN14" t="str">
            <v>Beast Tamer Circlet</v>
          </cell>
        </row>
        <row r="15">
          <cell r="A15" t="str">
            <v>Astral Vambraces</v>
          </cell>
          <cell r="B15">
            <v>11</v>
          </cell>
          <cell r="C15" t="b">
            <v>0</v>
          </cell>
          <cell r="D15" t="b">
            <v>1</v>
          </cell>
          <cell r="E15" t="b">
            <v>0</v>
          </cell>
          <cell r="G15" t="b">
            <v>1</v>
          </cell>
          <cell r="H15" t="b">
            <v>1</v>
          </cell>
          <cell r="I15" t="b">
            <v>0</v>
          </cell>
          <cell r="J15" t="b">
            <v>1</v>
          </cell>
          <cell r="K15" t="b">
            <v>0</v>
          </cell>
          <cell r="L15" t="b">
            <v>0</v>
          </cell>
          <cell r="M15" t="b">
            <v>0</v>
          </cell>
          <cell r="N15" t="b">
            <v>1</v>
          </cell>
          <cell r="O15" t="b">
            <v>1</v>
          </cell>
          <cell r="P15" t="b">
            <v>0</v>
          </cell>
          <cell r="Q15" t="b">
            <v>0</v>
          </cell>
          <cell r="R15" t="b">
            <v>0</v>
          </cell>
          <cell r="S15" t="b">
            <v>0</v>
          </cell>
          <cell r="T15" t="b">
            <v>0</v>
          </cell>
          <cell r="U15" t="b">
            <v>0</v>
          </cell>
          <cell r="X15" t="str">
            <v/>
          </cell>
          <cell r="AA15" t="str">
            <v/>
          </cell>
          <cell r="AD15" t="str">
            <v/>
          </cell>
          <cell r="AG15" t="str">
            <v/>
          </cell>
          <cell r="AJ15" t="str">
            <v/>
          </cell>
          <cell r="AM15" t="str">
            <v/>
          </cell>
          <cell r="AP15" t="str">
            <v/>
          </cell>
          <cell r="AS15" t="str">
            <v/>
          </cell>
          <cell r="AV15" t="str">
            <v/>
          </cell>
          <cell r="AY15" t="str">
            <v/>
          </cell>
          <cell r="BB15" t="str">
            <v/>
          </cell>
          <cell r="BE15" t="str">
            <v/>
          </cell>
          <cell r="BH15" t="str">
            <v/>
          </cell>
          <cell r="BK15" t="str">
            <v/>
          </cell>
          <cell r="BN15" t="str">
            <v>Behir Gorget</v>
          </cell>
        </row>
        <row r="16">
          <cell r="A16" t="str">
            <v>Basilisk Mask</v>
          </cell>
          <cell r="B16">
            <v>12</v>
          </cell>
          <cell r="C16" t="b">
            <v>0</v>
          </cell>
          <cell r="D16" t="b">
            <v>1</v>
          </cell>
          <cell r="E16" t="b">
            <v>0</v>
          </cell>
          <cell r="G16" t="b">
            <v>0</v>
          </cell>
          <cell r="H16" t="b">
            <v>0</v>
          </cell>
          <cell r="I16" t="b">
            <v>1</v>
          </cell>
          <cell r="J16" t="b">
            <v>0</v>
          </cell>
          <cell r="K16" t="b">
            <v>0</v>
          </cell>
          <cell r="L16" t="b">
            <v>0</v>
          </cell>
          <cell r="M16" t="b">
            <v>0</v>
          </cell>
          <cell r="N16" t="b">
            <v>0</v>
          </cell>
          <cell r="O16" t="b">
            <v>0</v>
          </cell>
          <cell r="P16" t="b">
            <v>1</v>
          </cell>
          <cell r="Q16" t="b">
            <v>0</v>
          </cell>
          <cell r="R16" t="b">
            <v>0</v>
          </cell>
          <cell r="S16" t="b">
            <v>0</v>
          </cell>
          <cell r="T16" t="b">
            <v>0</v>
          </cell>
          <cell r="U16" t="b">
            <v>0</v>
          </cell>
          <cell r="X16" t="str">
            <v/>
          </cell>
          <cell r="AA16" t="str">
            <v/>
          </cell>
          <cell r="AD16" t="str">
            <v/>
          </cell>
          <cell r="AG16" t="str">
            <v/>
          </cell>
          <cell r="AJ16" t="str">
            <v/>
          </cell>
          <cell r="AM16" t="str">
            <v/>
          </cell>
          <cell r="AP16" t="str">
            <v/>
          </cell>
          <cell r="AS16" t="str">
            <v/>
          </cell>
          <cell r="AV16" t="str">
            <v/>
          </cell>
          <cell r="AY16" t="str">
            <v/>
          </cell>
          <cell r="BB16" t="str">
            <v/>
          </cell>
          <cell r="BE16" t="str">
            <v/>
          </cell>
          <cell r="BH16" t="str">
            <v/>
          </cell>
          <cell r="BK16" t="str">
            <v/>
          </cell>
          <cell r="BN16" t="str">
            <v>Blink Shirt</v>
          </cell>
        </row>
        <row r="17">
          <cell r="A17" t="str">
            <v>Beast Tamer Circlet</v>
          </cell>
          <cell r="B17">
            <v>13</v>
          </cell>
          <cell r="C17" t="b">
            <v>0</v>
          </cell>
          <cell r="D17" t="b">
            <v>1</v>
          </cell>
          <cell r="E17" t="b">
            <v>0</v>
          </cell>
          <cell r="G17" t="b">
            <v>0</v>
          </cell>
          <cell r="H17" t="b">
            <v>0</v>
          </cell>
          <cell r="I17" t="b">
            <v>1</v>
          </cell>
          <cell r="J17" t="b">
            <v>0</v>
          </cell>
          <cell r="K17" t="b">
            <v>0</v>
          </cell>
          <cell r="L17" t="b">
            <v>1</v>
          </cell>
          <cell r="M17" t="b">
            <v>0</v>
          </cell>
          <cell r="N17" t="b">
            <v>0</v>
          </cell>
          <cell r="O17" t="b">
            <v>0</v>
          </cell>
          <cell r="P17" t="b">
            <v>0</v>
          </cell>
          <cell r="Q17" t="b">
            <v>0</v>
          </cell>
          <cell r="R17" t="b">
            <v>0</v>
          </cell>
          <cell r="S17" t="b">
            <v>0</v>
          </cell>
          <cell r="T17" t="b">
            <v>0</v>
          </cell>
          <cell r="U17" t="b">
            <v>0</v>
          </cell>
          <cell r="X17" t="str">
            <v/>
          </cell>
          <cell r="AA17" t="str">
            <v/>
          </cell>
          <cell r="AD17" t="str">
            <v/>
          </cell>
          <cell r="AG17" t="str">
            <v/>
          </cell>
          <cell r="AJ17" t="str">
            <v/>
          </cell>
          <cell r="AM17" t="str">
            <v/>
          </cell>
          <cell r="AP17" t="str">
            <v/>
          </cell>
          <cell r="AS17" t="str">
            <v/>
          </cell>
          <cell r="AV17" t="str">
            <v/>
          </cell>
          <cell r="AY17" t="str">
            <v/>
          </cell>
          <cell r="BB17" t="str">
            <v/>
          </cell>
          <cell r="BE17" t="str">
            <v/>
          </cell>
          <cell r="BH17" t="str">
            <v/>
          </cell>
          <cell r="BK17" t="str">
            <v/>
          </cell>
          <cell r="BN17" t="str">
            <v>Bloodtalons</v>
          </cell>
        </row>
        <row r="18">
          <cell r="A18" t="str">
            <v>Behir Gorget</v>
          </cell>
          <cell r="B18">
            <v>14</v>
          </cell>
          <cell r="C18" t="b">
            <v>0</v>
          </cell>
          <cell r="D18" t="b">
            <v>1</v>
          </cell>
          <cell r="E18" t="b">
            <v>0</v>
          </cell>
          <cell r="G18" t="b">
            <v>0</v>
          </cell>
          <cell r="H18" t="b">
            <v>0</v>
          </cell>
          <cell r="I18" t="b">
            <v>1</v>
          </cell>
          <cell r="J18" t="b">
            <v>0</v>
          </cell>
          <cell r="K18" t="b">
            <v>0</v>
          </cell>
          <cell r="L18" t="b">
            <v>0</v>
          </cell>
          <cell r="M18" t="b">
            <v>0</v>
          </cell>
          <cell r="N18" t="b">
            <v>0</v>
          </cell>
          <cell r="O18" t="b">
            <v>0</v>
          </cell>
          <cell r="P18" t="b">
            <v>0</v>
          </cell>
          <cell r="Q18" t="b">
            <v>0</v>
          </cell>
          <cell r="R18" t="b">
            <v>1</v>
          </cell>
          <cell r="S18" t="b">
            <v>0</v>
          </cell>
          <cell r="T18" t="b">
            <v>0</v>
          </cell>
          <cell r="U18" t="b">
            <v>0</v>
          </cell>
          <cell r="X18" t="str">
            <v/>
          </cell>
          <cell r="AA18" t="str">
            <v/>
          </cell>
          <cell r="AD18" t="str">
            <v/>
          </cell>
          <cell r="AG18" t="str">
            <v/>
          </cell>
          <cell r="AJ18" t="str">
            <v/>
          </cell>
          <cell r="AM18" t="str">
            <v/>
          </cell>
          <cell r="AP18" t="str">
            <v/>
          </cell>
          <cell r="AS18" t="str">
            <v/>
          </cell>
          <cell r="AV18" t="str">
            <v/>
          </cell>
          <cell r="AY18" t="str">
            <v/>
          </cell>
          <cell r="BB18" t="str">
            <v/>
          </cell>
          <cell r="BE18" t="str">
            <v/>
          </cell>
          <cell r="BH18" t="str">
            <v/>
          </cell>
          <cell r="BK18" t="str">
            <v/>
          </cell>
          <cell r="BN18" t="str">
            <v>Bloodwar Gauntlets</v>
          </cell>
        </row>
        <row r="19">
          <cell r="A19" t="str">
            <v>Blink Shirt</v>
          </cell>
          <cell r="B19">
            <v>15</v>
          </cell>
          <cell r="C19" t="b">
            <v>0</v>
          </cell>
          <cell r="D19" t="b">
            <v>1</v>
          </cell>
          <cell r="E19" t="b">
            <v>0</v>
          </cell>
          <cell r="G19" t="b">
            <v>0</v>
          </cell>
          <cell r="H19" t="b">
            <v>0</v>
          </cell>
          <cell r="I19" t="b">
            <v>1</v>
          </cell>
          <cell r="J19" t="b">
            <v>0</v>
          </cell>
          <cell r="K19" t="b">
            <v>0</v>
          </cell>
          <cell r="L19" t="b">
            <v>0</v>
          </cell>
          <cell r="M19" t="b">
            <v>0</v>
          </cell>
          <cell r="N19" t="b">
            <v>0</v>
          </cell>
          <cell r="O19" t="b">
            <v>0</v>
          </cell>
          <cell r="P19" t="b">
            <v>0</v>
          </cell>
          <cell r="Q19" t="b">
            <v>0</v>
          </cell>
          <cell r="R19" t="b">
            <v>0</v>
          </cell>
          <cell r="S19" t="b">
            <v>0</v>
          </cell>
          <cell r="T19" t="b">
            <v>1</v>
          </cell>
          <cell r="U19" t="b">
            <v>0</v>
          </cell>
          <cell r="X19" t="str">
            <v/>
          </cell>
          <cell r="AA19" t="str">
            <v/>
          </cell>
          <cell r="AD19" t="str">
            <v/>
          </cell>
          <cell r="AG19" t="str">
            <v/>
          </cell>
          <cell r="AJ19" t="str">
            <v/>
          </cell>
          <cell r="AM19" t="str">
            <v/>
          </cell>
          <cell r="AP19" t="str">
            <v/>
          </cell>
          <cell r="AS19" t="str">
            <v/>
          </cell>
          <cell r="AV19" t="str">
            <v/>
          </cell>
          <cell r="AY19" t="str">
            <v/>
          </cell>
          <cell r="BB19" t="str">
            <v/>
          </cell>
          <cell r="BE19" t="str">
            <v/>
          </cell>
          <cell r="BH19" t="str">
            <v/>
          </cell>
          <cell r="BK19" t="str">
            <v/>
          </cell>
          <cell r="BN19" t="str">
            <v>Bluesteel Bracers</v>
          </cell>
        </row>
        <row r="20">
          <cell r="A20" t="str">
            <v>Bloodtalons</v>
          </cell>
          <cell r="B20">
            <v>16</v>
          </cell>
          <cell r="C20" t="b">
            <v>0</v>
          </cell>
          <cell r="D20" t="b">
            <v>1</v>
          </cell>
          <cell r="E20" t="b">
            <v>0</v>
          </cell>
          <cell r="G20" t="b">
            <v>0</v>
          </cell>
          <cell r="H20" t="b">
            <v>0</v>
          </cell>
          <cell r="I20" t="b">
            <v>1</v>
          </cell>
          <cell r="J20" t="b">
            <v>0</v>
          </cell>
          <cell r="K20" t="b">
            <v>0</v>
          </cell>
          <cell r="L20" t="b">
            <v>0</v>
          </cell>
          <cell r="M20" t="b">
            <v>0</v>
          </cell>
          <cell r="N20" t="b">
            <v>1</v>
          </cell>
          <cell r="O20" t="b">
            <v>0</v>
          </cell>
          <cell r="P20" t="b">
            <v>0</v>
          </cell>
          <cell r="Q20" t="b">
            <v>0</v>
          </cell>
          <cell r="R20" t="b">
            <v>0</v>
          </cell>
          <cell r="S20" t="b">
            <v>0</v>
          </cell>
          <cell r="T20" t="b">
            <v>0</v>
          </cell>
          <cell r="U20" t="b">
            <v>0</v>
          </cell>
          <cell r="X20" t="str">
            <v/>
          </cell>
          <cell r="AA20" t="str">
            <v/>
          </cell>
          <cell r="AD20" t="str">
            <v/>
          </cell>
          <cell r="AG20" t="str">
            <v/>
          </cell>
          <cell r="AJ20" t="str">
            <v/>
          </cell>
          <cell r="AM20" t="str">
            <v/>
          </cell>
          <cell r="AP20" t="str">
            <v/>
          </cell>
          <cell r="AS20" t="str">
            <v/>
          </cell>
          <cell r="AV20" t="str">
            <v/>
          </cell>
          <cell r="AY20" t="str">
            <v/>
          </cell>
          <cell r="BB20" t="str">
            <v/>
          </cell>
          <cell r="BE20" t="str">
            <v/>
          </cell>
          <cell r="BH20" t="str">
            <v/>
          </cell>
          <cell r="BK20" t="str">
            <v/>
          </cell>
          <cell r="BN20" t="str">
            <v>Brass Mane</v>
          </cell>
        </row>
        <row r="21">
          <cell r="A21" t="str">
            <v>Bloodwar Gauntlets</v>
          </cell>
          <cell r="B21">
            <v>17</v>
          </cell>
          <cell r="C21" t="b">
            <v>0</v>
          </cell>
          <cell r="D21" t="b">
            <v>1</v>
          </cell>
          <cell r="E21" t="b">
            <v>0</v>
          </cell>
          <cell r="F21" t="str">
            <v>Evil</v>
          </cell>
          <cell r="G21" t="b">
            <v>1</v>
          </cell>
          <cell r="H21" t="b">
            <v>0</v>
          </cell>
          <cell r="I21" t="b">
            <v>0</v>
          </cell>
          <cell r="J21" t="b">
            <v>0</v>
          </cell>
          <cell r="K21" t="b">
            <v>0</v>
          </cell>
          <cell r="L21" t="b">
            <v>0</v>
          </cell>
          <cell r="M21" t="b">
            <v>0</v>
          </cell>
          <cell r="N21" t="b">
            <v>1</v>
          </cell>
          <cell r="O21" t="b">
            <v>1</v>
          </cell>
          <cell r="P21" t="b">
            <v>0</v>
          </cell>
          <cell r="Q21" t="b">
            <v>0</v>
          </cell>
          <cell r="R21" t="b">
            <v>0</v>
          </cell>
          <cell r="S21" t="b">
            <v>0</v>
          </cell>
          <cell r="T21" t="b">
            <v>0</v>
          </cell>
          <cell r="U21" t="b">
            <v>0</v>
          </cell>
          <cell r="X21" t="str">
            <v/>
          </cell>
          <cell r="AA21" t="str">
            <v/>
          </cell>
          <cell r="AD21" t="str">
            <v/>
          </cell>
          <cell r="AG21" t="str">
            <v/>
          </cell>
          <cell r="AJ21" t="str">
            <v/>
          </cell>
          <cell r="AM21" t="str">
            <v/>
          </cell>
          <cell r="AP21" t="str">
            <v/>
          </cell>
          <cell r="AS21" t="str">
            <v/>
          </cell>
          <cell r="AV21" t="str">
            <v/>
          </cell>
          <cell r="AY21" t="str">
            <v/>
          </cell>
          <cell r="BB21" t="str">
            <v/>
          </cell>
          <cell r="BE21" t="str">
            <v/>
          </cell>
          <cell r="BH21" t="str">
            <v/>
          </cell>
          <cell r="BK21" t="str">
            <v/>
          </cell>
          <cell r="BN21" t="str">
            <v>Cerulean Sandals</v>
          </cell>
        </row>
        <row r="22">
          <cell r="A22" t="str">
            <v>Bluesteel Bracers</v>
          </cell>
          <cell r="B22">
            <v>18</v>
          </cell>
          <cell r="C22" t="b">
            <v>0</v>
          </cell>
          <cell r="D22" t="b">
            <v>1</v>
          </cell>
          <cell r="E22" t="b">
            <v>0</v>
          </cell>
          <cell r="G22" t="b">
            <v>1</v>
          </cell>
          <cell r="H22" t="b">
            <v>1</v>
          </cell>
          <cell r="I22" t="b">
            <v>0</v>
          </cell>
          <cell r="J22" t="b">
            <v>1</v>
          </cell>
          <cell r="K22" t="b">
            <v>0</v>
          </cell>
          <cell r="L22" t="b">
            <v>0</v>
          </cell>
          <cell r="M22" t="b">
            <v>0</v>
          </cell>
          <cell r="N22" t="b">
            <v>0</v>
          </cell>
          <cell r="O22" t="b">
            <v>1</v>
          </cell>
          <cell r="P22" t="b">
            <v>0</v>
          </cell>
          <cell r="Q22" t="b">
            <v>0</v>
          </cell>
          <cell r="R22" t="b">
            <v>0</v>
          </cell>
          <cell r="S22" t="b">
            <v>0</v>
          </cell>
          <cell r="T22" t="b">
            <v>0</v>
          </cell>
          <cell r="U22" t="b">
            <v>0</v>
          </cell>
          <cell r="X22" t="str">
            <v/>
          </cell>
          <cell r="AA22" t="str">
            <v/>
          </cell>
          <cell r="AD22" t="str">
            <v/>
          </cell>
          <cell r="AG22" t="str">
            <v/>
          </cell>
          <cell r="AJ22" t="str">
            <v/>
          </cell>
          <cell r="AM22" t="str">
            <v/>
          </cell>
          <cell r="AP22" t="str">
            <v/>
          </cell>
          <cell r="AS22" t="str">
            <v/>
          </cell>
          <cell r="AV22" t="str">
            <v/>
          </cell>
          <cell r="AY22" t="str">
            <v/>
          </cell>
          <cell r="BB22" t="str">
            <v/>
          </cell>
          <cell r="BE22" t="str">
            <v/>
          </cell>
          <cell r="BH22" t="str">
            <v/>
          </cell>
          <cell r="BK22" t="str">
            <v/>
          </cell>
          <cell r="BN22" t="str">
            <v>Charming Veil</v>
          </cell>
        </row>
        <row r="23">
          <cell r="A23" t="str">
            <v>Brass Mane</v>
          </cell>
          <cell r="B23">
            <v>19</v>
          </cell>
          <cell r="C23" t="b">
            <v>0</v>
          </cell>
          <cell r="D23" t="b">
            <v>1</v>
          </cell>
          <cell r="E23" t="b">
            <v>0</v>
          </cell>
          <cell r="G23" t="b">
            <v>0</v>
          </cell>
          <cell r="H23" t="b">
            <v>0</v>
          </cell>
          <cell r="I23" t="b">
            <v>1</v>
          </cell>
          <cell r="J23" t="b">
            <v>0</v>
          </cell>
          <cell r="K23" t="b">
            <v>0</v>
          </cell>
          <cell r="L23" t="b">
            <v>0</v>
          </cell>
          <cell r="M23" t="b">
            <v>0</v>
          </cell>
          <cell r="N23" t="b">
            <v>0</v>
          </cell>
          <cell r="O23" t="b">
            <v>0</v>
          </cell>
          <cell r="P23" t="b">
            <v>0</v>
          </cell>
          <cell r="Q23" t="b">
            <v>0</v>
          </cell>
          <cell r="R23" t="b">
            <v>1</v>
          </cell>
          <cell r="S23" t="b">
            <v>0</v>
          </cell>
          <cell r="T23" t="b">
            <v>0</v>
          </cell>
          <cell r="U23" t="b">
            <v>0</v>
          </cell>
          <cell r="X23" t="str">
            <v/>
          </cell>
          <cell r="AA23" t="str">
            <v/>
          </cell>
          <cell r="AD23" t="str">
            <v/>
          </cell>
          <cell r="AG23" t="str">
            <v/>
          </cell>
          <cell r="AJ23" t="str">
            <v/>
          </cell>
          <cell r="AM23" t="str">
            <v/>
          </cell>
          <cell r="AP23" t="str">
            <v/>
          </cell>
          <cell r="AS23" t="str">
            <v/>
          </cell>
          <cell r="AV23" t="str">
            <v/>
          </cell>
          <cell r="AY23" t="str">
            <v/>
          </cell>
          <cell r="BB23" t="str">
            <v/>
          </cell>
          <cell r="BE23" t="str">
            <v/>
          </cell>
          <cell r="BH23" t="str">
            <v/>
          </cell>
          <cell r="BK23" t="str">
            <v/>
          </cell>
          <cell r="BN23" t="str">
            <v>Crystal Helm</v>
          </cell>
        </row>
        <row r="24">
          <cell r="A24" t="str">
            <v>Cerulean Sandals</v>
          </cell>
          <cell r="B24">
            <v>20</v>
          </cell>
          <cell r="C24" t="b">
            <v>0</v>
          </cell>
          <cell r="D24" t="b">
            <v>1</v>
          </cell>
          <cell r="E24" t="b">
            <v>0</v>
          </cell>
          <cell r="G24" t="b">
            <v>1</v>
          </cell>
          <cell r="H24" t="b">
            <v>1</v>
          </cell>
          <cell r="I24" t="b">
            <v>0</v>
          </cell>
          <cell r="J24" t="b">
            <v>1</v>
          </cell>
          <cell r="K24" t="b">
            <v>0</v>
          </cell>
          <cell r="L24" t="b">
            <v>0</v>
          </cell>
          <cell r="M24" t="b">
            <v>1</v>
          </cell>
          <cell r="N24" t="b">
            <v>0</v>
          </cell>
          <cell r="O24" t="b">
            <v>0</v>
          </cell>
          <cell r="P24" t="b">
            <v>0</v>
          </cell>
          <cell r="Q24" t="b">
            <v>0</v>
          </cell>
          <cell r="R24" t="b">
            <v>0</v>
          </cell>
          <cell r="S24" t="b">
            <v>0</v>
          </cell>
          <cell r="T24" t="b">
            <v>0</v>
          </cell>
          <cell r="U24" t="b">
            <v>0</v>
          </cell>
          <cell r="X24" t="str">
            <v/>
          </cell>
          <cell r="AA24" t="str">
            <v/>
          </cell>
          <cell r="AD24" t="str">
            <v/>
          </cell>
          <cell r="AG24" t="str">
            <v/>
          </cell>
          <cell r="AJ24" t="str">
            <v/>
          </cell>
          <cell r="AM24" t="str">
            <v/>
          </cell>
          <cell r="AP24" t="str">
            <v/>
          </cell>
          <cell r="AS24" t="str">
            <v/>
          </cell>
          <cell r="AV24" t="str">
            <v/>
          </cell>
          <cell r="AY24" t="str">
            <v/>
          </cell>
          <cell r="BB24" t="str">
            <v/>
          </cell>
          <cell r="BE24" t="str">
            <v/>
          </cell>
          <cell r="BH24" t="str">
            <v/>
          </cell>
          <cell r="BK24" t="str">
            <v/>
          </cell>
          <cell r="BN24" t="str">
            <v>Diadem of Purelight</v>
          </cell>
        </row>
        <row r="25">
          <cell r="A25" t="str">
            <v>Charming Veil</v>
          </cell>
          <cell r="B25">
            <v>21</v>
          </cell>
          <cell r="C25" t="b">
            <v>0</v>
          </cell>
          <cell r="D25" t="b">
            <v>1</v>
          </cell>
          <cell r="E25" t="b">
            <v>0</v>
          </cell>
          <cell r="G25" t="b">
            <v>1</v>
          </cell>
          <cell r="H25" t="b">
            <v>1</v>
          </cell>
          <cell r="I25" t="b">
            <v>0</v>
          </cell>
          <cell r="J25" t="b">
            <v>1</v>
          </cell>
          <cell r="K25" t="b">
            <v>0</v>
          </cell>
          <cell r="L25" t="b">
            <v>0</v>
          </cell>
          <cell r="M25" t="b">
            <v>0</v>
          </cell>
          <cell r="N25" t="b">
            <v>0</v>
          </cell>
          <cell r="O25" t="b">
            <v>0</v>
          </cell>
          <cell r="P25" t="b">
            <v>1</v>
          </cell>
          <cell r="Q25" t="b">
            <v>0</v>
          </cell>
          <cell r="R25" t="b">
            <v>0</v>
          </cell>
          <cell r="S25" t="b">
            <v>0</v>
          </cell>
          <cell r="T25" t="b">
            <v>0</v>
          </cell>
          <cell r="U25" t="b">
            <v>0</v>
          </cell>
          <cell r="X25" t="str">
            <v/>
          </cell>
          <cell r="AA25" t="str">
            <v/>
          </cell>
          <cell r="AD25" t="str">
            <v/>
          </cell>
          <cell r="AG25" t="str">
            <v/>
          </cell>
          <cell r="AJ25" t="str">
            <v/>
          </cell>
          <cell r="AM25" t="str">
            <v/>
          </cell>
          <cell r="AP25" t="str">
            <v/>
          </cell>
          <cell r="AS25" t="str">
            <v/>
          </cell>
          <cell r="AV25" t="str">
            <v/>
          </cell>
          <cell r="AY25" t="str">
            <v/>
          </cell>
          <cell r="BB25" t="str">
            <v/>
          </cell>
          <cell r="BE25" t="str">
            <v/>
          </cell>
          <cell r="BH25" t="str">
            <v/>
          </cell>
          <cell r="BK25" t="str">
            <v/>
          </cell>
          <cell r="BN25" t="str">
            <v>Disenchanter Mask</v>
          </cell>
        </row>
        <row r="26">
          <cell r="A26" t="str">
            <v>Crystal Helm</v>
          </cell>
          <cell r="B26">
            <v>22</v>
          </cell>
          <cell r="C26" t="b">
            <v>0</v>
          </cell>
          <cell r="D26" t="b">
            <v>1</v>
          </cell>
          <cell r="E26" t="b">
            <v>0</v>
          </cell>
          <cell r="G26" t="b">
            <v>1</v>
          </cell>
          <cell r="H26" t="b">
            <v>1</v>
          </cell>
          <cell r="I26" t="b">
            <v>0</v>
          </cell>
          <cell r="J26" t="b">
            <v>1</v>
          </cell>
          <cell r="K26" t="b">
            <v>0</v>
          </cell>
          <cell r="L26" t="b">
            <v>1</v>
          </cell>
          <cell r="M26" t="b">
            <v>0</v>
          </cell>
          <cell r="N26" t="b">
            <v>0</v>
          </cell>
          <cell r="O26" t="b">
            <v>0</v>
          </cell>
          <cell r="P26" t="b">
            <v>0</v>
          </cell>
          <cell r="Q26" t="b">
            <v>0</v>
          </cell>
          <cell r="R26" t="b">
            <v>0</v>
          </cell>
          <cell r="S26" t="b">
            <v>0</v>
          </cell>
          <cell r="T26" t="b">
            <v>0</v>
          </cell>
          <cell r="U26" t="b">
            <v>0</v>
          </cell>
          <cell r="X26" t="str">
            <v/>
          </cell>
          <cell r="AA26" t="str">
            <v/>
          </cell>
          <cell r="AD26" t="str">
            <v/>
          </cell>
          <cell r="AG26" t="str">
            <v/>
          </cell>
          <cell r="AJ26" t="str">
            <v/>
          </cell>
          <cell r="AM26" t="str">
            <v/>
          </cell>
          <cell r="AP26" t="str">
            <v/>
          </cell>
          <cell r="AS26" t="str">
            <v/>
          </cell>
          <cell r="AV26" t="str">
            <v/>
          </cell>
          <cell r="AY26" t="str">
            <v/>
          </cell>
          <cell r="BB26" t="str">
            <v/>
          </cell>
          <cell r="BE26" t="str">
            <v/>
          </cell>
          <cell r="BH26" t="str">
            <v/>
          </cell>
          <cell r="BK26" t="str">
            <v/>
          </cell>
          <cell r="BN26" t="str">
            <v>Displacer Mantle</v>
          </cell>
        </row>
        <row r="27">
          <cell r="A27" t="str">
            <v>Diadem of Purelight</v>
          </cell>
          <cell r="B27">
            <v>23</v>
          </cell>
          <cell r="C27" t="b">
            <v>0</v>
          </cell>
          <cell r="D27" t="b">
            <v>1</v>
          </cell>
          <cell r="E27" t="b">
            <v>0</v>
          </cell>
          <cell r="G27" t="b">
            <v>1</v>
          </cell>
          <cell r="H27" t="b">
            <v>1</v>
          </cell>
          <cell r="I27" t="b">
            <v>0</v>
          </cell>
          <cell r="J27" t="b">
            <v>1</v>
          </cell>
          <cell r="K27" t="b">
            <v>0</v>
          </cell>
          <cell r="L27" t="b">
            <v>1</v>
          </cell>
          <cell r="M27" t="b">
            <v>0</v>
          </cell>
          <cell r="N27" t="b">
            <v>0</v>
          </cell>
          <cell r="O27" t="b">
            <v>0</v>
          </cell>
          <cell r="P27" t="b">
            <v>0</v>
          </cell>
          <cell r="Q27" t="b">
            <v>0</v>
          </cell>
          <cell r="R27" t="b">
            <v>0</v>
          </cell>
          <cell r="S27" t="b">
            <v>0</v>
          </cell>
          <cell r="T27" t="b">
            <v>0</v>
          </cell>
          <cell r="U27" t="b">
            <v>0</v>
          </cell>
          <cell r="X27" t="str">
            <v/>
          </cell>
          <cell r="AA27" t="str">
            <v/>
          </cell>
          <cell r="AD27" t="str">
            <v/>
          </cell>
          <cell r="AG27" t="str">
            <v/>
          </cell>
          <cell r="AJ27" t="str">
            <v/>
          </cell>
          <cell r="AM27" t="str">
            <v/>
          </cell>
          <cell r="AP27" t="str">
            <v/>
          </cell>
          <cell r="AS27" t="str">
            <v/>
          </cell>
          <cell r="AV27" t="str">
            <v/>
          </cell>
          <cell r="AY27" t="str">
            <v/>
          </cell>
          <cell r="BB27" t="str">
            <v/>
          </cell>
          <cell r="BE27" t="str">
            <v/>
          </cell>
          <cell r="BH27" t="str">
            <v/>
          </cell>
          <cell r="BK27" t="str">
            <v/>
          </cell>
          <cell r="BN27" t="str">
            <v>Dissolving Spittle</v>
          </cell>
        </row>
        <row r="28">
          <cell r="A28" t="str">
            <v>Disenchanter Mask</v>
          </cell>
          <cell r="B28">
            <v>24</v>
          </cell>
          <cell r="C28" t="b">
            <v>0</v>
          </cell>
          <cell r="D28" t="b">
            <v>1</v>
          </cell>
          <cell r="E28" t="b">
            <v>0</v>
          </cell>
          <cell r="G28" t="b">
            <v>0</v>
          </cell>
          <cell r="H28" t="b">
            <v>0</v>
          </cell>
          <cell r="I28" t="b">
            <v>1</v>
          </cell>
          <cell r="J28" t="b">
            <v>0</v>
          </cell>
          <cell r="K28" t="b">
            <v>0</v>
          </cell>
          <cell r="L28" t="b">
            <v>0</v>
          </cell>
          <cell r="M28" t="b">
            <v>0</v>
          </cell>
          <cell r="N28" t="b">
            <v>0</v>
          </cell>
          <cell r="O28" t="b">
            <v>0</v>
          </cell>
          <cell r="P28" t="b">
            <v>1</v>
          </cell>
          <cell r="Q28" t="b">
            <v>0</v>
          </cell>
          <cell r="R28" t="b">
            <v>0</v>
          </cell>
          <cell r="S28" t="b">
            <v>0</v>
          </cell>
          <cell r="T28" t="b">
            <v>0</v>
          </cell>
          <cell r="U28" t="b">
            <v>0</v>
          </cell>
          <cell r="X28" t="str">
            <v/>
          </cell>
          <cell r="AA28" t="str">
            <v/>
          </cell>
          <cell r="AD28" t="str">
            <v/>
          </cell>
          <cell r="AG28" t="str">
            <v/>
          </cell>
          <cell r="AJ28" t="str">
            <v/>
          </cell>
          <cell r="AM28" t="str">
            <v/>
          </cell>
          <cell r="AP28" t="str">
            <v/>
          </cell>
          <cell r="AS28" t="str">
            <v/>
          </cell>
          <cell r="AV28" t="str">
            <v/>
          </cell>
          <cell r="AY28" t="str">
            <v/>
          </cell>
          <cell r="BB28" t="str">
            <v/>
          </cell>
          <cell r="BE28" t="str">
            <v/>
          </cell>
          <cell r="BH28" t="str">
            <v/>
          </cell>
          <cell r="BK28" t="str">
            <v/>
          </cell>
          <cell r="BN28" t="str">
            <v>Dread Carapace</v>
          </cell>
        </row>
        <row r="29">
          <cell r="A29" t="str">
            <v>Displacer Mantle</v>
          </cell>
          <cell r="B29">
            <v>25</v>
          </cell>
          <cell r="C29" t="b">
            <v>0</v>
          </cell>
          <cell r="D29" t="b">
            <v>1</v>
          </cell>
          <cell r="E29" t="b">
            <v>0</v>
          </cell>
          <cell r="G29" t="b">
            <v>0</v>
          </cell>
          <cell r="H29" t="b">
            <v>0</v>
          </cell>
          <cell r="I29" t="b">
            <v>1</v>
          </cell>
          <cell r="J29" t="b">
            <v>0</v>
          </cell>
          <cell r="K29" t="b">
            <v>0</v>
          </cell>
          <cell r="L29" t="b">
            <v>0</v>
          </cell>
          <cell r="M29" t="b">
            <v>0</v>
          </cell>
          <cell r="N29" t="b">
            <v>0</v>
          </cell>
          <cell r="O29" t="b">
            <v>0</v>
          </cell>
          <cell r="P29" t="b">
            <v>0</v>
          </cell>
          <cell r="Q29" t="b">
            <v>1</v>
          </cell>
          <cell r="R29" t="b">
            <v>0</v>
          </cell>
          <cell r="S29" t="b">
            <v>0</v>
          </cell>
          <cell r="T29" t="b">
            <v>0</v>
          </cell>
          <cell r="U29" t="b">
            <v>0</v>
          </cell>
          <cell r="X29" t="str">
            <v/>
          </cell>
          <cell r="AA29" t="str">
            <v/>
          </cell>
          <cell r="AD29" t="str">
            <v/>
          </cell>
          <cell r="AG29" t="str">
            <v/>
          </cell>
          <cell r="AJ29" t="str">
            <v/>
          </cell>
          <cell r="AM29" t="str">
            <v/>
          </cell>
          <cell r="AP29" t="str">
            <v/>
          </cell>
          <cell r="AS29" t="str">
            <v/>
          </cell>
          <cell r="AV29" t="str">
            <v/>
          </cell>
          <cell r="AY29" t="str">
            <v/>
          </cell>
          <cell r="BB29" t="str">
            <v/>
          </cell>
          <cell r="BE29" t="str">
            <v/>
          </cell>
          <cell r="BH29" t="str">
            <v/>
          </cell>
          <cell r="BK29" t="str">
            <v/>
          </cell>
          <cell r="BN29" t="str">
            <v>Enigma Helm</v>
          </cell>
        </row>
        <row r="30">
          <cell r="A30" t="str">
            <v>Dissolving Spittle</v>
          </cell>
          <cell r="B30">
            <v>26</v>
          </cell>
          <cell r="C30" t="b">
            <v>0</v>
          </cell>
          <cell r="D30" t="b">
            <v>1</v>
          </cell>
          <cell r="E30" t="b">
            <v>0</v>
          </cell>
          <cell r="G30" t="b">
            <v>1</v>
          </cell>
          <cell r="H30" t="b">
            <v>0</v>
          </cell>
          <cell r="I30" t="b">
            <v>0</v>
          </cell>
          <cell r="J30" t="b">
            <v>0</v>
          </cell>
          <cell r="K30" t="b">
            <v>0</v>
          </cell>
          <cell r="L30" t="b">
            <v>0</v>
          </cell>
          <cell r="M30" t="b">
            <v>0</v>
          </cell>
          <cell r="N30" t="b">
            <v>0</v>
          </cell>
          <cell r="O30" t="b">
            <v>0</v>
          </cell>
          <cell r="P30" t="b">
            <v>0</v>
          </cell>
          <cell r="Q30" t="b">
            <v>0</v>
          </cell>
          <cell r="R30" t="b">
            <v>1</v>
          </cell>
          <cell r="S30" t="b">
            <v>0</v>
          </cell>
          <cell r="T30" t="b">
            <v>0</v>
          </cell>
          <cell r="U30" t="b">
            <v>0</v>
          </cell>
          <cell r="X30" t="str">
            <v/>
          </cell>
          <cell r="AA30" t="str">
            <v/>
          </cell>
          <cell r="AD30" t="str">
            <v/>
          </cell>
          <cell r="AG30" t="str">
            <v/>
          </cell>
          <cell r="AJ30" t="str">
            <v/>
          </cell>
          <cell r="AM30" t="str">
            <v/>
          </cell>
          <cell r="AP30" t="str">
            <v/>
          </cell>
          <cell r="AS30" t="str">
            <v/>
          </cell>
          <cell r="AV30" t="str">
            <v/>
          </cell>
          <cell r="AY30" t="str">
            <v/>
          </cell>
          <cell r="BB30" t="str">
            <v/>
          </cell>
          <cell r="BE30" t="str">
            <v/>
          </cell>
          <cell r="BH30" t="str">
            <v/>
          </cell>
          <cell r="BK30" t="str">
            <v/>
          </cell>
          <cell r="BN30" t="str">
            <v>Fearsome Mask</v>
          </cell>
        </row>
        <row r="31">
          <cell r="A31" t="str">
            <v>Dread Carapace</v>
          </cell>
          <cell r="B31">
            <v>27</v>
          </cell>
          <cell r="C31" t="b">
            <v>0</v>
          </cell>
          <cell r="D31" t="b">
            <v>1</v>
          </cell>
          <cell r="E31" t="b">
            <v>0</v>
          </cell>
          <cell r="G31" t="b">
            <v>0</v>
          </cell>
          <cell r="H31" t="b">
            <v>0</v>
          </cell>
          <cell r="I31" t="b">
            <v>1</v>
          </cell>
          <cell r="J31" t="b">
            <v>0</v>
          </cell>
          <cell r="K31" t="b">
            <v>0</v>
          </cell>
          <cell r="L31" t="b">
            <v>0</v>
          </cell>
          <cell r="M31" t="b">
            <v>1</v>
          </cell>
          <cell r="N31" t="b">
            <v>0</v>
          </cell>
          <cell r="O31" t="b">
            <v>1</v>
          </cell>
          <cell r="P31" t="b">
            <v>0</v>
          </cell>
          <cell r="Q31" t="b">
            <v>0</v>
          </cell>
          <cell r="R31" t="b">
            <v>0</v>
          </cell>
          <cell r="S31" t="b">
            <v>0</v>
          </cell>
          <cell r="T31" t="b">
            <v>1</v>
          </cell>
          <cell r="U31" t="b">
            <v>0</v>
          </cell>
          <cell r="X31" t="str">
            <v/>
          </cell>
          <cell r="AA31" t="str">
            <v/>
          </cell>
          <cell r="AD31" t="str">
            <v/>
          </cell>
          <cell r="AG31" t="str">
            <v/>
          </cell>
          <cell r="AJ31" t="str">
            <v/>
          </cell>
          <cell r="AM31" t="str">
            <v/>
          </cell>
          <cell r="AP31" t="str">
            <v/>
          </cell>
          <cell r="AS31" t="str">
            <v/>
          </cell>
          <cell r="AV31" t="str">
            <v/>
          </cell>
          <cell r="AY31" t="str">
            <v/>
          </cell>
          <cell r="BB31" t="str">
            <v/>
          </cell>
          <cell r="BE31" t="str">
            <v/>
          </cell>
          <cell r="BH31" t="str">
            <v/>
          </cell>
          <cell r="BK31" t="str">
            <v/>
          </cell>
          <cell r="BN31" t="str">
            <v>Fellmist Robe</v>
          </cell>
        </row>
        <row r="32">
          <cell r="A32" t="str">
            <v>Enigma Helm</v>
          </cell>
          <cell r="B32">
            <v>28</v>
          </cell>
          <cell r="C32" t="b">
            <v>0</v>
          </cell>
          <cell r="D32" t="b">
            <v>1</v>
          </cell>
          <cell r="E32" t="b">
            <v>0</v>
          </cell>
          <cell r="G32" t="b">
            <v>1</v>
          </cell>
          <cell r="H32" t="b">
            <v>1</v>
          </cell>
          <cell r="I32" t="b">
            <v>0</v>
          </cell>
          <cell r="J32" t="b">
            <v>1</v>
          </cell>
          <cell r="K32" t="b">
            <v>0</v>
          </cell>
          <cell r="L32" t="b">
            <v>1</v>
          </cell>
          <cell r="M32" t="b">
            <v>0</v>
          </cell>
          <cell r="N32" t="b">
            <v>0</v>
          </cell>
          <cell r="O32" t="b">
            <v>0</v>
          </cell>
          <cell r="P32" t="b">
            <v>0</v>
          </cell>
          <cell r="Q32" t="b">
            <v>0</v>
          </cell>
          <cell r="R32" t="b">
            <v>0</v>
          </cell>
          <cell r="S32" t="b">
            <v>0</v>
          </cell>
          <cell r="T32" t="b">
            <v>0</v>
          </cell>
          <cell r="U32" t="b">
            <v>0</v>
          </cell>
          <cell r="X32" t="str">
            <v/>
          </cell>
          <cell r="AA32" t="str">
            <v/>
          </cell>
          <cell r="AD32" t="str">
            <v/>
          </cell>
          <cell r="AG32" t="str">
            <v/>
          </cell>
          <cell r="AJ32" t="str">
            <v/>
          </cell>
          <cell r="AM32" t="str">
            <v/>
          </cell>
          <cell r="AP32" t="str">
            <v/>
          </cell>
          <cell r="AS32" t="str">
            <v/>
          </cell>
          <cell r="AV32" t="str">
            <v/>
          </cell>
          <cell r="AY32" t="str">
            <v/>
          </cell>
          <cell r="BB32" t="str">
            <v/>
          </cell>
          <cell r="BE32" t="str">
            <v/>
          </cell>
          <cell r="BH32" t="str">
            <v/>
          </cell>
          <cell r="BK32" t="str">
            <v/>
          </cell>
          <cell r="BN32" t="str">
            <v>Flame Cincture</v>
          </cell>
        </row>
        <row r="33">
          <cell r="A33" t="str">
            <v>Fearsome Mask</v>
          </cell>
          <cell r="B33">
            <v>29</v>
          </cell>
          <cell r="C33" t="b">
            <v>0</v>
          </cell>
          <cell r="D33" t="b">
            <v>1</v>
          </cell>
          <cell r="E33" t="b">
            <v>0</v>
          </cell>
          <cell r="G33" t="b">
            <v>0</v>
          </cell>
          <cell r="H33" t="b">
            <v>1</v>
          </cell>
          <cell r="I33" t="b">
            <v>0</v>
          </cell>
          <cell r="J33" t="b">
            <v>1</v>
          </cell>
          <cell r="K33" t="b">
            <v>0</v>
          </cell>
          <cell r="L33" t="b">
            <v>0</v>
          </cell>
          <cell r="M33" t="b">
            <v>0</v>
          </cell>
          <cell r="N33" t="b">
            <v>0</v>
          </cell>
          <cell r="O33" t="b">
            <v>0</v>
          </cell>
          <cell r="P33" t="b">
            <v>1</v>
          </cell>
          <cell r="Q33" t="b">
            <v>0</v>
          </cell>
          <cell r="R33" t="b">
            <v>0</v>
          </cell>
          <cell r="S33" t="b">
            <v>0</v>
          </cell>
          <cell r="T33" t="b">
            <v>0</v>
          </cell>
          <cell r="U33" t="b">
            <v>0</v>
          </cell>
          <cell r="X33" t="str">
            <v/>
          </cell>
          <cell r="AA33" t="str">
            <v/>
          </cell>
          <cell r="AD33" t="str">
            <v/>
          </cell>
          <cell r="AG33" t="str">
            <v/>
          </cell>
          <cell r="AJ33" t="str">
            <v/>
          </cell>
          <cell r="AM33" t="str">
            <v/>
          </cell>
          <cell r="AP33" t="str">
            <v/>
          </cell>
          <cell r="AS33" t="str">
            <v/>
          </cell>
          <cell r="AV33" t="str">
            <v/>
          </cell>
          <cell r="AY33" t="str">
            <v/>
          </cell>
          <cell r="BB33" t="str">
            <v/>
          </cell>
          <cell r="BE33" t="str">
            <v/>
          </cell>
          <cell r="BH33" t="str">
            <v/>
          </cell>
          <cell r="BK33" t="str">
            <v/>
          </cell>
          <cell r="BN33" t="str">
            <v>Frost Helm</v>
          </cell>
        </row>
        <row r="34">
          <cell r="A34" t="str">
            <v>Fellmist Robe</v>
          </cell>
          <cell r="B34">
            <v>30</v>
          </cell>
          <cell r="C34" t="b">
            <v>0</v>
          </cell>
          <cell r="D34" t="b">
            <v>1</v>
          </cell>
          <cell r="E34" t="b">
            <v>0</v>
          </cell>
          <cell r="G34" t="b">
            <v>1</v>
          </cell>
          <cell r="H34" t="b">
            <v>0</v>
          </cell>
          <cell r="I34" t="b">
            <v>0</v>
          </cell>
          <cell r="J34" t="b">
            <v>0</v>
          </cell>
          <cell r="K34" t="b">
            <v>0</v>
          </cell>
          <cell r="L34" t="b">
            <v>0</v>
          </cell>
          <cell r="M34" t="b">
            <v>0</v>
          </cell>
          <cell r="N34" t="b">
            <v>0</v>
          </cell>
          <cell r="O34" t="b">
            <v>0</v>
          </cell>
          <cell r="P34" t="b">
            <v>0</v>
          </cell>
          <cell r="Q34" t="b">
            <v>0</v>
          </cell>
          <cell r="R34" t="b">
            <v>0</v>
          </cell>
          <cell r="S34" t="b">
            <v>0</v>
          </cell>
          <cell r="T34" t="b">
            <v>0</v>
          </cell>
          <cell r="U34" t="b">
            <v>1</v>
          </cell>
          <cell r="X34" t="str">
            <v/>
          </cell>
          <cell r="AA34" t="str">
            <v/>
          </cell>
          <cell r="AD34" t="str">
            <v/>
          </cell>
          <cell r="AG34" t="str">
            <v/>
          </cell>
          <cell r="AJ34" t="str">
            <v/>
          </cell>
          <cell r="AM34" t="str">
            <v/>
          </cell>
          <cell r="AP34" t="str">
            <v/>
          </cell>
          <cell r="AS34" t="str">
            <v/>
          </cell>
          <cell r="AV34" t="str">
            <v/>
          </cell>
          <cell r="AY34" t="str">
            <v/>
          </cell>
          <cell r="BB34" t="str">
            <v/>
          </cell>
          <cell r="BE34" t="str">
            <v/>
          </cell>
          <cell r="BH34" t="str">
            <v/>
          </cell>
          <cell r="BK34" t="str">
            <v/>
          </cell>
          <cell r="BN34" t="str">
            <v>Girallon Arms</v>
          </cell>
        </row>
        <row r="35">
          <cell r="A35" t="str">
            <v>Flame Cincture</v>
          </cell>
          <cell r="B35">
            <v>31</v>
          </cell>
          <cell r="C35" t="b">
            <v>0</v>
          </cell>
          <cell r="D35" t="b">
            <v>1</v>
          </cell>
          <cell r="E35" t="b">
            <v>0</v>
          </cell>
          <cell r="G35" t="b">
            <v>1</v>
          </cell>
          <cell r="H35" t="b">
            <v>1</v>
          </cell>
          <cell r="I35" t="b">
            <v>0</v>
          </cell>
          <cell r="J35" t="b">
            <v>1</v>
          </cell>
          <cell r="K35" t="b">
            <v>0</v>
          </cell>
          <cell r="L35" t="b">
            <v>0</v>
          </cell>
          <cell r="M35" t="b">
            <v>0</v>
          </cell>
          <cell r="N35" t="b">
            <v>0</v>
          </cell>
          <cell r="O35" t="b">
            <v>0</v>
          </cell>
          <cell r="P35" t="b">
            <v>0</v>
          </cell>
          <cell r="Q35" t="b">
            <v>0</v>
          </cell>
          <cell r="R35" t="b">
            <v>0</v>
          </cell>
          <cell r="S35" t="b">
            <v>1</v>
          </cell>
          <cell r="T35" t="b">
            <v>0</v>
          </cell>
          <cell r="U35" t="b">
            <v>0</v>
          </cell>
          <cell r="X35" t="str">
            <v/>
          </cell>
          <cell r="AA35" t="str">
            <v/>
          </cell>
          <cell r="AD35" t="str">
            <v/>
          </cell>
          <cell r="AG35" t="str">
            <v/>
          </cell>
          <cell r="AJ35" t="str">
            <v/>
          </cell>
          <cell r="AM35" t="str">
            <v/>
          </cell>
          <cell r="AP35" t="str">
            <v/>
          </cell>
          <cell r="AS35" t="str">
            <v/>
          </cell>
          <cell r="AV35" t="str">
            <v/>
          </cell>
          <cell r="AY35" t="str">
            <v/>
          </cell>
          <cell r="BB35" t="str">
            <v/>
          </cell>
          <cell r="BE35" t="str">
            <v/>
          </cell>
          <cell r="BH35" t="str">
            <v/>
          </cell>
          <cell r="BK35" t="str">
            <v/>
          </cell>
          <cell r="BN35" t="str">
            <v>Gloves of the Poisoned Soul</v>
          </cell>
        </row>
        <row r="36">
          <cell r="A36" t="str">
            <v>Frost Helm</v>
          </cell>
          <cell r="B36">
            <v>32</v>
          </cell>
          <cell r="C36" t="b">
            <v>0</v>
          </cell>
          <cell r="D36" t="b">
            <v>1</v>
          </cell>
          <cell r="E36" t="b">
            <v>0</v>
          </cell>
          <cell r="G36" t="b">
            <v>0</v>
          </cell>
          <cell r="H36" t="b">
            <v>0</v>
          </cell>
          <cell r="I36" t="b">
            <v>1</v>
          </cell>
          <cell r="J36" t="b">
            <v>0</v>
          </cell>
          <cell r="K36" t="b">
            <v>0</v>
          </cell>
          <cell r="L36" t="b">
            <v>1</v>
          </cell>
          <cell r="M36" t="b">
            <v>0</v>
          </cell>
          <cell r="N36" t="b">
            <v>0</v>
          </cell>
          <cell r="O36" t="b">
            <v>0</v>
          </cell>
          <cell r="P36" t="b">
            <v>0</v>
          </cell>
          <cell r="Q36" t="b">
            <v>0</v>
          </cell>
          <cell r="R36" t="b">
            <v>0</v>
          </cell>
          <cell r="S36" t="b">
            <v>0</v>
          </cell>
          <cell r="T36" t="b">
            <v>0</v>
          </cell>
          <cell r="U36" t="b">
            <v>0</v>
          </cell>
          <cell r="X36" t="str">
            <v/>
          </cell>
          <cell r="AA36" t="str">
            <v/>
          </cell>
          <cell r="AD36" t="str">
            <v/>
          </cell>
          <cell r="AG36" t="str">
            <v/>
          </cell>
          <cell r="AJ36" t="str">
            <v/>
          </cell>
          <cell r="AM36" t="str">
            <v/>
          </cell>
          <cell r="AP36" t="str">
            <v/>
          </cell>
          <cell r="AS36" t="str">
            <v/>
          </cell>
          <cell r="AV36" t="str">
            <v/>
          </cell>
          <cell r="AY36" t="str">
            <v/>
          </cell>
          <cell r="BB36" t="str">
            <v/>
          </cell>
          <cell r="BE36" t="str">
            <v/>
          </cell>
          <cell r="BH36" t="str">
            <v/>
          </cell>
          <cell r="BK36" t="str">
            <v/>
          </cell>
          <cell r="BN36" t="str">
            <v>Gorgon Mask</v>
          </cell>
        </row>
        <row r="37">
          <cell r="A37" t="str">
            <v>Girallon Arms</v>
          </cell>
          <cell r="B37">
            <v>33</v>
          </cell>
          <cell r="C37" t="b">
            <v>0</v>
          </cell>
          <cell r="D37" t="b">
            <v>1</v>
          </cell>
          <cell r="E37" t="b">
            <v>0</v>
          </cell>
          <cell r="G37" t="b">
            <v>0</v>
          </cell>
          <cell r="H37" t="b">
            <v>0</v>
          </cell>
          <cell r="I37" t="b">
            <v>1</v>
          </cell>
          <cell r="J37" t="b">
            <v>0</v>
          </cell>
          <cell r="K37" t="b">
            <v>0</v>
          </cell>
          <cell r="L37" t="b">
            <v>0</v>
          </cell>
          <cell r="M37" t="b">
            <v>0</v>
          </cell>
          <cell r="N37" t="b">
            <v>0</v>
          </cell>
          <cell r="O37" t="b">
            <v>1</v>
          </cell>
          <cell r="P37" t="b">
            <v>0</v>
          </cell>
          <cell r="Q37" t="b">
            <v>0</v>
          </cell>
          <cell r="R37" t="b">
            <v>0</v>
          </cell>
          <cell r="S37" t="b">
            <v>0</v>
          </cell>
          <cell r="T37" t="b">
            <v>0</v>
          </cell>
          <cell r="U37" t="b">
            <v>0</v>
          </cell>
          <cell r="X37" t="str">
            <v/>
          </cell>
          <cell r="AA37" t="str">
            <v/>
          </cell>
          <cell r="AD37" t="str">
            <v/>
          </cell>
          <cell r="AG37" t="str">
            <v/>
          </cell>
          <cell r="AJ37" t="str">
            <v/>
          </cell>
          <cell r="AM37" t="str">
            <v/>
          </cell>
          <cell r="AP37" t="str">
            <v/>
          </cell>
          <cell r="AS37" t="str">
            <v/>
          </cell>
          <cell r="AV37" t="str">
            <v/>
          </cell>
          <cell r="AY37" t="str">
            <v/>
          </cell>
          <cell r="BB37" t="str">
            <v/>
          </cell>
          <cell r="BE37" t="str">
            <v/>
          </cell>
          <cell r="BH37" t="str">
            <v/>
          </cell>
          <cell r="BK37" t="str">
            <v/>
          </cell>
          <cell r="BN37" t="str">
            <v>Great Raptor Mask</v>
          </cell>
        </row>
        <row r="38">
          <cell r="A38" t="str">
            <v>Gloves of the Poisoned Soul</v>
          </cell>
          <cell r="B38">
            <v>34</v>
          </cell>
          <cell r="C38" t="b">
            <v>0</v>
          </cell>
          <cell r="D38" t="b">
            <v>1</v>
          </cell>
          <cell r="E38" t="b">
            <v>0</v>
          </cell>
          <cell r="F38" t="str">
            <v>Evil</v>
          </cell>
          <cell r="G38" t="b">
            <v>0</v>
          </cell>
          <cell r="H38" t="b">
            <v>1</v>
          </cell>
          <cell r="I38" t="b">
            <v>0</v>
          </cell>
          <cell r="J38" t="b">
            <v>1</v>
          </cell>
          <cell r="K38" t="b">
            <v>0</v>
          </cell>
          <cell r="L38" t="b">
            <v>0</v>
          </cell>
          <cell r="M38" t="b">
            <v>0</v>
          </cell>
          <cell r="N38" t="b">
            <v>1</v>
          </cell>
          <cell r="O38" t="b">
            <v>0</v>
          </cell>
          <cell r="P38" t="b">
            <v>0</v>
          </cell>
          <cell r="Q38" t="b">
            <v>0</v>
          </cell>
          <cell r="R38" t="b">
            <v>0</v>
          </cell>
          <cell r="S38" t="b">
            <v>0</v>
          </cell>
          <cell r="T38" t="b">
            <v>0</v>
          </cell>
          <cell r="U38" t="b">
            <v>0</v>
          </cell>
          <cell r="X38" t="str">
            <v/>
          </cell>
          <cell r="AA38" t="str">
            <v/>
          </cell>
          <cell r="AD38" t="str">
            <v/>
          </cell>
          <cell r="AG38" t="str">
            <v/>
          </cell>
          <cell r="AJ38" t="str">
            <v/>
          </cell>
          <cell r="AM38" t="str">
            <v/>
          </cell>
          <cell r="AP38" t="str">
            <v/>
          </cell>
          <cell r="AS38" t="str">
            <v/>
          </cell>
          <cell r="AV38" t="str">
            <v/>
          </cell>
          <cell r="AY38" t="str">
            <v/>
          </cell>
          <cell r="BB38" t="str">
            <v/>
          </cell>
          <cell r="BE38" t="str">
            <v/>
          </cell>
          <cell r="BH38" t="str">
            <v/>
          </cell>
          <cell r="BK38" t="str">
            <v/>
          </cell>
          <cell r="BN38" t="str">
            <v>Heart of Fire</v>
          </cell>
        </row>
        <row r="39">
          <cell r="A39" t="str">
            <v>Gorgon Mask</v>
          </cell>
          <cell r="B39">
            <v>35</v>
          </cell>
          <cell r="C39" t="b">
            <v>0</v>
          </cell>
          <cell r="D39" t="b">
            <v>1</v>
          </cell>
          <cell r="E39" t="b">
            <v>0</v>
          </cell>
          <cell r="G39" t="b">
            <v>0</v>
          </cell>
          <cell r="H39" t="b">
            <v>0</v>
          </cell>
          <cell r="I39" t="b">
            <v>1</v>
          </cell>
          <cell r="J39" t="b">
            <v>0</v>
          </cell>
          <cell r="K39" t="b">
            <v>0</v>
          </cell>
          <cell r="L39" t="b">
            <v>0</v>
          </cell>
          <cell r="M39" t="b">
            <v>0</v>
          </cell>
          <cell r="N39" t="b">
            <v>0</v>
          </cell>
          <cell r="O39" t="b">
            <v>0</v>
          </cell>
          <cell r="P39" t="b">
            <v>0</v>
          </cell>
          <cell r="Q39" t="b">
            <v>0</v>
          </cell>
          <cell r="R39" t="b">
            <v>1</v>
          </cell>
          <cell r="S39" t="b">
            <v>0</v>
          </cell>
          <cell r="T39" t="b">
            <v>0</v>
          </cell>
          <cell r="U39" t="b">
            <v>0</v>
          </cell>
          <cell r="X39" t="str">
            <v/>
          </cell>
          <cell r="AA39" t="str">
            <v/>
          </cell>
          <cell r="AD39" t="str">
            <v/>
          </cell>
          <cell r="AG39" t="str">
            <v/>
          </cell>
          <cell r="AJ39" t="str">
            <v/>
          </cell>
          <cell r="AM39" t="str">
            <v/>
          </cell>
          <cell r="AP39" t="str">
            <v/>
          </cell>
          <cell r="AS39" t="str">
            <v/>
          </cell>
          <cell r="AV39" t="str">
            <v/>
          </cell>
          <cell r="AY39" t="str">
            <v/>
          </cell>
          <cell r="BB39" t="str">
            <v/>
          </cell>
          <cell r="BE39" t="str">
            <v/>
          </cell>
          <cell r="BH39" t="str">
            <v/>
          </cell>
          <cell r="BK39" t="str">
            <v/>
          </cell>
          <cell r="BN39" t="str">
            <v>Hunter's Circlet</v>
          </cell>
        </row>
        <row r="40">
          <cell r="A40" t="str">
            <v>Great Raptor Mask</v>
          </cell>
          <cell r="B40">
            <v>36</v>
          </cell>
          <cell r="C40" t="b">
            <v>0</v>
          </cell>
          <cell r="D40" t="b">
            <v>1</v>
          </cell>
          <cell r="E40" t="b">
            <v>0</v>
          </cell>
          <cell r="G40" t="b">
            <v>0</v>
          </cell>
          <cell r="H40" t="b">
            <v>0</v>
          </cell>
          <cell r="I40" t="b">
            <v>1</v>
          </cell>
          <cell r="J40" t="b">
            <v>0</v>
          </cell>
          <cell r="K40" t="b">
            <v>0</v>
          </cell>
          <cell r="L40" t="b">
            <v>0</v>
          </cell>
          <cell r="M40" t="b">
            <v>0</v>
          </cell>
          <cell r="N40" t="b">
            <v>0</v>
          </cell>
          <cell r="O40" t="b">
            <v>0</v>
          </cell>
          <cell r="P40" t="b">
            <v>1</v>
          </cell>
          <cell r="Q40" t="b">
            <v>0</v>
          </cell>
          <cell r="R40" t="b">
            <v>0</v>
          </cell>
          <cell r="S40" t="b">
            <v>0</v>
          </cell>
          <cell r="T40" t="b">
            <v>0</v>
          </cell>
          <cell r="U40" t="b">
            <v>0</v>
          </cell>
          <cell r="X40" t="str">
            <v/>
          </cell>
          <cell r="AA40" t="str">
            <v/>
          </cell>
          <cell r="AD40" t="str">
            <v/>
          </cell>
          <cell r="AG40" t="str">
            <v/>
          </cell>
          <cell r="AJ40" t="str">
            <v/>
          </cell>
          <cell r="AM40" t="str">
            <v/>
          </cell>
          <cell r="AP40" t="str">
            <v/>
          </cell>
          <cell r="AS40" t="str">
            <v/>
          </cell>
          <cell r="AV40" t="str">
            <v/>
          </cell>
          <cell r="AY40" t="str">
            <v/>
          </cell>
          <cell r="BB40" t="str">
            <v/>
          </cell>
          <cell r="BE40" t="str">
            <v/>
          </cell>
          <cell r="BH40" t="str">
            <v/>
          </cell>
          <cell r="BK40" t="str">
            <v/>
          </cell>
          <cell r="BN40" t="str">
            <v>Illusion Veil</v>
          </cell>
        </row>
        <row r="41">
          <cell r="A41" t="str">
            <v>Heart of Fire</v>
          </cell>
          <cell r="B41">
            <v>37</v>
          </cell>
          <cell r="C41" t="b">
            <v>0</v>
          </cell>
          <cell r="D41" t="b">
            <v>1</v>
          </cell>
          <cell r="E41" t="b">
            <v>0</v>
          </cell>
          <cell r="G41" t="b">
            <v>0</v>
          </cell>
          <cell r="H41" t="b">
            <v>0</v>
          </cell>
          <cell r="I41" t="b">
            <v>1</v>
          </cell>
          <cell r="J41" t="b">
            <v>0</v>
          </cell>
          <cell r="K41" t="b">
            <v>0</v>
          </cell>
          <cell r="L41" t="b">
            <v>0</v>
          </cell>
          <cell r="M41" t="b">
            <v>0</v>
          </cell>
          <cell r="N41" t="b">
            <v>0</v>
          </cell>
          <cell r="O41" t="b">
            <v>0</v>
          </cell>
          <cell r="P41" t="b">
            <v>0</v>
          </cell>
          <cell r="Q41" t="b">
            <v>0</v>
          </cell>
          <cell r="R41" t="b">
            <v>0</v>
          </cell>
          <cell r="S41" t="b">
            <v>1</v>
          </cell>
          <cell r="T41" t="b">
            <v>0</v>
          </cell>
          <cell r="U41" t="b">
            <v>0</v>
          </cell>
          <cell r="X41" t="str">
            <v/>
          </cell>
          <cell r="AA41" t="str">
            <v/>
          </cell>
          <cell r="AD41" t="str">
            <v/>
          </cell>
          <cell r="AG41" t="str">
            <v/>
          </cell>
          <cell r="AJ41" t="str">
            <v/>
          </cell>
          <cell r="AM41" t="str">
            <v/>
          </cell>
          <cell r="AP41" t="str">
            <v/>
          </cell>
          <cell r="AS41" t="str">
            <v/>
          </cell>
          <cell r="AV41" t="str">
            <v/>
          </cell>
          <cell r="AY41" t="str">
            <v/>
          </cell>
          <cell r="BB41" t="str">
            <v/>
          </cell>
          <cell r="BE41" t="str">
            <v/>
          </cell>
          <cell r="BH41" t="str">
            <v/>
          </cell>
          <cell r="BK41" t="str">
            <v/>
          </cell>
          <cell r="BN41" t="str">
            <v>Impulse Boots</v>
          </cell>
        </row>
        <row r="42">
          <cell r="A42" t="str">
            <v>Hunter's Circlet</v>
          </cell>
          <cell r="B42">
            <v>38</v>
          </cell>
          <cell r="C42" t="b">
            <v>0</v>
          </cell>
          <cell r="D42" t="b">
            <v>1</v>
          </cell>
          <cell r="E42" t="b">
            <v>0</v>
          </cell>
          <cell r="G42" t="b">
            <v>0</v>
          </cell>
          <cell r="H42" t="b">
            <v>1</v>
          </cell>
          <cell r="I42" t="b">
            <v>1</v>
          </cell>
          <cell r="J42" t="b">
            <v>1</v>
          </cell>
          <cell r="K42" t="b">
            <v>0</v>
          </cell>
          <cell r="L42" t="b">
            <v>1</v>
          </cell>
          <cell r="M42" t="b">
            <v>0</v>
          </cell>
          <cell r="N42" t="b">
            <v>0</v>
          </cell>
          <cell r="O42" t="b">
            <v>0</v>
          </cell>
          <cell r="P42" t="b">
            <v>0</v>
          </cell>
          <cell r="Q42" t="b">
            <v>0</v>
          </cell>
          <cell r="R42" t="b">
            <v>0</v>
          </cell>
          <cell r="S42" t="b">
            <v>0</v>
          </cell>
          <cell r="T42" t="b">
            <v>0</v>
          </cell>
          <cell r="U42" t="b">
            <v>0</v>
          </cell>
          <cell r="X42" t="str">
            <v/>
          </cell>
          <cell r="AA42" t="str">
            <v/>
          </cell>
          <cell r="AD42" t="str">
            <v/>
          </cell>
          <cell r="AG42" t="str">
            <v/>
          </cell>
          <cell r="AJ42" t="str">
            <v/>
          </cell>
          <cell r="AM42" t="str">
            <v/>
          </cell>
          <cell r="AP42" t="str">
            <v/>
          </cell>
          <cell r="AS42" t="str">
            <v/>
          </cell>
          <cell r="AV42" t="str">
            <v/>
          </cell>
          <cell r="AY42" t="str">
            <v/>
          </cell>
          <cell r="BB42" t="str">
            <v/>
          </cell>
          <cell r="BE42" t="str">
            <v/>
          </cell>
          <cell r="BH42" t="str">
            <v/>
          </cell>
          <cell r="BK42" t="str">
            <v/>
          </cell>
          <cell r="BN42" t="str">
            <v>Incarnate Avatar (Chaotic)</v>
          </cell>
        </row>
        <row r="43">
          <cell r="A43" t="str">
            <v>Illusion Veil</v>
          </cell>
          <cell r="B43">
            <v>39</v>
          </cell>
          <cell r="C43" t="b">
            <v>0</v>
          </cell>
          <cell r="D43" t="b">
            <v>1</v>
          </cell>
          <cell r="E43" t="b">
            <v>0</v>
          </cell>
          <cell r="G43" t="b">
            <v>1</v>
          </cell>
          <cell r="H43" t="b">
            <v>1</v>
          </cell>
          <cell r="I43" t="b">
            <v>0</v>
          </cell>
          <cell r="J43" t="b">
            <v>1</v>
          </cell>
          <cell r="K43" t="b">
            <v>0</v>
          </cell>
          <cell r="L43" t="b">
            <v>0</v>
          </cell>
          <cell r="M43" t="b">
            <v>0</v>
          </cell>
          <cell r="N43" t="b">
            <v>0</v>
          </cell>
          <cell r="O43" t="b">
            <v>0</v>
          </cell>
          <cell r="P43" t="b">
            <v>1</v>
          </cell>
          <cell r="Q43" t="b">
            <v>0</v>
          </cell>
          <cell r="R43" t="b">
            <v>0</v>
          </cell>
          <cell r="S43" t="b">
            <v>0</v>
          </cell>
          <cell r="T43" t="b">
            <v>0</v>
          </cell>
          <cell r="U43" t="b">
            <v>0</v>
          </cell>
          <cell r="X43" t="str">
            <v/>
          </cell>
          <cell r="AA43" t="str">
            <v/>
          </cell>
          <cell r="AD43" t="str">
            <v/>
          </cell>
          <cell r="AG43" t="str">
            <v/>
          </cell>
          <cell r="AJ43" t="str">
            <v/>
          </cell>
          <cell r="AM43" t="str">
            <v/>
          </cell>
          <cell r="AP43" t="str">
            <v/>
          </cell>
          <cell r="AS43" t="str">
            <v/>
          </cell>
          <cell r="AV43" t="str">
            <v/>
          </cell>
          <cell r="AY43" t="str">
            <v/>
          </cell>
          <cell r="BB43" t="str">
            <v/>
          </cell>
          <cell r="BE43" t="str">
            <v/>
          </cell>
          <cell r="BH43" t="str">
            <v/>
          </cell>
          <cell r="BK43" t="str">
            <v/>
          </cell>
          <cell r="BN43" t="str">
            <v>Incarnate Avatar (Evil)</v>
          </cell>
        </row>
        <row r="44">
          <cell r="A44" t="str">
            <v>Impulse Boots</v>
          </cell>
          <cell r="B44">
            <v>40</v>
          </cell>
          <cell r="C44" t="b">
            <v>0</v>
          </cell>
          <cell r="D44" t="b">
            <v>1</v>
          </cell>
          <cell r="E44" t="b">
            <v>0</v>
          </cell>
          <cell r="G44" t="b">
            <v>1</v>
          </cell>
          <cell r="H44" t="b">
            <v>1</v>
          </cell>
          <cell r="I44" t="b">
            <v>0</v>
          </cell>
          <cell r="J44" t="b">
            <v>1</v>
          </cell>
          <cell r="K44" t="b">
            <v>0</v>
          </cell>
          <cell r="L44" t="b">
            <v>0</v>
          </cell>
          <cell r="M44" t="b">
            <v>1</v>
          </cell>
          <cell r="N44" t="b">
            <v>0</v>
          </cell>
          <cell r="O44" t="b">
            <v>0</v>
          </cell>
          <cell r="P44" t="b">
            <v>0</v>
          </cell>
          <cell r="Q44" t="b">
            <v>0</v>
          </cell>
          <cell r="R44" t="b">
            <v>0</v>
          </cell>
          <cell r="S44" t="b">
            <v>0</v>
          </cell>
          <cell r="T44" t="b">
            <v>0</v>
          </cell>
          <cell r="U44" t="b">
            <v>0</v>
          </cell>
          <cell r="X44" t="str">
            <v/>
          </cell>
          <cell r="AA44" t="str">
            <v/>
          </cell>
          <cell r="AD44" t="str">
            <v/>
          </cell>
          <cell r="AG44" t="str">
            <v/>
          </cell>
          <cell r="AJ44" t="str">
            <v/>
          </cell>
          <cell r="AM44" t="str">
            <v/>
          </cell>
          <cell r="AP44" t="str">
            <v/>
          </cell>
          <cell r="AS44" t="str">
            <v/>
          </cell>
          <cell r="AV44" t="str">
            <v/>
          </cell>
          <cell r="AY44" t="str">
            <v/>
          </cell>
          <cell r="BB44" t="str">
            <v/>
          </cell>
          <cell r="BE44" t="str">
            <v/>
          </cell>
          <cell r="BH44" t="str">
            <v/>
          </cell>
          <cell r="BK44" t="str">
            <v/>
          </cell>
          <cell r="BN44" t="str">
            <v>Incarnate Avatar (Good)</v>
          </cell>
        </row>
        <row r="45">
          <cell r="A45" t="str">
            <v>Incarnate Avatar (Chaotic)</v>
          </cell>
          <cell r="B45">
            <v>41</v>
          </cell>
          <cell r="C45" t="b">
            <v>0</v>
          </cell>
          <cell r="D45" t="b">
            <v>1</v>
          </cell>
          <cell r="E45" t="b">
            <v>0</v>
          </cell>
          <cell r="F45" t="str">
            <v>Chaotic</v>
          </cell>
          <cell r="G45" t="b">
            <v>1</v>
          </cell>
          <cell r="H45" t="b">
            <v>0</v>
          </cell>
          <cell r="I45" t="b">
            <v>0</v>
          </cell>
          <cell r="J45" t="b">
            <v>0</v>
          </cell>
          <cell r="K45" t="b">
            <v>0</v>
          </cell>
          <cell r="L45" t="b">
            <v>0</v>
          </cell>
          <cell r="M45" t="b">
            <v>0</v>
          </cell>
          <cell r="N45" t="b">
            <v>0</v>
          </cell>
          <cell r="O45" t="b">
            <v>0</v>
          </cell>
          <cell r="P45" t="b">
            <v>0</v>
          </cell>
          <cell r="Q45" t="b">
            <v>0</v>
          </cell>
          <cell r="R45" t="b">
            <v>0</v>
          </cell>
          <cell r="S45" t="b">
            <v>0</v>
          </cell>
          <cell r="T45" t="b">
            <v>0</v>
          </cell>
          <cell r="U45" t="b">
            <v>1</v>
          </cell>
          <cell r="X45" t="str">
            <v/>
          </cell>
          <cell r="AA45" t="str">
            <v/>
          </cell>
          <cell r="AD45" t="str">
            <v/>
          </cell>
          <cell r="AG45" t="str">
            <v/>
          </cell>
          <cell r="AJ45" t="str">
            <v/>
          </cell>
          <cell r="AM45" t="str">
            <v/>
          </cell>
          <cell r="AP45" t="str">
            <v/>
          </cell>
          <cell r="AS45" t="str">
            <v/>
          </cell>
          <cell r="AV45" t="str">
            <v/>
          </cell>
          <cell r="AY45" t="str">
            <v/>
          </cell>
          <cell r="BB45" t="str">
            <v/>
          </cell>
          <cell r="BE45" t="str">
            <v/>
          </cell>
          <cell r="BH45" t="str">
            <v/>
          </cell>
          <cell r="BK45" t="str">
            <v/>
          </cell>
          <cell r="BN45" t="str">
            <v>Incarnate Avatar (Lawful)</v>
          </cell>
        </row>
        <row r="46">
          <cell r="A46" t="str">
            <v>Incarnate Avatar (Evil)</v>
          </cell>
          <cell r="B46">
            <v>42</v>
          </cell>
          <cell r="C46" t="b">
            <v>0</v>
          </cell>
          <cell r="D46" t="b">
            <v>1</v>
          </cell>
          <cell r="E46" t="b">
            <v>0</v>
          </cell>
          <cell r="F46" t="str">
            <v>Evil</v>
          </cell>
          <cell r="G46" t="b">
            <v>1</v>
          </cell>
          <cell r="H46" t="b">
            <v>0</v>
          </cell>
          <cell r="I46" t="b">
            <v>0</v>
          </cell>
          <cell r="J46" t="b">
            <v>0</v>
          </cell>
          <cell r="K46" t="b">
            <v>0</v>
          </cell>
          <cell r="L46" t="b">
            <v>0</v>
          </cell>
          <cell r="M46" t="b">
            <v>0</v>
          </cell>
          <cell r="N46" t="b">
            <v>0</v>
          </cell>
          <cell r="O46" t="b">
            <v>0</v>
          </cell>
          <cell r="P46" t="b">
            <v>0</v>
          </cell>
          <cell r="Q46" t="b">
            <v>0</v>
          </cell>
          <cell r="R46" t="b">
            <v>0</v>
          </cell>
          <cell r="S46" t="b">
            <v>0</v>
          </cell>
          <cell r="T46" t="b">
            <v>0</v>
          </cell>
          <cell r="U46" t="b">
            <v>1</v>
          </cell>
          <cell r="X46" t="str">
            <v/>
          </cell>
          <cell r="AA46" t="str">
            <v/>
          </cell>
          <cell r="AD46" t="str">
            <v/>
          </cell>
          <cell r="AG46" t="str">
            <v/>
          </cell>
          <cell r="AJ46" t="str">
            <v/>
          </cell>
          <cell r="AM46" t="str">
            <v/>
          </cell>
          <cell r="AP46" t="str">
            <v/>
          </cell>
          <cell r="AS46" t="str">
            <v/>
          </cell>
          <cell r="AV46" t="str">
            <v/>
          </cell>
          <cell r="AY46" t="str">
            <v/>
          </cell>
          <cell r="BB46" t="str">
            <v/>
          </cell>
          <cell r="BE46" t="str">
            <v/>
          </cell>
          <cell r="BH46" t="str">
            <v/>
          </cell>
          <cell r="BK46" t="str">
            <v/>
          </cell>
          <cell r="BN46" t="str">
            <v>Incarnate Weapon (Chaotic)</v>
          </cell>
        </row>
        <row r="47">
          <cell r="A47" t="str">
            <v>Incarnate Avatar (Good)</v>
          </cell>
          <cell r="B47">
            <v>43</v>
          </cell>
          <cell r="C47" t="b">
            <v>0</v>
          </cell>
          <cell r="D47" t="b">
            <v>1</v>
          </cell>
          <cell r="E47" t="b">
            <v>0</v>
          </cell>
          <cell r="F47" t="str">
            <v>Good</v>
          </cell>
          <cell r="G47" t="b">
            <v>1</v>
          </cell>
          <cell r="H47" t="b">
            <v>0</v>
          </cell>
          <cell r="I47" t="b">
            <v>0</v>
          </cell>
          <cell r="J47" t="b">
            <v>0</v>
          </cell>
          <cell r="K47" t="b">
            <v>0</v>
          </cell>
          <cell r="L47" t="b">
            <v>0</v>
          </cell>
          <cell r="M47" t="b">
            <v>0</v>
          </cell>
          <cell r="N47" t="b">
            <v>0</v>
          </cell>
          <cell r="O47" t="b">
            <v>0</v>
          </cell>
          <cell r="P47" t="b">
            <v>0</v>
          </cell>
          <cell r="Q47" t="b">
            <v>0</v>
          </cell>
          <cell r="R47" t="b">
            <v>0</v>
          </cell>
          <cell r="S47" t="b">
            <v>0</v>
          </cell>
          <cell r="T47" t="b">
            <v>0</v>
          </cell>
          <cell r="U47" t="b">
            <v>1</v>
          </cell>
          <cell r="X47" t="str">
            <v/>
          </cell>
          <cell r="AA47" t="str">
            <v/>
          </cell>
          <cell r="AD47" t="str">
            <v/>
          </cell>
          <cell r="AG47" t="str">
            <v/>
          </cell>
          <cell r="AJ47" t="str">
            <v/>
          </cell>
          <cell r="AM47" t="str">
            <v/>
          </cell>
          <cell r="AP47" t="str">
            <v/>
          </cell>
          <cell r="AS47" t="str">
            <v/>
          </cell>
          <cell r="AV47" t="str">
            <v/>
          </cell>
          <cell r="AY47" t="str">
            <v/>
          </cell>
          <cell r="BB47" t="str">
            <v/>
          </cell>
          <cell r="BE47" t="str">
            <v/>
          </cell>
          <cell r="BH47" t="str">
            <v/>
          </cell>
          <cell r="BK47" t="str">
            <v/>
          </cell>
          <cell r="BN47" t="str">
            <v>Incarnate Weapon (Evil)</v>
          </cell>
        </row>
        <row r="48">
          <cell r="A48" t="str">
            <v>Incarnate Avatar (Lawful)</v>
          </cell>
          <cell r="B48">
            <v>44</v>
          </cell>
          <cell r="C48" t="b">
            <v>0</v>
          </cell>
          <cell r="D48" t="b">
            <v>1</v>
          </cell>
          <cell r="E48" t="b">
            <v>0</v>
          </cell>
          <cell r="F48" t="str">
            <v>Lawful</v>
          </cell>
          <cell r="G48" t="b">
            <v>1</v>
          </cell>
          <cell r="H48" t="b">
            <v>0</v>
          </cell>
          <cell r="I48" t="b">
            <v>0</v>
          </cell>
          <cell r="J48" t="b">
            <v>0</v>
          </cell>
          <cell r="K48" t="b">
            <v>0</v>
          </cell>
          <cell r="L48" t="b">
            <v>0</v>
          </cell>
          <cell r="M48" t="b">
            <v>0</v>
          </cell>
          <cell r="N48" t="b">
            <v>0</v>
          </cell>
          <cell r="O48" t="b">
            <v>0</v>
          </cell>
          <cell r="P48" t="b">
            <v>0</v>
          </cell>
          <cell r="Q48" t="b">
            <v>0</v>
          </cell>
          <cell r="R48" t="b">
            <v>0</v>
          </cell>
          <cell r="S48" t="b">
            <v>0</v>
          </cell>
          <cell r="T48" t="b">
            <v>0</v>
          </cell>
          <cell r="U48" t="b">
            <v>1</v>
          </cell>
          <cell r="X48" t="str">
            <v/>
          </cell>
          <cell r="AA48" t="str">
            <v/>
          </cell>
          <cell r="AD48" t="str">
            <v/>
          </cell>
          <cell r="AG48" t="str">
            <v/>
          </cell>
          <cell r="AJ48" t="str">
            <v/>
          </cell>
          <cell r="AM48" t="str">
            <v/>
          </cell>
          <cell r="AP48" t="str">
            <v/>
          </cell>
          <cell r="AS48" t="str">
            <v/>
          </cell>
          <cell r="AV48" t="str">
            <v/>
          </cell>
          <cell r="AY48" t="str">
            <v/>
          </cell>
          <cell r="BB48" t="str">
            <v/>
          </cell>
          <cell r="BE48" t="str">
            <v/>
          </cell>
          <cell r="BH48" t="str">
            <v/>
          </cell>
          <cell r="BK48" t="str">
            <v/>
          </cell>
          <cell r="BN48" t="str">
            <v>Incarnate Weapon (Good)</v>
          </cell>
        </row>
        <row r="49">
          <cell r="A49" t="str">
            <v>Incarnate Weapon (Chaotic)</v>
          </cell>
          <cell r="B49">
            <v>45</v>
          </cell>
          <cell r="C49" t="b">
            <v>0</v>
          </cell>
          <cell r="D49" t="b">
            <v>1</v>
          </cell>
          <cell r="E49" t="b">
            <v>0</v>
          </cell>
          <cell r="F49" t="str">
            <v>Chaotic</v>
          </cell>
          <cell r="G49" t="b">
            <v>1</v>
          </cell>
          <cell r="H49" t="b">
            <v>0</v>
          </cell>
          <cell r="I49" t="b">
            <v>0</v>
          </cell>
          <cell r="J49" t="b">
            <v>0</v>
          </cell>
          <cell r="K49" t="b">
            <v>0</v>
          </cell>
          <cell r="L49" t="b">
            <v>0</v>
          </cell>
          <cell r="M49" t="b">
            <v>0</v>
          </cell>
          <cell r="N49" t="b">
            <v>0</v>
          </cell>
          <cell r="O49" t="b">
            <v>1</v>
          </cell>
          <cell r="P49" t="b">
            <v>0</v>
          </cell>
          <cell r="Q49" t="b">
            <v>0</v>
          </cell>
          <cell r="R49" t="b">
            <v>0</v>
          </cell>
          <cell r="S49" t="b">
            <v>0</v>
          </cell>
          <cell r="T49" t="b">
            <v>0</v>
          </cell>
          <cell r="U49" t="b">
            <v>0</v>
          </cell>
          <cell r="X49" t="str">
            <v/>
          </cell>
          <cell r="AA49" t="str">
            <v/>
          </cell>
          <cell r="AD49" t="str">
            <v/>
          </cell>
          <cell r="AG49" t="str">
            <v/>
          </cell>
          <cell r="AJ49" t="str">
            <v/>
          </cell>
          <cell r="AM49" t="str">
            <v/>
          </cell>
          <cell r="AP49" t="str">
            <v/>
          </cell>
          <cell r="AS49" t="str">
            <v/>
          </cell>
          <cell r="AV49" t="str">
            <v/>
          </cell>
          <cell r="AY49" t="str">
            <v/>
          </cell>
          <cell r="BB49" t="str">
            <v/>
          </cell>
          <cell r="BE49" t="str">
            <v/>
          </cell>
          <cell r="BH49" t="str">
            <v/>
          </cell>
          <cell r="BK49" t="str">
            <v/>
          </cell>
          <cell r="BN49" t="str">
            <v>Incarnate Weapon (Lawful)</v>
          </cell>
        </row>
        <row r="50">
          <cell r="A50" t="str">
            <v>Incarnate Weapon (Evil)</v>
          </cell>
          <cell r="B50">
            <v>46</v>
          </cell>
          <cell r="C50" t="b">
            <v>0</v>
          </cell>
          <cell r="D50" t="b">
            <v>1</v>
          </cell>
          <cell r="E50" t="b">
            <v>0</v>
          </cell>
          <cell r="F50" t="str">
            <v>Evil</v>
          </cell>
          <cell r="G50" t="b">
            <v>1</v>
          </cell>
          <cell r="H50" t="b">
            <v>0</v>
          </cell>
          <cell r="I50" t="b">
            <v>0</v>
          </cell>
          <cell r="J50" t="b">
            <v>0</v>
          </cell>
          <cell r="K50" t="b">
            <v>0</v>
          </cell>
          <cell r="L50" t="b">
            <v>0</v>
          </cell>
          <cell r="M50" t="b">
            <v>0</v>
          </cell>
          <cell r="N50" t="b">
            <v>0</v>
          </cell>
          <cell r="O50" t="b">
            <v>1</v>
          </cell>
          <cell r="P50" t="b">
            <v>0</v>
          </cell>
          <cell r="Q50" t="b">
            <v>0</v>
          </cell>
          <cell r="R50" t="b">
            <v>0</v>
          </cell>
          <cell r="S50" t="b">
            <v>0</v>
          </cell>
          <cell r="T50" t="b">
            <v>0</v>
          </cell>
          <cell r="U50" t="b">
            <v>0</v>
          </cell>
          <cell r="X50" t="str">
            <v/>
          </cell>
          <cell r="AA50" t="str">
            <v/>
          </cell>
          <cell r="AD50" t="str">
            <v/>
          </cell>
          <cell r="AG50" t="str">
            <v/>
          </cell>
          <cell r="AJ50" t="str">
            <v/>
          </cell>
          <cell r="AM50" t="str">
            <v/>
          </cell>
          <cell r="AP50" t="str">
            <v/>
          </cell>
          <cell r="AS50" t="str">
            <v/>
          </cell>
          <cell r="AV50" t="str">
            <v/>
          </cell>
          <cell r="AY50" t="str">
            <v/>
          </cell>
          <cell r="BB50" t="str">
            <v/>
          </cell>
          <cell r="BE50" t="str">
            <v/>
          </cell>
          <cell r="BH50" t="str">
            <v/>
          </cell>
          <cell r="BK50" t="str">
            <v/>
          </cell>
          <cell r="BN50" t="str">
            <v>Keeneye Lenses</v>
          </cell>
        </row>
        <row r="51">
          <cell r="A51" t="str">
            <v>Incarnate Weapon (Good)</v>
          </cell>
          <cell r="B51">
            <v>47</v>
          </cell>
          <cell r="C51" t="b">
            <v>0</v>
          </cell>
          <cell r="D51" t="b">
            <v>1</v>
          </cell>
          <cell r="E51" t="b">
            <v>0</v>
          </cell>
          <cell r="F51" t="str">
            <v>Good</v>
          </cell>
          <cell r="G51" t="b">
            <v>1</v>
          </cell>
          <cell r="H51" t="b">
            <v>0</v>
          </cell>
          <cell r="I51" t="b">
            <v>0</v>
          </cell>
          <cell r="J51" t="b">
            <v>0</v>
          </cell>
          <cell r="K51" t="b">
            <v>0</v>
          </cell>
          <cell r="L51" t="b">
            <v>0</v>
          </cell>
          <cell r="M51" t="b">
            <v>0</v>
          </cell>
          <cell r="N51" t="b">
            <v>0</v>
          </cell>
          <cell r="O51" t="b">
            <v>1</v>
          </cell>
          <cell r="P51" t="b">
            <v>0</v>
          </cell>
          <cell r="Q51" t="b">
            <v>0</v>
          </cell>
          <cell r="R51" t="b">
            <v>0</v>
          </cell>
          <cell r="S51" t="b">
            <v>0</v>
          </cell>
          <cell r="T51" t="b">
            <v>0</v>
          </cell>
          <cell r="U51" t="b">
            <v>0</v>
          </cell>
          <cell r="X51" t="str">
            <v/>
          </cell>
          <cell r="AA51" t="str">
            <v/>
          </cell>
          <cell r="AD51" t="str">
            <v/>
          </cell>
          <cell r="AG51" t="str">
            <v/>
          </cell>
          <cell r="AJ51" t="str">
            <v/>
          </cell>
          <cell r="AM51" t="str">
            <v/>
          </cell>
          <cell r="AP51" t="str">
            <v/>
          </cell>
          <cell r="AS51" t="str">
            <v/>
          </cell>
          <cell r="AV51" t="str">
            <v/>
          </cell>
          <cell r="AY51" t="str">
            <v/>
          </cell>
          <cell r="BB51" t="str">
            <v/>
          </cell>
          <cell r="BE51" t="str">
            <v/>
          </cell>
          <cell r="BH51" t="str">
            <v/>
          </cell>
          <cell r="BK51" t="str">
            <v/>
          </cell>
          <cell r="BN51" t="str">
            <v>Kraken Mantle</v>
          </cell>
        </row>
        <row r="52">
          <cell r="A52" t="str">
            <v>Incarnate Weapon (Lawful)</v>
          </cell>
          <cell r="B52">
            <v>48</v>
          </cell>
          <cell r="C52" t="b">
            <v>0</v>
          </cell>
          <cell r="D52" t="b">
            <v>1</v>
          </cell>
          <cell r="E52" t="b">
            <v>0</v>
          </cell>
          <cell r="F52" t="str">
            <v>Lawful</v>
          </cell>
          <cell r="G52" t="b">
            <v>1</v>
          </cell>
          <cell r="H52" t="b">
            <v>0</v>
          </cell>
          <cell r="I52" t="b">
            <v>0</v>
          </cell>
          <cell r="J52" t="b">
            <v>0</v>
          </cell>
          <cell r="K52" t="b">
            <v>0</v>
          </cell>
          <cell r="L52" t="b">
            <v>0</v>
          </cell>
          <cell r="M52" t="b">
            <v>0</v>
          </cell>
          <cell r="N52" t="b">
            <v>0</v>
          </cell>
          <cell r="O52" t="b">
            <v>1</v>
          </cell>
          <cell r="P52" t="b">
            <v>0</v>
          </cell>
          <cell r="Q52" t="b">
            <v>0</v>
          </cell>
          <cell r="R52" t="b">
            <v>0</v>
          </cell>
          <cell r="S52" t="b">
            <v>0</v>
          </cell>
          <cell r="T52" t="b">
            <v>0</v>
          </cell>
          <cell r="U52" t="b">
            <v>0</v>
          </cell>
          <cell r="X52" t="str">
            <v/>
          </cell>
          <cell r="AA52" t="str">
            <v/>
          </cell>
          <cell r="AD52" t="str">
            <v/>
          </cell>
          <cell r="AG52" t="str">
            <v/>
          </cell>
          <cell r="AJ52" t="str">
            <v/>
          </cell>
          <cell r="AM52" t="str">
            <v/>
          </cell>
          <cell r="AP52" t="str">
            <v/>
          </cell>
          <cell r="AS52" t="str">
            <v/>
          </cell>
          <cell r="AV52" t="str">
            <v/>
          </cell>
          <cell r="AY52" t="str">
            <v/>
          </cell>
          <cell r="BB52" t="str">
            <v/>
          </cell>
          <cell r="BE52" t="str">
            <v/>
          </cell>
          <cell r="BH52" t="str">
            <v/>
          </cell>
          <cell r="BK52" t="str">
            <v/>
          </cell>
          <cell r="BN52" t="str">
            <v>Krenshar Mask</v>
          </cell>
        </row>
        <row r="53">
          <cell r="A53" t="str">
            <v>Keeneye Lenses</v>
          </cell>
          <cell r="B53">
            <v>49</v>
          </cell>
          <cell r="C53" t="b">
            <v>0</v>
          </cell>
          <cell r="D53" t="b">
            <v>1</v>
          </cell>
          <cell r="E53" t="b">
            <v>0</v>
          </cell>
          <cell r="G53" t="b">
            <v>1</v>
          </cell>
          <cell r="H53" t="b">
            <v>0</v>
          </cell>
          <cell r="I53" t="b">
            <v>0</v>
          </cell>
          <cell r="J53" t="b">
            <v>0</v>
          </cell>
          <cell r="K53" t="b">
            <v>0</v>
          </cell>
          <cell r="L53" t="b">
            <v>0</v>
          </cell>
          <cell r="M53" t="b">
            <v>0</v>
          </cell>
          <cell r="N53" t="b">
            <v>0</v>
          </cell>
          <cell r="O53" t="b">
            <v>0</v>
          </cell>
          <cell r="P53" t="b">
            <v>1</v>
          </cell>
          <cell r="Q53" t="b">
            <v>0</v>
          </cell>
          <cell r="R53" t="b">
            <v>0</v>
          </cell>
          <cell r="S53" t="b">
            <v>0</v>
          </cell>
          <cell r="T53" t="b">
            <v>0</v>
          </cell>
          <cell r="U53" t="b">
            <v>1</v>
          </cell>
          <cell r="X53" t="str">
            <v/>
          </cell>
          <cell r="AA53" t="str">
            <v/>
          </cell>
          <cell r="AD53" t="str">
            <v/>
          </cell>
          <cell r="AG53" t="str">
            <v/>
          </cell>
          <cell r="AJ53" t="str">
            <v/>
          </cell>
          <cell r="AM53" t="str">
            <v/>
          </cell>
          <cell r="AP53" t="str">
            <v/>
          </cell>
          <cell r="AS53" t="str">
            <v/>
          </cell>
          <cell r="AV53" t="str">
            <v/>
          </cell>
          <cell r="AY53" t="str">
            <v/>
          </cell>
          <cell r="BB53" t="str">
            <v/>
          </cell>
          <cell r="BE53" t="str">
            <v/>
          </cell>
          <cell r="BH53" t="str">
            <v/>
          </cell>
          <cell r="BK53" t="str">
            <v/>
          </cell>
          <cell r="BN53" t="str">
            <v>Kruthik Claws</v>
          </cell>
        </row>
        <row r="54">
          <cell r="A54" t="str">
            <v>Kraken Mantle</v>
          </cell>
          <cell r="B54">
            <v>50</v>
          </cell>
          <cell r="C54" t="b">
            <v>0</v>
          </cell>
          <cell r="D54" t="b">
            <v>1</v>
          </cell>
          <cell r="E54" t="b">
            <v>0</v>
          </cell>
          <cell r="G54" t="b">
            <v>0</v>
          </cell>
          <cell r="H54" t="b">
            <v>0</v>
          </cell>
          <cell r="I54" t="b">
            <v>1</v>
          </cell>
          <cell r="J54" t="b">
            <v>0</v>
          </cell>
          <cell r="K54" t="b">
            <v>0</v>
          </cell>
          <cell r="L54" t="b">
            <v>0</v>
          </cell>
          <cell r="M54" t="b">
            <v>0</v>
          </cell>
          <cell r="N54" t="b">
            <v>0</v>
          </cell>
          <cell r="O54" t="b">
            <v>1</v>
          </cell>
          <cell r="P54" t="b">
            <v>0</v>
          </cell>
          <cell r="Q54" t="b">
            <v>0</v>
          </cell>
          <cell r="R54" t="b">
            <v>0</v>
          </cell>
          <cell r="S54" t="b">
            <v>0</v>
          </cell>
          <cell r="T54" t="b">
            <v>0</v>
          </cell>
          <cell r="U54" t="b">
            <v>0</v>
          </cell>
          <cell r="X54" t="str">
            <v/>
          </cell>
          <cell r="AA54" t="str">
            <v/>
          </cell>
          <cell r="AD54" t="str">
            <v/>
          </cell>
          <cell r="AG54" t="str">
            <v/>
          </cell>
          <cell r="AJ54" t="str">
            <v/>
          </cell>
          <cell r="AM54" t="str">
            <v/>
          </cell>
          <cell r="AP54" t="str">
            <v/>
          </cell>
          <cell r="AS54" t="str">
            <v/>
          </cell>
          <cell r="AV54" t="str">
            <v/>
          </cell>
          <cell r="AY54" t="str">
            <v/>
          </cell>
          <cell r="BB54" t="str">
            <v/>
          </cell>
          <cell r="BE54" t="str">
            <v/>
          </cell>
          <cell r="BH54" t="str">
            <v/>
          </cell>
          <cell r="BK54" t="str">
            <v/>
          </cell>
          <cell r="BN54" t="str">
            <v>Lamia Belt</v>
          </cell>
        </row>
        <row r="55">
          <cell r="A55" t="str">
            <v>Krenshar Mask</v>
          </cell>
          <cell r="B55">
            <v>51</v>
          </cell>
          <cell r="C55" t="b">
            <v>0</v>
          </cell>
          <cell r="D55" t="b">
            <v>1</v>
          </cell>
          <cell r="E55" t="b">
            <v>0</v>
          </cell>
          <cell r="G55" t="b">
            <v>0</v>
          </cell>
          <cell r="H55" t="b">
            <v>0</v>
          </cell>
          <cell r="I55" t="b">
            <v>1</v>
          </cell>
          <cell r="J55" t="b">
            <v>0</v>
          </cell>
          <cell r="K55" t="b">
            <v>0</v>
          </cell>
          <cell r="L55" t="b">
            <v>0</v>
          </cell>
          <cell r="M55" t="b">
            <v>0</v>
          </cell>
          <cell r="N55" t="b">
            <v>0</v>
          </cell>
          <cell r="O55" t="b">
            <v>0</v>
          </cell>
          <cell r="P55" t="b">
            <v>1</v>
          </cell>
          <cell r="Q55" t="b">
            <v>0</v>
          </cell>
          <cell r="R55" t="b">
            <v>0</v>
          </cell>
          <cell r="S55" t="b">
            <v>0</v>
          </cell>
          <cell r="T55" t="b">
            <v>0</v>
          </cell>
          <cell r="U55" t="b">
            <v>0</v>
          </cell>
          <cell r="X55" t="str">
            <v/>
          </cell>
          <cell r="AA55" t="str">
            <v/>
          </cell>
          <cell r="AD55" t="str">
            <v/>
          </cell>
          <cell r="AG55" t="str">
            <v/>
          </cell>
          <cell r="AJ55" t="str">
            <v/>
          </cell>
          <cell r="AM55" t="str">
            <v/>
          </cell>
          <cell r="AP55" t="str">
            <v/>
          </cell>
          <cell r="AS55" t="str">
            <v/>
          </cell>
          <cell r="AV55" t="str">
            <v/>
          </cell>
          <cell r="AY55" t="str">
            <v/>
          </cell>
          <cell r="BB55" t="str">
            <v/>
          </cell>
          <cell r="BE55" t="str">
            <v/>
          </cell>
          <cell r="BH55" t="str">
            <v/>
          </cell>
          <cell r="BK55" t="str">
            <v/>
          </cell>
          <cell r="BN55" t="str">
            <v>Lammasu Mantle</v>
          </cell>
        </row>
        <row r="56">
          <cell r="A56" t="str">
            <v>Kruthik Claws</v>
          </cell>
          <cell r="B56">
            <v>52</v>
          </cell>
          <cell r="C56" t="b">
            <v>0</v>
          </cell>
          <cell r="D56" t="b">
            <v>1</v>
          </cell>
          <cell r="E56" t="b">
            <v>0</v>
          </cell>
          <cell r="G56" t="b">
            <v>0</v>
          </cell>
          <cell r="H56" t="b">
            <v>0</v>
          </cell>
          <cell r="I56" t="b">
            <v>1</v>
          </cell>
          <cell r="J56" t="b">
            <v>0</v>
          </cell>
          <cell r="K56" t="b">
            <v>0</v>
          </cell>
          <cell r="L56" t="b">
            <v>0</v>
          </cell>
          <cell r="M56" t="b">
            <v>0</v>
          </cell>
          <cell r="N56" t="b">
            <v>1</v>
          </cell>
          <cell r="O56" t="b">
            <v>0</v>
          </cell>
          <cell r="P56" t="b">
            <v>0</v>
          </cell>
          <cell r="Q56" t="b">
            <v>1</v>
          </cell>
          <cell r="R56" t="b">
            <v>0</v>
          </cell>
          <cell r="S56" t="b">
            <v>0</v>
          </cell>
          <cell r="T56" t="b">
            <v>0</v>
          </cell>
          <cell r="U56" t="b">
            <v>0</v>
          </cell>
          <cell r="X56" t="str">
            <v/>
          </cell>
          <cell r="AA56" t="str">
            <v/>
          </cell>
          <cell r="AD56" t="str">
            <v/>
          </cell>
          <cell r="AG56" t="str">
            <v/>
          </cell>
          <cell r="AJ56" t="str">
            <v/>
          </cell>
          <cell r="AM56" t="str">
            <v/>
          </cell>
          <cell r="AP56" t="str">
            <v/>
          </cell>
          <cell r="AS56" t="str">
            <v/>
          </cell>
          <cell r="AV56" t="str">
            <v/>
          </cell>
          <cell r="AY56" t="str">
            <v/>
          </cell>
          <cell r="BB56" t="str">
            <v/>
          </cell>
          <cell r="BE56" t="str">
            <v/>
          </cell>
          <cell r="BH56" t="str">
            <v/>
          </cell>
          <cell r="BK56" t="str">
            <v/>
          </cell>
          <cell r="BN56" t="str">
            <v>Landshark Boots</v>
          </cell>
        </row>
        <row r="57">
          <cell r="A57" t="str">
            <v>Lamia Belt</v>
          </cell>
          <cell r="B57">
            <v>53</v>
          </cell>
          <cell r="C57" t="b">
            <v>0</v>
          </cell>
          <cell r="D57" t="b">
            <v>1</v>
          </cell>
          <cell r="E57" t="b">
            <v>0</v>
          </cell>
          <cell r="F57" t="str">
            <v>Evil</v>
          </cell>
          <cell r="G57" t="b">
            <v>0</v>
          </cell>
          <cell r="H57" t="b">
            <v>0</v>
          </cell>
          <cell r="I57" t="b">
            <v>1</v>
          </cell>
          <cell r="J57" t="b">
            <v>0</v>
          </cell>
          <cell r="K57" t="b">
            <v>0</v>
          </cell>
          <cell r="L57" t="b">
            <v>0</v>
          </cell>
          <cell r="M57" t="b">
            <v>0</v>
          </cell>
          <cell r="N57" t="b">
            <v>0</v>
          </cell>
          <cell r="O57" t="b">
            <v>0</v>
          </cell>
          <cell r="P57" t="b">
            <v>0</v>
          </cell>
          <cell r="Q57" t="b">
            <v>0</v>
          </cell>
          <cell r="R57" t="b">
            <v>0</v>
          </cell>
          <cell r="S57" t="b">
            <v>1</v>
          </cell>
          <cell r="T57" t="b">
            <v>0</v>
          </cell>
          <cell r="U57" t="b">
            <v>0</v>
          </cell>
          <cell r="X57" t="str">
            <v/>
          </cell>
          <cell r="AA57" t="str">
            <v/>
          </cell>
          <cell r="AD57" t="str">
            <v/>
          </cell>
          <cell r="AG57" t="str">
            <v/>
          </cell>
          <cell r="AJ57" t="str">
            <v/>
          </cell>
          <cell r="AM57" t="str">
            <v/>
          </cell>
          <cell r="AP57" t="str">
            <v/>
          </cell>
          <cell r="AS57" t="str">
            <v/>
          </cell>
          <cell r="AV57" t="str">
            <v/>
          </cell>
          <cell r="AY57" t="str">
            <v/>
          </cell>
          <cell r="BB57" t="str">
            <v/>
          </cell>
          <cell r="BE57" t="str">
            <v/>
          </cell>
          <cell r="BH57" t="str">
            <v/>
          </cell>
          <cell r="BK57" t="str">
            <v/>
          </cell>
          <cell r="BN57" t="str">
            <v>Lifebond Vestments</v>
          </cell>
        </row>
        <row r="58">
          <cell r="A58" t="str">
            <v>Lammasu Mantle</v>
          </cell>
          <cell r="B58">
            <v>54</v>
          </cell>
          <cell r="C58" t="b">
            <v>0</v>
          </cell>
          <cell r="D58" t="b">
            <v>1</v>
          </cell>
          <cell r="E58" t="b">
            <v>0</v>
          </cell>
          <cell r="F58" t="str">
            <v>Good</v>
          </cell>
          <cell r="G58" t="b">
            <v>1</v>
          </cell>
          <cell r="H58" t="b">
            <v>0</v>
          </cell>
          <cell r="I58" t="b">
            <v>1</v>
          </cell>
          <cell r="J58" t="b">
            <v>0</v>
          </cell>
          <cell r="K58" t="b">
            <v>0</v>
          </cell>
          <cell r="L58" t="b">
            <v>0</v>
          </cell>
          <cell r="M58" t="b">
            <v>0</v>
          </cell>
          <cell r="N58" t="b">
            <v>0</v>
          </cell>
          <cell r="O58" t="b">
            <v>1</v>
          </cell>
          <cell r="P58" t="b">
            <v>0</v>
          </cell>
          <cell r="Q58" t="b">
            <v>1</v>
          </cell>
          <cell r="R58" t="b">
            <v>0</v>
          </cell>
          <cell r="S58" t="b">
            <v>0</v>
          </cell>
          <cell r="T58" t="b">
            <v>0</v>
          </cell>
          <cell r="U58" t="b">
            <v>0</v>
          </cell>
          <cell r="X58" t="str">
            <v/>
          </cell>
          <cell r="AA58" t="str">
            <v/>
          </cell>
          <cell r="AD58" t="str">
            <v/>
          </cell>
          <cell r="AG58" t="str">
            <v/>
          </cell>
          <cell r="AJ58" t="str">
            <v/>
          </cell>
          <cell r="AM58" t="str">
            <v/>
          </cell>
          <cell r="AP58" t="str">
            <v/>
          </cell>
          <cell r="AS58" t="str">
            <v/>
          </cell>
          <cell r="AV58" t="str">
            <v/>
          </cell>
          <cell r="AY58" t="str">
            <v/>
          </cell>
          <cell r="BB58" t="str">
            <v/>
          </cell>
          <cell r="BE58" t="str">
            <v/>
          </cell>
          <cell r="BH58" t="str">
            <v/>
          </cell>
          <cell r="BK58" t="str">
            <v/>
          </cell>
          <cell r="BN58" t="str">
            <v>Lightning Gauntlets</v>
          </cell>
        </row>
        <row r="59">
          <cell r="A59" t="str">
            <v>Landshark Boots</v>
          </cell>
          <cell r="B59">
            <v>55</v>
          </cell>
          <cell r="C59" t="b">
            <v>0</v>
          </cell>
          <cell r="D59" t="b">
            <v>1</v>
          </cell>
          <cell r="E59" t="b">
            <v>0</v>
          </cell>
          <cell r="G59" t="b">
            <v>0</v>
          </cell>
          <cell r="H59" t="b">
            <v>0</v>
          </cell>
          <cell r="I59" t="b">
            <v>1</v>
          </cell>
          <cell r="J59" t="b">
            <v>0</v>
          </cell>
          <cell r="K59" t="b">
            <v>0</v>
          </cell>
          <cell r="L59" t="b">
            <v>0</v>
          </cell>
          <cell r="M59" t="b">
            <v>1</v>
          </cell>
          <cell r="N59" t="b">
            <v>0</v>
          </cell>
          <cell r="O59" t="b">
            <v>0</v>
          </cell>
          <cell r="P59" t="b">
            <v>0</v>
          </cell>
          <cell r="Q59" t="b">
            <v>0</v>
          </cell>
          <cell r="R59" t="b">
            <v>0</v>
          </cell>
          <cell r="S59" t="b">
            <v>0</v>
          </cell>
          <cell r="T59" t="b">
            <v>0</v>
          </cell>
          <cell r="U59" t="b">
            <v>0</v>
          </cell>
          <cell r="X59" t="str">
            <v/>
          </cell>
          <cell r="AA59" t="str">
            <v/>
          </cell>
          <cell r="AD59" t="str">
            <v/>
          </cell>
          <cell r="AG59" t="str">
            <v/>
          </cell>
          <cell r="AJ59" t="str">
            <v/>
          </cell>
          <cell r="AM59" t="str">
            <v/>
          </cell>
          <cell r="AP59" t="str">
            <v/>
          </cell>
          <cell r="AS59" t="str">
            <v/>
          </cell>
          <cell r="AV59" t="str">
            <v/>
          </cell>
          <cell r="AY59" t="str">
            <v/>
          </cell>
          <cell r="BB59" t="str">
            <v/>
          </cell>
          <cell r="BE59" t="str">
            <v/>
          </cell>
          <cell r="BH59" t="str">
            <v/>
          </cell>
          <cell r="BK59" t="str">
            <v/>
          </cell>
          <cell r="BN59" t="str">
            <v>Lucky Dice</v>
          </cell>
        </row>
        <row r="60">
          <cell r="A60" t="str">
            <v>Lifebond Vestments</v>
          </cell>
          <cell r="B60">
            <v>56</v>
          </cell>
          <cell r="C60" t="b">
            <v>0</v>
          </cell>
          <cell r="D60" t="b">
            <v>1</v>
          </cell>
          <cell r="E60" t="b">
            <v>0</v>
          </cell>
          <cell r="G60" t="b">
            <v>0</v>
          </cell>
          <cell r="H60" t="b">
            <v>0</v>
          </cell>
          <cell r="I60" t="b">
            <v>1</v>
          </cell>
          <cell r="J60" t="b">
            <v>0</v>
          </cell>
          <cell r="K60" t="b">
            <v>0</v>
          </cell>
          <cell r="L60" t="b">
            <v>0</v>
          </cell>
          <cell r="M60" t="b">
            <v>0</v>
          </cell>
          <cell r="N60" t="b">
            <v>0</v>
          </cell>
          <cell r="O60" t="b">
            <v>1</v>
          </cell>
          <cell r="P60" t="b">
            <v>0</v>
          </cell>
          <cell r="Q60" t="b">
            <v>0</v>
          </cell>
          <cell r="R60" t="b">
            <v>0</v>
          </cell>
          <cell r="S60" t="b">
            <v>0</v>
          </cell>
          <cell r="T60" t="b">
            <v>1</v>
          </cell>
          <cell r="U60" t="b">
            <v>0</v>
          </cell>
          <cell r="X60" t="str">
            <v/>
          </cell>
          <cell r="AA60" t="str">
            <v/>
          </cell>
          <cell r="AD60" t="str">
            <v/>
          </cell>
          <cell r="AG60" t="str">
            <v/>
          </cell>
          <cell r="AJ60" t="str">
            <v/>
          </cell>
          <cell r="AM60" t="str">
            <v/>
          </cell>
          <cell r="AP60" t="str">
            <v/>
          </cell>
          <cell r="AS60" t="str">
            <v/>
          </cell>
          <cell r="AV60" t="str">
            <v/>
          </cell>
          <cell r="AY60" t="str">
            <v/>
          </cell>
          <cell r="BB60" t="str">
            <v/>
          </cell>
          <cell r="BE60" t="str">
            <v/>
          </cell>
          <cell r="BH60" t="str">
            <v/>
          </cell>
          <cell r="BK60" t="str">
            <v/>
          </cell>
          <cell r="BN60" t="str">
            <v>Mage's Spectacles</v>
          </cell>
        </row>
        <row r="61">
          <cell r="A61" t="str">
            <v>Lightning Gauntlets</v>
          </cell>
          <cell r="B61">
            <v>57</v>
          </cell>
          <cell r="C61" t="b">
            <v>0</v>
          </cell>
          <cell r="D61" t="b">
            <v>1</v>
          </cell>
          <cell r="E61" t="b">
            <v>0</v>
          </cell>
          <cell r="G61" t="b">
            <v>1</v>
          </cell>
          <cell r="H61" t="b">
            <v>0</v>
          </cell>
          <cell r="I61" t="b">
            <v>0</v>
          </cell>
          <cell r="J61" t="b">
            <v>0</v>
          </cell>
          <cell r="K61" t="b">
            <v>0</v>
          </cell>
          <cell r="L61" t="b">
            <v>0</v>
          </cell>
          <cell r="M61" t="b">
            <v>0</v>
          </cell>
          <cell r="N61" t="b">
            <v>1</v>
          </cell>
          <cell r="O61" t="b">
            <v>0</v>
          </cell>
          <cell r="P61" t="b">
            <v>0</v>
          </cell>
          <cell r="Q61" t="b">
            <v>0</v>
          </cell>
          <cell r="R61" t="b">
            <v>0</v>
          </cell>
          <cell r="S61" t="b">
            <v>0</v>
          </cell>
          <cell r="T61" t="b">
            <v>0</v>
          </cell>
          <cell r="U61" t="b">
            <v>0</v>
          </cell>
          <cell r="X61" t="str">
            <v/>
          </cell>
          <cell r="AA61" t="str">
            <v/>
          </cell>
          <cell r="AD61" t="str">
            <v/>
          </cell>
          <cell r="AG61" t="str">
            <v/>
          </cell>
          <cell r="AJ61" t="str">
            <v/>
          </cell>
          <cell r="AM61" t="str">
            <v/>
          </cell>
          <cell r="AP61" t="str">
            <v/>
          </cell>
          <cell r="AS61" t="str">
            <v/>
          </cell>
          <cell r="AV61" t="str">
            <v/>
          </cell>
          <cell r="AY61" t="str">
            <v/>
          </cell>
          <cell r="BB61" t="str">
            <v/>
          </cell>
          <cell r="BE61" t="str">
            <v/>
          </cell>
          <cell r="BH61" t="str">
            <v/>
          </cell>
          <cell r="BK61" t="str">
            <v/>
          </cell>
          <cell r="BN61" t="str">
            <v>Manticore Belt</v>
          </cell>
        </row>
        <row r="62">
          <cell r="A62" t="str">
            <v>Lucky Dice</v>
          </cell>
          <cell r="B62">
            <v>58</v>
          </cell>
          <cell r="C62" t="b">
            <v>0</v>
          </cell>
          <cell r="D62" t="b">
            <v>1</v>
          </cell>
          <cell r="E62" t="b">
            <v>0</v>
          </cell>
          <cell r="G62" t="b">
            <v>1</v>
          </cell>
          <cell r="H62" t="b">
            <v>1</v>
          </cell>
          <cell r="I62" t="b">
            <v>0</v>
          </cell>
          <cell r="J62" t="b">
            <v>1</v>
          </cell>
          <cell r="K62" t="b">
            <v>0</v>
          </cell>
          <cell r="L62" t="b">
            <v>0</v>
          </cell>
          <cell r="M62" t="b">
            <v>0</v>
          </cell>
          <cell r="N62" t="b">
            <v>1</v>
          </cell>
          <cell r="O62" t="b">
            <v>0</v>
          </cell>
          <cell r="P62" t="b">
            <v>0</v>
          </cell>
          <cell r="Q62" t="b">
            <v>0</v>
          </cell>
          <cell r="R62" t="b">
            <v>0</v>
          </cell>
          <cell r="S62" t="b">
            <v>0</v>
          </cell>
          <cell r="T62" t="b">
            <v>0</v>
          </cell>
          <cell r="U62" t="b">
            <v>0</v>
          </cell>
          <cell r="X62" t="str">
            <v/>
          </cell>
          <cell r="AA62" t="str">
            <v/>
          </cell>
          <cell r="AD62" t="str">
            <v/>
          </cell>
          <cell r="AG62" t="str">
            <v/>
          </cell>
          <cell r="AJ62" t="str">
            <v/>
          </cell>
          <cell r="AM62" t="str">
            <v/>
          </cell>
          <cell r="AP62" t="str">
            <v/>
          </cell>
          <cell r="AS62" t="str">
            <v/>
          </cell>
          <cell r="AV62" t="str">
            <v/>
          </cell>
          <cell r="AY62" t="str">
            <v/>
          </cell>
          <cell r="BB62" t="str">
            <v/>
          </cell>
          <cell r="BE62" t="str">
            <v/>
          </cell>
          <cell r="BH62" t="str">
            <v/>
          </cell>
          <cell r="BK62" t="str">
            <v/>
          </cell>
          <cell r="BN62" t="str">
            <v>Mantle of Flame</v>
          </cell>
        </row>
        <row r="63">
          <cell r="A63" t="str">
            <v>Mage's Spectacles</v>
          </cell>
          <cell r="B63">
            <v>59</v>
          </cell>
          <cell r="C63" t="b">
            <v>0</v>
          </cell>
          <cell r="D63" t="b">
            <v>1</v>
          </cell>
          <cell r="E63" t="b">
            <v>0</v>
          </cell>
          <cell r="G63" t="b">
            <v>1</v>
          </cell>
          <cell r="H63" t="b">
            <v>0</v>
          </cell>
          <cell r="I63" t="b">
            <v>0</v>
          </cell>
          <cell r="J63" t="b">
            <v>0</v>
          </cell>
          <cell r="K63" t="b">
            <v>0</v>
          </cell>
          <cell r="L63" t="b">
            <v>0</v>
          </cell>
          <cell r="M63" t="b">
            <v>0</v>
          </cell>
          <cell r="N63" t="b">
            <v>0</v>
          </cell>
          <cell r="O63" t="b">
            <v>0</v>
          </cell>
          <cell r="P63" t="b">
            <v>1</v>
          </cell>
          <cell r="Q63" t="b">
            <v>0</v>
          </cell>
          <cell r="R63" t="b">
            <v>0</v>
          </cell>
          <cell r="S63" t="b">
            <v>0</v>
          </cell>
          <cell r="T63" t="b">
            <v>0</v>
          </cell>
          <cell r="U63" t="b">
            <v>0</v>
          </cell>
          <cell r="X63" t="str">
            <v/>
          </cell>
          <cell r="AA63" t="str">
            <v/>
          </cell>
          <cell r="AD63" t="str">
            <v/>
          </cell>
          <cell r="AG63" t="str">
            <v/>
          </cell>
          <cell r="AJ63" t="str">
            <v/>
          </cell>
          <cell r="AM63" t="str">
            <v/>
          </cell>
          <cell r="AP63" t="str">
            <v/>
          </cell>
          <cell r="AS63" t="str">
            <v/>
          </cell>
          <cell r="AV63" t="str">
            <v/>
          </cell>
          <cell r="AY63" t="str">
            <v/>
          </cell>
          <cell r="BB63" t="str">
            <v/>
          </cell>
          <cell r="BE63" t="str">
            <v/>
          </cell>
          <cell r="BH63" t="str">
            <v/>
          </cell>
          <cell r="BK63" t="str">
            <v/>
          </cell>
          <cell r="BN63" t="str">
            <v>Mauling Gauntlets</v>
          </cell>
        </row>
        <row r="64">
          <cell r="A64" t="str">
            <v>Manticore Belt</v>
          </cell>
          <cell r="B64">
            <v>60</v>
          </cell>
          <cell r="C64" t="b">
            <v>0</v>
          </cell>
          <cell r="D64" t="b">
            <v>1</v>
          </cell>
          <cell r="E64" t="b">
            <v>0</v>
          </cell>
          <cell r="G64" t="b">
            <v>0</v>
          </cell>
          <cell r="H64" t="b">
            <v>0</v>
          </cell>
          <cell r="I64" t="b">
            <v>1</v>
          </cell>
          <cell r="J64" t="b">
            <v>0</v>
          </cell>
          <cell r="K64" t="b">
            <v>0</v>
          </cell>
          <cell r="L64" t="b">
            <v>0</v>
          </cell>
          <cell r="M64" t="b">
            <v>0</v>
          </cell>
          <cell r="N64" t="b">
            <v>0</v>
          </cell>
          <cell r="O64" t="b">
            <v>0</v>
          </cell>
          <cell r="P64" t="b">
            <v>0</v>
          </cell>
          <cell r="Q64" t="b">
            <v>0</v>
          </cell>
          <cell r="R64" t="b">
            <v>0</v>
          </cell>
          <cell r="S64" t="b">
            <v>1</v>
          </cell>
          <cell r="T64" t="b">
            <v>0</v>
          </cell>
          <cell r="U64" t="b">
            <v>0</v>
          </cell>
          <cell r="X64" t="str">
            <v/>
          </cell>
          <cell r="AA64" t="str">
            <v/>
          </cell>
          <cell r="AD64" t="str">
            <v/>
          </cell>
          <cell r="AG64" t="str">
            <v/>
          </cell>
          <cell r="AJ64" t="str">
            <v/>
          </cell>
          <cell r="AM64" t="str">
            <v/>
          </cell>
          <cell r="AP64" t="str">
            <v/>
          </cell>
          <cell r="AS64" t="str">
            <v/>
          </cell>
          <cell r="AV64" t="str">
            <v/>
          </cell>
          <cell r="AY64" t="str">
            <v/>
          </cell>
          <cell r="BB64" t="str">
            <v/>
          </cell>
          <cell r="BE64" t="str">
            <v/>
          </cell>
          <cell r="BH64" t="str">
            <v/>
          </cell>
          <cell r="BK64" t="str">
            <v/>
          </cell>
          <cell r="BN64" t="str">
            <v>Necrocarnum Circlet</v>
          </cell>
        </row>
        <row r="65">
          <cell r="A65" t="str">
            <v>Mantle of Flame</v>
          </cell>
          <cell r="B65">
            <v>61</v>
          </cell>
          <cell r="C65" t="b">
            <v>0</v>
          </cell>
          <cell r="D65" t="b">
            <v>1</v>
          </cell>
          <cell r="E65" t="b">
            <v>0</v>
          </cell>
          <cell r="G65" t="b">
            <v>1</v>
          </cell>
          <cell r="H65" t="b">
            <v>0</v>
          </cell>
          <cell r="I65" t="b">
            <v>0</v>
          </cell>
          <cell r="J65" t="b">
            <v>0</v>
          </cell>
          <cell r="K65" t="b">
            <v>0</v>
          </cell>
          <cell r="L65" t="b">
            <v>0</v>
          </cell>
          <cell r="M65" t="b">
            <v>0</v>
          </cell>
          <cell r="N65" t="b">
            <v>0</v>
          </cell>
          <cell r="O65" t="b">
            <v>0</v>
          </cell>
          <cell r="P65" t="b">
            <v>0</v>
          </cell>
          <cell r="Q65" t="b">
            <v>1</v>
          </cell>
          <cell r="R65" t="b">
            <v>0</v>
          </cell>
          <cell r="S65" t="b">
            <v>0</v>
          </cell>
          <cell r="T65" t="b">
            <v>0</v>
          </cell>
          <cell r="U65" t="b">
            <v>0</v>
          </cell>
          <cell r="X65" t="str">
            <v/>
          </cell>
          <cell r="AA65" t="str">
            <v/>
          </cell>
          <cell r="AD65" t="str">
            <v/>
          </cell>
          <cell r="AG65" t="str">
            <v/>
          </cell>
          <cell r="AJ65" t="str">
            <v/>
          </cell>
          <cell r="AM65" t="str">
            <v/>
          </cell>
          <cell r="AP65" t="str">
            <v/>
          </cell>
          <cell r="AS65" t="str">
            <v/>
          </cell>
          <cell r="AV65" t="str">
            <v/>
          </cell>
          <cell r="AY65" t="str">
            <v/>
          </cell>
          <cell r="BB65" t="str">
            <v/>
          </cell>
          <cell r="BE65" t="str">
            <v/>
          </cell>
          <cell r="BH65" t="str">
            <v/>
          </cell>
          <cell r="BK65" t="str">
            <v/>
          </cell>
          <cell r="BN65" t="str">
            <v>Necrocarnum Mantle</v>
          </cell>
        </row>
        <row r="66">
          <cell r="A66" t="str">
            <v>Mauling Gauntlets</v>
          </cell>
          <cell r="B66">
            <v>62</v>
          </cell>
          <cell r="C66" t="b">
            <v>0</v>
          </cell>
          <cell r="D66" t="b">
            <v>1</v>
          </cell>
          <cell r="E66" t="b">
            <v>0</v>
          </cell>
          <cell r="G66" t="b">
            <v>0</v>
          </cell>
          <cell r="H66" t="b">
            <v>1</v>
          </cell>
          <cell r="I66" t="b">
            <v>0</v>
          </cell>
          <cell r="J66" t="b">
            <v>1</v>
          </cell>
          <cell r="K66" t="b">
            <v>0</v>
          </cell>
          <cell r="L66" t="b">
            <v>0</v>
          </cell>
          <cell r="M66" t="b">
            <v>0</v>
          </cell>
          <cell r="N66" t="b">
            <v>1</v>
          </cell>
          <cell r="O66" t="b">
            <v>1</v>
          </cell>
          <cell r="P66" t="b">
            <v>0</v>
          </cell>
          <cell r="Q66" t="b">
            <v>0</v>
          </cell>
          <cell r="R66" t="b">
            <v>0</v>
          </cell>
          <cell r="S66" t="b">
            <v>0</v>
          </cell>
          <cell r="T66" t="b">
            <v>0</v>
          </cell>
          <cell r="U66" t="b">
            <v>0</v>
          </cell>
          <cell r="X66" t="str">
            <v/>
          </cell>
          <cell r="AA66" t="str">
            <v/>
          </cell>
          <cell r="AD66" t="str">
            <v/>
          </cell>
          <cell r="AG66" t="str">
            <v/>
          </cell>
          <cell r="AJ66" t="str">
            <v/>
          </cell>
          <cell r="AM66" t="str">
            <v/>
          </cell>
          <cell r="AP66" t="str">
            <v/>
          </cell>
          <cell r="AS66" t="str">
            <v/>
          </cell>
          <cell r="AV66" t="str">
            <v/>
          </cell>
          <cell r="AY66" t="str">
            <v/>
          </cell>
          <cell r="BB66" t="str">
            <v/>
          </cell>
          <cell r="BE66" t="str">
            <v/>
          </cell>
          <cell r="BH66" t="str">
            <v/>
          </cell>
          <cell r="BK66" t="str">
            <v/>
          </cell>
          <cell r="BN66" t="str">
            <v>Necrocarnum Shroud</v>
          </cell>
        </row>
        <row r="67">
          <cell r="A67" t="str">
            <v>Necrocarnum Circlet</v>
          </cell>
          <cell r="B67">
            <v>63</v>
          </cell>
          <cell r="C67" t="b">
            <v>0</v>
          </cell>
          <cell r="D67" t="b">
            <v>1</v>
          </cell>
          <cell r="E67" t="b">
            <v>0</v>
          </cell>
          <cell r="F67" t="str">
            <v>Evil</v>
          </cell>
          <cell r="G67" t="b">
            <v>1</v>
          </cell>
          <cell r="H67" t="b">
            <v>1</v>
          </cell>
          <cell r="I67" t="b">
            <v>0</v>
          </cell>
          <cell r="J67" t="b">
            <v>1</v>
          </cell>
          <cell r="K67" t="b">
            <v>0</v>
          </cell>
          <cell r="L67" t="b">
            <v>1</v>
          </cell>
          <cell r="M67" t="b">
            <v>0</v>
          </cell>
          <cell r="N67" t="b">
            <v>0</v>
          </cell>
          <cell r="O67" t="b">
            <v>0</v>
          </cell>
          <cell r="P67" t="b">
            <v>0</v>
          </cell>
          <cell r="Q67" t="b">
            <v>0</v>
          </cell>
          <cell r="R67" t="b">
            <v>0</v>
          </cell>
          <cell r="S67" t="b">
            <v>0</v>
          </cell>
          <cell r="T67" t="b">
            <v>0</v>
          </cell>
          <cell r="U67" t="b">
            <v>0</v>
          </cell>
          <cell r="X67" t="str">
            <v/>
          </cell>
          <cell r="AA67" t="str">
            <v/>
          </cell>
          <cell r="AD67" t="str">
            <v/>
          </cell>
          <cell r="AG67" t="str">
            <v/>
          </cell>
          <cell r="AJ67" t="str">
            <v/>
          </cell>
          <cell r="AM67" t="str">
            <v/>
          </cell>
          <cell r="AP67" t="str">
            <v/>
          </cell>
          <cell r="AS67" t="str">
            <v/>
          </cell>
          <cell r="AV67" t="str">
            <v/>
          </cell>
          <cell r="AY67" t="str">
            <v/>
          </cell>
          <cell r="BB67" t="str">
            <v/>
          </cell>
          <cell r="BE67" t="str">
            <v/>
          </cell>
          <cell r="BH67" t="str">
            <v/>
          </cell>
          <cell r="BK67" t="str">
            <v/>
          </cell>
          <cell r="BN67" t="str">
            <v>Necrocarnum Touch</v>
          </cell>
        </row>
        <row r="68">
          <cell r="A68" t="str">
            <v>Necrocarnum Mantle</v>
          </cell>
          <cell r="B68">
            <v>64</v>
          </cell>
          <cell r="C68" t="b">
            <v>0</v>
          </cell>
          <cell r="D68" t="b">
            <v>1</v>
          </cell>
          <cell r="E68" t="b">
            <v>0</v>
          </cell>
          <cell r="F68" t="str">
            <v>Evil</v>
          </cell>
          <cell r="G68" t="b">
            <v>1</v>
          </cell>
          <cell r="H68" t="b">
            <v>1</v>
          </cell>
          <cell r="I68" t="b">
            <v>0</v>
          </cell>
          <cell r="J68" t="b">
            <v>1</v>
          </cell>
          <cell r="K68" t="b">
            <v>0</v>
          </cell>
          <cell r="L68" t="b">
            <v>0</v>
          </cell>
          <cell r="M68" t="b">
            <v>0</v>
          </cell>
          <cell r="N68" t="b">
            <v>0</v>
          </cell>
          <cell r="O68" t="b">
            <v>0</v>
          </cell>
          <cell r="P68" t="b">
            <v>0</v>
          </cell>
          <cell r="Q68" t="b">
            <v>0</v>
          </cell>
          <cell r="R68" t="b">
            <v>1</v>
          </cell>
          <cell r="S68" t="b">
            <v>0</v>
          </cell>
          <cell r="T68" t="b">
            <v>0</v>
          </cell>
          <cell r="U68" t="b">
            <v>0</v>
          </cell>
          <cell r="X68" t="str">
            <v/>
          </cell>
          <cell r="AA68" t="str">
            <v/>
          </cell>
          <cell r="AD68" t="str">
            <v/>
          </cell>
          <cell r="AG68" t="str">
            <v/>
          </cell>
          <cell r="AJ68" t="str">
            <v/>
          </cell>
          <cell r="AM68" t="str">
            <v/>
          </cell>
          <cell r="AP68" t="str">
            <v/>
          </cell>
          <cell r="AS68" t="str">
            <v/>
          </cell>
          <cell r="AV68" t="str">
            <v/>
          </cell>
          <cell r="AY68" t="str">
            <v/>
          </cell>
          <cell r="BB68" t="str">
            <v/>
          </cell>
          <cell r="BE68" t="str">
            <v/>
          </cell>
          <cell r="BH68" t="str">
            <v/>
          </cell>
          <cell r="BK68" t="str">
            <v/>
          </cell>
          <cell r="BN68" t="str">
            <v>Necrocarnum Vestments</v>
          </cell>
        </row>
        <row r="69">
          <cell r="A69" t="str">
            <v>Necrocarnum Shroud</v>
          </cell>
          <cell r="B69">
            <v>65</v>
          </cell>
          <cell r="C69" t="b">
            <v>0</v>
          </cell>
          <cell r="D69" t="b">
            <v>1</v>
          </cell>
          <cell r="E69" t="b">
            <v>0</v>
          </cell>
          <cell r="F69" t="str">
            <v>Evil</v>
          </cell>
          <cell r="G69" t="b">
            <v>1</v>
          </cell>
          <cell r="H69" t="b">
            <v>1</v>
          </cell>
          <cell r="I69" t="b">
            <v>0</v>
          </cell>
          <cell r="J69" t="b">
            <v>1</v>
          </cell>
          <cell r="K69" t="b">
            <v>0</v>
          </cell>
          <cell r="L69" t="b">
            <v>0</v>
          </cell>
          <cell r="M69" t="b">
            <v>0</v>
          </cell>
          <cell r="N69" t="b">
            <v>0</v>
          </cell>
          <cell r="O69" t="b">
            <v>0</v>
          </cell>
          <cell r="P69" t="b">
            <v>0</v>
          </cell>
          <cell r="Q69" t="b">
            <v>0</v>
          </cell>
          <cell r="R69" t="b">
            <v>0</v>
          </cell>
          <cell r="S69" t="b">
            <v>1</v>
          </cell>
          <cell r="T69" t="b">
            <v>0</v>
          </cell>
          <cell r="U69" t="b">
            <v>1</v>
          </cell>
          <cell r="X69" t="str">
            <v/>
          </cell>
          <cell r="AA69" t="str">
            <v/>
          </cell>
          <cell r="AD69" t="str">
            <v/>
          </cell>
          <cell r="AG69" t="str">
            <v/>
          </cell>
          <cell r="AJ69" t="str">
            <v/>
          </cell>
          <cell r="AM69" t="str">
            <v/>
          </cell>
          <cell r="AP69" t="str">
            <v/>
          </cell>
          <cell r="AS69" t="str">
            <v/>
          </cell>
          <cell r="AV69" t="str">
            <v/>
          </cell>
          <cell r="AY69" t="str">
            <v/>
          </cell>
          <cell r="BB69" t="str">
            <v/>
          </cell>
          <cell r="BE69" t="str">
            <v/>
          </cell>
          <cell r="BH69" t="str">
            <v/>
          </cell>
          <cell r="BK69" t="str">
            <v/>
          </cell>
          <cell r="BN69" t="str">
            <v>Necrocarnum Weapon</v>
          </cell>
        </row>
        <row r="70">
          <cell r="A70" t="str">
            <v>Necrocarnum Touch</v>
          </cell>
          <cell r="B70">
            <v>66</v>
          </cell>
          <cell r="C70" t="b">
            <v>0</v>
          </cell>
          <cell r="D70" t="b">
            <v>1</v>
          </cell>
          <cell r="E70" t="b">
            <v>0</v>
          </cell>
          <cell r="F70" t="str">
            <v>Evil</v>
          </cell>
          <cell r="G70" t="b">
            <v>1</v>
          </cell>
          <cell r="H70" t="b">
            <v>1</v>
          </cell>
          <cell r="I70" t="b">
            <v>0</v>
          </cell>
          <cell r="J70" t="b">
            <v>1</v>
          </cell>
          <cell r="K70" t="b">
            <v>0</v>
          </cell>
          <cell r="L70" t="b">
            <v>0</v>
          </cell>
          <cell r="M70" t="b">
            <v>0</v>
          </cell>
          <cell r="N70" t="b">
            <v>0</v>
          </cell>
          <cell r="O70" t="b">
            <v>1</v>
          </cell>
          <cell r="P70" t="b">
            <v>0</v>
          </cell>
          <cell r="Q70" t="b">
            <v>0</v>
          </cell>
          <cell r="R70" t="b">
            <v>0</v>
          </cell>
          <cell r="S70" t="b">
            <v>0</v>
          </cell>
          <cell r="T70" t="b">
            <v>0</v>
          </cell>
          <cell r="U70" t="b">
            <v>0</v>
          </cell>
          <cell r="X70" t="str">
            <v/>
          </cell>
          <cell r="AA70" t="str">
            <v/>
          </cell>
          <cell r="AD70" t="str">
            <v/>
          </cell>
          <cell r="AG70" t="str">
            <v/>
          </cell>
          <cell r="AJ70" t="str">
            <v/>
          </cell>
          <cell r="AM70" t="str">
            <v/>
          </cell>
          <cell r="AP70" t="str">
            <v/>
          </cell>
          <cell r="AS70" t="str">
            <v/>
          </cell>
          <cell r="AV70" t="str">
            <v/>
          </cell>
          <cell r="AY70" t="str">
            <v/>
          </cell>
          <cell r="BB70" t="str">
            <v/>
          </cell>
          <cell r="BE70" t="str">
            <v/>
          </cell>
          <cell r="BH70" t="str">
            <v/>
          </cell>
          <cell r="BK70" t="str">
            <v/>
          </cell>
          <cell r="BN70" t="str">
            <v>Pauldrons of Health</v>
          </cell>
        </row>
        <row r="71">
          <cell r="A71" t="str">
            <v>Necrocarnum Vestments</v>
          </cell>
          <cell r="B71">
            <v>67</v>
          </cell>
          <cell r="C71" t="b">
            <v>0</v>
          </cell>
          <cell r="D71" t="b">
            <v>1</v>
          </cell>
          <cell r="E71" t="b">
            <v>0</v>
          </cell>
          <cell r="F71" t="str">
            <v>Evil</v>
          </cell>
          <cell r="G71" t="b">
            <v>1</v>
          </cell>
          <cell r="H71" t="b">
            <v>1</v>
          </cell>
          <cell r="I71" t="b">
            <v>0</v>
          </cell>
          <cell r="J71" t="b">
            <v>1</v>
          </cell>
          <cell r="K71" t="b">
            <v>0</v>
          </cell>
          <cell r="L71" t="b">
            <v>0</v>
          </cell>
          <cell r="M71" t="b">
            <v>0</v>
          </cell>
          <cell r="N71" t="b">
            <v>0</v>
          </cell>
          <cell r="O71" t="b">
            <v>0</v>
          </cell>
          <cell r="P71" t="b">
            <v>0</v>
          </cell>
          <cell r="Q71" t="b">
            <v>0</v>
          </cell>
          <cell r="R71" t="b">
            <v>0</v>
          </cell>
          <cell r="S71" t="b">
            <v>1</v>
          </cell>
          <cell r="T71" t="b">
            <v>1</v>
          </cell>
          <cell r="U71" t="b">
            <v>0</v>
          </cell>
          <cell r="X71" t="str">
            <v/>
          </cell>
          <cell r="AA71" t="str">
            <v/>
          </cell>
          <cell r="AD71" t="str">
            <v/>
          </cell>
          <cell r="AG71" t="str">
            <v/>
          </cell>
          <cell r="AJ71" t="str">
            <v/>
          </cell>
          <cell r="AM71" t="str">
            <v/>
          </cell>
          <cell r="AP71" t="str">
            <v/>
          </cell>
          <cell r="AS71" t="str">
            <v/>
          </cell>
          <cell r="AV71" t="str">
            <v/>
          </cell>
          <cell r="AY71" t="str">
            <v/>
          </cell>
          <cell r="BB71" t="str">
            <v/>
          </cell>
          <cell r="BE71" t="str">
            <v/>
          </cell>
          <cell r="BH71" t="str">
            <v/>
          </cell>
          <cell r="BK71" t="str">
            <v/>
          </cell>
          <cell r="BN71" t="str">
            <v>Pegasus Cloak</v>
          </cell>
        </row>
        <row r="72">
          <cell r="A72" t="str">
            <v>Necrocarnum Weapon</v>
          </cell>
          <cell r="B72">
            <v>68</v>
          </cell>
          <cell r="C72" t="b">
            <v>0</v>
          </cell>
          <cell r="D72" t="b">
            <v>1</v>
          </cell>
          <cell r="E72" t="b">
            <v>0</v>
          </cell>
          <cell r="F72" t="str">
            <v>Evil</v>
          </cell>
          <cell r="G72" t="b">
            <v>1</v>
          </cell>
          <cell r="H72" t="b">
            <v>1</v>
          </cell>
          <cell r="I72" t="b">
            <v>0</v>
          </cell>
          <cell r="J72" t="b">
            <v>1</v>
          </cell>
          <cell r="K72" t="b">
            <v>0</v>
          </cell>
          <cell r="L72" t="b">
            <v>0</v>
          </cell>
          <cell r="M72" t="b">
            <v>0</v>
          </cell>
          <cell r="N72" t="b">
            <v>1</v>
          </cell>
          <cell r="O72" t="b">
            <v>0</v>
          </cell>
          <cell r="P72" t="b">
            <v>0</v>
          </cell>
          <cell r="Q72" t="b">
            <v>0</v>
          </cell>
          <cell r="R72" t="b">
            <v>0</v>
          </cell>
          <cell r="S72" t="b">
            <v>0</v>
          </cell>
          <cell r="T72" t="b">
            <v>0</v>
          </cell>
          <cell r="U72" t="b">
            <v>0</v>
          </cell>
          <cell r="X72" t="str">
            <v/>
          </cell>
          <cell r="AA72" t="str">
            <v/>
          </cell>
          <cell r="AD72" t="str">
            <v/>
          </cell>
          <cell r="AG72" t="str">
            <v/>
          </cell>
          <cell r="AJ72" t="str">
            <v/>
          </cell>
          <cell r="AM72" t="str">
            <v/>
          </cell>
          <cell r="AP72" t="str">
            <v/>
          </cell>
          <cell r="AS72" t="str">
            <v/>
          </cell>
          <cell r="AV72" t="str">
            <v/>
          </cell>
          <cell r="AY72" t="str">
            <v/>
          </cell>
          <cell r="BB72" t="str">
            <v/>
          </cell>
          <cell r="BE72" t="str">
            <v/>
          </cell>
          <cell r="BH72" t="str">
            <v/>
          </cell>
          <cell r="BK72" t="str">
            <v/>
          </cell>
          <cell r="BN72" t="str">
            <v>Phase Cloak</v>
          </cell>
        </row>
        <row r="73">
          <cell r="A73" t="str">
            <v>Pauldrons of Health</v>
          </cell>
          <cell r="B73">
            <v>69</v>
          </cell>
          <cell r="C73" t="b">
            <v>0</v>
          </cell>
          <cell r="D73" t="b">
            <v>1</v>
          </cell>
          <cell r="E73" t="b">
            <v>0</v>
          </cell>
          <cell r="G73" t="b">
            <v>1</v>
          </cell>
          <cell r="H73" t="b">
            <v>1</v>
          </cell>
          <cell r="I73" t="b">
            <v>0</v>
          </cell>
          <cell r="J73" t="b">
            <v>1</v>
          </cell>
          <cell r="K73" t="b">
            <v>0</v>
          </cell>
          <cell r="L73" t="b">
            <v>0</v>
          </cell>
          <cell r="M73" t="b">
            <v>0</v>
          </cell>
          <cell r="N73" t="b">
            <v>0</v>
          </cell>
          <cell r="O73" t="b">
            <v>0</v>
          </cell>
          <cell r="P73" t="b">
            <v>0</v>
          </cell>
          <cell r="Q73" t="b">
            <v>1</v>
          </cell>
          <cell r="R73" t="b">
            <v>0</v>
          </cell>
          <cell r="S73" t="b">
            <v>0</v>
          </cell>
          <cell r="T73" t="b">
            <v>0</v>
          </cell>
          <cell r="U73" t="b">
            <v>0</v>
          </cell>
          <cell r="X73" t="str">
            <v/>
          </cell>
          <cell r="AA73" t="str">
            <v/>
          </cell>
          <cell r="AD73" t="str">
            <v/>
          </cell>
          <cell r="AG73" t="str">
            <v/>
          </cell>
          <cell r="AJ73" t="str">
            <v/>
          </cell>
          <cell r="AM73" t="str">
            <v/>
          </cell>
          <cell r="AP73" t="str">
            <v/>
          </cell>
          <cell r="AS73" t="str">
            <v/>
          </cell>
          <cell r="AV73" t="str">
            <v/>
          </cell>
          <cell r="AY73" t="str">
            <v/>
          </cell>
          <cell r="BB73" t="str">
            <v/>
          </cell>
          <cell r="BE73" t="str">
            <v/>
          </cell>
          <cell r="BH73" t="str">
            <v/>
          </cell>
          <cell r="BK73" t="str">
            <v/>
          </cell>
          <cell r="BN73" t="str">
            <v>Phoenix Belt</v>
          </cell>
        </row>
        <row r="74">
          <cell r="A74" t="str">
            <v>Pegasus Cloak</v>
          </cell>
          <cell r="B74">
            <v>70</v>
          </cell>
          <cell r="C74" t="b">
            <v>0</v>
          </cell>
          <cell r="D74" t="b">
            <v>1</v>
          </cell>
          <cell r="E74" t="b">
            <v>0</v>
          </cell>
          <cell r="G74" t="b">
            <v>0</v>
          </cell>
          <cell r="H74" t="b">
            <v>0</v>
          </cell>
          <cell r="I74" t="b">
            <v>1</v>
          </cell>
          <cell r="J74" t="b">
            <v>0</v>
          </cell>
          <cell r="K74" t="b">
            <v>0</v>
          </cell>
          <cell r="L74" t="b">
            <v>0</v>
          </cell>
          <cell r="M74" t="b">
            <v>0</v>
          </cell>
          <cell r="N74" t="b">
            <v>0</v>
          </cell>
          <cell r="O74" t="b">
            <v>0</v>
          </cell>
          <cell r="P74" t="b">
            <v>0</v>
          </cell>
          <cell r="Q74" t="b">
            <v>1</v>
          </cell>
          <cell r="R74" t="b">
            <v>0</v>
          </cell>
          <cell r="S74" t="b">
            <v>0</v>
          </cell>
          <cell r="T74" t="b">
            <v>0</v>
          </cell>
          <cell r="U74" t="b">
            <v>0</v>
          </cell>
          <cell r="X74" t="str">
            <v/>
          </cell>
          <cell r="AA74" t="str">
            <v/>
          </cell>
          <cell r="AD74" t="str">
            <v/>
          </cell>
          <cell r="AG74" t="str">
            <v/>
          </cell>
          <cell r="AJ74" t="str">
            <v/>
          </cell>
          <cell r="AM74" t="str">
            <v/>
          </cell>
          <cell r="AP74" t="str">
            <v/>
          </cell>
          <cell r="AS74" t="str">
            <v/>
          </cell>
          <cell r="AV74" t="str">
            <v/>
          </cell>
          <cell r="AY74" t="str">
            <v/>
          </cell>
          <cell r="BB74" t="str">
            <v/>
          </cell>
          <cell r="BE74" t="str">
            <v/>
          </cell>
          <cell r="BH74" t="str">
            <v/>
          </cell>
          <cell r="BK74" t="str">
            <v/>
          </cell>
          <cell r="BN74" t="str">
            <v>Planar Chasuble</v>
          </cell>
        </row>
        <row r="75">
          <cell r="A75" t="str">
            <v>Phase Cloak</v>
          </cell>
          <cell r="B75">
            <v>71</v>
          </cell>
          <cell r="C75" t="b">
            <v>0</v>
          </cell>
          <cell r="D75" t="b">
            <v>1</v>
          </cell>
          <cell r="E75" t="b">
            <v>0</v>
          </cell>
          <cell r="G75" t="b">
            <v>0</v>
          </cell>
          <cell r="H75" t="b">
            <v>0</v>
          </cell>
          <cell r="I75" t="b">
            <v>1</v>
          </cell>
          <cell r="J75" t="b">
            <v>0</v>
          </cell>
          <cell r="K75" t="b">
            <v>0</v>
          </cell>
          <cell r="L75" t="b">
            <v>0</v>
          </cell>
          <cell r="M75" t="b">
            <v>0</v>
          </cell>
          <cell r="N75" t="b">
            <v>0</v>
          </cell>
          <cell r="O75" t="b">
            <v>0</v>
          </cell>
          <cell r="P75" t="b">
            <v>0</v>
          </cell>
          <cell r="Q75" t="b">
            <v>1</v>
          </cell>
          <cell r="R75" t="b">
            <v>0</v>
          </cell>
          <cell r="S75" t="b">
            <v>0</v>
          </cell>
          <cell r="T75" t="b">
            <v>0</v>
          </cell>
          <cell r="U75" t="b">
            <v>0</v>
          </cell>
          <cell r="X75" t="str">
            <v/>
          </cell>
          <cell r="AA75" t="str">
            <v/>
          </cell>
          <cell r="AD75" t="str">
            <v/>
          </cell>
          <cell r="AG75" t="str">
            <v/>
          </cell>
          <cell r="AJ75" t="str">
            <v/>
          </cell>
          <cell r="AM75" t="str">
            <v/>
          </cell>
          <cell r="AP75" t="str">
            <v/>
          </cell>
          <cell r="AS75" t="str">
            <v/>
          </cell>
          <cell r="AV75" t="str">
            <v/>
          </cell>
          <cell r="AY75" t="str">
            <v/>
          </cell>
          <cell r="BB75" t="str">
            <v/>
          </cell>
          <cell r="BE75" t="str">
            <v/>
          </cell>
          <cell r="BH75" t="str">
            <v/>
          </cell>
          <cell r="BK75" t="str">
            <v/>
          </cell>
          <cell r="BN75" t="str">
            <v>Planar Ward</v>
          </cell>
        </row>
        <row r="76">
          <cell r="A76" t="str">
            <v>Phoenix Belt</v>
          </cell>
          <cell r="B76">
            <v>72</v>
          </cell>
          <cell r="C76" t="b">
            <v>0</v>
          </cell>
          <cell r="D76" t="b">
            <v>1</v>
          </cell>
          <cell r="E76" t="b">
            <v>0</v>
          </cell>
          <cell r="G76" t="b">
            <v>0</v>
          </cell>
          <cell r="H76" t="b">
            <v>0</v>
          </cell>
          <cell r="I76" t="b">
            <v>1</v>
          </cell>
          <cell r="J76" t="b">
            <v>0</v>
          </cell>
          <cell r="K76" t="b">
            <v>0</v>
          </cell>
          <cell r="L76" t="b">
            <v>0</v>
          </cell>
          <cell r="M76" t="b">
            <v>0</v>
          </cell>
          <cell r="N76" t="b">
            <v>0</v>
          </cell>
          <cell r="O76" t="b">
            <v>0</v>
          </cell>
          <cell r="P76" t="b">
            <v>0</v>
          </cell>
          <cell r="Q76" t="b">
            <v>0</v>
          </cell>
          <cell r="R76" t="b">
            <v>0</v>
          </cell>
          <cell r="S76" t="b">
            <v>1</v>
          </cell>
          <cell r="T76" t="b">
            <v>0</v>
          </cell>
          <cell r="U76" t="b">
            <v>0</v>
          </cell>
          <cell r="X76" t="str">
            <v/>
          </cell>
          <cell r="AA76" t="str">
            <v/>
          </cell>
          <cell r="AD76" t="str">
            <v/>
          </cell>
          <cell r="AG76" t="str">
            <v/>
          </cell>
          <cell r="AJ76" t="str">
            <v/>
          </cell>
          <cell r="AM76" t="str">
            <v/>
          </cell>
          <cell r="AP76" t="str">
            <v/>
          </cell>
          <cell r="AS76" t="str">
            <v/>
          </cell>
          <cell r="AV76" t="str">
            <v/>
          </cell>
          <cell r="AY76" t="str">
            <v/>
          </cell>
          <cell r="BB76" t="str">
            <v/>
          </cell>
          <cell r="BE76" t="str">
            <v/>
          </cell>
          <cell r="BH76" t="str">
            <v/>
          </cell>
          <cell r="BK76" t="str">
            <v/>
          </cell>
          <cell r="BN76" t="str">
            <v>Psion's Eyes</v>
          </cell>
        </row>
        <row r="77">
          <cell r="A77" t="str">
            <v>Planar Chasuble</v>
          </cell>
          <cell r="B77">
            <v>73</v>
          </cell>
          <cell r="C77" t="b">
            <v>0</v>
          </cell>
          <cell r="D77" t="b">
            <v>1</v>
          </cell>
          <cell r="E77" t="b">
            <v>0</v>
          </cell>
          <cell r="G77" t="b">
            <v>1</v>
          </cell>
          <cell r="H77" t="b">
            <v>0</v>
          </cell>
          <cell r="I77" t="b">
            <v>0</v>
          </cell>
          <cell r="J77" t="b">
            <v>0</v>
          </cell>
          <cell r="K77" t="b">
            <v>0</v>
          </cell>
          <cell r="L77" t="b">
            <v>0</v>
          </cell>
          <cell r="M77" t="b">
            <v>0</v>
          </cell>
          <cell r="N77" t="b">
            <v>0</v>
          </cell>
          <cell r="O77" t="b">
            <v>0</v>
          </cell>
          <cell r="P77" t="b">
            <v>1</v>
          </cell>
          <cell r="Q77" t="b">
            <v>0</v>
          </cell>
          <cell r="R77" t="b">
            <v>0</v>
          </cell>
          <cell r="S77" t="b">
            <v>0</v>
          </cell>
          <cell r="T77" t="b">
            <v>0</v>
          </cell>
          <cell r="U77" t="b">
            <v>1</v>
          </cell>
          <cell r="X77" t="str">
            <v/>
          </cell>
          <cell r="AA77" t="str">
            <v/>
          </cell>
          <cell r="AD77" t="str">
            <v/>
          </cell>
          <cell r="AG77" t="str">
            <v/>
          </cell>
          <cell r="AJ77" t="str">
            <v/>
          </cell>
          <cell r="AM77" t="str">
            <v/>
          </cell>
          <cell r="AP77" t="str">
            <v/>
          </cell>
          <cell r="AS77" t="str">
            <v/>
          </cell>
          <cell r="AV77" t="str">
            <v/>
          </cell>
          <cell r="AY77" t="str">
            <v/>
          </cell>
          <cell r="BB77" t="str">
            <v/>
          </cell>
          <cell r="BE77" t="str">
            <v/>
          </cell>
          <cell r="BH77" t="str">
            <v/>
          </cell>
          <cell r="BK77" t="str">
            <v/>
          </cell>
          <cell r="BN77" t="str">
            <v>Psion-Killer Mask</v>
          </cell>
        </row>
        <row r="78">
          <cell r="A78" t="str">
            <v>Planar Ward</v>
          </cell>
          <cell r="B78">
            <v>74</v>
          </cell>
          <cell r="C78" t="b">
            <v>0</v>
          </cell>
          <cell r="D78" t="b">
            <v>1</v>
          </cell>
          <cell r="E78" t="b">
            <v>0</v>
          </cell>
          <cell r="G78" t="b">
            <v>1</v>
          </cell>
          <cell r="H78" t="b">
            <v>0</v>
          </cell>
          <cell r="I78" t="b">
            <v>0</v>
          </cell>
          <cell r="J78" t="b">
            <v>0</v>
          </cell>
          <cell r="K78" t="b">
            <v>0</v>
          </cell>
          <cell r="L78" t="b">
            <v>0</v>
          </cell>
          <cell r="M78" t="b">
            <v>0</v>
          </cell>
          <cell r="N78" t="b">
            <v>0</v>
          </cell>
          <cell r="O78" t="b">
            <v>0</v>
          </cell>
          <cell r="P78" t="b">
            <v>0</v>
          </cell>
          <cell r="Q78" t="b">
            <v>0</v>
          </cell>
          <cell r="R78" t="b">
            <v>1</v>
          </cell>
          <cell r="S78" t="b">
            <v>0</v>
          </cell>
          <cell r="T78" t="b">
            <v>0</v>
          </cell>
          <cell r="U78" t="b">
            <v>0</v>
          </cell>
          <cell r="X78" t="str">
            <v/>
          </cell>
          <cell r="AA78" t="str">
            <v/>
          </cell>
          <cell r="AD78" t="str">
            <v/>
          </cell>
          <cell r="AG78" t="str">
            <v/>
          </cell>
          <cell r="AJ78" t="str">
            <v/>
          </cell>
          <cell r="AM78" t="str">
            <v/>
          </cell>
          <cell r="AP78" t="str">
            <v/>
          </cell>
          <cell r="AS78" t="str">
            <v/>
          </cell>
          <cell r="AV78" t="str">
            <v/>
          </cell>
          <cell r="AY78" t="str">
            <v/>
          </cell>
          <cell r="BB78" t="str">
            <v/>
          </cell>
          <cell r="BE78" t="str">
            <v/>
          </cell>
          <cell r="BH78" t="str">
            <v/>
          </cell>
          <cell r="BK78" t="str">
            <v/>
          </cell>
          <cell r="BN78" t="str">
            <v>Psychic Focus</v>
          </cell>
        </row>
        <row r="79">
          <cell r="A79" t="str">
            <v>Psion's Eyes</v>
          </cell>
          <cell r="B79">
            <v>75</v>
          </cell>
          <cell r="C79" t="b">
            <v>0</v>
          </cell>
          <cell r="D79" t="b">
            <v>1</v>
          </cell>
          <cell r="E79" t="b">
            <v>0</v>
          </cell>
          <cell r="G79" t="b">
            <v>1</v>
          </cell>
          <cell r="H79" t="b">
            <v>0</v>
          </cell>
          <cell r="I79" t="b">
            <v>0</v>
          </cell>
          <cell r="J79" t="b">
            <v>0</v>
          </cell>
          <cell r="K79" t="b">
            <v>0</v>
          </cell>
          <cell r="L79" t="b">
            <v>0</v>
          </cell>
          <cell r="M79" t="b">
            <v>0</v>
          </cell>
          <cell r="N79" t="b">
            <v>0</v>
          </cell>
          <cell r="O79" t="b">
            <v>0</v>
          </cell>
          <cell r="P79" t="b">
            <v>1</v>
          </cell>
          <cell r="Q79" t="b">
            <v>0</v>
          </cell>
          <cell r="R79" t="b">
            <v>0</v>
          </cell>
          <cell r="S79" t="b">
            <v>0</v>
          </cell>
          <cell r="T79" t="b">
            <v>0</v>
          </cell>
          <cell r="U79" t="b">
            <v>0</v>
          </cell>
          <cell r="X79" t="str">
            <v/>
          </cell>
          <cell r="AA79" t="str">
            <v/>
          </cell>
          <cell r="AD79" t="str">
            <v/>
          </cell>
          <cell r="AG79" t="str">
            <v/>
          </cell>
          <cell r="AJ79" t="str">
            <v/>
          </cell>
          <cell r="AM79" t="str">
            <v/>
          </cell>
          <cell r="AP79" t="str">
            <v/>
          </cell>
          <cell r="AS79" t="str">
            <v/>
          </cell>
          <cell r="AV79" t="str">
            <v/>
          </cell>
          <cell r="AY79" t="str">
            <v/>
          </cell>
          <cell r="BB79" t="str">
            <v/>
          </cell>
          <cell r="BE79" t="str">
            <v/>
          </cell>
          <cell r="BH79" t="str">
            <v/>
          </cell>
          <cell r="BK79" t="str">
            <v/>
          </cell>
          <cell r="BN79" t="str">
            <v>Rageclaws</v>
          </cell>
        </row>
        <row r="80">
          <cell r="A80" t="str">
            <v>Psion-Killer Mask</v>
          </cell>
          <cell r="B80">
            <v>76</v>
          </cell>
          <cell r="C80" t="b">
            <v>0</v>
          </cell>
          <cell r="D80" t="b">
            <v>1</v>
          </cell>
          <cell r="E80" t="b">
            <v>0</v>
          </cell>
          <cell r="G80" t="b">
            <v>0</v>
          </cell>
          <cell r="H80" t="b">
            <v>0</v>
          </cell>
          <cell r="I80" t="b">
            <v>1</v>
          </cell>
          <cell r="J80" t="b">
            <v>0</v>
          </cell>
          <cell r="K80" t="b">
            <v>0</v>
          </cell>
          <cell r="L80" t="b">
            <v>0</v>
          </cell>
          <cell r="M80" t="b">
            <v>0</v>
          </cell>
          <cell r="N80" t="b">
            <v>0</v>
          </cell>
          <cell r="O80" t="b">
            <v>0</v>
          </cell>
          <cell r="P80" t="b">
            <v>1</v>
          </cell>
          <cell r="Q80" t="b">
            <v>0</v>
          </cell>
          <cell r="R80" t="b">
            <v>0</v>
          </cell>
          <cell r="S80" t="b">
            <v>0</v>
          </cell>
          <cell r="T80" t="b">
            <v>0</v>
          </cell>
          <cell r="U80" t="b">
            <v>0</v>
          </cell>
          <cell r="X80" t="str">
            <v/>
          </cell>
          <cell r="AA80" t="str">
            <v/>
          </cell>
          <cell r="AD80" t="str">
            <v/>
          </cell>
          <cell r="AG80" t="str">
            <v/>
          </cell>
          <cell r="AJ80" t="str">
            <v/>
          </cell>
          <cell r="AM80" t="str">
            <v/>
          </cell>
          <cell r="AP80" t="str">
            <v/>
          </cell>
          <cell r="AS80" t="str">
            <v/>
          </cell>
          <cell r="AV80" t="str">
            <v/>
          </cell>
          <cell r="AY80" t="str">
            <v/>
          </cell>
          <cell r="BB80" t="str">
            <v/>
          </cell>
          <cell r="BE80" t="str">
            <v/>
          </cell>
          <cell r="BH80" t="str">
            <v/>
          </cell>
          <cell r="BK80" t="str">
            <v/>
          </cell>
          <cell r="BN80" t="str">
            <v>Riding Bracers</v>
          </cell>
        </row>
        <row r="81">
          <cell r="A81" t="str">
            <v>Psychic Focus</v>
          </cell>
          <cell r="B81">
            <v>77</v>
          </cell>
          <cell r="C81" t="b">
            <v>0</v>
          </cell>
          <cell r="D81" t="b">
            <v>1</v>
          </cell>
          <cell r="E81" t="b">
            <v>0</v>
          </cell>
          <cell r="G81" t="b">
            <v>1</v>
          </cell>
          <cell r="H81" t="b">
            <v>1</v>
          </cell>
          <cell r="I81" t="b">
            <v>0</v>
          </cell>
          <cell r="J81" t="b">
            <v>1</v>
          </cell>
          <cell r="K81" t="b">
            <v>0</v>
          </cell>
          <cell r="L81" t="b">
            <v>0</v>
          </cell>
          <cell r="M81" t="b">
            <v>0</v>
          </cell>
          <cell r="N81" t="b">
            <v>0</v>
          </cell>
          <cell r="O81" t="b">
            <v>0</v>
          </cell>
          <cell r="P81" t="b">
            <v>0</v>
          </cell>
          <cell r="Q81" t="b">
            <v>0</v>
          </cell>
          <cell r="R81" t="b">
            <v>1</v>
          </cell>
          <cell r="S81" t="b">
            <v>0</v>
          </cell>
          <cell r="T81" t="b">
            <v>0</v>
          </cell>
          <cell r="U81" t="b">
            <v>0</v>
          </cell>
          <cell r="X81" t="str">
            <v/>
          </cell>
          <cell r="AA81" t="str">
            <v/>
          </cell>
          <cell r="AD81" t="str">
            <v/>
          </cell>
          <cell r="AG81" t="str">
            <v/>
          </cell>
          <cell r="AJ81" t="str">
            <v/>
          </cell>
          <cell r="AM81" t="str">
            <v/>
          </cell>
          <cell r="AP81" t="str">
            <v/>
          </cell>
          <cell r="AS81" t="str">
            <v/>
          </cell>
          <cell r="AV81" t="str">
            <v/>
          </cell>
          <cell r="AY81" t="str">
            <v/>
          </cell>
          <cell r="BB81" t="str">
            <v/>
          </cell>
          <cell r="BE81" t="str">
            <v/>
          </cell>
          <cell r="BH81" t="str">
            <v/>
          </cell>
          <cell r="BK81" t="str">
            <v/>
          </cell>
          <cell r="BN81" t="str">
            <v>Sailor's Bracers</v>
          </cell>
        </row>
        <row r="82">
          <cell r="A82" t="str">
            <v>Rageclaws</v>
          </cell>
          <cell r="B82">
            <v>78</v>
          </cell>
          <cell r="C82" t="b">
            <v>0</v>
          </cell>
          <cell r="D82" t="b">
            <v>1</v>
          </cell>
          <cell r="E82" t="b">
            <v>0</v>
          </cell>
          <cell r="G82" t="b">
            <v>0</v>
          </cell>
          <cell r="H82" t="b">
            <v>0</v>
          </cell>
          <cell r="I82" t="b">
            <v>1</v>
          </cell>
          <cell r="J82" t="b">
            <v>0</v>
          </cell>
          <cell r="K82" t="b">
            <v>0</v>
          </cell>
          <cell r="L82" t="b">
            <v>0</v>
          </cell>
          <cell r="M82" t="b">
            <v>0</v>
          </cell>
          <cell r="N82" t="b">
            <v>1</v>
          </cell>
          <cell r="O82" t="b">
            <v>0</v>
          </cell>
          <cell r="P82" t="b">
            <v>0</v>
          </cell>
          <cell r="Q82" t="b">
            <v>0</v>
          </cell>
          <cell r="R82" t="b">
            <v>0</v>
          </cell>
          <cell r="S82" t="b">
            <v>0</v>
          </cell>
          <cell r="T82" t="b">
            <v>0</v>
          </cell>
          <cell r="U82" t="b">
            <v>0</v>
          </cell>
          <cell r="X82" t="str">
            <v/>
          </cell>
          <cell r="AA82" t="str">
            <v/>
          </cell>
          <cell r="AD82" t="str">
            <v/>
          </cell>
          <cell r="AG82" t="str">
            <v/>
          </cell>
          <cell r="AJ82" t="str">
            <v/>
          </cell>
          <cell r="AM82" t="str">
            <v/>
          </cell>
          <cell r="AP82" t="str">
            <v/>
          </cell>
          <cell r="AS82" t="str">
            <v/>
          </cell>
          <cell r="AV82" t="str">
            <v/>
          </cell>
          <cell r="AY82" t="str">
            <v/>
          </cell>
          <cell r="BB82" t="str">
            <v/>
          </cell>
          <cell r="BE82" t="str">
            <v/>
          </cell>
          <cell r="BH82" t="str">
            <v/>
          </cell>
          <cell r="BK82" t="str">
            <v/>
          </cell>
          <cell r="BN82" t="str">
            <v>Shadow Mantle</v>
          </cell>
        </row>
        <row r="83">
          <cell r="A83" t="str">
            <v>Riding Bracers</v>
          </cell>
          <cell r="B83">
            <v>79</v>
          </cell>
          <cell r="C83" t="b">
            <v>0</v>
          </cell>
          <cell r="D83" t="b">
            <v>1</v>
          </cell>
          <cell r="E83" t="b">
            <v>0</v>
          </cell>
          <cell r="G83" t="b">
            <v>1</v>
          </cell>
          <cell r="H83" t="b">
            <v>1</v>
          </cell>
          <cell r="I83" t="b">
            <v>1</v>
          </cell>
          <cell r="J83" t="b">
            <v>1</v>
          </cell>
          <cell r="K83" t="b">
            <v>0</v>
          </cell>
          <cell r="L83" t="b">
            <v>0</v>
          </cell>
          <cell r="M83" t="b">
            <v>0</v>
          </cell>
          <cell r="N83" t="b">
            <v>0</v>
          </cell>
          <cell r="O83" t="b">
            <v>1</v>
          </cell>
          <cell r="P83" t="b">
            <v>0</v>
          </cell>
          <cell r="Q83" t="b">
            <v>0</v>
          </cell>
          <cell r="R83" t="b">
            <v>0</v>
          </cell>
          <cell r="S83" t="b">
            <v>0</v>
          </cell>
          <cell r="T83" t="b">
            <v>0</v>
          </cell>
          <cell r="U83" t="b">
            <v>0</v>
          </cell>
          <cell r="X83" t="str">
            <v/>
          </cell>
          <cell r="AA83" t="str">
            <v/>
          </cell>
          <cell r="AD83" t="str">
            <v/>
          </cell>
          <cell r="AG83" t="str">
            <v/>
          </cell>
          <cell r="AJ83" t="str">
            <v/>
          </cell>
          <cell r="AM83" t="str">
            <v/>
          </cell>
          <cell r="AP83" t="str">
            <v/>
          </cell>
          <cell r="AS83" t="str">
            <v/>
          </cell>
          <cell r="AV83" t="str">
            <v/>
          </cell>
          <cell r="AY83" t="str">
            <v/>
          </cell>
          <cell r="BB83" t="str">
            <v/>
          </cell>
          <cell r="BE83" t="str">
            <v/>
          </cell>
          <cell r="BH83" t="str">
            <v/>
          </cell>
          <cell r="BK83" t="str">
            <v/>
          </cell>
          <cell r="BN83" t="str">
            <v>Shedu Crown</v>
          </cell>
        </row>
        <row r="84">
          <cell r="A84" t="str">
            <v>Sailor's Bracers</v>
          </cell>
          <cell r="B84">
            <v>80</v>
          </cell>
          <cell r="C84" t="b">
            <v>0</v>
          </cell>
          <cell r="D84" t="b">
            <v>1</v>
          </cell>
          <cell r="E84" t="b">
            <v>0</v>
          </cell>
          <cell r="G84" t="b">
            <v>1</v>
          </cell>
          <cell r="H84" t="b">
            <v>1</v>
          </cell>
          <cell r="I84" t="b">
            <v>0</v>
          </cell>
          <cell r="J84" t="b">
            <v>1</v>
          </cell>
          <cell r="K84" t="b">
            <v>0</v>
          </cell>
          <cell r="L84" t="b">
            <v>0</v>
          </cell>
          <cell r="M84" t="b">
            <v>0</v>
          </cell>
          <cell r="N84" t="b">
            <v>0</v>
          </cell>
          <cell r="O84" t="b">
            <v>1</v>
          </cell>
          <cell r="P84" t="b">
            <v>0</v>
          </cell>
          <cell r="Q84" t="b">
            <v>0</v>
          </cell>
          <cell r="R84" t="b">
            <v>0</v>
          </cell>
          <cell r="S84" t="b">
            <v>0</v>
          </cell>
          <cell r="T84" t="b">
            <v>0</v>
          </cell>
          <cell r="U84" t="b">
            <v>0</v>
          </cell>
          <cell r="X84" t="str">
            <v/>
          </cell>
          <cell r="AA84" t="str">
            <v/>
          </cell>
          <cell r="AD84" t="str">
            <v/>
          </cell>
          <cell r="AG84" t="str">
            <v/>
          </cell>
          <cell r="AJ84" t="str">
            <v/>
          </cell>
          <cell r="AM84" t="str">
            <v/>
          </cell>
          <cell r="AP84" t="str">
            <v/>
          </cell>
          <cell r="AS84" t="str">
            <v/>
          </cell>
          <cell r="AV84" t="str">
            <v/>
          </cell>
          <cell r="AY84" t="str">
            <v/>
          </cell>
          <cell r="BB84" t="str">
            <v/>
          </cell>
          <cell r="BE84" t="str">
            <v/>
          </cell>
          <cell r="BH84" t="str">
            <v/>
          </cell>
          <cell r="BK84" t="str">
            <v/>
          </cell>
          <cell r="BN84" t="str">
            <v>Sighting Gloves</v>
          </cell>
        </row>
        <row r="85">
          <cell r="A85" t="str">
            <v>Shadow Mantle</v>
          </cell>
          <cell r="B85">
            <v>81</v>
          </cell>
          <cell r="C85" t="b">
            <v>0</v>
          </cell>
          <cell r="D85" t="b">
            <v>1</v>
          </cell>
          <cell r="E85" t="b">
            <v>0</v>
          </cell>
          <cell r="G85" t="b">
            <v>0</v>
          </cell>
          <cell r="H85" t="b">
            <v>0</v>
          </cell>
          <cell r="I85" t="b">
            <v>1</v>
          </cell>
          <cell r="J85" t="b">
            <v>0</v>
          </cell>
          <cell r="K85" t="b">
            <v>0</v>
          </cell>
          <cell r="L85" t="b">
            <v>0</v>
          </cell>
          <cell r="M85" t="b">
            <v>0</v>
          </cell>
          <cell r="N85" t="b">
            <v>0</v>
          </cell>
          <cell r="O85" t="b">
            <v>0</v>
          </cell>
          <cell r="P85" t="b">
            <v>0</v>
          </cell>
          <cell r="Q85" t="b">
            <v>1</v>
          </cell>
          <cell r="R85" t="b">
            <v>0</v>
          </cell>
          <cell r="S85" t="b">
            <v>0</v>
          </cell>
          <cell r="T85" t="b">
            <v>0</v>
          </cell>
          <cell r="U85" t="b">
            <v>0</v>
          </cell>
          <cell r="X85" t="str">
            <v/>
          </cell>
          <cell r="AA85" t="str">
            <v/>
          </cell>
          <cell r="AD85" t="str">
            <v/>
          </cell>
          <cell r="AG85" t="str">
            <v/>
          </cell>
          <cell r="AJ85" t="str">
            <v/>
          </cell>
          <cell r="AM85" t="str">
            <v/>
          </cell>
          <cell r="AP85" t="str">
            <v/>
          </cell>
          <cell r="AS85" t="str">
            <v/>
          </cell>
          <cell r="AV85" t="str">
            <v/>
          </cell>
          <cell r="AY85" t="str">
            <v/>
          </cell>
          <cell r="BB85" t="str">
            <v/>
          </cell>
          <cell r="BE85" t="str">
            <v/>
          </cell>
          <cell r="BH85" t="str">
            <v/>
          </cell>
          <cell r="BK85" t="str">
            <v/>
          </cell>
          <cell r="BN85" t="str">
            <v>Silvertongue Mask</v>
          </cell>
        </row>
        <row r="86">
          <cell r="A86" t="str">
            <v>Shedu Crown</v>
          </cell>
          <cell r="B86">
            <v>82</v>
          </cell>
          <cell r="C86" t="b">
            <v>0</v>
          </cell>
          <cell r="D86" t="b">
            <v>1</v>
          </cell>
          <cell r="E86" t="b">
            <v>0</v>
          </cell>
          <cell r="F86" t="str">
            <v>Good</v>
          </cell>
          <cell r="G86" t="b">
            <v>0</v>
          </cell>
          <cell r="H86" t="b">
            <v>0</v>
          </cell>
          <cell r="I86" t="b">
            <v>1</v>
          </cell>
          <cell r="J86" t="b">
            <v>0</v>
          </cell>
          <cell r="K86" t="b">
            <v>0</v>
          </cell>
          <cell r="L86" t="b">
            <v>1</v>
          </cell>
          <cell r="M86" t="b">
            <v>0</v>
          </cell>
          <cell r="N86" t="b">
            <v>0</v>
          </cell>
          <cell r="O86" t="b">
            <v>0</v>
          </cell>
          <cell r="P86" t="b">
            <v>0</v>
          </cell>
          <cell r="Q86" t="b">
            <v>0</v>
          </cell>
          <cell r="R86" t="b">
            <v>0</v>
          </cell>
          <cell r="S86" t="b">
            <v>0</v>
          </cell>
          <cell r="T86" t="b">
            <v>1</v>
          </cell>
          <cell r="U86" t="b">
            <v>0</v>
          </cell>
          <cell r="X86" t="str">
            <v/>
          </cell>
          <cell r="AA86" t="str">
            <v/>
          </cell>
          <cell r="AD86" t="str">
            <v/>
          </cell>
          <cell r="AG86" t="str">
            <v/>
          </cell>
          <cell r="AJ86" t="str">
            <v/>
          </cell>
          <cell r="AM86" t="str">
            <v/>
          </cell>
          <cell r="AP86" t="str">
            <v/>
          </cell>
          <cell r="AS86" t="str">
            <v/>
          </cell>
          <cell r="AV86" t="str">
            <v/>
          </cell>
          <cell r="AY86" t="str">
            <v/>
          </cell>
          <cell r="BB86" t="str">
            <v/>
          </cell>
          <cell r="BE86" t="str">
            <v/>
          </cell>
          <cell r="BH86" t="str">
            <v/>
          </cell>
          <cell r="BK86" t="str">
            <v/>
          </cell>
          <cell r="BN86" t="str">
            <v>Soulspark Familiar</v>
          </cell>
        </row>
        <row r="87">
          <cell r="A87" t="str">
            <v>Sighting Gloves</v>
          </cell>
          <cell r="B87">
            <v>83</v>
          </cell>
          <cell r="C87" t="b">
            <v>0</v>
          </cell>
          <cell r="D87" t="b">
            <v>1</v>
          </cell>
          <cell r="E87" t="b">
            <v>0</v>
          </cell>
          <cell r="G87" t="b">
            <v>1</v>
          </cell>
          <cell r="H87" t="b">
            <v>1</v>
          </cell>
          <cell r="I87" t="b">
            <v>0</v>
          </cell>
          <cell r="J87" t="b">
            <v>1</v>
          </cell>
          <cell r="K87" t="b">
            <v>0</v>
          </cell>
          <cell r="L87" t="b">
            <v>0</v>
          </cell>
          <cell r="M87" t="b">
            <v>0</v>
          </cell>
          <cell r="N87" t="b">
            <v>1</v>
          </cell>
          <cell r="O87" t="b">
            <v>0</v>
          </cell>
          <cell r="P87" t="b">
            <v>0</v>
          </cell>
          <cell r="Q87" t="b">
            <v>0</v>
          </cell>
          <cell r="R87" t="b">
            <v>0</v>
          </cell>
          <cell r="S87" t="b">
            <v>0</v>
          </cell>
          <cell r="T87" t="b">
            <v>0</v>
          </cell>
          <cell r="U87" t="b">
            <v>0</v>
          </cell>
          <cell r="X87" t="str">
            <v/>
          </cell>
          <cell r="AA87" t="str">
            <v/>
          </cell>
          <cell r="AD87" t="str">
            <v/>
          </cell>
          <cell r="AG87" t="str">
            <v/>
          </cell>
          <cell r="AJ87" t="str">
            <v/>
          </cell>
          <cell r="AM87" t="str">
            <v/>
          </cell>
          <cell r="AP87" t="str">
            <v/>
          </cell>
          <cell r="AS87" t="str">
            <v/>
          </cell>
          <cell r="AV87" t="str">
            <v/>
          </cell>
          <cell r="AY87" t="str">
            <v/>
          </cell>
          <cell r="BB87" t="str">
            <v/>
          </cell>
          <cell r="BE87" t="str">
            <v/>
          </cell>
          <cell r="BH87" t="str">
            <v/>
          </cell>
          <cell r="BK87" t="str">
            <v/>
          </cell>
          <cell r="BN87" t="str">
            <v>Soulspeaker Circlet</v>
          </cell>
        </row>
        <row r="88">
          <cell r="A88" t="str">
            <v>Silvertongue Mask</v>
          </cell>
          <cell r="B88">
            <v>84</v>
          </cell>
          <cell r="C88" t="b">
            <v>0</v>
          </cell>
          <cell r="D88" t="b">
            <v>1</v>
          </cell>
          <cell r="E88" t="b">
            <v>0</v>
          </cell>
          <cell r="G88" t="b">
            <v>1</v>
          </cell>
          <cell r="H88" t="b">
            <v>1</v>
          </cell>
          <cell r="I88" t="b">
            <v>0</v>
          </cell>
          <cell r="J88" t="b">
            <v>1</v>
          </cell>
          <cell r="K88" t="b">
            <v>0</v>
          </cell>
          <cell r="L88" t="b">
            <v>0</v>
          </cell>
          <cell r="M88" t="b">
            <v>0</v>
          </cell>
          <cell r="N88" t="b">
            <v>0</v>
          </cell>
          <cell r="O88" t="b">
            <v>0</v>
          </cell>
          <cell r="P88" t="b">
            <v>1</v>
          </cell>
          <cell r="Q88" t="b">
            <v>0</v>
          </cell>
          <cell r="R88" t="b">
            <v>1</v>
          </cell>
          <cell r="S88" t="b">
            <v>0</v>
          </cell>
          <cell r="T88" t="b">
            <v>0</v>
          </cell>
          <cell r="U88" t="b">
            <v>0</v>
          </cell>
          <cell r="X88" t="str">
            <v/>
          </cell>
          <cell r="AA88" t="str">
            <v/>
          </cell>
          <cell r="AD88" t="str">
            <v/>
          </cell>
          <cell r="AG88" t="str">
            <v/>
          </cell>
          <cell r="AJ88" t="str">
            <v/>
          </cell>
          <cell r="AM88" t="str">
            <v/>
          </cell>
          <cell r="AP88" t="str">
            <v/>
          </cell>
          <cell r="AS88" t="str">
            <v/>
          </cell>
          <cell r="AV88" t="str">
            <v/>
          </cell>
          <cell r="AY88" t="str">
            <v/>
          </cell>
          <cell r="BB88" t="str">
            <v/>
          </cell>
          <cell r="BE88" t="str">
            <v/>
          </cell>
          <cell r="BH88" t="str">
            <v/>
          </cell>
          <cell r="BK88" t="str">
            <v/>
          </cell>
          <cell r="BN88" t="str">
            <v>Spellward Shirt</v>
          </cell>
        </row>
        <row r="89">
          <cell r="A89" t="str">
            <v>Soulspark Familiar</v>
          </cell>
          <cell r="B89">
            <v>85</v>
          </cell>
          <cell r="C89" t="b">
            <v>0</v>
          </cell>
          <cell r="D89" t="b">
            <v>1</v>
          </cell>
          <cell r="E89" t="b">
            <v>0</v>
          </cell>
          <cell r="G89" t="b">
            <v>1</v>
          </cell>
          <cell r="H89" t="b">
            <v>1</v>
          </cell>
          <cell r="I89" t="b">
            <v>0</v>
          </cell>
          <cell r="J89" t="b">
            <v>1</v>
          </cell>
          <cell r="K89" t="b">
            <v>0</v>
          </cell>
          <cell r="L89" t="b">
            <v>1</v>
          </cell>
          <cell r="M89" t="b">
            <v>0</v>
          </cell>
          <cell r="N89" t="b">
            <v>0</v>
          </cell>
          <cell r="O89" t="b">
            <v>0</v>
          </cell>
          <cell r="P89" t="b">
            <v>1</v>
          </cell>
          <cell r="Q89" t="b">
            <v>0</v>
          </cell>
          <cell r="R89" t="b">
            <v>1</v>
          </cell>
          <cell r="S89" t="b">
            <v>0</v>
          </cell>
          <cell r="T89" t="b">
            <v>0</v>
          </cell>
          <cell r="U89" t="b">
            <v>0</v>
          </cell>
          <cell r="X89" t="str">
            <v/>
          </cell>
          <cell r="AA89" t="str">
            <v/>
          </cell>
          <cell r="AD89" t="str">
            <v/>
          </cell>
          <cell r="AG89" t="str">
            <v/>
          </cell>
          <cell r="AJ89" t="str">
            <v/>
          </cell>
          <cell r="AM89" t="str">
            <v/>
          </cell>
          <cell r="AP89" t="str">
            <v/>
          </cell>
          <cell r="AS89" t="str">
            <v/>
          </cell>
          <cell r="AV89" t="str">
            <v/>
          </cell>
          <cell r="AY89" t="str">
            <v/>
          </cell>
          <cell r="BB89" t="str">
            <v/>
          </cell>
          <cell r="BE89" t="str">
            <v/>
          </cell>
          <cell r="BH89" t="str">
            <v/>
          </cell>
          <cell r="BK89" t="str">
            <v/>
          </cell>
          <cell r="BN89" t="str">
            <v>Sphinx Claws</v>
          </cell>
        </row>
        <row r="90">
          <cell r="A90" t="str">
            <v>Soulspeaker Circlet</v>
          </cell>
          <cell r="B90">
            <v>86</v>
          </cell>
          <cell r="C90" t="b">
            <v>0</v>
          </cell>
          <cell r="D90" t="b">
            <v>1</v>
          </cell>
          <cell r="E90" t="b">
            <v>0</v>
          </cell>
          <cell r="G90" t="b">
            <v>0</v>
          </cell>
          <cell r="H90" t="b">
            <v>1</v>
          </cell>
          <cell r="I90" t="b">
            <v>0</v>
          </cell>
          <cell r="J90" t="b">
            <v>1</v>
          </cell>
          <cell r="K90" t="b">
            <v>0</v>
          </cell>
          <cell r="L90" t="b">
            <v>1</v>
          </cell>
          <cell r="M90" t="b">
            <v>0</v>
          </cell>
          <cell r="N90" t="b">
            <v>0</v>
          </cell>
          <cell r="O90" t="b">
            <v>0</v>
          </cell>
          <cell r="P90" t="b">
            <v>0</v>
          </cell>
          <cell r="Q90" t="b">
            <v>0</v>
          </cell>
          <cell r="R90" t="b">
            <v>1</v>
          </cell>
          <cell r="S90" t="b">
            <v>0</v>
          </cell>
          <cell r="T90" t="b">
            <v>0</v>
          </cell>
          <cell r="U90" t="b">
            <v>0</v>
          </cell>
          <cell r="X90" t="str">
            <v/>
          </cell>
          <cell r="AA90" t="str">
            <v/>
          </cell>
          <cell r="AD90" t="str">
            <v/>
          </cell>
          <cell r="AG90" t="str">
            <v/>
          </cell>
          <cell r="AJ90" t="str">
            <v/>
          </cell>
          <cell r="AM90" t="str">
            <v/>
          </cell>
          <cell r="AP90" t="str">
            <v/>
          </cell>
          <cell r="AS90" t="str">
            <v/>
          </cell>
          <cell r="AV90" t="str">
            <v/>
          </cell>
          <cell r="AY90" t="str">
            <v/>
          </cell>
          <cell r="BB90" t="str">
            <v/>
          </cell>
          <cell r="BE90" t="str">
            <v/>
          </cell>
          <cell r="BH90" t="str">
            <v/>
          </cell>
          <cell r="BK90" t="str">
            <v/>
          </cell>
          <cell r="BN90" t="str">
            <v>Stongheart Vest</v>
          </cell>
        </row>
        <row r="91">
          <cell r="A91" t="str">
            <v>Spellward Shirt</v>
          </cell>
          <cell r="B91">
            <v>87</v>
          </cell>
          <cell r="C91" t="b">
            <v>0</v>
          </cell>
          <cell r="D91" t="b">
            <v>1</v>
          </cell>
          <cell r="E91" t="b">
            <v>0</v>
          </cell>
          <cell r="G91" t="b">
            <v>1</v>
          </cell>
          <cell r="H91" t="b">
            <v>1</v>
          </cell>
          <cell r="I91" t="b">
            <v>0</v>
          </cell>
          <cell r="J91" t="b">
            <v>1</v>
          </cell>
          <cell r="K91" t="b">
            <v>0</v>
          </cell>
          <cell r="L91" t="b">
            <v>0</v>
          </cell>
          <cell r="M91" t="b">
            <v>0</v>
          </cell>
          <cell r="N91" t="b">
            <v>0</v>
          </cell>
          <cell r="O91" t="b">
            <v>0</v>
          </cell>
          <cell r="P91" t="b">
            <v>0</v>
          </cell>
          <cell r="Q91" t="b">
            <v>0</v>
          </cell>
          <cell r="R91" t="b">
            <v>0</v>
          </cell>
          <cell r="S91" t="b">
            <v>0</v>
          </cell>
          <cell r="T91" t="b">
            <v>1</v>
          </cell>
          <cell r="U91" t="b">
            <v>0</v>
          </cell>
          <cell r="X91" t="str">
            <v/>
          </cell>
          <cell r="AA91" t="str">
            <v/>
          </cell>
          <cell r="AD91" t="str">
            <v/>
          </cell>
          <cell r="AG91" t="str">
            <v/>
          </cell>
          <cell r="AJ91" t="str">
            <v/>
          </cell>
          <cell r="AM91" t="str">
            <v/>
          </cell>
          <cell r="AP91" t="str">
            <v/>
          </cell>
          <cell r="AS91" t="str">
            <v/>
          </cell>
          <cell r="AV91" t="str">
            <v/>
          </cell>
          <cell r="AY91" t="str">
            <v/>
          </cell>
          <cell r="BB91" t="str">
            <v/>
          </cell>
          <cell r="BE91" t="str">
            <v/>
          </cell>
          <cell r="BH91" t="str">
            <v/>
          </cell>
          <cell r="BK91" t="str">
            <v/>
          </cell>
          <cell r="BN91" t="str">
            <v>Theft Gloves</v>
          </cell>
        </row>
        <row r="92">
          <cell r="A92" t="str">
            <v>Sphinx Claws</v>
          </cell>
          <cell r="B92">
            <v>88</v>
          </cell>
          <cell r="C92" t="b">
            <v>0</v>
          </cell>
          <cell r="D92" t="b">
            <v>1</v>
          </cell>
          <cell r="E92" t="b">
            <v>0</v>
          </cell>
          <cell r="G92" t="b">
            <v>0</v>
          </cell>
          <cell r="H92" t="b">
            <v>0</v>
          </cell>
          <cell r="I92" t="b">
            <v>1</v>
          </cell>
          <cell r="J92" t="b">
            <v>0</v>
          </cell>
          <cell r="K92" t="b">
            <v>0</v>
          </cell>
          <cell r="L92" t="b">
            <v>0</v>
          </cell>
          <cell r="M92" t="b">
            <v>0</v>
          </cell>
          <cell r="N92" t="b">
            <v>1</v>
          </cell>
          <cell r="O92" t="b">
            <v>0</v>
          </cell>
          <cell r="P92" t="b">
            <v>0</v>
          </cell>
          <cell r="Q92" t="b">
            <v>0</v>
          </cell>
          <cell r="R92" t="b">
            <v>0</v>
          </cell>
          <cell r="S92" t="b">
            <v>0</v>
          </cell>
          <cell r="T92" t="b">
            <v>0</v>
          </cell>
          <cell r="U92" t="b">
            <v>0</v>
          </cell>
          <cell r="X92" t="str">
            <v/>
          </cell>
          <cell r="AA92" t="str">
            <v/>
          </cell>
          <cell r="AD92" t="str">
            <v/>
          </cell>
          <cell r="AG92" t="str">
            <v/>
          </cell>
          <cell r="AJ92" t="str">
            <v/>
          </cell>
          <cell r="AM92" t="str">
            <v/>
          </cell>
          <cell r="AP92" t="str">
            <v/>
          </cell>
          <cell r="AS92" t="str">
            <v/>
          </cell>
          <cell r="AV92" t="str">
            <v/>
          </cell>
          <cell r="AY92" t="str">
            <v/>
          </cell>
          <cell r="BB92" t="str">
            <v/>
          </cell>
          <cell r="BE92" t="str">
            <v/>
          </cell>
          <cell r="BH92" t="str">
            <v/>
          </cell>
          <cell r="BK92" t="str">
            <v/>
          </cell>
          <cell r="BN92" t="str">
            <v>Therapeutic Mantle</v>
          </cell>
        </row>
        <row r="93">
          <cell r="A93" t="str">
            <v>Stongheart Vest</v>
          </cell>
          <cell r="B93">
            <v>89</v>
          </cell>
          <cell r="C93" t="b">
            <v>0</v>
          </cell>
          <cell r="D93" t="b">
            <v>1</v>
          </cell>
          <cell r="E93" t="b">
            <v>0</v>
          </cell>
          <cell r="G93" t="b">
            <v>1</v>
          </cell>
          <cell r="H93" t="b">
            <v>1</v>
          </cell>
          <cell r="I93" t="b">
            <v>0</v>
          </cell>
          <cell r="J93" t="b">
            <v>1</v>
          </cell>
          <cell r="K93" t="b">
            <v>0</v>
          </cell>
          <cell r="L93" t="b">
            <v>0</v>
          </cell>
          <cell r="M93" t="b">
            <v>0</v>
          </cell>
          <cell r="N93" t="b">
            <v>0</v>
          </cell>
          <cell r="O93" t="b">
            <v>0</v>
          </cell>
          <cell r="P93" t="b">
            <v>0</v>
          </cell>
          <cell r="Q93" t="b">
            <v>0</v>
          </cell>
          <cell r="R93" t="b">
            <v>0</v>
          </cell>
          <cell r="S93" t="b">
            <v>1</v>
          </cell>
          <cell r="T93" t="b">
            <v>1</v>
          </cell>
          <cell r="U93" t="b">
            <v>0</v>
          </cell>
          <cell r="X93" t="str">
            <v/>
          </cell>
          <cell r="AA93" t="str">
            <v/>
          </cell>
          <cell r="AD93" t="str">
            <v/>
          </cell>
          <cell r="AG93" t="str">
            <v/>
          </cell>
          <cell r="AJ93" t="str">
            <v/>
          </cell>
          <cell r="AM93" t="str">
            <v/>
          </cell>
          <cell r="AP93" t="str">
            <v/>
          </cell>
          <cell r="AS93" t="str">
            <v/>
          </cell>
          <cell r="AV93" t="str">
            <v/>
          </cell>
          <cell r="AY93" t="str">
            <v/>
          </cell>
          <cell r="BB93" t="str">
            <v/>
          </cell>
          <cell r="BE93" t="str">
            <v/>
          </cell>
          <cell r="BH93" t="str">
            <v/>
          </cell>
          <cell r="BK93" t="str">
            <v/>
          </cell>
          <cell r="BN93" t="str">
            <v>Threefold Mask of the Chimera</v>
          </cell>
        </row>
        <row r="94">
          <cell r="A94" t="str">
            <v>Theft Gloves</v>
          </cell>
          <cell r="B94">
            <v>90</v>
          </cell>
          <cell r="C94" t="b">
            <v>0</v>
          </cell>
          <cell r="D94" t="b">
            <v>1</v>
          </cell>
          <cell r="E94" t="b">
            <v>0</v>
          </cell>
          <cell r="G94" t="b">
            <v>1</v>
          </cell>
          <cell r="H94" t="b">
            <v>0</v>
          </cell>
          <cell r="I94" t="b">
            <v>0</v>
          </cell>
          <cell r="J94" t="b">
            <v>0</v>
          </cell>
          <cell r="K94" t="b">
            <v>0</v>
          </cell>
          <cell r="L94" t="b">
            <v>0</v>
          </cell>
          <cell r="M94" t="b">
            <v>0</v>
          </cell>
          <cell r="N94" t="b">
            <v>1</v>
          </cell>
          <cell r="O94" t="b">
            <v>0</v>
          </cell>
          <cell r="P94" t="b">
            <v>0</v>
          </cell>
          <cell r="Q94" t="b">
            <v>0</v>
          </cell>
          <cell r="R94" t="b">
            <v>0</v>
          </cell>
          <cell r="S94" t="b">
            <v>0</v>
          </cell>
          <cell r="T94" t="b">
            <v>0</v>
          </cell>
          <cell r="U94" t="b">
            <v>0</v>
          </cell>
          <cell r="X94" t="str">
            <v/>
          </cell>
          <cell r="AA94" t="str">
            <v/>
          </cell>
          <cell r="AD94" t="str">
            <v/>
          </cell>
          <cell r="AG94" t="str">
            <v/>
          </cell>
          <cell r="AJ94" t="str">
            <v/>
          </cell>
          <cell r="AM94" t="str">
            <v/>
          </cell>
          <cell r="AP94" t="str">
            <v/>
          </cell>
          <cell r="AS94" t="str">
            <v/>
          </cell>
          <cell r="AV94" t="str">
            <v/>
          </cell>
          <cell r="AY94" t="str">
            <v/>
          </cell>
          <cell r="BB94" t="str">
            <v/>
          </cell>
          <cell r="BE94" t="str">
            <v/>
          </cell>
          <cell r="BH94" t="str">
            <v/>
          </cell>
          <cell r="BK94" t="str">
            <v/>
          </cell>
          <cell r="BN94" t="str">
            <v>Thunderstep Boots</v>
          </cell>
        </row>
        <row r="95">
          <cell r="A95" t="str">
            <v>Therapeutic Mantle</v>
          </cell>
          <cell r="B95">
            <v>91</v>
          </cell>
          <cell r="C95" t="b">
            <v>0</v>
          </cell>
          <cell r="D95" t="b">
            <v>1</v>
          </cell>
          <cell r="E95" t="b">
            <v>0</v>
          </cell>
          <cell r="G95" t="b">
            <v>1</v>
          </cell>
          <cell r="H95" t="b">
            <v>1</v>
          </cell>
          <cell r="I95" t="b">
            <v>0</v>
          </cell>
          <cell r="J95" t="b">
            <v>1</v>
          </cell>
          <cell r="K95" t="b">
            <v>0</v>
          </cell>
          <cell r="L95" t="b">
            <v>0</v>
          </cell>
          <cell r="M95" t="b">
            <v>0</v>
          </cell>
          <cell r="N95" t="b">
            <v>0</v>
          </cell>
          <cell r="O95" t="b">
            <v>0</v>
          </cell>
          <cell r="P95" t="b">
            <v>0</v>
          </cell>
          <cell r="Q95" t="b">
            <v>1</v>
          </cell>
          <cell r="R95" t="b">
            <v>0</v>
          </cell>
          <cell r="S95" t="b">
            <v>0</v>
          </cell>
          <cell r="T95" t="b">
            <v>0</v>
          </cell>
          <cell r="U95" t="b">
            <v>0</v>
          </cell>
          <cell r="X95" t="str">
            <v/>
          </cell>
          <cell r="AA95" t="str">
            <v/>
          </cell>
          <cell r="AD95" t="str">
            <v/>
          </cell>
          <cell r="AG95" t="str">
            <v/>
          </cell>
          <cell r="AJ95" t="str">
            <v/>
          </cell>
          <cell r="AM95" t="str">
            <v/>
          </cell>
          <cell r="AP95" t="str">
            <v/>
          </cell>
          <cell r="AS95" t="str">
            <v/>
          </cell>
          <cell r="AV95" t="str">
            <v/>
          </cell>
          <cell r="AY95" t="str">
            <v/>
          </cell>
          <cell r="BB95" t="str">
            <v/>
          </cell>
          <cell r="BE95" t="str">
            <v/>
          </cell>
          <cell r="BH95" t="str">
            <v/>
          </cell>
          <cell r="BK95" t="str">
            <v/>
          </cell>
          <cell r="BN95" t="str">
            <v>Totem Avatar</v>
          </cell>
        </row>
        <row r="96">
          <cell r="A96" t="str">
            <v>Threefold Mask of the Chimera</v>
          </cell>
          <cell r="B96">
            <v>92</v>
          </cell>
          <cell r="C96" t="b">
            <v>0</v>
          </cell>
          <cell r="D96" t="b">
            <v>1</v>
          </cell>
          <cell r="E96" t="b">
            <v>0</v>
          </cell>
          <cell r="G96" t="b">
            <v>0</v>
          </cell>
          <cell r="H96" t="b">
            <v>0</v>
          </cell>
          <cell r="I96" t="b">
            <v>1</v>
          </cell>
          <cell r="J96" t="b">
            <v>0</v>
          </cell>
          <cell r="K96" t="b">
            <v>0</v>
          </cell>
          <cell r="L96" t="b">
            <v>1</v>
          </cell>
          <cell r="M96" t="b">
            <v>0</v>
          </cell>
          <cell r="N96" t="b">
            <v>0</v>
          </cell>
          <cell r="O96" t="b">
            <v>0</v>
          </cell>
          <cell r="P96" t="b">
            <v>0</v>
          </cell>
          <cell r="Q96" t="b">
            <v>0</v>
          </cell>
          <cell r="R96" t="b">
            <v>0</v>
          </cell>
          <cell r="S96" t="b">
            <v>0</v>
          </cell>
          <cell r="T96" t="b">
            <v>0</v>
          </cell>
          <cell r="U96" t="b">
            <v>1</v>
          </cell>
          <cell r="X96" t="str">
            <v/>
          </cell>
          <cell r="AA96" t="str">
            <v/>
          </cell>
          <cell r="AD96" t="str">
            <v/>
          </cell>
          <cell r="AG96" t="str">
            <v/>
          </cell>
          <cell r="AJ96" t="str">
            <v/>
          </cell>
          <cell r="AM96" t="str">
            <v/>
          </cell>
          <cell r="AP96" t="str">
            <v/>
          </cell>
          <cell r="AS96" t="str">
            <v/>
          </cell>
          <cell r="AV96" t="str">
            <v/>
          </cell>
          <cell r="AY96" t="str">
            <v/>
          </cell>
          <cell r="BB96" t="str">
            <v/>
          </cell>
          <cell r="BE96" t="str">
            <v/>
          </cell>
          <cell r="BH96" t="str">
            <v/>
          </cell>
          <cell r="BK96" t="str">
            <v/>
          </cell>
          <cell r="BN96" t="str">
            <v>Truthseeker Goggles</v>
          </cell>
        </row>
        <row r="97">
          <cell r="A97" t="str">
            <v>Thunderstep Boots</v>
          </cell>
          <cell r="B97">
            <v>93</v>
          </cell>
          <cell r="C97" t="b">
            <v>0</v>
          </cell>
          <cell r="D97" t="b">
            <v>1</v>
          </cell>
          <cell r="E97" t="b">
            <v>0</v>
          </cell>
          <cell r="G97" t="b">
            <v>0</v>
          </cell>
          <cell r="H97" t="b">
            <v>1</v>
          </cell>
          <cell r="I97" t="b">
            <v>0</v>
          </cell>
          <cell r="J97" t="b">
            <v>1</v>
          </cell>
          <cell r="K97" t="b">
            <v>0</v>
          </cell>
          <cell r="L97" t="b">
            <v>0</v>
          </cell>
          <cell r="M97" t="b">
            <v>1</v>
          </cell>
          <cell r="N97" t="b">
            <v>0</v>
          </cell>
          <cell r="O97" t="b">
            <v>0</v>
          </cell>
          <cell r="P97" t="b">
            <v>0</v>
          </cell>
          <cell r="Q97" t="b">
            <v>0</v>
          </cell>
          <cell r="R97" t="b">
            <v>0</v>
          </cell>
          <cell r="S97" t="b">
            <v>0</v>
          </cell>
          <cell r="T97" t="b">
            <v>0</v>
          </cell>
          <cell r="U97" t="b">
            <v>0</v>
          </cell>
          <cell r="X97" t="str">
            <v/>
          </cell>
          <cell r="AA97" t="str">
            <v/>
          </cell>
          <cell r="AD97" t="str">
            <v/>
          </cell>
          <cell r="AG97" t="str">
            <v/>
          </cell>
          <cell r="AJ97" t="str">
            <v/>
          </cell>
          <cell r="AM97" t="str">
            <v/>
          </cell>
          <cell r="AP97" t="str">
            <v/>
          </cell>
          <cell r="AS97" t="str">
            <v/>
          </cell>
          <cell r="AV97" t="str">
            <v/>
          </cell>
          <cell r="AY97" t="str">
            <v/>
          </cell>
          <cell r="BB97" t="str">
            <v/>
          </cell>
          <cell r="BE97" t="str">
            <v/>
          </cell>
          <cell r="BH97" t="str">
            <v/>
          </cell>
          <cell r="BK97" t="str">
            <v/>
          </cell>
          <cell r="BN97" t="str">
            <v>Unicorn Horn</v>
          </cell>
        </row>
        <row r="98">
          <cell r="A98" t="str">
            <v>Totem Avatar</v>
          </cell>
          <cell r="B98">
            <v>94</v>
          </cell>
          <cell r="C98" t="b">
            <v>0</v>
          </cell>
          <cell r="D98" t="b">
            <v>1</v>
          </cell>
          <cell r="E98" t="b">
            <v>0</v>
          </cell>
          <cell r="G98" t="b">
            <v>0</v>
          </cell>
          <cell r="H98" t="b">
            <v>0</v>
          </cell>
          <cell r="I98" t="b">
            <v>1</v>
          </cell>
          <cell r="J98" t="b">
            <v>0</v>
          </cell>
          <cell r="K98" t="b">
            <v>0</v>
          </cell>
          <cell r="L98" t="b">
            <v>0</v>
          </cell>
          <cell r="M98" t="b">
            <v>1</v>
          </cell>
          <cell r="N98" t="b">
            <v>0</v>
          </cell>
          <cell r="O98" t="b">
            <v>1</v>
          </cell>
          <cell r="P98" t="b">
            <v>0</v>
          </cell>
          <cell r="Q98" t="b">
            <v>1</v>
          </cell>
          <cell r="R98" t="b">
            <v>0</v>
          </cell>
          <cell r="S98" t="b">
            <v>0</v>
          </cell>
          <cell r="T98" t="b">
            <v>1</v>
          </cell>
          <cell r="U98" t="b">
            <v>0</v>
          </cell>
          <cell r="X98" t="str">
            <v/>
          </cell>
          <cell r="AA98" t="str">
            <v/>
          </cell>
          <cell r="AD98" t="str">
            <v/>
          </cell>
          <cell r="AG98" t="str">
            <v/>
          </cell>
          <cell r="AJ98" t="str">
            <v/>
          </cell>
          <cell r="AM98" t="str">
            <v/>
          </cell>
          <cell r="AP98" t="str">
            <v/>
          </cell>
          <cell r="AS98" t="str">
            <v/>
          </cell>
          <cell r="AV98" t="str">
            <v/>
          </cell>
          <cell r="AY98" t="str">
            <v/>
          </cell>
          <cell r="BB98" t="str">
            <v/>
          </cell>
          <cell r="BE98" t="str">
            <v/>
          </cell>
          <cell r="BH98" t="str">
            <v/>
          </cell>
          <cell r="BK98" t="str">
            <v/>
          </cell>
          <cell r="BN98" t="str">
            <v>Urskan Greaves</v>
          </cell>
        </row>
        <row r="99">
          <cell r="A99" t="str">
            <v>Truthseeker Goggles</v>
          </cell>
          <cell r="B99">
            <v>95</v>
          </cell>
          <cell r="C99" t="b">
            <v>0</v>
          </cell>
          <cell r="D99" t="b">
            <v>1</v>
          </cell>
          <cell r="E99" t="b">
            <v>0</v>
          </cell>
          <cell r="G99" t="b">
            <v>1</v>
          </cell>
          <cell r="H99" t="b">
            <v>1</v>
          </cell>
          <cell r="I99" t="b">
            <v>0</v>
          </cell>
          <cell r="J99" t="b">
            <v>1</v>
          </cell>
          <cell r="K99" t="b">
            <v>0</v>
          </cell>
          <cell r="L99" t="b">
            <v>0</v>
          </cell>
          <cell r="M99" t="b">
            <v>0</v>
          </cell>
          <cell r="N99" t="b">
            <v>0</v>
          </cell>
          <cell r="O99" t="b">
            <v>0</v>
          </cell>
          <cell r="P99" t="b">
            <v>1</v>
          </cell>
          <cell r="Q99" t="b">
            <v>0</v>
          </cell>
          <cell r="R99" t="b">
            <v>0</v>
          </cell>
          <cell r="S99" t="b">
            <v>0</v>
          </cell>
          <cell r="T99" t="b">
            <v>0</v>
          </cell>
          <cell r="U99" t="b">
            <v>0</v>
          </cell>
          <cell r="X99" t="str">
            <v/>
          </cell>
          <cell r="AA99" t="str">
            <v/>
          </cell>
          <cell r="AD99" t="str">
            <v/>
          </cell>
          <cell r="AG99" t="str">
            <v/>
          </cell>
          <cell r="AJ99" t="str">
            <v/>
          </cell>
          <cell r="AM99" t="str">
            <v/>
          </cell>
          <cell r="AP99" t="str">
            <v/>
          </cell>
          <cell r="AS99" t="str">
            <v/>
          </cell>
          <cell r="AV99" t="str">
            <v/>
          </cell>
          <cell r="AY99" t="str">
            <v/>
          </cell>
          <cell r="BB99" t="str">
            <v/>
          </cell>
          <cell r="BE99" t="str">
            <v/>
          </cell>
          <cell r="BH99" t="str">
            <v/>
          </cell>
          <cell r="BK99" t="str">
            <v/>
          </cell>
          <cell r="BN99" t="str">
            <v>Vitality Belt</v>
          </cell>
        </row>
        <row r="100">
          <cell r="A100" t="str">
            <v>Unicorn Horn</v>
          </cell>
          <cell r="B100">
            <v>96</v>
          </cell>
          <cell r="C100" t="b">
            <v>0</v>
          </cell>
          <cell r="D100" t="b">
            <v>1</v>
          </cell>
          <cell r="E100" t="b">
            <v>0</v>
          </cell>
          <cell r="G100" t="b">
            <v>0</v>
          </cell>
          <cell r="H100" t="b">
            <v>0</v>
          </cell>
          <cell r="I100" t="b">
            <v>1</v>
          </cell>
          <cell r="J100" t="b">
            <v>0</v>
          </cell>
          <cell r="K100" t="b">
            <v>0</v>
          </cell>
          <cell r="L100" t="b">
            <v>0</v>
          </cell>
          <cell r="M100" t="b">
            <v>0</v>
          </cell>
          <cell r="N100" t="b">
            <v>0</v>
          </cell>
          <cell r="O100" t="b">
            <v>0</v>
          </cell>
          <cell r="P100" t="b">
            <v>1</v>
          </cell>
          <cell r="Q100" t="b">
            <v>0</v>
          </cell>
          <cell r="R100" t="b">
            <v>0</v>
          </cell>
          <cell r="S100" t="b">
            <v>0</v>
          </cell>
          <cell r="T100" t="b">
            <v>0</v>
          </cell>
          <cell r="U100" t="b">
            <v>0</v>
          </cell>
          <cell r="X100" t="str">
            <v/>
          </cell>
          <cell r="AA100" t="str">
            <v/>
          </cell>
          <cell r="AD100" t="str">
            <v/>
          </cell>
          <cell r="AG100" t="str">
            <v/>
          </cell>
          <cell r="AJ100" t="str">
            <v/>
          </cell>
          <cell r="AM100" t="str">
            <v/>
          </cell>
          <cell r="AP100" t="str">
            <v/>
          </cell>
          <cell r="AS100" t="str">
            <v/>
          </cell>
          <cell r="AV100" t="str">
            <v/>
          </cell>
          <cell r="AY100" t="str">
            <v/>
          </cell>
          <cell r="BB100" t="str">
            <v/>
          </cell>
          <cell r="BE100" t="str">
            <v/>
          </cell>
          <cell r="BH100" t="str">
            <v/>
          </cell>
          <cell r="BK100" t="str">
            <v/>
          </cell>
          <cell r="BN100" t="str">
            <v>Wind Cloak</v>
          </cell>
        </row>
        <row r="101">
          <cell r="A101" t="str">
            <v>Urskan Greaves</v>
          </cell>
          <cell r="B101">
            <v>97</v>
          </cell>
          <cell r="C101" t="b">
            <v>0</v>
          </cell>
          <cell r="D101" t="b">
            <v>1</v>
          </cell>
          <cell r="E101" t="b">
            <v>0</v>
          </cell>
          <cell r="G101" t="b">
            <v>0</v>
          </cell>
          <cell r="H101" t="b">
            <v>0</v>
          </cell>
          <cell r="I101" t="b">
            <v>1</v>
          </cell>
          <cell r="J101" t="b">
            <v>0</v>
          </cell>
          <cell r="K101" t="b">
            <v>0</v>
          </cell>
          <cell r="L101" t="b">
            <v>0</v>
          </cell>
          <cell r="M101" t="b">
            <v>1</v>
          </cell>
          <cell r="N101" t="b">
            <v>0</v>
          </cell>
          <cell r="O101" t="b">
            <v>0</v>
          </cell>
          <cell r="P101" t="b">
            <v>0</v>
          </cell>
          <cell r="Q101" t="b">
            <v>0</v>
          </cell>
          <cell r="R101" t="b">
            <v>0</v>
          </cell>
          <cell r="S101" t="b">
            <v>0</v>
          </cell>
          <cell r="T101" t="b">
            <v>0</v>
          </cell>
          <cell r="U101" t="b">
            <v>0</v>
          </cell>
          <cell r="X101" t="str">
            <v/>
          </cell>
          <cell r="AA101" t="str">
            <v/>
          </cell>
          <cell r="AD101" t="str">
            <v/>
          </cell>
          <cell r="AG101" t="str">
            <v/>
          </cell>
          <cell r="AJ101" t="str">
            <v/>
          </cell>
          <cell r="AM101" t="str">
            <v/>
          </cell>
          <cell r="AP101" t="str">
            <v/>
          </cell>
          <cell r="AS101" t="str">
            <v/>
          </cell>
          <cell r="AV101" t="str">
            <v/>
          </cell>
          <cell r="AY101" t="str">
            <v/>
          </cell>
          <cell r="BB101" t="str">
            <v/>
          </cell>
          <cell r="BE101" t="str">
            <v/>
          </cell>
          <cell r="BH101" t="str">
            <v/>
          </cell>
          <cell r="BK101" t="str">
            <v/>
          </cell>
          <cell r="BN101" t="str">
            <v>Winter Mask</v>
          </cell>
        </row>
        <row r="102">
          <cell r="A102" t="str">
            <v>Vitality Belt</v>
          </cell>
          <cell r="B102">
            <v>98</v>
          </cell>
          <cell r="C102" t="b">
            <v>0</v>
          </cell>
          <cell r="D102" t="b">
            <v>1</v>
          </cell>
          <cell r="E102" t="b">
            <v>0</v>
          </cell>
          <cell r="G102" t="b">
            <v>1</v>
          </cell>
          <cell r="H102" t="b">
            <v>0</v>
          </cell>
          <cell r="I102" t="b">
            <v>0</v>
          </cell>
          <cell r="J102" t="b">
            <v>0</v>
          </cell>
          <cell r="K102" t="b">
            <v>0</v>
          </cell>
          <cell r="L102" t="b">
            <v>0</v>
          </cell>
          <cell r="M102" t="b">
            <v>0</v>
          </cell>
          <cell r="N102" t="b">
            <v>0</v>
          </cell>
          <cell r="O102" t="b">
            <v>0</v>
          </cell>
          <cell r="P102" t="b">
            <v>0</v>
          </cell>
          <cell r="Q102" t="b">
            <v>0</v>
          </cell>
          <cell r="R102" t="b">
            <v>0</v>
          </cell>
          <cell r="S102" t="b">
            <v>1</v>
          </cell>
          <cell r="T102" t="b">
            <v>0</v>
          </cell>
          <cell r="U102" t="b">
            <v>0</v>
          </cell>
          <cell r="X102" t="str">
            <v/>
          </cell>
          <cell r="AA102" t="str">
            <v/>
          </cell>
          <cell r="AD102" t="str">
            <v/>
          </cell>
          <cell r="AG102" t="str">
            <v/>
          </cell>
          <cell r="AJ102" t="str">
            <v/>
          </cell>
          <cell r="AM102" t="str">
            <v/>
          </cell>
          <cell r="AP102" t="str">
            <v/>
          </cell>
          <cell r="AS102" t="str">
            <v/>
          </cell>
          <cell r="AV102" t="str">
            <v/>
          </cell>
          <cell r="AY102" t="str">
            <v/>
          </cell>
          <cell r="BB102" t="str">
            <v/>
          </cell>
          <cell r="BE102" t="str">
            <v/>
          </cell>
          <cell r="BH102" t="str">
            <v/>
          </cell>
          <cell r="BK102" t="str">
            <v/>
          </cell>
          <cell r="BN102" t="str">
            <v>Worg Pelt</v>
          </cell>
        </row>
        <row r="103">
          <cell r="A103" t="str">
            <v>Wind Cloak</v>
          </cell>
          <cell r="B103">
            <v>99</v>
          </cell>
          <cell r="C103" t="b">
            <v>0</v>
          </cell>
          <cell r="D103" t="b">
            <v>1</v>
          </cell>
          <cell r="E103" t="b">
            <v>0</v>
          </cell>
          <cell r="G103" t="b">
            <v>1</v>
          </cell>
          <cell r="H103" t="b">
            <v>1</v>
          </cell>
          <cell r="I103" t="b">
            <v>0</v>
          </cell>
          <cell r="J103" t="b">
            <v>1</v>
          </cell>
          <cell r="K103" t="b">
            <v>0</v>
          </cell>
          <cell r="L103" t="b">
            <v>0</v>
          </cell>
          <cell r="M103" t="b">
            <v>0</v>
          </cell>
          <cell r="N103" t="b">
            <v>0</v>
          </cell>
          <cell r="O103" t="b">
            <v>0</v>
          </cell>
          <cell r="P103" t="b">
            <v>0</v>
          </cell>
          <cell r="Q103" t="b">
            <v>1</v>
          </cell>
          <cell r="R103" t="b">
            <v>0</v>
          </cell>
          <cell r="S103" t="b">
            <v>0</v>
          </cell>
          <cell r="T103" t="b">
            <v>0</v>
          </cell>
          <cell r="U103" t="b">
            <v>0</v>
          </cell>
          <cell r="X103" t="str">
            <v/>
          </cell>
          <cell r="AA103" t="str">
            <v/>
          </cell>
          <cell r="AD103" t="str">
            <v/>
          </cell>
          <cell r="AG103" t="str">
            <v/>
          </cell>
          <cell r="AJ103" t="str">
            <v/>
          </cell>
          <cell r="AM103" t="str">
            <v/>
          </cell>
          <cell r="AP103" t="str">
            <v/>
          </cell>
          <cell r="AS103" t="str">
            <v/>
          </cell>
          <cell r="AV103" t="str">
            <v/>
          </cell>
          <cell r="AY103" t="str">
            <v/>
          </cell>
          <cell r="BB103" t="str">
            <v/>
          </cell>
          <cell r="BE103" t="str">
            <v/>
          </cell>
          <cell r="BH103" t="str">
            <v/>
          </cell>
          <cell r="BK103" t="str">
            <v/>
          </cell>
          <cell r="BN103" t="str">
            <v>Wormtail Belt</v>
          </cell>
        </row>
        <row r="104">
          <cell r="A104" t="str">
            <v>Winter Mask</v>
          </cell>
          <cell r="B104">
            <v>100</v>
          </cell>
          <cell r="C104" t="b">
            <v>0</v>
          </cell>
          <cell r="D104" t="b">
            <v>1</v>
          </cell>
          <cell r="E104" t="b">
            <v>0</v>
          </cell>
          <cell r="G104" t="b">
            <v>0</v>
          </cell>
          <cell r="H104" t="b">
            <v>0</v>
          </cell>
          <cell r="I104" t="b">
            <v>1</v>
          </cell>
          <cell r="J104" t="b">
            <v>0</v>
          </cell>
          <cell r="K104" t="b">
            <v>0</v>
          </cell>
          <cell r="L104" t="b">
            <v>0</v>
          </cell>
          <cell r="M104" t="b">
            <v>0</v>
          </cell>
          <cell r="N104" t="b">
            <v>0</v>
          </cell>
          <cell r="O104" t="b">
            <v>0</v>
          </cell>
          <cell r="P104" t="b">
            <v>0</v>
          </cell>
          <cell r="Q104" t="b">
            <v>0</v>
          </cell>
          <cell r="R104" t="b">
            <v>1</v>
          </cell>
          <cell r="S104" t="b">
            <v>0</v>
          </cell>
          <cell r="T104" t="b">
            <v>0</v>
          </cell>
          <cell r="U104" t="b">
            <v>0</v>
          </cell>
          <cell r="X104" t="str">
            <v/>
          </cell>
          <cell r="AA104" t="str">
            <v/>
          </cell>
          <cell r="AD104" t="str">
            <v/>
          </cell>
          <cell r="AG104" t="str">
            <v/>
          </cell>
          <cell r="AJ104" t="str">
            <v/>
          </cell>
          <cell r="AM104" t="str">
            <v/>
          </cell>
          <cell r="AP104" t="str">
            <v/>
          </cell>
          <cell r="AS104" t="str">
            <v/>
          </cell>
          <cell r="AV104" t="str">
            <v/>
          </cell>
          <cell r="AY104" t="str">
            <v/>
          </cell>
          <cell r="BB104" t="str">
            <v/>
          </cell>
          <cell r="BE104" t="str">
            <v/>
          </cell>
          <cell r="BH104" t="str">
            <v/>
          </cell>
          <cell r="BK104" t="str">
            <v/>
          </cell>
          <cell r="BN104" t="str">
            <v>Yrthak Mask</v>
          </cell>
        </row>
        <row r="105">
          <cell r="A105" t="str">
            <v>Worg Pelt</v>
          </cell>
          <cell r="B105">
            <v>101</v>
          </cell>
          <cell r="C105" t="b">
            <v>0</v>
          </cell>
          <cell r="D105" t="b">
            <v>1</v>
          </cell>
          <cell r="E105" t="b">
            <v>0</v>
          </cell>
          <cell r="G105" t="b">
            <v>0</v>
          </cell>
          <cell r="H105" t="b">
            <v>0</v>
          </cell>
          <cell r="I105" t="b">
            <v>1</v>
          </cell>
          <cell r="J105" t="b">
            <v>0</v>
          </cell>
          <cell r="K105" t="b">
            <v>0</v>
          </cell>
          <cell r="L105" t="b">
            <v>0</v>
          </cell>
          <cell r="M105" t="b">
            <v>1</v>
          </cell>
          <cell r="N105" t="b">
            <v>1</v>
          </cell>
          <cell r="O105" t="b">
            <v>0</v>
          </cell>
          <cell r="P105" t="b">
            <v>0</v>
          </cell>
          <cell r="Q105" t="b">
            <v>0</v>
          </cell>
          <cell r="R105" t="b">
            <v>0</v>
          </cell>
          <cell r="S105" t="b">
            <v>0</v>
          </cell>
          <cell r="T105" t="b">
            <v>0</v>
          </cell>
          <cell r="U105" t="b">
            <v>0</v>
          </cell>
          <cell r="X105" t="str">
            <v/>
          </cell>
          <cell r="AA105" t="str">
            <v/>
          </cell>
          <cell r="AD105" t="str">
            <v/>
          </cell>
          <cell r="AG105" t="str">
            <v/>
          </cell>
          <cell r="AJ105" t="str">
            <v/>
          </cell>
          <cell r="AM105" t="str">
            <v/>
          </cell>
          <cell r="AP105" t="str">
            <v/>
          </cell>
          <cell r="AS105" t="str">
            <v/>
          </cell>
          <cell r="AV105" t="str">
            <v/>
          </cell>
          <cell r="AY105" t="str">
            <v/>
          </cell>
          <cell r="BB105" t="str">
            <v/>
          </cell>
          <cell r="BE105" t="str">
            <v/>
          </cell>
          <cell r="BH105" t="str">
            <v/>
          </cell>
          <cell r="BK105" t="str">
            <v/>
          </cell>
          <cell r="BN105" t="str">
            <v/>
          </cell>
        </row>
        <row r="106">
          <cell r="A106" t="str">
            <v>Wormtail Belt</v>
          </cell>
          <cell r="B106">
            <v>102</v>
          </cell>
          <cell r="C106" t="b">
            <v>0</v>
          </cell>
          <cell r="D106" t="b">
            <v>1</v>
          </cell>
          <cell r="E106" t="b">
            <v>0</v>
          </cell>
          <cell r="G106" t="b">
            <v>0</v>
          </cell>
          <cell r="H106" t="b">
            <v>0</v>
          </cell>
          <cell r="I106" t="b">
            <v>1</v>
          </cell>
          <cell r="J106" t="b">
            <v>0</v>
          </cell>
          <cell r="K106" t="b">
            <v>0</v>
          </cell>
          <cell r="L106" t="b">
            <v>0</v>
          </cell>
          <cell r="M106" t="b">
            <v>0</v>
          </cell>
          <cell r="N106" t="b">
            <v>0</v>
          </cell>
          <cell r="O106" t="b">
            <v>0</v>
          </cell>
          <cell r="P106" t="b">
            <v>0</v>
          </cell>
          <cell r="Q106" t="b">
            <v>0</v>
          </cell>
          <cell r="R106" t="b">
            <v>0</v>
          </cell>
          <cell r="S106" t="b">
            <v>1</v>
          </cell>
          <cell r="T106" t="b">
            <v>0</v>
          </cell>
          <cell r="U106" t="b">
            <v>0</v>
          </cell>
          <cell r="X106" t="str">
            <v/>
          </cell>
          <cell r="AA106" t="str">
            <v/>
          </cell>
          <cell r="AD106" t="str">
            <v/>
          </cell>
          <cell r="AG106" t="str">
            <v/>
          </cell>
          <cell r="AJ106" t="str">
            <v/>
          </cell>
          <cell r="AM106" t="str">
            <v/>
          </cell>
          <cell r="AP106" t="str">
            <v/>
          </cell>
          <cell r="AS106" t="str">
            <v/>
          </cell>
          <cell r="AV106" t="str">
            <v/>
          </cell>
          <cell r="AY106" t="str">
            <v/>
          </cell>
          <cell r="BB106" t="str">
            <v/>
          </cell>
          <cell r="BE106" t="str">
            <v/>
          </cell>
          <cell r="BH106" t="str">
            <v/>
          </cell>
          <cell r="BK106" t="str">
            <v/>
          </cell>
          <cell r="BN106" t="str">
            <v/>
          </cell>
        </row>
        <row r="107">
          <cell r="A107" t="str">
            <v>Yrthak Mask</v>
          </cell>
          <cell r="B107">
            <v>103</v>
          </cell>
          <cell r="C107" t="b">
            <v>0</v>
          </cell>
          <cell r="D107" t="b">
            <v>1</v>
          </cell>
          <cell r="E107" t="b">
            <v>0</v>
          </cell>
          <cell r="G107" t="b">
            <v>0</v>
          </cell>
          <cell r="H107" t="b">
            <v>0</v>
          </cell>
          <cell r="I107" t="b">
            <v>1</v>
          </cell>
          <cell r="J107" t="b">
            <v>0</v>
          </cell>
          <cell r="K107" t="b">
            <v>0</v>
          </cell>
          <cell r="L107" t="b">
            <v>0</v>
          </cell>
          <cell r="M107" t="b">
            <v>0</v>
          </cell>
          <cell r="N107" t="b">
            <v>0</v>
          </cell>
          <cell r="O107" t="b">
            <v>0</v>
          </cell>
          <cell r="P107" t="b">
            <v>1</v>
          </cell>
          <cell r="Q107" t="b">
            <v>0</v>
          </cell>
          <cell r="R107" t="b">
            <v>0</v>
          </cell>
          <cell r="S107" t="b">
            <v>0</v>
          </cell>
          <cell r="T107" t="b">
            <v>0</v>
          </cell>
          <cell r="U107" t="b">
            <v>0</v>
          </cell>
          <cell r="X107" t="str">
            <v/>
          </cell>
          <cell r="AA107" t="str">
            <v/>
          </cell>
          <cell r="AD107" t="str">
            <v/>
          </cell>
          <cell r="AG107" t="str">
            <v/>
          </cell>
          <cell r="AJ107" t="str">
            <v/>
          </cell>
          <cell r="AM107" t="str">
            <v/>
          </cell>
          <cell r="AP107" t="str">
            <v/>
          </cell>
          <cell r="AS107" t="str">
            <v/>
          </cell>
          <cell r="AV107" t="str">
            <v/>
          </cell>
          <cell r="AY107" t="str">
            <v/>
          </cell>
          <cell r="BB107" t="str">
            <v/>
          </cell>
          <cell r="BE107" t="str">
            <v/>
          </cell>
          <cell r="BH107" t="str">
            <v/>
          </cell>
          <cell r="BK107" t="str">
            <v/>
          </cell>
          <cell r="BN107" t="str">
            <v/>
          </cell>
        </row>
        <row r="108">
          <cell r="A108" t="str">
            <v>Claws of the Wyrm</v>
          </cell>
          <cell r="B108">
            <v>104</v>
          </cell>
          <cell r="C108" t="b">
            <v>0</v>
          </cell>
          <cell r="D108" t="b">
            <v>0</v>
          </cell>
          <cell r="E108" t="b">
            <v>1</v>
          </cell>
          <cell r="G108" t="b">
            <v>0</v>
          </cell>
          <cell r="H108" t="b">
            <v>1</v>
          </cell>
          <cell r="I108" t="b">
            <v>1</v>
          </cell>
          <cell r="J108" t="b">
            <v>1</v>
          </cell>
          <cell r="K108" t="b">
            <v>0</v>
          </cell>
          <cell r="L108" t="b">
            <v>0</v>
          </cell>
          <cell r="M108" t="b">
            <v>0</v>
          </cell>
          <cell r="N108" t="b">
            <v>1</v>
          </cell>
          <cell r="O108" t="b">
            <v>1</v>
          </cell>
          <cell r="P108" t="b">
            <v>0</v>
          </cell>
          <cell r="Q108" t="b">
            <v>0</v>
          </cell>
          <cell r="R108" t="b">
            <v>0</v>
          </cell>
          <cell r="S108" t="b">
            <v>0</v>
          </cell>
          <cell r="T108" t="b">
            <v>0</v>
          </cell>
          <cell r="U108" t="b">
            <v>0</v>
          </cell>
          <cell r="X108" t="str">
            <v/>
          </cell>
          <cell r="AA108" t="str">
            <v/>
          </cell>
          <cell r="AD108" t="str">
            <v/>
          </cell>
          <cell r="AG108" t="str">
            <v/>
          </cell>
          <cell r="AJ108" t="str">
            <v/>
          </cell>
          <cell r="AM108" t="str">
            <v/>
          </cell>
          <cell r="AP108" t="str">
            <v/>
          </cell>
          <cell r="AS108" t="str">
            <v/>
          </cell>
          <cell r="AV108" t="str">
            <v/>
          </cell>
          <cell r="AY108" t="str">
            <v/>
          </cell>
          <cell r="BB108" t="str">
            <v/>
          </cell>
          <cell r="BE108" t="str">
            <v/>
          </cell>
          <cell r="BH108" t="str">
            <v/>
          </cell>
          <cell r="BK108" t="str">
            <v/>
          </cell>
          <cell r="BN108" t="str">
            <v/>
          </cell>
        </row>
        <row r="109">
          <cell r="A109" t="str">
            <v>Dragon Mantle</v>
          </cell>
          <cell r="B109">
            <v>105</v>
          </cell>
          <cell r="C109" t="b">
            <v>0</v>
          </cell>
          <cell r="D109" t="b">
            <v>0</v>
          </cell>
          <cell r="E109" t="b">
            <v>1</v>
          </cell>
          <cell r="G109" t="b">
            <v>0</v>
          </cell>
          <cell r="H109" t="b">
            <v>1</v>
          </cell>
          <cell r="I109" t="b">
            <v>1</v>
          </cell>
          <cell r="J109" t="b">
            <v>1</v>
          </cell>
          <cell r="K109" t="b">
            <v>0</v>
          </cell>
          <cell r="L109" t="b">
            <v>0</v>
          </cell>
          <cell r="M109" t="b">
            <v>0</v>
          </cell>
          <cell r="N109" t="b">
            <v>0</v>
          </cell>
          <cell r="O109" t="b">
            <v>0</v>
          </cell>
          <cell r="P109" t="b">
            <v>0</v>
          </cell>
          <cell r="Q109" t="b">
            <v>1</v>
          </cell>
          <cell r="R109" t="b">
            <v>0</v>
          </cell>
          <cell r="S109" t="b">
            <v>0</v>
          </cell>
          <cell r="T109" t="b">
            <v>1</v>
          </cell>
          <cell r="U109" t="b">
            <v>0</v>
          </cell>
          <cell r="X109" t="str">
            <v/>
          </cell>
          <cell r="AA109" t="str">
            <v/>
          </cell>
          <cell r="AD109" t="str">
            <v/>
          </cell>
          <cell r="AG109" t="str">
            <v/>
          </cell>
          <cell r="AJ109" t="str">
            <v/>
          </cell>
          <cell r="AM109" t="str">
            <v/>
          </cell>
          <cell r="AP109" t="str">
            <v/>
          </cell>
          <cell r="AS109" t="str">
            <v/>
          </cell>
          <cell r="AV109" t="str">
            <v/>
          </cell>
          <cell r="AY109" t="str">
            <v/>
          </cell>
          <cell r="BB109" t="str">
            <v/>
          </cell>
          <cell r="BE109" t="str">
            <v/>
          </cell>
          <cell r="BH109" t="str">
            <v/>
          </cell>
          <cell r="BK109" t="str">
            <v/>
          </cell>
          <cell r="BN109" t="str">
            <v/>
          </cell>
        </row>
        <row r="110">
          <cell r="A110" t="str">
            <v>Dragon Tail</v>
          </cell>
          <cell r="B110">
            <v>106</v>
          </cell>
          <cell r="C110" t="b">
            <v>0</v>
          </cell>
          <cell r="D110" t="b">
            <v>0</v>
          </cell>
          <cell r="E110" t="b">
            <v>1</v>
          </cell>
          <cell r="G110" t="b">
            <v>1</v>
          </cell>
          <cell r="H110" t="b">
            <v>0</v>
          </cell>
          <cell r="I110" t="b">
            <v>1</v>
          </cell>
          <cell r="J110" t="b">
            <v>0</v>
          </cell>
          <cell r="K110" t="b">
            <v>0</v>
          </cell>
          <cell r="L110" t="b">
            <v>0</v>
          </cell>
          <cell r="M110" t="b">
            <v>1</v>
          </cell>
          <cell r="N110" t="b">
            <v>0</v>
          </cell>
          <cell r="O110" t="b">
            <v>0</v>
          </cell>
          <cell r="P110" t="b">
            <v>0</v>
          </cell>
          <cell r="Q110" t="b">
            <v>0</v>
          </cell>
          <cell r="R110" t="b">
            <v>0</v>
          </cell>
          <cell r="S110" t="b">
            <v>1</v>
          </cell>
          <cell r="T110" t="b">
            <v>0</v>
          </cell>
          <cell r="U110" t="b">
            <v>0</v>
          </cell>
          <cell r="X110" t="str">
            <v/>
          </cell>
          <cell r="AA110" t="str">
            <v/>
          </cell>
          <cell r="AD110" t="str">
            <v/>
          </cell>
          <cell r="AG110" t="str">
            <v/>
          </cell>
          <cell r="AJ110" t="str">
            <v/>
          </cell>
          <cell r="AM110" t="str">
            <v/>
          </cell>
          <cell r="AP110" t="str">
            <v/>
          </cell>
          <cell r="AS110" t="str">
            <v/>
          </cell>
          <cell r="AV110" t="str">
            <v/>
          </cell>
          <cell r="AY110" t="str">
            <v/>
          </cell>
          <cell r="BB110" t="str">
            <v/>
          </cell>
          <cell r="BE110" t="str">
            <v/>
          </cell>
          <cell r="BH110" t="str">
            <v/>
          </cell>
          <cell r="BK110" t="str">
            <v/>
          </cell>
          <cell r="BN110" t="str">
            <v/>
          </cell>
        </row>
        <row r="111">
          <cell r="A111" t="str">
            <v>Dragonfire Mask</v>
          </cell>
          <cell r="B111">
            <v>107</v>
          </cell>
          <cell r="C111" t="b">
            <v>0</v>
          </cell>
          <cell r="D111" t="b">
            <v>0</v>
          </cell>
          <cell r="E111" t="b">
            <v>1</v>
          </cell>
          <cell r="G111" t="b">
            <v>0</v>
          </cell>
          <cell r="H111" t="b">
            <v>0</v>
          </cell>
          <cell r="I111" t="b">
            <v>1</v>
          </cell>
          <cell r="J111" t="b">
            <v>0</v>
          </cell>
          <cell r="K111" t="b">
            <v>0</v>
          </cell>
          <cell r="L111" t="b">
            <v>0</v>
          </cell>
          <cell r="M111" t="b">
            <v>0</v>
          </cell>
          <cell r="N111" t="b">
            <v>0</v>
          </cell>
          <cell r="O111" t="b">
            <v>0</v>
          </cell>
          <cell r="P111" t="b">
            <v>1</v>
          </cell>
          <cell r="Q111" t="b">
            <v>0</v>
          </cell>
          <cell r="R111" t="b">
            <v>1</v>
          </cell>
          <cell r="S111" t="b">
            <v>0</v>
          </cell>
          <cell r="T111" t="b">
            <v>0</v>
          </cell>
          <cell r="U111" t="b">
            <v>0</v>
          </cell>
          <cell r="X111" t="str">
            <v/>
          </cell>
          <cell r="AA111" t="str">
            <v/>
          </cell>
          <cell r="AD111" t="str">
            <v/>
          </cell>
          <cell r="AG111" t="str">
            <v/>
          </cell>
          <cell r="AJ111" t="str">
            <v/>
          </cell>
          <cell r="AM111" t="str">
            <v/>
          </cell>
          <cell r="AP111" t="str">
            <v/>
          </cell>
          <cell r="AS111" t="str">
            <v/>
          </cell>
          <cell r="AV111" t="str">
            <v/>
          </cell>
          <cell r="AY111" t="str">
            <v/>
          </cell>
          <cell r="BB111" t="str">
            <v/>
          </cell>
          <cell r="BE111" t="str">
            <v/>
          </cell>
          <cell r="BH111" t="str">
            <v/>
          </cell>
          <cell r="BK111" t="str">
            <v/>
          </cell>
          <cell r="BN111" t="str">
            <v/>
          </cell>
        </row>
        <row r="112">
          <cell r="A112" t="str">
            <v>Elder Spirit</v>
          </cell>
          <cell r="B112">
            <v>108</v>
          </cell>
          <cell r="C112" t="b">
            <v>0</v>
          </cell>
          <cell r="D112" t="b">
            <v>0</v>
          </cell>
          <cell r="E112" t="b">
            <v>1</v>
          </cell>
          <cell r="G112" t="b">
            <v>1</v>
          </cell>
          <cell r="H112" t="b">
            <v>0</v>
          </cell>
          <cell r="I112" t="b">
            <v>0</v>
          </cell>
          <cell r="J112" t="b">
            <v>0</v>
          </cell>
          <cell r="K112" t="b">
            <v>0</v>
          </cell>
          <cell r="L112" t="b">
            <v>1</v>
          </cell>
          <cell r="M112" t="b">
            <v>0</v>
          </cell>
          <cell r="N112" t="b">
            <v>0</v>
          </cell>
          <cell r="O112" t="b">
            <v>0</v>
          </cell>
          <cell r="P112" t="b">
            <v>0</v>
          </cell>
          <cell r="Q112" t="b">
            <v>0</v>
          </cell>
          <cell r="R112" t="b">
            <v>0</v>
          </cell>
          <cell r="S112" t="b">
            <v>0</v>
          </cell>
          <cell r="T112" t="b">
            <v>0</v>
          </cell>
          <cell r="U112" t="b">
            <v>1</v>
          </cell>
          <cell r="X112" t="str">
            <v/>
          </cell>
          <cell r="AA112" t="str">
            <v/>
          </cell>
          <cell r="AD112" t="str">
            <v/>
          </cell>
          <cell r="AG112" t="str">
            <v/>
          </cell>
          <cell r="AJ112" t="str">
            <v/>
          </cell>
          <cell r="AM112" t="str">
            <v/>
          </cell>
          <cell r="AP112" t="str">
            <v/>
          </cell>
          <cell r="AS112" t="str">
            <v/>
          </cell>
          <cell r="AV112" t="str">
            <v/>
          </cell>
          <cell r="AY112" t="str">
            <v/>
          </cell>
          <cell r="BB112" t="str">
            <v/>
          </cell>
          <cell r="BE112" t="str">
            <v/>
          </cell>
          <cell r="BH112" t="str">
            <v/>
          </cell>
          <cell r="BK112" t="str">
            <v/>
          </cell>
          <cell r="BN112" t="str">
            <v/>
          </cell>
        </row>
      </sheetData>
      <sheetData sheetId="26">
        <row r="1">
          <cell r="G1" t="str">
            <v/>
          </cell>
          <cell r="L1" t="str">
            <v>Incarnate</v>
          </cell>
          <cell r="M1">
            <v>9</v>
          </cell>
        </row>
        <row r="2">
          <cell r="L2" t="str">
            <v>Soulborn</v>
          </cell>
          <cell r="M2">
            <v>10</v>
          </cell>
        </row>
        <row r="3">
          <cell r="F3" t="str">
            <v/>
          </cell>
          <cell r="L3" t="str">
            <v>Totemist</v>
          </cell>
          <cell r="M3">
            <v>10</v>
          </cell>
        </row>
        <row r="4">
          <cell r="L4" t="str">
            <v>Spinemeld Warrior</v>
          </cell>
          <cell r="M4">
            <v>10</v>
          </cell>
        </row>
        <row r="5">
          <cell r="G5" t="b">
            <v>0</v>
          </cell>
          <cell r="L5" t="str">
            <v/>
          </cell>
        </row>
        <row r="10">
          <cell r="G10" t="str">
            <v/>
          </cell>
        </row>
        <row r="14">
          <cell r="G14">
            <v>0</v>
          </cell>
        </row>
        <row r="23">
          <cell r="G23">
            <v>0</v>
          </cell>
        </row>
        <row r="29">
          <cell r="G29">
            <v>0</v>
          </cell>
        </row>
        <row r="38">
          <cell r="G38">
            <v>0</v>
          </cell>
        </row>
        <row r="44">
          <cell r="G44">
            <v>0</v>
          </cell>
        </row>
        <row r="46">
          <cell r="G46">
            <v>0</v>
          </cell>
        </row>
        <row r="49">
          <cell r="G49">
            <v>0</v>
          </cell>
        </row>
        <row r="53">
          <cell r="G53">
            <v>0</v>
          </cell>
        </row>
        <row r="60">
          <cell r="G60">
            <v>0</v>
          </cell>
        </row>
        <row r="70">
          <cell r="G70">
            <v>0</v>
          </cell>
        </row>
        <row r="72">
          <cell r="G72">
            <v>0</v>
          </cell>
        </row>
        <row r="81">
          <cell r="G81">
            <v>0</v>
          </cell>
        </row>
        <row r="86">
          <cell r="G86">
            <v>0</v>
          </cell>
        </row>
        <row r="89">
          <cell r="G89">
            <v>0</v>
          </cell>
        </row>
        <row r="95">
          <cell r="G95">
            <v>0</v>
          </cell>
        </row>
        <row r="99">
          <cell r="G99">
            <v>0</v>
          </cell>
        </row>
        <row r="100">
          <cell r="G100">
            <v>0</v>
          </cell>
        </row>
        <row r="102">
          <cell r="G102">
            <v>0</v>
          </cell>
        </row>
        <row r="103">
          <cell r="G103">
            <v>0</v>
          </cell>
        </row>
        <row r="104">
          <cell r="G104">
            <v>0</v>
          </cell>
        </row>
        <row r="106">
          <cell r="G106">
            <v>0</v>
          </cell>
        </row>
        <row r="108">
          <cell r="G108">
            <v>0</v>
          </cell>
        </row>
        <row r="118">
          <cell r="G118">
            <v>0</v>
          </cell>
        </row>
        <row r="121">
          <cell r="G121">
            <v>0</v>
          </cell>
        </row>
        <row r="122">
          <cell r="G122">
            <v>0</v>
          </cell>
        </row>
        <row r="124">
          <cell r="G124">
            <v>0</v>
          </cell>
        </row>
        <row r="126">
          <cell r="G126">
            <v>0</v>
          </cell>
        </row>
        <row r="130">
          <cell r="G130">
            <v>0</v>
          </cell>
        </row>
        <row r="131">
          <cell r="G131">
            <v>0</v>
          </cell>
        </row>
        <row r="137">
          <cell r="G137">
            <v>0</v>
          </cell>
        </row>
        <row r="147">
          <cell r="G147">
            <v>0</v>
          </cell>
        </row>
        <row r="149">
          <cell r="G149">
            <v>0</v>
          </cell>
        </row>
        <row r="150">
          <cell r="G150">
            <v>0</v>
          </cell>
        </row>
        <row r="156">
          <cell r="G156">
            <v>0</v>
          </cell>
        </row>
        <row r="163">
          <cell r="G163">
            <v>0</v>
          </cell>
        </row>
        <row r="170">
          <cell r="G170">
            <v>0</v>
          </cell>
        </row>
        <row r="172">
          <cell r="G172">
            <v>0</v>
          </cell>
        </row>
        <row r="173">
          <cell r="G173">
            <v>0</v>
          </cell>
        </row>
        <row r="175">
          <cell r="G175">
            <v>0</v>
          </cell>
        </row>
        <row r="186">
          <cell r="G186">
            <v>0</v>
          </cell>
        </row>
        <row r="196">
          <cell r="G196">
            <v>0</v>
          </cell>
        </row>
        <row r="199">
          <cell r="G199">
            <v>0</v>
          </cell>
        </row>
        <row r="201">
          <cell r="G201">
            <v>0</v>
          </cell>
        </row>
        <row r="208">
          <cell r="G208">
            <v>0</v>
          </cell>
        </row>
        <row r="210">
          <cell r="G210">
            <v>0</v>
          </cell>
        </row>
        <row r="222">
          <cell r="G222">
            <v>0</v>
          </cell>
        </row>
        <row r="228">
          <cell r="G228">
            <v>0</v>
          </cell>
        </row>
        <row r="232">
          <cell r="G232">
            <v>0</v>
          </cell>
        </row>
        <row r="238">
          <cell r="G238">
            <v>0</v>
          </cell>
        </row>
        <row r="241">
          <cell r="G241">
            <v>0</v>
          </cell>
        </row>
        <row r="244">
          <cell r="G244">
            <v>0</v>
          </cell>
        </row>
        <row r="246">
          <cell r="G246">
            <v>0</v>
          </cell>
        </row>
        <row r="252">
          <cell r="G252">
            <v>0</v>
          </cell>
        </row>
        <row r="259">
          <cell r="G259">
            <v>0</v>
          </cell>
        </row>
        <row r="260">
          <cell r="G260">
            <v>0</v>
          </cell>
        </row>
        <row r="263">
          <cell r="G263">
            <v>0</v>
          </cell>
        </row>
        <row r="266">
          <cell r="G266">
            <v>0</v>
          </cell>
        </row>
        <row r="267">
          <cell r="G267">
            <v>0</v>
          </cell>
        </row>
        <row r="272">
          <cell r="G272">
            <v>0</v>
          </cell>
        </row>
        <row r="273">
          <cell r="G273">
            <v>0</v>
          </cell>
        </row>
        <row r="275">
          <cell r="G275">
            <v>0</v>
          </cell>
        </row>
        <row r="278">
          <cell r="G278">
            <v>0</v>
          </cell>
        </row>
        <row r="281">
          <cell r="G281">
            <v>0</v>
          </cell>
        </row>
        <row r="285">
          <cell r="G285">
            <v>0</v>
          </cell>
        </row>
      </sheetData>
      <sheetData sheetId="27">
        <row r="1">
          <cell r="W1">
            <v>0</v>
          </cell>
        </row>
        <row r="3">
          <cell r="Z3">
            <v>0</v>
          </cell>
        </row>
        <row r="5">
          <cell r="Z5">
            <v>0</v>
          </cell>
        </row>
        <row r="6">
          <cell r="Z6">
            <v>0</v>
          </cell>
        </row>
        <row r="7">
          <cell r="Z7">
            <v>0</v>
          </cell>
        </row>
        <row r="10">
          <cell r="Z10">
            <v>0</v>
          </cell>
        </row>
        <row r="11">
          <cell r="Z11">
            <v>0</v>
          </cell>
        </row>
        <row r="12">
          <cell r="Z12">
            <v>0</v>
          </cell>
        </row>
        <row r="15">
          <cell r="Z15">
            <v>0</v>
          </cell>
        </row>
        <row r="16">
          <cell r="Z16">
            <v>0</v>
          </cell>
        </row>
        <row r="18">
          <cell r="Z18">
            <v>0</v>
          </cell>
        </row>
        <row r="26">
          <cell r="Z26">
            <v>0</v>
          </cell>
        </row>
        <row r="30">
          <cell r="Z30">
            <v>0</v>
          </cell>
        </row>
        <row r="36">
          <cell r="Z36">
            <v>0</v>
          </cell>
        </row>
        <row r="37">
          <cell r="Z37">
            <v>0</v>
          </cell>
        </row>
        <row r="39">
          <cell r="Z39">
            <v>0</v>
          </cell>
        </row>
        <row r="51">
          <cell r="Z51">
            <v>0</v>
          </cell>
          <cell r="AA51">
            <v>0</v>
          </cell>
        </row>
        <row r="52">
          <cell r="Z52">
            <v>0</v>
          </cell>
        </row>
        <row r="53">
          <cell r="Z53">
            <v>0</v>
          </cell>
        </row>
      </sheetData>
      <sheetData sheetId="28">
        <row r="1">
          <cell r="GR1">
            <v>0</v>
          </cell>
        </row>
        <row r="2">
          <cell r="GR2">
            <v>0</v>
          </cell>
          <cell r="II2">
            <v>10</v>
          </cell>
        </row>
        <row r="3">
          <cell r="HP3" t="str">
            <v>Dwarf</v>
          </cell>
        </row>
        <row r="5">
          <cell r="IA5" t="str">
            <v>Skill Name</v>
          </cell>
          <cell r="IB5" t="str">
            <v>Src</v>
          </cell>
          <cell r="IC5" t="str">
            <v>Pg</v>
          </cell>
          <cell r="ID5" t="str">
            <v>Alt Src</v>
          </cell>
          <cell r="IE5" t="str">
            <v>Ability</v>
          </cell>
          <cell r="IF5" t="str">
            <v>Available</v>
          </cell>
        </row>
        <row r="6">
          <cell r="A6" t="str">
            <v>Appraise¹</v>
          </cell>
          <cell r="F6">
            <v>0</v>
          </cell>
          <cell r="HE6">
            <v>1</v>
          </cell>
          <cell r="HF6">
            <v>0</v>
          </cell>
          <cell r="HG6">
            <v>-1</v>
          </cell>
          <cell r="HH6">
            <v>0</v>
          </cell>
          <cell r="HI6">
            <v>-1</v>
          </cell>
          <cell r="HJ6" t="str">
            <v>S</v>
          </cell>
          <cell r="HK6" t="str">
            <v>Appraise¹</v>
          </cell>
          <cell r="HL6" t="str">
            <v>INT</v>
          </cell>
          <cell r="HN6" t="str">
            <v>S</v>
          </cell>
          <cell r="HO6" t="str">
            <v>Appraise¹</v>
          </cell>
          <cell r="HP6" t="str">
            <v>INT</v>
          </cell>
          <cell r="HQ6">
            <v>-1</v>
          </cell>
          <cell r="HR6">
            <v>-1</v>
          </cell>
          <cell r="HS6">
            <v>0</v>
          </cell>
          <cell r="HT6">
            <v>0</v>
          </cell>
          <cell r="HW6" t="str">
            <v/>
          </cell>
          <cell r="HZ6" t="str">
            <v/>
          </cell>
          <cell r="IA6" t="str">
            <v>Appraise</v>
          </cell>
          <cell r="IB6" t="str">
            <v>PH</v>
          </cell>
          <cell r="IE6" t="str">
            <v>INT</v>
          </cell>
          <cell r="IF6" t="b">
            <v>1</v>
          </cell>
          <cell r="IN6" t="str">
            <v>Jump-6</v>
          </cell>
        </row>
        <row r="7">
          <cell r="A7" t="str">
            <v>Autohypnosis</v>
          </cell>
          <cell r="F7">
            <v>0</v>
          </cell>
          <cell r="HE7">
            <v>1</v>
          </cell>
          <cell r="HF7">
            <v>0</v>
          </cell>
          <cell r="HG7">
            <v>-1</v>
          </cell>
          <cell r="HH7">
            <v>0</v>
          </cell>
          <cell r="HI7">
            <v>-1</v>
          </cell>
          <cell r="HJ7" t="str">
            <v/>
          </cell>
          <cell r="HK7" t="str">
            <v/>
          </cell>
          <cell r="HL7" t="str">
            <v>WIS</v>
          </cell>
          <cell r="HN7" t="str">
            <v>S</v>
          </cell>
          <cell r="HO7" t="str">
            <v>Balance¹</v>
          </cell>
          <cell r="HP7" t="str">
            <v>DEX*</v>
          </cell>
          <cell r="HQ7">
            <v>-1</v>
          </cell>
          <cell r="HR7">
            <v>-1</v>
          </cell>
          <cell r="HS7">
            <v>0</v>
          </cell>
          <cell r="HT7">
            <v>0</v>
          </cell>
          <cell r="HZ7" t="str">
            <v/>
          </cell>
          <cell r="IA7" t="str">
            <v>Autohypnosis</v>
          </cell>
          <cell r="IB7" t="str">
            <v>XPH</v>
          </cell>
          <cell r="IC7">
            <v>36</v>
          </cell>
          <cell r="IE7" t="str">
            <v>WIS</v>
          </cell>
          <cell r="IF7" t="b">
            <v>0</v>
          </cell>
        </row>
        <row r="8">
          <cell r="A8" t="str">
            <v>Balance¹</v>
          </cell>
          <cell r="F8">
            <v>0</v>
          </cell>
          <cell r="HE8">
            <v>2</v>
          </cell>
          <cell r="HF8">
            <v>0</v>
          </cell>
          <cell r="HG8">
            <v>-1</v>
          </cell>
          <cell r="HH8">
            <v>0</v>
          </cell>
          <cell r="HI8">
            <v>-1</v>
          </cell>
          <cell r="HJ8" t="str">
            <v>S</v>
          </cell>
          <cell r="HK8" t="str">
            <v>Balance¹</v>
          </cell>
          <cell r="HL8" t="str">
            <v>DEX*</v>
          </cell>
          <cell r="HN8" t="str">
            <v>S</v>
          </cell>
          <cell r="HO8" t="str">
            <v>Bluff¹</v>
          </cell>
          <cell r="HP8" t="str">
            <v>CHA</v>
          </cell>
          <cell r="HQ8">
            <v>-2</v>
          </cell>
          <cell r="HR8">
            <v>-2</v>
          </cell>
          <cell r="HS8">
            <v>0</v>
          </cell>
          <cell r="HT8">
            <v>0</v>
          </cell>
          <cell r="HZ8" t="str">
            <v/>
          </cell>
          <cell r="IA8" t="str">
            <v>Balance</v>
          </cell>
          <cell r="IB8" t="str">
            <v>PH</v>
          </cell>
          <cell r="IE8" t="str">
            <v>DEX</v>
          </cell>
          <cell r="IF8" t="b">
            <v>1</v>
          </cell>
        </row>
        <row r="9">
          <cell r="A9" t="str">
            <v>Bluff¹</v>
          </cell>
          <cell r="F9">
            <v>0</v>
          </cell>
          <cell r="HE9">
            <v>3</v>
          </cell>
          <cell r="HF9">
            <v>0</v>
          </cell>
          <cell r="HG9">
            <v>-2</v>
          </cell>
          <cell r="HH9">
            <v>0</v>
          </cell>
          <cell r="HI9">
            <v>-2</v>
          </cell>
          <cell r="HJ9" t="str">
            <v>S</v>
          </cell>
          <cell r="HK9" t="str">
            <v>Bluff¹</v>
          </cell>
          <cell r="HL9" t="str">
            <v>CHA</v>
          </cell>
          <cell r="HN9" t="str">
            <v>S</v>
          </cell>
          <cell r="HO9" t="str">
            <v>Climb¹</v>
          </cell>
          <cell r="HP9" t="str">
            <v>STR*</v>
          </cell>
          <cell r="HQ9">
            <v>-1</v>
          </cell>
          <cell r="HR9">
            <v>-1</v>
          </cell>
          <cell r="HS9">
            <v>0</v>
          </cell>
          <cell r="HT9">
            <v>0</v>
          </cell>
          <cell r="HZ9" t="str">
            <v/>
          </cell>
          <cell r="IA9" t="str">
            <v>Bluff</v>
          </cell>
          <cell r="IB9" t="str">
            <v>PH</v>
          </cell>
          <cell r="IE9" t="str">
            <v>CHA</v>
          </cell>
          <cell r="IF9" t="b">
            <v>1</v>
          </cell>
        </row>
        <row r="10">
          <cell r="A10" t="str">
            <v>Climb¹</v>
          </cell>
          <cell r="F10">
            <v>0</v>
          </cell>
          <cell r="HE10">
            <v>4</v>
          </cell>
          <cell r="HF10">
            <v>0</v>
          </cell>
          <cell r="HG10">
            <v>-1</v>
          </cell>
          <cell r="HH10">
            <v>0</v>
          </cell>
          <cell r="HI10">
            <v>-1</v>
          </cell>
          <cell r="HJ10" t="str">
            <v>S</v>
          </cell>
          <cell r="HK10" t="str">
            <v>Climb¹</v>
          </cell>
          <cell r="HL10" t="str">
            <v>STR*</v>
          </cell>
          <cell r="HN10" t="str">
            <v>£</v>
          </cell>
          <cell r="HO10" t="str">
            <v>Concentration¹</v>
          </cell>
          <cell r="HP10" t="str">
            <v>CON</v>
          </cell>
          <cell r="HQ10">
            <v>0</v>
          </cell>
          <cell r="HR10">
            <v>0</v>
          </cell>
          <cell r="HS10">
            <v>0</v>
          </cell>
          <cell r="HT10">
            <v>0</v>
          </cell>
          <cell r="HZ10" t="str">
            <v/>
          </cell>
          <cell r="IA10" t="str">
            <v>Climb</v>
          </cell>
          <cell r="IB10" t="str">
            <v>PH</v>
          </cell>
          <cell r="IE10" t="str">
            <v>STR</v>
          </cell>
          <cell r="IF10" t="b">
            <v>1</v>
          </cell>
        </row>
        <row r="11">
          <cell r="A11" t="str">
            <v>Control Shape</v>
          </cell>
          <cell r="F11">
            <v>0</v>
          </cell>
          <cell r="HE11">
            <v>4</v>
          </cell>
          <cell r="HF11">
            <v>0</v>
          </cell>
          <cell r="HG11">
            <v>-1</v>
          </cell>
          <cell r="HH11">
            <v>0</v>
          </cell>
          <cell r="HI11">
            <v>-1</v>
          </cell>
          <cell r="HJ11" t="str">
            <v/>
          </cell>
          <cell r="HK11" t="str">
            <v/>
          </cell>
          <cell r="HL11" t="str">
            <v>WIS</v>
          </cell>
          <cell r="HN11" t="str">
            <v>£</v>
          </cell>
          <cell r="HO11" t="str">
            <v>Craft skills…¹</v>
          </cell>
          <cell r="HP11" t="str">
            <v>INT</v>
          </cell>
          <cell r="HQ11">
            <v>-1</v>
          </cell>
          <cell r="HR11">
            <v>-1</v>
          </cell>
          <cell r="HS11">
            <v>0</v>
          </cell>
          <cell r="HT11">
            <v>0</v>
          </cell>
          <cell r="HZ11" t="str">
            <v/>
          </cell>
          <cell r="IA11" t="str">
            <v>Control Shape</v>
          </cell>
          <cell r="IB11" t="str">
            <v>MM</v>
          </cell>
          <cell r="IC11">
            <v>303</v>
          </cell>
          <cell r="IE11" t="str">
            <v>WIS</v>
          </cell>
          <cell r="IF11" t="b">
            <v>0</v>
          </cell>
        </row>
        <row r="12">
          <cell r="A12" t="str">
            <v>Concentration¹</v>
          </cell>
          <cell r="F12">
            <v>0</v>
          </cell>
          <cell r="HE12">
            <v>5</v>
          </cell>
          <cell r="HF12">
            <v>0</v>
          </cell>
          <cell r="HG12">
            <v>0</v>
          </cell>
          <cell r="HH12">
            <v>0</v>
          </cell>
          <cell r="HI12">
            <v>0</v>
          </cell>
          <cell r="HJ12" t="str">
            <v>£</v>
          </cell>
          <cell r="HK12" t="str">
            <v>Concentration¹</v>
          </cell>
          <cell r="HL12" t="str">
            <v>CON</v>
          </cell>
          <cell r="HN12" t="str">
            <v>S</v>
          </cell>
          <cell r="HO12" t="str">
            <v>Diplomacy¹</v>
          </cell>
          <cell r="HP12" t="str">
            <v>CHA</v>
          </cell>
          <cell r="HQ12">
            <v>-2</v>
          </cell>
          <cell r="HR12">
            <v>-2</v>
          </cell>
          <cell r="HS12">
            <v>0</v>
          </cell>
          <cell r="HT12">
            <v>0</v>
          </cell>
          <cell r="HZ12" t="str">
            <v/>
          </cell>
          <cell r="IA12" t="str">
            <v>Concentration</v>
          </cell>
          <cell r="IB12" t="str">
            <v>PH</v>
          </cell>
          <cell r="ID12" t="str">
            <v>XPH</v>
          </cell>
          <cell r="IE12" t="str">
            <v>CON</v>
          </cell>
          <cell r="IF12" t="b">
            <v>1</v>
          </cell>
        </row>
        <row r="13">
          <cell r="A13" t="str">
            <v>Craft skills…¹</v>
          </cell>
          <cell r="HE13">
            <v>6</v>
          </cell>
          <cell r="HF13">
            <v>0</v>
          </cell>
          <cell r="HG13">
            <v>-1</v>
          </cell>
          <cell r="HH13">
            <v>0</v>
          </cell>
          <cell r="HI13">
            <v>-1</v>
          </cell>
          <cell r="HJ13" t="str">
            <v>£</v>
          </cell>
          <cell r="HK13" t="str">
            <v>Craft skills…¹</v>
          </cell>
          <cell r="HL13" t="str">
            <v>INT</v>
          </cell>
          <cell r="HM13">
            <v>0</v>
          </cell>
          <cell r="HN13" t="str">
            <v>S</v>
          </cell>
          <cell r="HO13" t="str">
            <v>Disguise¹</v>
          </cell>
          <cell r="HP13" t="str">
            <v>CHA</v>
          </cell>
          <cell r="HQ13">
            <v>-2</v>
          </cell>
          <cell r="HR13">
            <v>-2</v>
          </cell>
          <cell r="HS13">
            <v>0</v>
          </cell>
          <cell r="HT13">
            <v>0</v>
          </cell>
          <cell r="HZ13" t="str">
            <v/>
          </cell>
          <cell r="IA13" t="str">
            <v>Craft skills …</v>
          </cell>
          <cell r="IF13" t="b">
            <v>0</v>
          </cell>
        </row>
        <row r="14">
          <cell r="F14">
            <v>0</v>
          </cell>
          <cell r="HE14">
            <v>6</v>
          </cell>
          <cell r="HF14">
            <v>0</v>
          </cell>
          <cell r="HG14">
            <v>-1</v>
          </cell>
          <cell r="HH14">
            <v>0</v>
          </cell>
          <cell r="HI14">
            <v>-1</v>
          </cell>
          <cell r="HJ14" t="str">
            <v/>
          </cell>
          <cell r="HK14" t="str">
            <v/>
          </cell>
          <cell r="HL14" t="str">
            <v>INT</v>
          </cell>
          <cell r="HN14" t="str">
            <v>S</v>
          </cell>
          <cell r="HO14" t="str">
            <v>Escape Artist¹</v>
          </cell>
          <cell r="HP14" t="str">
            <v>DEX*</v>
          </cell>
          <cell r="HQ14">
            <v>-1</v>
          </cell>
          <cell r="HR14">
            <v>-1</v>
          </cell>
          <cell r="HS14">
            <v>0</v>
          </cell>
          <cell r="HT14">
            <v>0</v>
          </cell>
          <cell r="HZ14" t="str">
            <v/>
          </cell>
          <cell r="IA14" t="str">
            <v>Craft ()</v>
          </cell>
          <cell r="IB14" t="str">
            <v>PH</v>
          </cell>
          <cell r="IE14" t="str">
            <v>INT</v>
          </cell>
          <cell r="IF14" t="b">
            <v>0</v>
          </cell>
        </row>
        <row r="15">
          <cell r="F15">
            <v>0</v>
          </cell>
          <cell r="HE15">
            <v>6</v>
          </cell>
          <cell r="HF15">
            <v>0</v>
          </cell>
          <cell r="HG15">
            <v>-1</v>
          </cell>
          <cell r="HH15">
            <v>0</v>
          </cell>
          <cell r="HI15">
            <v>-1</v>
          </cell>
          <cell r="HJ15" t="str">
            <v/>
          </cell>
          <cell r="HK15" t="str">
            <v/>
          </cell>
          <cell r="HL15" t="str">
            <v>INT</v>
          </cell>
          <cell r="HN15" t="str">
            <v>S</v>
          </cell>
          <cell r="HO15" t="str">
            <v>Forgery¹</v>
          </cell>
          <cell r="HP15" t="str">
            <v>INT</v>
          </cell>
          <cell r="HQ15">
            <v>-1</v>
          </cell>
          <cell r="HR15">
            <v>-1</v>
          </cell>
          <cell r="HS15">
            <v>0</v>
          </cell>
          <cell r="HT15">
            <v>0</v>
          </cell>
          <cell r="HZ15" t="str">
            <v/>
          </cell>
          <cell r="IA15" t="str">
            <v>Craft ()</v>
          </cell>
          <cell r="IB15" t="str">
            <v>PH</v>
          </cell>
          <cell r="IE15" t="str">
            <v>INT</v>
          </cell>
          <cell r="IF15" t="b">
            <v>0</v>
          </cell>
        </row>
        <row r="16">
          <cell r="F16">
            <v>0</v>
          </cell>
          <cell r="HE16">
            <v>6</v>
          </cell>
          <cell r="HF16">
            <v>0</v>
          </cell>
          <cell r="HG16">
            <v>-1</v>
          </cell>
          <cell r="HH16">
            <v>0</v>
          </cell>
          <cell r="HI16">
            <v>-1</v>
          </cell>
          <cell r="HJ16" t="str">
            <v/>
          </cell>
          <cell r="HK16" t="str">
            <v/>
          </cell>
          <cell r="HL16" t="str">
            <v>INT</v>
          </cell>
          <cell r="HN16" t="str">
            <v>S</v>
          </cell>
          <cell r="HO16" t="str">
            <v>Gather Information¹</v>
          </cell>
          <cell r="HP16" t="str">
            <v>CHA</v>
          </cell>
          <cell r="HQ16">
            <v>-2</v>
          </cell>
          <cell r="HR16">
            <v>-2</v>
          </cell>
          <cell r="HS16">
            <v>0</v>
          </cell>
          <cell r="HT16">
            <v>0</v>
          </cell>
          <cell r="HZ16" t="str">
            <v/>
          </cell>
          <cell r="IA16" t="str">
            <v>Craft ()</v>
          </cell>
          <cell r="IB16" t="str">
            <v>PH</v>
          </cell>
          <cell r="IE16" t="str">
            <v>INT</v>
          </cell>
          <cell r="IF16" t="b">
            <v>0</v>
          </cell>
        </row>
        <row r="17">
          <cell r="F17">
            <v>0</v>
          </cell>
          <cell r="HE17">
            <v>6</v>
          </cell>
          <cell r="HF17">
            <v>0</v>
          </cell>
          <cell r="HG17">
            <v>-1</v>
          </cell>
          <cell r="HH17">
            <v>0</v>
          </cell>
          <cell r="HI17">
            <v>-1</v>
          </cell>
          <cell r="HJ17" t="str">
            <v/>
          </cell>
          <cell r="HK17" t="str">
            <v/>
          </cell>
          <cell r="HL17" t="str">
            <v>INT</v>
          </cell>
          <cell r="HN17" t="str">
            <v>S</v>
          </cell>
          <cell r="HO17" t="str">
            <v>Heal¹</v>
          </cell>
          <cell r="HP17" t="str">
            <v>WIS</v>
          </cell>
          <cell r="HQ17">
            <v>-1</v>
          </cell>
          <cell r="HR17">
            <v>-1</v>
          </cell>
          <cell r="HS17">
            <v>0</v>
          </cell>
          <cell r="HT17">
            <v>0</v>
          </cell>
          <cell r="HZ17" t="str">
            <v/>
          </cell>
          <cell r="IA17" t="str">
            <v>Craft ()</v>
          </cell>
          <cell r="IB17" t="str">
            <v>PH</v>
          </cell>
          <cell r="IE17" t="str">
            <v>INT</v>
          </cell>
          <cell r="IF17" t="b">
            <v>0</v>
          </cell>
        </row>
        <row r="18">
          <cell r="F18">
            <v>0</v>
          </cell>
          <cell r="HE18">
            <v>6</v>
          </cell>
          <cell r="HF18">
            <v>0</v>
          </cell>
          <cell r="HG18">
            <v>-1</v>
          </cell>
          <cell r="HH18">
            <v>0</v>
          </cell>
          <cell r="HI18">
            <v>-1</v>
          </cell>
          <cell r="HJ18" t="str">
            <v/>
          </cell>
          <cell r="HK18" t="str">
            <v/>
          </cell>
          <cell r="HL18" t="str">
            <v>INT</v>
          </cell>
          <cell r="HN18" t="str">
            <v>S</v>
          </cell>
          <cell r="HO18" t="str">
            <v>Hide¹</v>
          </cell>
          <cell r="HP18" t="str">
            <v>DEX*</v>
          </cell>
          <cell r="HQ18">
            <v>-1</v>
          </cell>
          <cell r="HR18">
            <v>-1</v>
          </cell>
          <cell r="HS18">
            <v>0</v>
          </cell>
          <cell r="HT18">
            <v>0</v>
          </cell>
          <cell r="HZ18" t="str">
            <v/>
          </cell>
          <cell r="IA18" t="str">
            <v>Craft ()</v>
          </cell>
          <cell r="IB18" t="str">
            <v>PH</v>
          </cell>
          <cell r="IE18" t="str">
            <v>INT</v>
          </cell>
          <cell r="IF18" t="b">
            <v>0</v>
          </cell>
        </row>
        <row r="19">
          <cell r="F19">
            <v>0</v>
          </cell>
          <cell r="HE19">
            <v>6</v>
          </cell>
          <cell r="HF19">
            <v>0</v>
          </cell>
          <cell r="HG19">
            <v>-1</v>
          </cell>
          <cell r="HH19">
            <v>0</v>
          </cell>
          <cell r="HI19">
            <v>-1</v>
          </cell>
          <cell r="HJ19" t="str">
            <v/>
          </cell>
          <cell r="HK19" t="str">
            <v/>
          </cell>
          <cell r="HL19" t="str">
            <v>INT</v>
          </cell>
          <cell r="HN19" t="str">
            <v>S</v>
          </cell>
          <cell r="HO19" t="str">
            <v>Intimidate¹</v>
          </cell>
          <cell r="HP19" t="str">
            <v>CHA</v>
          </cell>
          <cell r="HQ19">
            <v>-2</v>
          </cell>
          <cell r="HR19">
            <v>-2</v>
          </cell>
          <cell r="HS19">
            <v>0</v>
          </cell>
          <cell r="HT19">
            <v>0</v>
          </cell>
          <cell r="HZ19" t="str">
            <v/>
          </cell>
          <cell r="IA19" t="str">
            <v>Craft ()</v>
          </cell>
          <cell r="IB19" t="str">
            <v>PH</v>
          </cell>
          <cell r="IE19" t="str">
            <v>INT</v>
          </cell>
          <cell r="IF19" t="b">
            <v>0</v>
          </cell>
        </row>
        <row r="20">
          <cell r="A20" t="str">
            <v>Decipher Script</v>
          </cell>
          <cell r="F20">
            <v>0</v>
          </cell>
          <cell r="HE20">
            <v>6</v>
          </cell>
          <cell r="HF20">
            <v>0</v>
          </cell>
          <cell r="HG20">
            <v>-1</v>
          </cell>
          <cell r="HH20">
            <v>0</v>
          </cell>
          <cell r="HI20">
            <v>-1</v>
          </cell>
          <cell r="HJ20" t="str">
            <v>£</v>
          </cell>
          <cell r="HK20" t="str">
            <v>Decipher Script</v>
          </cell>
          <cell r="HL20" t="str">
            <v>INT</v>
          </cell>
          <cell r="HN20" t="str">
            <v>S</v>
          </cell>
          <cell r="HO20" t="str">
            <v>Jump¹</v>
          </cell>
          <cell r="HP20" t="str">
            <v>STR*</v>
          </cell>
          <cell r="HQ20">
            <v>-7</v>
          </cell>
          <cell r="HR20">
            <v>-1</v>
          </cell>
          <cell r="HS20">
            <v>0</v>
          </cell>
          <cell r="HT20">
            <v>-6</v>
          </cell>
          <cell r="HZ20" t="str">
            <v/>
          </cell>
          <cell r="IA20" t="str">
            <v>Decipher Script</v>
          </cell>
          <cell r="IB20" t="str">
            <v>PH</v>
          </cell>
          <cell r="IE20" t="str">
            <v>INT</v>
          </cell>
          <cell r="IF20" t="b">
            <v>1</v>
          </cell>
        </row>
        <row r="21">
          <cell r="A21" t="str">
            <v>Diplomacy¹</v>
          </cell>
          <cell r="F21">
            <v>0</v>
          </cell>
          <cell r="HE21">
            <v>7</v>
          </cell>
          <cell r="HF21">
            <v>0</v>
          </cell>
          <cell r="HG21">
            <v>-2</v>
          </cell>
          <cell r="HH21">
            <v>0</v>
          </cell>
          <cell r="HI21">
            <v>-2</v>
          </cell>
          <cell r="HJ21" t="str">
            <v>S</v>
          </cell>
          <cell r="HK21" t="str">
            <v>Diplomacy¹</v>
          </cell>
          <cell r="HL21" t="str">
            <v>CHA</v>
          </cell>
          <cell r="HN21" t="str">
            <v>S</v>
          </cell>
          <cell r="HO21" t="str">
            <v>Listen¹</v>
          </cell>
          <cell r="HP21" t="str">
            <v>WIS</v>
          </cell>
          <cell r="HQ21">
            <v>1</v>
          </cell>
          <cell r="HR21">
            <v>-1</v>
          </cell>
          <cell r="HS21">
            <v>0</v>
          </cell>
          <cell r="HT21">
            <v>2</v>
          </cell>
          <cell r="HZ21" t="str">
            <v/>
          </cell>
          <cell r="IA21" t="str">
            <v>Diplomacy</v>
          </cell>
          <cell r="IB21" t="str">
            <v>PH</v>
          </cell>
          <cell r="IE21" t="str">
            <v>CHA</v>
          </cell>
          <cell r="IF21" t="b">
            <v>1</v>
          </cell>
        </row>
        <row r="22">
          <cell r="A22" t="str">
            <v>Disable Device</v>
          </cell>
          <cell r="F22">
            <v>0</v>
          </cell>
          <cell r="HE22">
            <v>7</v>
          </cell>
          <cell r="HF22">
            <v>0</v>
          </cell>
          <cell r="HG22">
            <v>-1</v>
          </cell>
          <cell r="HH22">
            <v>0</v>
          </cell>
          <cell r="HI22">
            <v>-1</v>
          </cell>
          <cell r="HJ22" t="str">
            <v>S</v>
          </cell>
          <cell r="HK22" t="str">
            <v>Disable Device</v>
          </cell>
          <cell r="HL22" t="str">
            <v>INT</v>
          </cell>
          <cell r="HN22" t="str">
            <v>S</v>
          </cell>
          <cell r="HO22" t="str">
            <v>Move Silently¹</v>
          </cell>
          <cell r="HP22" t="str">
            <v>DEX*</v>
          </cell>
          <cell r="HQ22">
            <v>-1</v>
          </cell>
          <cell r="HR22">
            <v>-1</v>
          </cell>
          <cell r="HS22">
            <v>0</v>
          </cell>
          <cell r="HT22">
            <v>0</v>
          </cell>
          <cell r="HZ22" t="str">
            <v/>
          </cell>
          <cell r="IA22" t="str">
            <v>Disable Device</v>
          </cell>
          <cell r="IB22" t="str">
            <v>PH</v>
          </cell>
          <cell r="IE22" t="str">
            <v>INT</v>
          </cell>
          <cell r="IF22" t="b">
            <v>1</v>
          </cell>
        </row>
        <row r="23">
          <cell r="A23" t="str">
            <v>Disguise¹</v>
          </cell>
          <cell r="F23">
            <v>0</v>
          </cell>
          <cell r="HE23">
            <v>8</v>
          </cell>
          <cell r="HF23">
            <v>0</v>
          </cell>
          <cell r="HG23">
            <v>-2</v>
          </cell>
          <cell r="HH23">
            <v>0</v>
          </cell>
          <cell r="HI23">
            <v>-2</v>
          </cell>
          <cell r="HJ23" t="str">
            <v>S</v>
          </cell>
          <cell r="HK23" t="str">
            <v>Disguise¹</v>
          </cell>
          <cell r="HL23" t="str">
            <v>CHA</v>
          </cell>
          <cell r="HN23" t="str">
            <v>S</v>
          </cell>
          <cell r="HO23" t="str">
            <v>Perform skills ...¹</v>
          </cell>
          <cell r="HP23" t="str">
            <v>CHA</v>
          </cell>
          <cell r="HQ23">
            <v>-2</v>
          </cell>
          <cell r="HR23">
            <v>-2</v>
          </cell>
          <cell r="HS23">
            <v>0</v>
          </cell>
          <cell r="HT23">
            <v>0</v>
          </cell>
          <cell r="HZ23" t="str">
            <v/>
          </cell>
          <cell r="IA23" t="str">
            <v>Disguise</v>
          </cell>
          <cell r="IB23" t="str">
            <v>PH</v>
          </cell>
          <cell r="IE23" t="str">
            <v>CHA</v>
          </cell>
          <cell r="IF23" t="b">
            <v>1</v>
          </cell>
        </row>
        <row r="24">
          <cell r="A24" t="str">
            <v>Escape Artist¹</v>
          </cell>
          <cell r="F24">
            <v>0</v>
          </cell>
          <cell r="HE24">
            <v>9</v>
          </cell>
          <cell r="HF24">
            <v>0</v>
          </cell>
          <cell r="HG24">
            <v>-1</v>
          </cell>
          <cell r="HH24">
            <v>0</v>
          </cell>
          <cell r="HI24">
            <v>-1</v>
          </cell>
          <cell r="HJ24" t="str">
            <v>S</v>
          </cell>
          <cell r="HK24" t="str">
            <v>Escape Artist¹</v>
          </cell>
          <cell r="HL24" t="str">
            <v>DEX*</v>
          </cell>
          <cell r="HN24" t="str">
            <v>S</v>
          </cell>
          <cell r="HO24" t="str">
            <v>Ride¹</v>
          </cell>
          <cell r="HP24" t="str">
            <v>DEX</v>
          </cell>
          <cell r="HQ24">
            <v>-1</v>
          </cell>
          <cell r="HR24">
            <v>-1</v>
          </cell>
          <cell r="HS24">
            <v>0</v>
          </cell>
          <cell r="HT24">
            <v>0</v>
          </cell>
          <cell r="HZ24" t="str">
            <v/>
          </cell>
          <cell r="IA24" t="str">
            <v>Escape Artist</v>
          </cell>
          <cell r="IB24" t="str">
            <v>PH</v>
          </cell>
          <cell r="IE24" t="str">
            <v>DEX</v>
          </cell>
          <cell r="IF24" t="b">
            <v>1</v>
          </cell>
        </row>
        <row r="25">
          <cell r="A25" t="str">
            <v>Forgery¹</v>
          </cell>
          <cell r="F25">
            <v>0</v>
          </cell>
          <cell r="HE25">
            <v>10</v>
          </cell>
          <cell r="HF25">
            <v>0</v>
          </cell>
          <cell r="HG25">
            <v>-1</v>
          </cell>
          <cell r="HH25">
            <v>0</v>
          </cell>
          <cell r="HI25">
            <v>-1</v>
          </cell>
          <cell r="HJ25" t="str">
            <v>S</v>
          </cell>
          <cell r="HK25" t="str">
            <v>Forgery¹</v>
          </cell>
          <cell r="HL25" t="str">
            <v>INT</v>
          </cell>
          <cell r="HN25" t="str">
            <v>S</v>
          </cell>
          <cell r="HO25" t="str">
            <v>Search¹</v>
          </cell>
          <cell r="HP25" t="str">
            <v>INT</v>
          </cell>
          <cell r="HQ25">
            <v>-1</v>
          </cell>
          <cell r="HR25">
            <v>-1</v>
          </cell>
          <cell r="HS25">
            <v>0</v>
          </cell>
          <cell r="HT25">
            <v>0</v>
          </cell>
          <cell r="HZ25" t="str">
            <v/>
          </cell>
          <cell r="IA25" t="str">
            <v>Forgery</v>
          </cell>
          <cell r="IB25" t="str">
            <v>PH</v>
          </cell>
          <cell r="IE25" t="str">
            <v>INT</v>
          </cell>
          <cell r="IF25" t="b">
            <v>1</v>
          </cell>
        </row>
        <row r="26">
          <cell r="A26" t="str">
            <v>Gather Information¹</v>
          </cell>
          <cell r="F26">
            <v>0</v>
          </cell>
          <cell r="HE26">
            <v>11</v>
          </cell>
          <cell r="HF26">
            <v>0</v>
          </cell>
          <cell r="HG26">
            <v>-2</v>
          </cell>
          <cell r="HH26">
            <v>0</v>
          </cell>
          <cell r="HI26">
            <v>-2</v>
          </cell>
          <cell r="HJ26" t="str">
            <v>S</v>
          </cell>
          <cell r="HK26" t="str">
            <v>Gather Information¹</v>
          </cell>
          <cell r="HL26" t="str">
            <v>CHA</v>
          </cell>
          <cell r="HN26" t="str">
            <v>S</v>
          </cell>
          <cell r="HO26" t="str">
            <v>Sense Motive¹</v>
          </cell>
          <cell r="HP26" t="str">
            <v>WIS</v>
          </cell>
          <cell r="HQ26">
            <v>-1</v>
          </cell>
          <cell r="HR26">
            <v>-1</v>
          </cell>
          <cell r="HS26">
            <v>0</v>
          </cell>
          <cell r="HT26">
            <v>0</v>
          </cell>
          <cell r="HZ26" t="str">
            <v/>
          </cell>
          <cell r="IA26" t="str">
            <v>Gather Information</v>
          </cell>
          <cell r="IB26" t="str">
            <v>PH</v>
          </cell>
          <cell r="IE26" t="str">
            <v>CHA</v>
          </cell>
          <cell r="IF26" t="b">
            <v>1</v>
          </cell>
        </row>
        <row r="27">
          <cell r="A27" t="str">
            <v>Handle Animal</v>
          </cell>
          <cell r="F27">
            <v>0</v>
          </cell>
          <cell r="HE27">
            <v>11</v>
          </cell>
          <cell r="HF27">
            <v>0</v>
          </cell>
          <cell r="HG27">
            <v>-2</v>
          </cell>
          <cell r="HH27">
            <v>0</v>
          </cell>
          <cell r="HI27">
            <v>-2</v>
          </cell>
          <cell r="HJ27" t="str">
            <v>S</v>
          </cell>
          <cell r="HK27" t="str">
            <v>Handle Animal</v>
          </cell>
          <cell r="HL27" t="str">
            <v>CHA</v>
          </cell>
          <cell r="HN27" t="str">
            <v>S</v>
          </cell>
          <cell r="HO27" t="str">
            <v>Spot¹</v>
          </cell>
          <cell r="HP27" t="str">
            <v>WIS</v>
          </cell>
          <cell r="HQ27">
            <v>1</v>
          </cell>
          <cell r="HR27">
            <v>-1</v>
          </cell>
          <cell r="HS27">
            <v>0</v>
          </cell>
          <cell r="HT27">
            <v>2</v>
          </cell>
          <cell r="HZ27" t="str">
            <v/>
          </cell>
          <cell r="IA27" t="str">
            <v>Handle Animal</v>
          </cell>
          <cell r="IB27" t="str">
            <v>PH</v>
          </cell>
          <cell r="IE27" t="str">
            <v>CHA</v>
          </cell>
          <cell r="IF27" t="b">
            <v>1</v>
          </cell>
        </row>
        <row r="28">
          <cell r="A28" t="str">
            <v>Heal¹</v>
          </cell>
          <cell r="F28">
            <v>0</v>
          </cell>
          <cell r="HE28">
            <v>12</v>
          </cell>
          <cell r="HF28">
            <v>0</v>
          </cell>
          <cell r="HG28">
            <v>-1</v>
          </cell>
          <cell r="HH28">
            <v>0</v>
          </cell>
          <cell r="HI28">
            <v>-1</v>
          </cell>
          <cell r="HJ28" t="str">
            <v>S</v>
          </cell>
          <cell r="HK28" t="str">
            <v>Heal¹</v>
          </cell>
          <cell r="HL28" t="str">
            <v>WIS</v>
          </cell>
          <cell r="HN28" t="str">
            <v>S</v>
          </cell>
          <cell r="HO28" t="str">
            <v>Survival¹</v>
          </cell>
          <cell r="HP28" t="str">
            <v>WIS</v>
          </cell>
          <cell r="HQ28">
            <v>-1</v>
          </cell>
          <cell r="HR28">
            <v>-1</v>
          </cell>
          <cell r="HS28">
            <v>0</v>
          </cell>
          <cell r="HT28">
            <v>0</v>
          </cell>
          <cell r="HZ28" t="str">
            <v/>
          </cell>
          <cell r="IA28" t="str">
            <v>Heal</v>
          </cell>
          <cell r="IB28" t="str">
            <v>PH</v>
          </cell>
          <cell r="IE28" t="str">
            <v>WIS</v>
          </cell>
          <cell r="IF28" t="b">
            <v>1</v>
          </cell>
        </row>
        <row r="29">
          <cell r="A29" t="str">
            <v>Hide¹</v>
          </cell>
          <cell r="F29">
            <v>0</v>
          </cell>
          <cell r="HE29">
            <v>13</v>
          </cell>
          <cell r="HF29">
            <v>0</v>
          </cell>
          <cell r="HG29">
            <v>-1</v>
          </cell>
          <cell r="HH29">
            <v>0</v>
          </cell>
          <cell r="HI29">
            <v>-1</v>
          </cell>
          <cell r="HJ29" t="str">
            <v>S</v>
          </cell>
          <cell r="HK29" t="str">
            <v>Hide¹</v>
          </cell>
          <cell r="HL29" t="str">
            <v>DEX*</v>
          </cell>
          <cell r="HN29" t="str">
            <v>S</v>
          </cell>
          <cell r="HO29" t="str">
            <v>Swim¹</v>
          </cell>
          <cell r="HP29" t="str">
            <v>STR**</v>
          </cell>
          <cell r="HQ29">
            <v>-1</v>
          </cell>
          <cell r="HR29">
            <v>-1</v>
          </cell>
          <cell r="HS29">
            <v>0</v>
          </cell>
          <cell r="HT29">
            <v>0</v>
          </cell>
          <cell r="HZ29" t="str">
            <v/>
          </cell>
          <cell r="IA29" t="str">
            <v>Hide</v>
          </cell>
          <cell r="IB29" t="str">
            <v>PH</v>
          </cell>
          <cell r="IE29" t="str">
            <v>DEX</v>
          </cell>
          <cell r="IF29" t="b">
            <v>1</v>
          </cell>
        </row>
        <row r="30">
          <cell r="A30" t="str">
            <v>Hypnosis</v>
          </cell>
          <cell r="F30">
            <v>0</v>
          </cell>
          <cell r="HE30">
            <v>13</v>
          </cell>
          <cell r="HF30">
            <v>0</v>
          </cell>
          <cell r="HG30">
            <v>-2</v>
          </cell>
          <cell r="HH30">
            <v>0</v>
          </cell>
          <cell r="HI30">
            <v>-2</v>
          </cell>
          <cell r="HJ30" t="str">
            <v/>
          </cell>
          <cell r="HK30" t="str">
            <v/>
          </cell>
          <cell r="HL30" t="str">
            <v>CHA</v>
          </cell>
          <cell r="HN30" t="str">
            <v>S</v>
          </cell>
          <cell r="HO30" t="str">
            <v>Use Rope¹</v>
          </cell>
          <cell r="HP30" t="str">
            <v>DEX</v>
          </cell>
          <cell r="HQ30">
            <v>-1</v>
          </cell>
          <cell r="HR30">
            <v>-1</v>
          </cell>
          <cell r="HS30">
            <v>0</v>
          </cell>
          <cell r="HT30">
            <v>0</v>
          </cell>
          <cell r="HZ30" t="str">
            <v/>
          </cell>
          <cell r="IA30" t="str">
            <v>Hypnosis</v>
          </cell>
          <cell r="IB30" t="str">
            <v>RVL</v>
          </cell>
          <cell r="IE30" t="str">
            <v>CHA</v>
          </cell>
          <cell r="IF30" t="b">
            <v>0</v>
          </cell>
        </row>
        <row r="31">
          <cell r="A31" t="str">
            <v>Iaijutsu Focus</v>
          </cell>
          <cell r="F31">
            <v>0</v>
          </cell>
          <cell r="HE31">
            <v>13</v>
          </cell>
          <cell r="HF31">
            <v>0</v>
          </cell>
          <cell r="HG31">
            <v>-2</v>
          </cell>
          <cell r="HH31">
            <v>0</v>
          </cell>
          <cell r="HI31">
            <v>-2</v>
          </cell>
          <cell r="HJ31" t="str">
            <v/>
          </cell>
          <cell r="HK31" t="str">
            <v/>
          </cell>
          <cell r="HL31" t="str">
            <v>CHA</v>
          </cell>
          <cell r="HN31" t="str">
            <v/>
          </cell>
          <cell r="HO31" t="str">
            <v/>
          </cell>
          <cell r="HP31" t="str">
            <v/>
          </cell>
          <cell r="HQ31" t="str">
            <v/>
          </cell>
          <cell r="HR31" t="str">
            <v/>
          </cell>
          <cell r="HS31" t="str">
            <v/>
          </cell>
          <cell r="HT31" t="str">
            <v/>
          </cell>
          <cell r="HZ31" t="str">
            <v/>
          </cell>
          <cell r="IA31" t="str">
            <v>Iaijutsu Focus</v>
          </cell>
          <cell r="IB31" t="str">
            <v>OA</v>
          </cell>
          <cell r="IC31">
            <v>58</v>
          </cell>
          <cell r="IE31" t="str">
            <v>CHA</v>
          </cell>
          <cell r="IF31" t="b">
            <v>0</v>
          </cell>
        </row>
        <row r="32">
          <cell r="A32" t="str">
            <v>Intimidate¹</v>
          </cell>
          <cell r="F32">
            <v>0</v>
          </cell>
          <cell r="HE32">
            <v>14</v>
          </cell>
          <cell r="HF32">
            <v>0</v>
          </cell>
          <cell r="HG32">
            <v>-2</v>
          </cell>
          <cell r="HH32">
            <v>0</v>
          </cell>
          <cell r="HI32">
            <v>-2</v>
          </cell>
          <cell r="HJ32" t="str">
            <v>S</v>
          </cell>
          <cell r="HK32" t="str">
            <v>Intimidate¹</v>
          </cell>
          <cell r="HL32" t="str">
            <v>CHA</v>
          </cell>
          <cell r="HN32" t="str">
            <v/>
          </cell>
          <cell r="HO32" t="str">
            <v/>
          </cell>
          <cell r="HP32" t="str">
            <v/>
          </cell>
          <cell r="HQ32" t="str">
            <v/>
          </cell>
          <cell r="HR32" t="str">
            <v/>
          </cell>
          <cell r="HS32" t="str">
            <v/>
          </cell>
          <cell r="HT32" t="str">
            <v/>
          </cell>
          <cell r="HZ32" t="str">
            <v/>
          </cell>
          <cell r="IA32" t="str">
            <v>Intimidate</v>
          </cell>
          <cell r="IB32" t="str">
            <v>PH</v>
          </cell>
          <cell r="IE32" t="str">
            <v>CHA</v>
          </cell>
          <cell r="IF32" t="b">
            <v>1</v>
          </cell>
        </row>
        <row r="33">
          <cell r="A33" t="str">
            <v>Jump¹</v>
          </cell>
          <cell r="F33">
            <v>0</v>
          </cell>
          <cell r="HE33">
            <v>15</v>
          </cell>
          <cell r="HF33">
            <v>-6</v>
          </cell>
          <cell r="HG33">
            <v>-1</v>
          </cell>
          <cell r="HH33">
            <v>0</v>
          </cell>
          <cell r="HI33">
            <v>-7</v>
          </cell>
          <cell r="HJ33" t="str">
            <v>S</v>
          </cell>
          <cell r="HK33" t="str">
            <v>Jump¹</v>
          </cell>
          <cell r="HL33" t="str">
            <v>STR*</v>
          </cell>
          <cell r="HN33" t="str">
            <v/>
          </cell>
          <cell r="HO33" t="str">
            <v/>
          </cell>
          <cell r="HP33" t="str">
            <v/>
          </cell>
          <cell r="HQ33" t="str">
            <v/>
          </cell>
          <cell r="HR33" t="str">
            <v/>
          </cell>
          <cell r="HS33" t="str">
            <v/>
          </cell>
          <cell r="HT33" t="str">
            <v/>
          </cell>
          <cell r="HZ33" t="str">
            <v/>
          </cell>
          <cell r="IA33" t="str">
            <v>Jump</v>
          </cell>
          <cell r="IB33" t="str">
            <v>PH</v>
          </cell>
          <cell r="IE33" t="str">
            <v>STR</v>
          </cell>
          <cell r="IF33" t="b">
            <v>1</v>
          </cell>
          <cell r="IJ33" t="str">
            <v>Knowledge (arcana)</v>
          </cell>
        </row>
        <row r="34">
          <cell r="A34" t="str">
            <v>Knowledge (arcana)</v>
          </cell>
          <cell r="F34">
            <v>0</v>
          </cell>
          <cell r="HE34">
            <v>15</v>
          </cell>
          <cell r="HF34">
            <v>0</v>
          </cell>
          <cell r="HG34">
            <v>-1</v>
          </cell>
          <cell r="HH34">
            <v>0</v>
          </cell>
          <cell r="HI34">
            <v>-1</v>
          </cell>
          <cell r="HJ34" t="str">
            <v>£</v>
          </cell>
          <cell r="HK34" t="str">
            <v>Knowledge (arcana)</v>
          </cell>
          <cell r="HL34" t="str">
            <v>INT</v>
          </cell>
          <cell r="HN34" t="str">
            <v/>
          </cell>
          <cell r="HO34" t="str">
            <v/>
          </cell>
          <cell r="HP34" t="str">
            <v/>
          </cell>
          <cell r="HQ34" t="str">
            <v/>
          </cell>
          <cell r="HR34" t="str">
            <v/>
          </cell>
          <cell r="HS34" t="str">
            <v/>
          </cell>
          <cell r="HT34" t="str">
            <v/>
          </cell>
          <cell r="HZ34" t="str">
            <v/>
          </cell>
          <cell r="IA34" t="str">
            <v>Knowledge (arcana)</v>
          </cell>
          <cell r="IB34" t="str">
            <v>PH</v>
          </cell>
          <cell r="IE34" t="str">
            <v>INT</v>
          </cell>
          <cell r="IF34" t="b">
            <v>1</v>
          </cell>
          <cell r="IJ34" t="str">
            <v>Knowledge (arch &amp; eng)</v>
          </cell>
        </row>
        <row r="35">
          <cell r="A35" t="str">
            <v>Knowledge (arch &amp; eng)</v>
          </cell>
          <cell r="F35">
            <v>0</v>
          </cell>
          <cell r="HE35">
            <v>15</v>
          </cell>
          <cell r="HF35">
            <v>0</v>
          </cell>
          <cell r="HG35">
            <v>-1</v>
          </cell>
          <cell r="HH35">
            <v>0</v>
          </cell>
          <cell r="HI35">
            <v>-1</v>
          </cell>
          <cell r="HJ35" t="str">
            <v>£</v>
          </cell>
          <cell r="HK35" t="str">
            <v>Knowledge (arch &amp; eng)</v>
          </cell>
          <cell r="HL35" t="str">
            <v>INT</v>
          </cell>
          <cell r="HN35" t="str">
            <v/>
          </cell>
          <cell r="HO35" t="str">
            <v/>
          </cell>
          <cell r="HP35" t="str">
            <v/>
          </cell>
          <cell r="HQ35" t="str">
            <v/>
          </cell>
          <cell r="HR35" t="str">
            <v/>
          </cell>
          <cell r="HS35" t="str">
            <v/>
          </cell>
          <cell r="HT35" t="str">
            <v/>
          </cell>
          <cell r="HZ35" t="str">
            <v/>
          </cell>
          <cell r="IA35" t="str">
            <v>Knowledge (arch &amp; eng)</v>
          </cell>
          <cell r="IB35" t="str">
            <v>PH</v>
          </cell>
          <cell r="IE35" t="str">
            <v>INT</v>
          </cell>
          <cell r="IF35" t="b">
            <v>1</v>
          </cell>
          <cell r="IJ35" t="str">
            <v>Knowledge (dungeoneering)</v>
          </cell>
        </row>
        <row r="36">
          <cell r="A36" t="str">
            <v>Knowledge (dungeoneering)</v>
          </cell>
          <cell r="F36">
            <v>0</v>
          </cell>
          <cell r="HE36">
            <v>15</v>
          </cell>
          <cell r="HF36">
            <v>0</v>
          </cell>
          <cell r="HG36">
            <v>-1</v>
          </cell>
          <cell r="HH36">
            <v>0</v>
          </cell>
          <cell r="HI36">
            <v>-1</v>
          </cell>
          <cell r="HJ36" t="str">
            <v>£</v>
          </cell>
          <cell r="HK36" t="str">
            <v>Knowledge (dungeoneering)</v>
          </cell>
          <cell r="HL36" t="str">
            <v>INT</v>
          </cell>
          <cell r="HN36" t="str">
            <v/>
          </cell>
          <cell r="HO36" t="str">
            <v/>
          </cell>
          <cell r="HP36" t="str">
            <v/>
          </cell>
          <cell r="HQ36" t="str">
            <v/>
          </cell>
          <cell r="HR36" t="str">
            <v/>
          </cell>
          <cell r="HS36" t="str">
            <v/>
          </cell>
          <cell r="HT36" t="str">
            <v/>
          </cell>
          <cell r="HZ36" t="str">
            <v/>
          </cell>
          <cell r="IA36" t="str">
            <v>Knowledge (dungeoneering)</v>
          </cell>
          <cell r="IB36" t="str">
            <v>PH</v>
          </cell>
          <cell r="IE36" t="str">
            <v>INT</v>
          </cell>
          <cell r="IF36" t="b">
            <v>1</v>
          </cell>
          <cell r="IJ36" t="str">
            <v>Knowledge (geography)</v>
          </cell>
        </row>
        <row r="37">
          <cell r="A37" t="str">
            <v>Knowledge (geography)</v>
          </cell>
          <cell r="F37">
            <v>0</v>
          </cell>
          <cell r="HE37">
            <v>15</v>
          </cell>
          <cell r="HF37">
            <v>0</v>
          </cell>
          <cell r="HG37">
            <v>-1</v>
          </cell>
          <cell r="HH37">
            <v>0</v>
          </cell>
          <cell r="HI37">
            <v>-1</v>
          </cell>
          <cell r="HJ37" t="str">
            <v>£</v>
          </cell>
          <cell r="HK37" t="str">
            <v>Knowledge (geography)</v>
          </cell>
          <cell r="HL37" t="str">
            <v>INT</v>
          </cell>
          <cell r="HN37" t="str">
            <v/>
          </cell>
          <cell r="HO37" t="str">
            <v/>
          </cell>
          <cell r="HP37" t="str">
            <v/>
          </cell>
          <cell r="HQ37" t="str">
            <v/>
          </cell>
          <cell r="HR37" t="str">
            <v/>
          </cell>
          <cell r="HS37" t="str">
            <v/>
          </cell>
          <cell r="HT37" t="str">
            <v/>
          </cell>
          <cell r="HZ37" t="str">
            <v/>
          </cell>
          <cell r="IA37" t="str">
            <v>Knowledge (geography)</v>
          </cell>
          <cell r="IB37" t="str">
            <v>PH</v>
          </cell>
          <cell r="IE37" t="str">
            <v>INT</v>
          </cell>
          <cell r="IF37" t="b">
            <v>1</v>
          </cell>
          <cell r="IJ37" t="str">
            <v>Knowledge (history)</v>
          </cell>
        </row>
        <row r="38">
          <cell r="A38" t="str">
            <v>Knowledge (history)</v>
          </cell>
          <cell r="F38">
            <v>0</v>
          </cell>
          <cell r="HE38">
            <v>15</v>
          </cell>
          <cell r="HF38">
            <v>0</v>
          </cell>
          <cell r="HG38">
            <v>-1</v>
          </cell>
          <cell r="HH38">
            <v>0</v>
          </cell>
          <cell r="HI38">
            <v>-1</v>
          </cell>
          <cell r="HJ38" t="str">
            <v>£</v>
          </cell>
          <cell r="HK38" t="str">
            <v>Knowledge (history)</v>
          </cell>
          <cell r="HL38" t="str">
            <v>INT</v>
          </cell>
          <cell r="HN38" t="str">
            <v/>
          </cell>
          <cell r="HO38" t="str">
            <v/>
          </cell>
          <cell r="HP38" t="str">
            <v/>
          </cell>
          <cell r="HQ38" t="str">
            <v/>
          </cell>
          <cell r="HR38" t="str">
            <v/>
          </cell>
          <cell r="HS38" t="str">
            <v/>
          </cell>
          <cell r="HT38" t="str">
            <v/>
          </cell>
          <cell r="HZ38" t="str">
            <v/>
          </cell>
          <cell r="IA38" t="str">
            <v>Knowledge (history)</v>
          </cell>
          <cell r="IB38" t="str">
            <v>PH</v>
          </cell>
          <cell r="IE38" t="str">
            <v>INT</v>
          </cell>
          <cell r="IF38" t="b">
            <v>1</v>
          </cell>
          <cell r="IJ38" t="str">
            <v>Knowledge (local)</v>
          </cell>
        </row>
        <row r="39">
          <cell r="A39" t="str">
            <v>Knowledge (local)</v>
          </cell>
          <cell r="F39">
            <v>0</v>
          </cell>
          <cell r="HE39">
            <v>15</v>
          </cell>
          <cell r="HF39">
            <v>0</v>
          </cell>
          <cell r="HG39">
            <v>-1</v>
          </cell>
          <cell r="HH39">
            <v>0</v>
          </cell>
          <cell r="HI39">
            <v>-1</v>
          </cell>
          <cell r="HJ39" t="str">
            <v>£</v>
          </cell>
          <cell r="HK39" t="str">
            <v>Knowledge (local)</v>
          </cell>
          <cell r="HL39" t="str">
            <v>INT</v>
          </cell>
          <cell r="HN39" t="str">
            <v/>
          </cell>
          <cell r="HO39" t="str">
            <v/>
          </cell>
          <cell r="HP39" t="str">
            <v/>
          </cell>
          <cell r="HQ39" t="str">
            <v/>
          </cell>
          <cell r="HR39" t="str">
            <v/>
          </cell>
          <cell r="HS39" t="str">
            <v/>
          </cell>
          <cell r="HT39" t="str">
            <v/>
          </cell>
          <cell r="HZ39" t="str">
            <v/>
          </cell>
          <cell r="IA39" t="str">
            <v>Knowledge (local)</v>
          </cell>
          <cell r="IB39" t="str">
            <v>PH</v>
          </cell>
          <cell r="IE39" t="str">
            <v>INT</v>
          </cell>
          <cell r="IF39" t="b">
            <v>1</v>
          </cell>
          <cell r="IJ39" t="str">
            <v>Knowledge (nature)</v>
          </cell>
        </row>
        <row r="40">
          <cell r="A40" t="str">
            <v>Knowledge (monster lore)</v>
          </cell>
          <cell r="F40">
            <v>0</v>
          </cell>
          <cell r="HE40">
            <v>15</v>
          </cell>
          <cell r="HF40">
            <v>0</v>
          </cell>
          <cell r="HG40">
            <v>-1</v>
          </cell>
          <cell r="HH40">
            <v>0</v>
          </cell>
          <cell r="HI40">
            <v>-1</v>
          </cell>
          <cell r="HJ40" t="str">
            <v/>
          </cell>
          <cell r="HK40" t="str">
            <v/>
          </cell>
          <cell r="HL40" t="str">
            <v>INT</v>
          </cell>
          <cell r="HN40" t="str">
            <v/>
          </cell>
          <cell r="HO40" t="str">
            <v/>
          </cell>
          <cell r="HP40" t="str">
            <v/>
          </cell>
          <cell r="HQ40" t="str">
            <v/>
          </cell>
          <cell r="HR40" t="str">
            <v/>
          </cell>
          <cell r="HS40" t="str">
            <v/>
          </cell>
          <cell r="HT40" t="str">
            <v/>
          </cell>
          <cell r="HZ40" t="str">
            <v/>
          </cell>
          <cell r="IA40" t="str">
            <v>Knowledge (monster lore)</v>
          </cell>
          <cell r="IB40" t="str">
            <v>RVL</v>
          </cell>
          <cell r="IE40" t="str">
            <v>INT</v>
          </cell>
          <cell r="IF40" t="b">
            <v>0</v>
          </cell>
          <cell r="IJ40" t="str">
            <v>Knowledge (nobility)</v>
          </cell>
        </row>
        <row r="41">
          <cell r="A41" t="str">
            <v>Knowledge (nature)</v>
          </cell>
          <cell r="F41">
            <v>0</v>
          </cell>
          <cell r="HE41">
            <v>15</v>
          </cell>
          <cell r="HF41">
            <v>0</v>
          </cell>
          <cell r="HG41">
            <v>-1</v>
          </cell>
          <cell r="HH41">
            <v>0</v>
          </cell>
          <cell r="HI41">
            <v>-1</v>
          </cell>
          <cell r="HJ41" t="str">
            <v>£</v>
          </cell>
          <cell r="HK41" t="str">
            <v>Knowledge (nature)</v>
          </cell>
          <cell r="HL41" t="str">
            <v>INT</v>
          </cell>
          <cell r="HN41" t="str">
            <v/>
          </cell>
          <cell r="HO41" t="str">
            <v/>
          </cell>
          <cell r="HP41" t="str">
            <v/>
          </cell>
          <cell r="HQ41" t="str">
            <v/>
          </cell>
          <cell r="HR41" t="str">
            <v/>
          </cell>
          <cell r="HS41" t="str">
            <v/>
          </cell>
          <cell r="HT41" t="str">
            <v/>
          </cell>
          <cell r="HZ41" t="str">
            <v/>
          </cell>
          <cell r="IA41" t="str">
            <v>Knowledge (nature)</v>
          </cell>
          <cell r="IB41" t="str">
            <v>PH</v>
          </cell>
          <cell r="IE41" t="str">
            <v>INT</v>
          </cell>
          <cell r="IF41" t="b">
            <v>1</v>
          </cell>
          <cell r="IJ41" t="str">
            <v>Knowledge (religion)</v>
          </cell>
        </row>
        <row r="42">
          <cell r="A42" t="str">
            <v>Knowledge (nobility)</v>
          </cell>
          <cell r="F42">
            <v>0</v>
          </cell>
          <cell r="HE42">
            <v>15</v>
          </cell>
          <cell r="HF42">
            <v>0</v>
          </cell>
          <cell r="HG42">
            <v>-1</v>
          </cell>
          <cell r="HH42">
            <v>0</v>
          </cell>
          <cell r="HI42">
            <v>-1</v>
          </cell>
          <cell r="HJ42" t="str">
            <v>£</v>
          </cell>
          <cell r="HK42" t="str">
            <v>Knowledge (nobility)</v>
          </cell>
          <cell r="HL42" t="str">
            <v>INT</v>
          </cell>
          <cell r="HN42" t="str">
            <v/>
          </cell>
          <cell r="HO42" t="str">
            <v/>
          </cell>
          <cell r="HP42" t="str">
            <v/>
          </cell>
          <cell r="HQ42" t="str">
            <v/>
          </cell>
          <cell r="HR42" t="str">
            <v/>
          </cell>
          <cell r="HS42" t="str">
            <v/>
          </cell>
          <cell r="HT42" t="str">
            <v/>
          </cell>
          <cell r="HZ42" t="str">
            <v/>
          </cell>
          <cell r="IA42" t="str">
            <v>Knowledge (nobility)</v>
          </cell>
          <cell r="IB42" t="str">
            <v>PH</v>
          </cell>
          <cell r="IE42" t="str">
            <v>INT</v>
          </cell>
          <cell r="IF42" t="b">
            <v>1</v>
          </cell>
          <cell r="IJ42" t="str">
            <v>Knowledge (the planes)</v>
          </cell>
        </row>
        <row r="43">
          <cell r="A43" t="str">
            <v>Knowledge (psionics)</v>
          </cell>
          <cell r="F43">
            <v>0</v>
          </cell>
          <cell r="HE43">
            <v>15</v>
          </cell>
          <cell r="HF43">
            <v>0</v>
          </cell>
          <cell r="HG43">
            <v>-1</v>
          </cell>
          <cell r="HH43">
            <v>0</v>
          </cell>
          <cell r="HI43">
            <v>-1</v>
          </cell>
          <cell r="HJ43" t="str">
            <v/>
          </cell>
          <cell r="HK43" t="str">
            <v/>
          </cell>
          <cell r="HL43" t="str">
            <v>INT</v>
          </cell>
          <cell r="HN43" t="str">
            <v/>
          </cell>
          <cell r="HO43" t="str">
            <v/>
          </cell>
          <cell r="HP43" t="str">
            <v/>
          </cell>
          <cell r="HQ43" t="str">
            <v/>
          </cell>
          <cell r="HR43" t="str">
            <v/>
          </cell>
          <cell r="HS43" t="str">
            <v/>
          </cell>
          <cell r="HT43" t="str">
            <v/>
          </cell>
          <cell r="HZ43" t="str">
            <v/>
          </cell>
          <cell r="IA43" t="str">
            <v>Knowledge (psionics)</v>
          </cell>
          <cell r="IB43" t="str">
            <v>XPH</v>
          </cell>
          <cell r="IC43">
            <v>38</v>
          </cell>
          <cell r="IE43" t="str">
            <v>INT</v>
          </cell>
          <cell r="IF43" t="b">
            <v>0</v>
          </cell>
          <cell r="IJ43" t="str">
            <v/>
          </cell>
        </row>
        <row r="44">
          <cell r="A44" t="str">
            <v>Knowledge (ravenloft)</v>
          </cell>
          <cell r="F44">
            <v>0</v>
          </cell>
          <cell r="HE44">
            <v>15</v>
          </cell>
          <cell r="HF44">
            <v>0</v>
          </cell>
          <cell r="HG44">
            <v>-1</v>
          </cell>
          <cell r="HH44">
            <v>0</v>
          </cell>
          <cell r="HI44">
            <v>-1</v>
          </cell>
          <cell r="HJ44" t="str">
            <v/>
          </cell>
          <cell r="HK44" t="str">
            <v/>
          </cell>
          <cell r="HL44" t="str">
            <v>INT</v>
          </cell>
          <cell r="HN44" t="str">
            <v/>
          </cell>
          <cell r="HO44" t="str">
            <v/>
          </cell>
          <cell r="HP44" t="str">
            <v/>
          </cell>
          <cell r="HQ44" t="str">
            <v/>
          </cell>
          <cell r="HR44" t="str">
            <v/>
          </cell>
          <cell r="HS44" t="str">
            <v/>
          </cell>
          <cell r="HT44" t="str">
            <v/>
          </cell>
          <cell r="HZ44" t="str">
            <v/>
          </cell>
          <cell r="IA44" t="str">
            <v>Knowledge (ravenloft)</v>
          </cell>
          <cell r="IB44" t="str">
            <v>RVL</v>
          </cell>
          <cell r="IE44" t="str">
            <v>INT</v>
          </cell>
          <cell r="IF44" t="b">
            <v>0</v>
          </cell>
          <cell r="IJ44" t="str">
            <v/>
          </cell>
        </row>
        <row r="45">
          <cell r="A45" t="str">
            <v>Knowledge (religion)</v>
          </cell>
          <cell r="F45">
            <v>0</v>
          </cell>
          <cell r="HE45">
            <v>15</v>
          </cell>
          <cell r="HF45">
            <v>0</v>
          </cell>
          <cell r="HG45">
            <v>-1</v>
          </cell>
          <cell r="HH45">
            <v>0</v>
          </cell>
          <cell r="HI45">
            <v>-1</v>
          </cell>
          <cell r="HJ45" t="str">
            <v>£</v>
          </cell>
          <cell r="HK45" t="str">
            <v>Knowledge (religion)</v>
          </cell>
          <cell r="HL45" t="str">
            <v>INT</v>
          </cell>
          <cell r="HN45" t="str">
            <v/>
          </cell>
          <cell r="HO45" t="str">
            <v/>
          </cell>
          <cell r="HP45" t="str">
            <v/>
          </cell>
          <cell r="HQ45" t="str">
            <v/>
          </cell>
          <cell r="HR45" t="str">
            <v/>
          </cell>
          <cell r="HS45" t="str">
            <v/>
          </cell>
          <cell r="HT45" t="str">
            <v/>
          </cell>
          <cell r="HZ45" t="str">
            <v/>
          </cell>
          <cell r="IA45" t="str">
            <v>Knowledge (religion)</v>
          </cell>
          <cell r="IB45" t="str">
            <v>PH</v>
          </cell>
          <cell r="IE45" t="str">
            <v>INT</v>
          </cell>
          <cell r="IF45" t="b">
            <v>1</v>
          </cell>
          <cell r="IJ45" t="str">
            <v/>
          </cell>
        </row>
        <row r="46">
          <cell r="A46" t="str">
            <v>Knowledge (the planes)</v>
          </cell>
          <cell r="F46">
            <v>0</v>
          </cell>
          <cell r="HE46">
            <v>15</v>
          </cell>
          <cell r="HF46">
            <v>0</v>
          </cell>
          <cell r="HG46">
            <v>-1</v>
          </cell>
          <cell r="HH46">
            <v>0</v>
          </cell>
          <cell r="HI46">
            <v>-1</v>
          </cell>
          <cell r="HJ46" t="str">
            <v>£</v>
          </cell>
          <cell r="HK46" t="str">
            <v>Knowledge (the planes)</v>
          </cell>
          <cell r="HL46" t="str">
            <v>INT</v>
          </cell>
          <cell r="HN46" t="str">
            <v/>
          </cell>
          <cell r="HO46" t="str">
            <v/>
          </cell>
          <cell r="HP46" t="str">
            <v/>
          </cell>
          <cell r="HQ46" t="str">
            <v/>
          </cell>
          <cell r="HR46" t="str">
            <v/>
          </cell>
          <cell r="HS46" t="str">
            <v/>
          </cell>
          <cell r="HT46" t="str">
            <v/>
          </cell>
          <cell r="HZ46" t="str">
            <v/>
          </cell>
          <cell r="IA46" t="str">
            <v>Knowledge (the planes)</v>
          </cell>
          <cell r="IB46" t="str">
            <v>PH</v>
          </cell>
          <cell r="IE46" t="str">
            <v>INT</v>
          </cell>
          <cell r="IF46" t="b">
            <v>1</v>
          </cell>
          <cell r="IJ46" t="str">
            <v/>
          </cell>
        </row>
        <row r="47">
          <cell r="A47" t="str">
            <v>Knowledge skills…</v>
          </cell>
          <cell r="HE47">
            <v>15</v>
          </cell>
          <cell r="HF47">
            <v>0</v>
          </cell>
          <cell r="HG47">
            <v>-1</v>
          </cell>
          <cell r="HH47">
            <v>0</v>
          </cell>
          <cell r="HI47">
            <v>-1</v>
          </cell>
          <cell r="HJ47" t="str">
            <v/>
          </cell>
          <cell r="HK47" t="str">
            <v/>
          </cell>
          <cell r="HL47" t="str">
            <v>INT</v>
          </cell>
          <cell r="HM47">
            <v>0</v>
          </cell>
          <cell r="HN47" t="str">
            <v/>
          </cell>
          <cell r="HO47" t="str">
            <v/>
          </cell>
          <cell r="HP47" t="str">
            <v/>
          </cell>
          <cell r="HQ47" t="str">
            <v/>
          </cell>
          <cell r="HR47" t="str">
            <v/>
          </cell>
          <cell r="HS47" t="str">
            <v/>
          </cell>
          <cell r="HT47" t="str">
            <v/>
          </cell>
          <cell r="HZ47" t="str">
            <v/>
          </cell>
          <cell r="IA47" t="str">
            <v>Knowledge skills …</v>
          </cell>
          <cell r="IF47" t="b">
            <v>0</v>
          </cell>
          <cell r="IJ47" t="str">
            <v/>
          </cell>
        </row>
        <row r="48">
          <cell r="F48">
            <v>0</v>
          </cell>
          <cell r="HE48">
            <v>15</v>
          </cell>
          <cell r="HF48">
            <v>0</v>
          </cell>
          <cell r="HG48">
            <v>-1</v>
          </cell>
          <cell r="HH48">
            <v>0</v>
          </cell>
          <cell r="HI48">
            <v>-1</v>
          </cell>
          <cell r="HJ48" t="str">
            <v/>
          </cell>
          <cell r="HK48" t="str">
            <v/>
          </cell>
          <cell r="HL48" t="str">
            <v>INT</v>
          </cell>
          <cell r="HN48" t="str">
            <v/>
          </cell>
          <cell r="HO48" t="str">
            <v/>
          </cell>
          <cell r="HP48" t="str">
            <v/>
          </cell>
          <cell r="HQ48" t="str">
            <v/>
          </cell>
          <cell r="HR48" t="str">
            <v/>
          </cell>
          <cell r="HS48" t="str">
            <v/>
          </cell>
          <cell r="HT48" t="str">
            <v/>
          </cell>
          <cell r="HZ48" t="str">
            <v/>
          </cell>
          <cell r="IA48" t="str">
            <v>Knowledge ()</v>
          </cell>
          <cell r="IB48" t="str">
            <v>CUST</v>
          </cell>
          <cell r="IE48" t="str">
            <v>INT</v>
          </cell>
          <cell r="IF48" t="b">
            <v>0</v>
          </cell>
          <cell r="IJ48" t="str">
            <v/>
          </cell>
        </row>
        <row r="49">
          <cell r="F49">
            <v>0</v>
          </cell>
          <cell r="HE49">
            <v>15</v>
          </cell>
          <cell r="HF49">
            <v>0</v>
          </cell>
          <cell r="HG49">
            <v>-1</v>
          </cell>
          <cell r="HH49">
            <v>0</v>
          </cell>
          <cell r="HI49">
            <v>-1</v>
          </cell>
          <cell r="HJ49" t="str">
            <v/>
          </cell>
          <cell r="HK49" t="str">
            <v/>
          </cell>
          <cell r="HL49" t="str">
            <v>INT</v>
          </cell>
          <cell r="HN49" t="str">
            <v/>
          </cell>
          <cell r="HO49" t="str">
            <v/>
          </cell>
          <cell r="HP49" t="str">
            <v/>
          </cell>
          <cell r="HQ49" t="str">
            <v/>
          </cell>
          <cell r="HR49" t="str">
            <v/>
          </cell>
          <cell r="HS49" t="str">
            <v/>
          </cell>
          <cell r="HT49" t="str">
            <v/>
          </cell>
          <cell r="HZ49" t="str">
            <v/>
          </cell>
          <cell r="IA49" t="str">
            <v>Knowledge ()</v>
          </cell>
          <cell r="IB49" t="str">
            <v>CUST</v>
          </cell>
          <cell r="IE49" t="str">
            <v>INT</v>
          </cell>
          <cell r="IF49" t="b">
            <v>0</v>
          </cell>
          <cell r="IJ49" t="str">
            <v/>
          </cell>
        </row>
        <row r="50">
          <cell r="F50">
            <v>0</v>
          </cell>
          <cell r="HE50">
            <v>15</v>
          </cell>
          <cell r="HF50">
            <v>0</v>
          </cell>
          <cell r="HG50">
            <v>-1</v>
          </cell>
          <cell r="HH50">
            <v>0</v>
          </cell>
          <cell r="HI50">
            <v>-1</v>
          </cell>
          <cell r="HJ50" t="str">
            <v/>
          </cell>
          <cell r="HK50" t="str">
            <v/>
          </cell>
          <cell r="HL50" t="str">
            <v>INT</v>
          </cell>
          <cell r="HN50" t="str">
            <v/>
          </cell>
          <cell r="HO50" t="str">
            <v/>
          </cell>
          <cell r="HP50" t="str">
            <v/>
          </cell>
          <cell r="HQ50" t="str">
            <v/>
          </cell>
          <cell r="HR50" t="str">
            <v/>
          </cell>
          <cell r="HS50" t="str">
            <v/>
          </cell>
          <cell r="HT50" t="str">
            <v/>
          </cell>
          <cell r="HZ50" t="str">
            <v/>
          </cell>
          <cell r="IA50" t="str">
            <v>Knowledge ()</v>
          </cell>
          <cell r="IB50" t="str">
            <v>CUST</v>
          </cell>
          <cell r="IE50" t="str">
            <v>INT</v>
          </cell>
          <cell r="IF50" t="b">
            <v>0</v>
          </cell>
          <cell r="IJ50" t="str">
            <v/>
          </cell>
        </row>
        <row r="51">
          <cell r="F51">
            <v>0</v>
          </cell>
          <cell r="HE51">
            <v>15</v>
          </cell>
          <cell r="HF51">
            <v>0</v>
          </cell>
          <cell r="HG51">
            <v>-1</v>
          </cell>
          <cell r="HH51">
            <v>0</v>
          </cell>
          <cell r="HI51">
            <v>-1</v>
          </cell>
          <cell r="HJ51" t="str">
            <v/>
          </cell>
          <cell r="HK51" t="str">
            <v/>
          </cell>
          <cell r="HL51" t="str">
            <v>INT</v>
          </cell>
          <cell r="HN51" t="str">
            <v/>
          </cell>
          <cell r="HO51" t="str">
            <v/>
          </cell>
          <cell r="HP51" t="str">
            <v/>
          </cell>
          <cell r="HQ51" t="str">
            <v/>
          </cell>
          <cell r="HR51" t="str">
            <v/>
          </cell>
          <cell r="HS51" t="str">
            <v/>
          </cell>
          <cell r="HT51" t="str">
            <v/>
          </cell>
          <cell r="HZ51" t="str">
            <v/>
          </cell>
          <cell r="IA51" t="str">
            <v>Knowledge ()</v>
          </cell>
          <cell r="IB51" t="str">
            <v>CUST</v>
          </cell>
          <cell r="IE51" t="str">
            <v>INT</v>
          </cell>
          <cell r="IF51" t="b">
            <v>0</v>
          </cell>
          <cell r="IJ51" t="str">
            <v/>
          </cell>
        </row>
        <row r="52">
          <cell r="F52">
            <v>0</v>
          </cell>
          <cell r="HE52">
            <v>15</v>
          </cell>
          <cell r="HF52">
            <v>0</v>
          </cell>
          <cell r="HG52">
            <v>-1</v>
          </cell>
          <cell r="HH52">
            <v>0</v>
          </cell>
          <cell r="HI52">
            <v>-1</v>
          </cell>
          <cell r="HJ52" t="str">
            <v/>
          </cell>
          <cell r="HK52" t="str">
            <v/>
          </cell>
          <cell r="HL52" t="str">
            <v>INT</v>
          </cell>
          <cell r="HN52" t="str">
            <v/>
          </cell>
          <cell r="HO52" t="str">
            <v/>
          </cell>
          <cell r="HP52" t="str">
            <v/>
          </cell>
          <cell r="HQ52" t="str">
            <v/>
          </cell>
          <cell r="HR52" t="str">
            <v/>
          </cell>
          <cell r="HS52" t="str">
            <v/>
          </cell>
          <cell r="HT52" t="str">
            <v/>
          </cell>
          <cell r="HZ52" t="str">
            <v/>
          </cell>
          <cell r="IA52" t="str">
            <v>Knowledge ()</v>
          </cell>
          <cell r="IB52" t="str">
            <v>CUST</v>
          </cell>
          <cell r="IE52" t="str">
            <v>INT</v>
          </cell>
          <cell r="IF52" t="b">
            <v>0</v>
          </cell>
          <cell r="IJ52" t="str">
            <v/>
          </cell>
        </row>
        <row r="53">
          <cell r="F53">
            <v>0</v>
          </cell>
          <cell r="HE53">
            <v>15</v>
          </cell>
          <cell r="HF53">
            <v>0</v>
          </cell>
          <cell r="HG53">
            <v>-1</v>
          </cell>
          <cell r="HH53">
            <v>0</v>
          </cell>
          <cell r="HI53">
            <v>-1</v>
          </cell>
          <cell r="HJ53" t="str">
            <v/>
          </cell>
          <cell r="HK53" t="str">
            <v/>
          </cell>
          <cell r="HL53" t="str">
            <v>INT</v>
          </cell>
          <cell r="HN53" t="str">
            <v/>
          </cell>
          <cell r="HO53" t="str">
            <v/>
          </cell>
          <cell r="HP53" t="str">
            <v/>
          </cell>
          <cell r="HQ53" t="str">
            <v/>
          </cell>
          <cell r="HR53" t="str">
            <v/>
          </cell>
          <cell r="HS53" t="str">
            <v/>
          </cell>
          <cell r="HT53" t="str">
            <v/>
          </cell>
          <cell r="HZ53" t="str">
            <v/>
          </cell>
          <cell r="IA53" t="str">
            <v>Knowledge ()</v>
          </cell>
          <cell r="IB53" t="str">
            <v>CUST</v>
          </cell>
          <cell r="IE53" t="str">
            <v>INT</v>
          </cell>
          <cell r="IF53" t="b">
            <v>0</v>
          </cell>
          <cell r="IJ53" t="str">
            <v/>
          </cell>
        </row>
        <row r="54">
          <cell r="F54">
            <v>0</v>
          </cell>
          <cell r="HE54">
            <v>15</v>
          </cell>
          <cell r="HF54">
            <v>0</v>
          </cell>
          <cell r="HG54">
            <v>-1</v>
          </cell>
          <cell r="HH54">
            <v>0</v>
          </cell>
          <cell r="HI54">
            <v>-1</v>
          </cell>
          <cell r="HJ54" t="str">
            <v/>
          </cell>
          <cell r="HK54" t="str">
            <v/>
          </cell>
          <cell r="HL54" t="str">
            <v>INT</v>
          </cell>
          <cell r="HN54" t="str">
            <v/>
          </cell>
          <cell r="HO54" t="str">
            <v/>
          </cell>
          <cell r="HP54" t="str">
            <v/>
          </cell>
          <cell r="HQ54" t="str">
            <v/>
          </cell>
          <cell r="HR54" t="str">
            <v/>
          </cell>
          <cell r="HS54" t="str">
            <v/>
          </cell>
          <cell r="HT54" t="str">
            <v/>
          </cell>
          <cell r="HZ54" t="str">
            <v/>
          </cell>
          <cell r="IA54" t="str">
            <v>Knowledge ()</v>
          </cell>
          <cell r="IB54" t="str">
            <v>CUST</v>
          </cell>
          <cell r="IE54" t="str">
            <v>INT</v>
          </cell>
          <cell r="IF54" t="b">
            <v>0</v>
          </cell>
        </row>
        <row r="55">
          <cell r="A55" t="str">
            <v>Listen¹</v>
          </cell>
          <cell r="F55">
            <v>0</v>
          </cell>
          <cell r="HE55">
            <v>16</v>
          </cell>
          <cell r="HF55">
            <v>2</v>
          </cell>
          <cell r="HG55">
            <v>-1</v>
          </cell>
          <cell r="HH55">
            <v>0</v>
          </cell>
          <cell r="HI55">
            <v>1</v>
          </cell>
          <cell r="HJ55" t="str">
            <v>S</v>
          </cell>
          <cell r="HK55" t="str">
            <v>Listen¹</v>
          </cell>
          <cell r="HL55" t="str">
            <v>WIS</v>
          </cell>
          <cell r="HN55" t="str">
            <v/>
          </cell>
          <cell r="HO55" t="str">
            <v/>
          </cell>
          <cell r="HP55" t="str">
            <v/>
          </cell>
          <cell r="HQ55" t="str">
            <v/>
          </cell>
          <cell r="HR55" t="str">
            <v/>
          </cell>
          <cell r="HS55" t="str">
            <v/>
          </cell>
          <cell r="HT55" t="str">
            <v/>
          </cell>
          <cell r="HZ55" t="str">
            <v/>
          </cell>
          <cell r="IA55" t="str">
            <v>Listen</v>
          </cell>
          <cell r="IB55" t="str">
            <v>PH</v>
          </cell>
          <cell r="IE55" t="str">
            <v>WIS</v>
          </cell>
          <cell r="IF55" t="b">
            <v>1</v>
          </cell>
        </row>
        <row r="56">
          <cell r="A56" t="str">
            <v>Martial Lore</v>
          </cell>
          <cell r="F56">
            <v>0</v>
          </cell>
          <cell r="HE56">
            <v>16</v>
          </cell>
          <cell r="HF56">
            <v>2</v>
          </cell>
          <cell r="HG56">
            <v>-1</v>
          </cell>
          <cell r="HH56">
            <v>0</v>
          </cell>
          <cell r="HI56">
            <v>1</v>
          </cell>
          <cell r="HJ56" t="str">
            <v/>
          </cell>
          <cell r="HK56" t="str">
            <v/>
          </cell>
          <cell r="HL56" t="str">
            <v>INT</v>
          </cell>
          <cell r="HN56" t="str">
            <v/>
          </cell>
          <cell r="HO56" t="str">
            <v/>
          </cell>
          <cell r="HP56" t="str">
            <v/>
          </cell>
          <cell r="HQ56" t="str">
            <v/>
          </cell>
          <cell r="HR56" t="str">
            <v/>
          </cell>
          <cell r="HS56" t="str">
            <v/>
          </cell>
          <cell r="HT56" t="str">
            <v/>
          </cell>
          <cell r="HZ56" t="str">
            <v/>
          </cell>
          <cell r="IA56" t="str">
            <v>Martial Lore</v>
          </cell>
          <cell r="IB56" t="str">
            <v>ToB</v>
          </cell>
          <cell r="IE56" t="str">
            <v>INT</v>
          </cell>
          <cell r="IF56" t="b">
            <v>0</v>
          </cell>
        </row>
        <row r="57">
          <cell r="A57" t="str">
            <v>Move Silently¹</v>
          </cell>
          <cell r="F57">
            <v>0</v>
          </cell>
          <cell r="HE57">
            <v>17</v>
          </cell>
          <cell r="HF57">
            <v>0</v>
          </cell>
          <cell r="HG57">
            <v>-1</v>
          </cell>
          <cell r="HH57">
            <v>0</v>
          </cell>
          <cell r="HI57">
            <v>-1</v>
          </cell>
          <cell r="HJ57" t="str">
            <v>S</v>
          </cell>
          <cell r="HK57" t="str">
            <v>Move Silently¹</v>
          </cell>
          <cell r="HL57" t="str">
            <v>DEX*</v>
          </cell>
          <cell r="HN57" t="str">
            <v/>
          </cell>
          <cell r="HO57" t="str">
            <v/>
          </cell>
          <cell r="HP57" t="str">
            <v/>
          </cell>
          <cell r="HQ57" t="str">
            <v/>
          </cell>
          <cell r="HR57" t="str">
            <v/>
          </cell>
          <cell r="HS57" t="str">
            <v/>
          </cell>
          <cell r="HT57" t="str">
            <v/>
          </cell>
          <cell r="HZ57" t="str">
            <v/>
          </cell>
          <cell r="IA57" t="str">
            <v>Move Silently</v>
          </cell>
          <cell r="IB57" t="str">
            <v>PH</v>
          </cell>
          <cell r="IE57" t="str">
            <v>DEX</v>
          </cell>
          <cell r="IF57" t="b">
            <v>1</v>
          </cell>
        </row>
        <row r="58">
          <cell r="A58" t="str">
            <v>Open Lock</v>
          </cell>
          <cell r="F58">
            <v>0</v>
          </cell>
          <cell r="HE58">
            <v>17</v>
          </cell>
          <cell r="HF58">
            <v>0</v>
          </cell>
          <cell r="HG58">
            <v>-1</v>
          </cell>
          <cell r="HH58">
            <v>0</v>
          </cell>
          <cell r="HI58">
            <v>-1</v>
          </cell>
          <cell r="HJ58" t="str">
            <v>S</v>
          </cell>
          <cell r="HK58" t="str">
            <v>Open Lock</v>
          </cell>
          <cell r="HL58" t="str">
            <v>DEX</v>
          </cell>
          <cell r="HN58" t="str">
            <v/>
          </cell>
          <cell r="HO58" t="str">
            <v/>
          </cell>
          <cell r="HP58" t="str">
            <v/>
          </cell>
          <cell r="HQ58" t="str">
            <v/>
          </cell>
          <cell r="HR58" t="str">
            <v/>
          </cell>
          <cell r="HS58" t="str">
            <v/>
          </cell>
          <cell r="HT58" t="str">
            <v/>
          </cell>
          <cell r="HZ58" t="str">
            <v/>
          </cell>
          <cell r="IA58" t="str">
            <v>Open Lock</v>
          </cell>
          <cell r="IB58" t="str">
            <v>PH</v>
          </cell>
          <cell r="IE58" t="str">
            <v>DEX</v>
          </cell>
          <cell r="IF58" t="b">
            <v>1</v>
          </cell>
        </row>
        <row r="59">
          <cell r="A59" t="str">
            <v>Perform skills ...¹</v>
          </cell>
          <cell r="HE59">
            <v>18</v>
          </cell>
          <cell r="HF59">
            <v>0</v>
          </cell>
          <cell r="HG59">
            <v>-2</v>
          </cell>
          <cell r="HH59">
            <v>0</v>
          </cell>
          <cell r="HI59">
            <v>-2</v>
          </cell>
          <cell r="HJ59" t="str">
            <v>S</v>
          </cell>
          <cell r="HK59" t="str">
            <v>Perform skills ...¹</v>
          </cell>
          <cell r="HL59" t="str">
            <v>CHA</v>
          </cell>
          <cell r="HM59">
            <v>0</v>
          </cell>
          <cell r="HN59" t="str">
            <v/>
          </cell>
          <cell r="HO59" t="str">
            <v/>
          </cell>
          <cell r="HP59" t="str">
            <v/>
          </cell>
          <cell r="HQ59" t="str">
            <v/>
          </cell>
          <cell r="HR59" t="str">
            <v/>
          </cell>
          <cell r="HS59" t="str">
            <v/>
          </cell>
          <cell r="HT59" t="str">
            <v/>
          </cell>
          <cell r="HZ59" t="str">
            <v/>
          </cell>
          <cell r="IA59" t="str">
            <v>Perform skills …</v>
          </cell>
          <cell r="IF59" t="b">
            <v>0</v>
          </cell>
        </row>
        <row r="60">
          <cell r="F60">
            <v>0</v>
          </cell>
          <cell r="HE60">
            <v>18</v>
          </cell>
          <cell r="HF60">
            <v>0</v>
          </cell>
          <cell r="HG60">
            <v>-2</v>
          </cell>
          <cell r="HH60">
            <v>0</v>
          </cell>
          <cell r="HI60">
            <v>-2</v>
          </cell>
          <cell r="HJ60" t="str">
            <v/>
          </cell>
          <cell r="HK60" t="str">
            <v/>
          </cell>
          <cell r="HL60" t="str">
            <v>CHA</v>
          </cell>
          <cell r="HN60" t="str">
            <v/>
          </cell>
          <cell r="HO60" t="str">
            <v/>
          </cell>
          <cell r="HP60" t="str">
            <v/>
          </cell>
          <cell r="HQ60" t="str">
            <v/>
          </cell>
          <cell r="HR60" t="str">
            <v/>
          </cell>
          <cell r="HS60" t="str">
            <v/>
          </cell>
          <cell r="HT60" t="str">
            <v/>
          </cell>
          <cell r="HZ60" t="str">
            <v/>
          </cell>
          <cell r="IA60" t="str">
            <v>Perform ()</v>
          </cell>
          <cell r="IB60" t="str">
            <v>PH</v>
          </cell>
          <cell r="IE60" t="str">
            <v>CHA</v>
          </cell>
          <cell r="IF60" t="b">
            <v>0</v>
          </cell>
        </row>
        <row r="61">
          <cell r="F61">
            <v>0</v>
          </cell>
          <cell r="HE61">
            <v>18</v>
          </cell>
          <cell r="HF61">
            <v>0</v>
          </cell>
          <cell r="HG61">
            <v>-2</v>
          </cell>
          <cell r="HH61">
            <v>0</v>
          </cell>
          <cell r="HI61">
            <v>-2</v>
          </cell>
          <cell r="HJ61" t="str">
            <v/>
          </cell>
          <cell r="HK61" t="str">
            <v/>
          </cell>
          <cell r="HL61" t="str">
            <v>CHA</v>
          </cell>
          <cell r="HN61" t="str">
            <v/>
          </cell>
          <cell r="HO61" t="str">
            <v/>
          </cell>
          <cell r="HP61" t="str">
            <v/>
          </cell>
          <cell r="HQ61" t="str">
            <v/>
          </cell>
          <cell r="HR61" t="str">
            <v/>
          </cell>
          <cell r="HS61" t="str">
            <v/>
          </cell>
          <cell r="HT61" t="str">
            <v/>
          </cell>
          <cell r="HZ61" t="str">
            <v/>
          </cell>
          <cell r="IA61" t="str">
            <v>Perform ()</v>
          </cell>
          <cell r="IB61" t="str">
            <v>PH</v>
          </cell>
          <cell r="IE61" t="str">
            <v>CHA</v>
          </cell>
          <cell r="IF61" t="b">
            <v>0</v>
          </cell>
        </row>
        <row r="62">
          <cell r="F62">
            <v>0</v>
          </cell>
          <cell r="HE62">
            <v>18</v>
          </cell>
          <cell r="HF62">
            <v>0</v>
          </cell>
          <cell r="HG62">
            <v>-2</v>
          </cell>
          <cell r="HH62">
            <v>0</v>
          </cell>
          <cell r="HI62">
            <v>-2</v>
          </cell>
          <cell r="HJ62" t="str">
            <v/>
          </cell>
          <cell r="HK62" t="str">
            <v/>
          </cell>
          <cell r="HL62" t="str">
            <v>CHA</v>
          </cell>
          <cell r="HN62" t="str">
            <v/>
          </cell>
          <cell r="HO62" t="str">
            <v/>
          </cell>
          <cell r="HP62" t="str">
            <v/>
          </cell>
          <cell r="HQ62" t="str">
            <v/>
          </cell>
          <cell r="HR62" t="str">
            <v/>
          </cell>
          <cell r="HS62" t="str">
            <v/>
          </cell>
          <cell r="HT62" t="str">
            <v/>
          </cell>
          <cell r="HZ62" t="str">
            <v/>
          </cell>
          <cell r="IA62" t="str">
            <v>Perform ()</v>
          </cell>
          <cell r="IB62" t="str">
            <v>PH</v>
          </cell>
          <cell r="IE62" t="str">
            <v>CHA</v>
          </cell>
          <cell r="IF62" t="b">
            <v>0</v>
          </cell>
        </row>
        <row r="63">
          <cell r="F63">
            <v>0</v>
          </cell>
          <cell r="HE63">
            <v>18</v>
          </cell>
          <cell r="HF63">
            <v>0</v>
          </cell>
          <cell r="HG63">
            <v>-2</v>
          </cell>
          <cell r="HH63">
            <v>0</v>
          </cell>
          <cell r="HI63">
            <v>-2</v>
          </cell>
          <cell r="HJ63" t="str">
            <v/>
          </cell>
          <cell r="HK63" t="str">
            <v/>
          </cell>
          <cell r="HL63" t="str">
            <v>CHA</v>
          </cell>
          <cell r="HN63" t="str">
            <v/>
          </cell>
          <cell r="HO63" t="str">
            <v/>
          </cell>
          <cell r="HP63" t="str">
            <v/>
          </cell>
          <cell r="HQ63" t="str">
            <v/>
          </cell>
          <cell r="HR63" t="str">
            <v/>
          </cell>
          <cell r="HS63" t="str">
            <v/>
          </cell>
          <cell r="HT63" t="str">
            <v/>
          </cell>
          <cell r="HZ63" t="str">
            <v/>
          </cell>
          <cell r="IA63" t="str">
            <v>Perform ()</v>
          </cell>
          <cell r="IB63" t="str">
            <v>PH</v>
          </cell>
          <cell r="IE63" t="str">
            <v>CHA</v>
          </cell>
          <cell r="IF63" t="b">
            <v>0</v>
          </cell>
        </row>
        <row r="64">
          <cell r="F64">
            <v>0</v>
          </cell>
          <cell r="HE64">
            <v>18</v>
          </cell>
          <cell r="HF64">
            <v>0</v>
          </cell>
          <cell r="HG64">
            <v>-2</v>
          </cell>
          <cell r="HH64">
            <v>0</v>
          </cell>
          <cell r="HI64">
            <v>-2</v>
          </cell>
          <cell r="HJ64" t="str">
            <v/>
          </cell>
          <cell r="HK64" t="str">
            <v/>
          </cell>
          <cell r="HL64" t="str">
            <v>CHA</v>
          </cell>
          <cell r="HN64" t="str">
            <v/>
          </cell>
          <cell r="HO64" t="str">
            <v/>
          </cell>
          <cell r="HP64" t="str">
            <v/>
          </cell>
          <cell r="HQ64" t="str">
            <v/>
          </cell>
          <cell r="HR64" t="str">
            <v/>
          </cell>
          <cell r="HS64" t="str">
            <v/>
          </cell>
          <cell r="HT64" t="str">
            <v/>
          </cell>
          <cell r="HZ64" t="str">
            <v/>
          </cell>
          <cell r="IA64" t="str">
            <v>Perform ()</v>
          </cell>
          <cell r="IB64" t="str">
            <v>PH</v>
          </cell>
          <cell r="IE64" t="str">
            <v>CHA</v>
          </cell>
          <cell r="IF64" t="b">
            <v>0</v>
          </cell>
        </row>
        <row r="65">
          <cell r="A65" t="str">
            <v>Profession skills …</v>
          </cell>
          <cell r="HE65">
            <v>18</v>
          </cell>
          <cell r="HF65">
            <v>0</v>
          </cell>
          <cell r="HG65">
            <v>-1</v>
          </cell>
          <cell r="HH65">
            <v>0</v>
          </cell>
          <cell r="HI65">
            <v>-1</v>
          </cell>
          <cell r="HJ65" t="str">
            <v/>
          </cell>
          <cell r="HK65" t="str">
            <v/>
          </cell>
          <cell r="HL65" t="str">
            <v>WIS</v>
          </cell>
          <cell r="HM65">
            <v>0</v>
          </cell>
          <cell r="HN65" t="str">
            <v/>
          </cell>
          <cell r="HO65" t="str">
            <v/>
          </cell>
          <cell r="HP65" t="str">
            <v/>
          </cell>
          <cell r="HQ65" t="str">
            <v/>
          </cell>
          <cell r="HR65" t="str">
            <v/>
          </cell>
          <cell r="HS65" t="str">
            <v/>
          </cell>
          <cell r="HT65" t="str">
            <v/>
          </cell>
          <cell r="HZ65" t="str">
            <v/>
          </cell>
          <cell r="IA65" t="str">
            <v>Profession skills …</v>
          </cell>
          <cell r="IF65" t="b">
            <v>0</v>
          </cell>
        </row>
        <row r="66">
          <cell r="F66">
            <v>0</v>
          </cell>
          <cell r="HE66">
            <v>18</v>
          </cell>
          <cell r="HF66">
            <v>0</v>
          </cell>
          <cell r="HG66">
            <v>-1</v>
          </cell>
          <cell r="HH66">
            <v>0</v>
          </cell>
          <cell r="HI66">
            <v>-1</v>
          </cell>
          <cell r="HJ66" t="str">
            <v/>
          </cell>
          <cell r="HK66" t="str">
            <v/>
          </cell>
          <cell r="HL66" t="str">
            <v>WIS</v>
          </cell>
          <cell r="HN66" t="str">
            <v/>
          </cell>
          <cell r="HO66" t="str">
            <v/>
          </cell>
          <cell r="HP66" t="str">
            <v/>
          </cell>
          <cell r="HQ66" t="str">
            <v/>
          </cell>
          <cell r="HR66" t="str">
            <v/>
          </cell>
          <cell r="HS66" t="str">
            <v/>
          </cell>
          <cell r="HT66" t="str">
            <v/>
          </cell>
          <cell r="HZ66" t="str">
            <v/>
          </cell>
          <cell r="IA66" t="str">
            <v>Profession ()</v>
          </cell>
          <cell r="IB66" t="str">
            <v>PH</v>
          </cell>
          <cell r="IE66" t="str">
            <v>WIS</v>
          </cell>
          <cell r="IF66" t="b">
            <v>0</v>
          </cell>
        </row>
        <row r="67">
          <cell r="F67">
            <v>0</v>
          </cell>
          <cell r="HE67">
            <v>18</v>
          </cell>
          <cell r="HF67">
            <v>0</v>
          </cell>
          <cell r="HG67">
            <v>-1</v>
          </cell>
          <cell r="HH67">
            <v>0</v>
          </cell>
          <cell r="HI67">
            <v>-1</v>
          </cell>
          <cell r="HJ67" t="str">
            <v/>
          </cell>
          <cell r="HK67" t="str">
            <v/>
          </cell>
          <cell r="HL67" t="str">
            <v>WIS</v>
          </cell>
          <cell r="HN67" t="str">
            <v/>
          </cell>
          <cell r="HO67" t="str">
            <v/>
          </cell>
          <cell r="HP67" t="str">
            <v/>
          </cell>
          <cell r="HQ67" t="str">
            <v/>
          </cell>
          <cell r="HR67" t="str">
            <v/>
          </cell>
          <cell r="HS67" t="str">
            <v/>
          </cell>
          <cell r="HT67" t="str">
            <v/>
          </cell>
          <cell r="HZ67" t="str">
            <v/>
          </cell>
          <cell r="IA67" t="str">
            <v>Profession ()</v>
          </cell>
          <cell r="IB67" t="str">
            <v>PH</v>
          </cell>
          <cell r="IE67" t="str">
            <v>WIS</v>
          </cell>
          <cell r="IF67" t="b">
            <v>0</v>
          </cell>
        </row>
        <row r="68">
          <cell r="F68">
            <v>0</v>
          </cell>
          <cell r="HE68">
            <v>18</v>
          </cell>
          <cell r="HF68">
            <v>0</v>
          </cell>
          <cell r="HG68">
            <v>-1</v>
          </cell>
          <cell r="HH68">
            <v>0</v>
          </cell>
          <cell r="HI68">
            <v>-1</v>
          </cell>
          <cell r="HJ68" t="str">
            <v/>
          </cell>
          <cell r="HK68" t="str">
            <v/>
          </cell>
          <cell r="HL68" t="str">
            <v>WIS</v>
          </cell>
          <cell r="HN68" t="str">
            <v/>
          </cell>
          <cell r="HO68" t="str">
            <v/>
          </cell>
          <cell r="HP68" t="str">
            <v/>
          </cell>
          <cell r="HQ68" t="str">
            <v/>
          </cell>
          <cell r="HR68" t="str">
            <v/>
          </cell>
          <cell r="HS68" t="str">
            <v/>
          </cell>
          <cell r="HT68" t="str">
            <v/>
          </cell>
          <cell r="HZ68" t="str">
            <v/>
          </cell>
          <cell r="IA68" t="str">
            <v>Profession ()</v>
          </cell>
          <cell r="IB68" t="str">
            <v>PH</v>
          </cell>
          <cell r="IE68" t="str">
            <v>WIS</v>
          </cell>
          <cell r="IF68" t="b">
            <v>0</v>
          </cell>
        </row>
        <row r="69">
          <cell r="F69">
            <v>0</v>
          </cell>
          <cell r="HE69">
            <v>18</v>
          </cell>
          <cell r="HF69">
            <v>0</v>
          </cell>
          <cell r="HG69">
            <v>-1</v>
          </cell>
          <cell r="HH69">
            <v>0</v>
          </cell>
          <cell r="HI69">
            <v>-1</v>
          </cell>
          <cell r="HJ69" t="str">
            <v/>
          </cell>
          <cell r="HK69" t="str">
            <v/>
          </cell>
          <cell r="HL69" t="str">
            <v>WIS</v>
          </cell>
          <cell r="HN69" t="str">
            <v/>
          </cell>
          <cell r="HO69" t="str">
            <v/>
          </cell>
          <cell r="HP69" t="str">
            <v/>
          </cell>
          <cell r="HQ69" t="str">
            <v/>
          </cell>
          <cell r="HR69" t="str">
            <v/>
          </cell>
          <cell r="HS69" t="str">
            <v/>
          </cell>
          <cell r="HT69" t="str">
            <v/>
          </cell>
          <cell r="HZ69" t="str">
            <v/>
          </cell>
          <cell r="IA69" t="str">
            <v>Profession ()</v>
          </cell>
          <cell r="IB69" t="str">
            <v>PH</v>
          </cell>
          <cell r="IE69" t="str">
            <v>WIS</v>
          </cell>
          <cell r="IF69" t="b">
            <v>0</v>
          </cell>
        </row>
        <row r="70">
          <cell r="F70">
            <v>0</v>
          </cell>
          <cell r="HE70">
            <v>18</v>
          </cell>
          <cell r="HF70">
            <v>0</v>
          </cell>
          <cell r="HG70">
            <v>-1</v>
          </cell>
          <cell r="HH70">
            <v>0</v>
          </cell>
          <cell r="HI70">
            <v>-1</v>
          </cell>
          <cell r="HJ70" t="str">
            <v/>
          </cell>
          <cell r="HK70" t="str">
            <v/>
          </cell>
          <cell r="HL70" t="str">
            <v>WIS</v>
          </cell>
          <cell r="HN70" t="str">
            <v/>
          </cell>
          <cell r="HO70" t="str">
            <v/>
          </cell>
          <cell r="HP70" t="str">
            <v/>
          </cell>
          <cell r="HQ70" t="str">
            <v/>
          </cell>
          <cell r="HR70" t="str">
            <v/>
          </cell>
          <cell r="HS70" t="str">
            <v/>
          </cell>
          <cell r="HT70" t="str">
            <v/>
          </cell>
          <cell r="HZ70" t="str">
            <v/>
          </cell>
          <cell r="IA70" t="str">
            <v>Profession ()</v>
          </cell>
          <cell r="IB70" t="str">
            <v>PH</v>
          </cell>
          <cell r="IE70" t="str">
            <v>WIS</v>
          </cell>
          <cell r="IF70" t="b">
            <v>0</v>
          </cell>
        </row>
        <row r="71">
          <cell r="A71" t="str">
            <v>Psicraft</v>
          </cell>
          <cell r="F71">
            <v>0</v>
          </cell>
          <cell r="HE71">
            <v>18</v>
          </cell>
          <cell r="HF71">
            <v>0</v>
          </cell>
          <cell r="HG71">
            <v>-1</v>
          </cell>
          <cell r="HH71">
            <v>0</v>
          </cell>
          <cell r="HI71">
            <v>-1</v>
          </cell>
          <cell r="HJ71" t="str">
            <v/>
          </cell>
          <cell r="HK71" t="str">
            <v/>
          </cell>
          <cell r="HL71" t="str">
            <v>INT</v>
          </cell>
          <cell r="HN71" t="str">
            <v/>
          </cell>
          <cell r="HO71" t="str">
            <v/>
          </cell>
          <cell r="HP71" t="str">
            <v/>
          </cell>
          <cell r="HQ71" t="str">
            <v/>
          </cell>
          <cell r="HR71" t="str">
            <v/>
          </cell>
          <cell r="HS71" t="str">
            <v/>
          </cell>
          <cell r="HT71" t="str">
            <v/>
          </cell>
          <cell r="HZ71" t="str">
            <v/>
          </cell>
          <cell r="IA71" t="str">
            <v>Psicraft</v>
          </cell>
          <cell r="IB71" t="str">
            <v>XPH</v>
          </cell>
          <cell r="IC71">
            <v>38</v>
          </cell>
          <cell r="IE71" t="str">
            <v>INT</v>
          </cell>
          <cell r="IF71" t="b">
            <v>0</v>
          </cell>
        </row>
        <row r="72">
          <cell r="A72" t="str">
            <v>Ride¹</v>
          </cell>
          <cell r="F72">
            <v>0</v>
          </cell>
          <cell r="HE72">
            <v>19</v>
          </cell>
          <cell r="HF72">
            <v>0</v>
          </cell>
          <cell r="HG72">
            <v>-1</v>
          </cell>
          <cell r="HH72">
            <v>0</v>
          </cell>
          <cell r="HI72">
            <v>-1</v>
          </cell>
          <cell r="HJ72" t="str">
            <v>S</v>
          </cell>
          <cell r="HK72" t="str">
            <v>Ride¹</v>
          </cell>
          <cell r="HL72" t="str">
            <v>DEX</v>
          </cell>
          <cell r="HN72" t="str">
            <v/>
          </cell>
          <cell r="HO72" t="str">
            <v/>
          </cell>
          <cell r="HP72" t="str">
            <v/>
          </cell>
          <cell r="HQ72" t="str">
            <v/>
          </cell>
          <cell r="HR72" t="str">
            <v/>
          </cell>
          <cell r="HS72" t="str">
            <v/>
          </cell>
          <cell r="HT72" t="str">
            <v/>
          </cell>
          <cell r="HZ72" t="str">
            <v/>
          </cell>
          <cell r="IA72" t="str">
            <v>Ride</v>
          </cell>
          <cell r="IB72" t="str">
            <v>PH</v>
          </cell>
          <cell r="IE72" t="str">
            <v>DEX</v>
          </cell>
          <cell r="IF72" t="b">
            <v>1</v>
          </cell>
        </row>
        <row r="73">
          <cell r="A73" t="str">
            <v>Search¹</v>
          </cell>
          <cell r="F73">
            <v>0</v>
          </cell>
          <cell r="HE73">
            <v>20</v>
          </cell>
          <cell r="HF73">
            <v>0</v>
          </cell>
          <cell r="HG73">
            <v>-1</v>
          </cell>
          <cell r="HH73">
            <v>0</v>
          </cell>
          <cell r="HI73">
            <v>-1</v>
          </cell>
          <cell r="HJ73" t="str">
            <v>S</v>
          </cell>
          <cell r="HK73" t="str">
            <v>Search¹</v>
          </cell>
          <cell r="HL73" t="str">
            <v>INT</v>
          </cell>
          <cell r="HN73" t="str">
            <v/>
          </cell>
          <cell r="HO73" t="str">
            <v/>
          </cell>
          <cell r="HP73" t="str">
            <v/>
          </cell>
          <cell r="HQ73" t="str">
            <v/>
          </cell>
          <cell r="HR73" t="str">
            <v/>
          </cell>
          <cell r="HS73" t="str">
            <v/>
          </cell>
          <cell r="HT73" t="str">
            <v/>
          </cell>
          <cell r="HZ73" t="str">
            <v/>
          </cell>
          <cell r="IA73" t="str">
            <v>Search</v>
          </cell>
          <cell r="IB73" t="str">
            <v>PH</v>
          </cell>
          <cell r="IE73" t="str">
            <v>INT</v>
          </cell>
          <cell r="IF73" t="b">
            <v>1</v>
          </cell>
        </row>
        <row r="74">
          <cell r="A74" t="str">
            <v>Sense Motive¹</v>
          </cell>
          <cell r="F74">
            <v>0</v>
          </cell>
          <cell r="HE74">
            <v>21</v>
          </cell>
          <cell r="HF74">
            <v>0</v>
          </cell>
          <cell r="HG74">
            <v>-1</v>
          </cell>
          <cell r="HH74">
            <v>0</v>
          </cell>
          <cell r="HI74">
            <v>-1</v>
          </cell>
          <cell r="HJ74" t="str">
            <v>S</v>
          </cell>
          <cell r="HK74" t="str">
            <v>Sense Motive¹</v>
          </cell>
          <cell r="HL74" t="str">
            <v>WIS</v>
          </cell>
          <cell r="HN74" t="str">
            <v/>
          </cell>
          <cell r="HO74" t="str">
            <v/>
          </cell>
          <cell r="HP74" t="str">
            <v/>
          </cell>
          <cell r="HQ74" t="str">
            <v/>
          </cell>
          <cell r="HR74" t="str">
            <v/>
          </cell>
          <cell r="HS74" t="str">
            <v/>
          </cell>
          <cell r="HT74" t="str">
            <v/>
          </cell>
          <cell r="HZ74" t="str">
            <v/>
          </cell>
          <cell r="IA74" t="str">
            <v>Sense Motive</v>
          </cell>
          <cell r="IB74" t="str">
            <v>PH</v>
          </cell>
          <cell r="IE74" t="str">
            <v>WIS</v>
          </cell>
          <cell r="IF74" t="b">
            <v>1</v>
          </cell>
        </row>
        <row r="75">
          <cell r="A75" t="str">
            <v>Skill Tricks</v>
          </cell>
          <cell r="F75">
            <v>0</v>
          </cell>
          <cell r="HE75">
            <v>21</v>
          </cell>
          <cell r="HF75">
            <v>0</v>
          </cell>
          <cell r="HG75">
            <v>0</v>
          </cell>
          <cell r="HH75">
            <v>0</v>
          </cell>
          <cell r="HI75">
            <v>0</v>
          </cell>
          <cell r="HJ75" t="str">
            <v/>
          </cell>
          <cell r="HK75" t="str">
            <v/>
          </cell>
          <cell r="HL75" t="str">
            <v/>
          </cell>
          <cell r="HN75" t="str">
            <v/>
          </cell>
          <cell r="HO75" t="str">
            <v/>
          </cell>
          <cell r="HP75" t="str">
            <v/>
          </cell>
          <cell r="HQ75" t="str">
            <v/>
          </cell>
          <cell r="HR75" t="str">
            <v/>
          </cell>
          <cell r="HS75" t="str">
            <v/>
          </cell>
          <cell r="HT75" t="str">
            <v/>
          </cell>
          <cell r="HZ75" t="str">
            <v/>
          </cell>
          <cell r="IA75" t="str">
            <v>Skill Tricks</v>
          </cell>
          <cell r="IB75" t="str">
            <v>CS</v>
          </cell>
          <cell r="IE75" t="str">
            <v/>
          </cell>
          <cell r="IF75" t="b">
            <v>0</v>
          </cell>
        </row>
        <row r="76">
          <cell r="A76" t="str">
            <v>Sleight of Hand</v>
          </cell>
          <cell r="F76">
            <v>0</v>
          </cell>
          <cell r="HE76">
            <v>21</v>
          </cell>
          <cell r="HF76">
            <v>0</v>
          </cell>
          <cell r="HG76">
            <v>-1</v>
          </cell>
          <cell r="HH76">
            <v>0</v>
          </cell>
          <cell r="HI76">
            <v>-1</v>
          </cell>
          <cell r="HJ76" t="str">
            <v>S</v>
          </cell>
          <cell r="HK76" t="str">
            <v>Sleight of Hand</v>
          </cell>
          <cell r="HL76" t="str">
            <v>DEX*</v>
          </cell>
          <cell r="HN76" t="str">
            <v/>
          </cell>
          <cell r="HO76" t="str">
            <v/>
          </cell>
          <cell r="HP76" t="str">
            <v/>
          </cell>
          <cell r="HQ76" t="str">
            <v/>
          </cell>
          <cell r="HR76" t="str">
            <v/>
          </cell>
          <cell r="HS76" t="str">
            <v/>
          </cell>
          <cell r="HT76" t="str">
            <v/>
          </cell>
          <cell r="HZ76" t="str">
            <v/>
          </cell>
          <cell r="IA76" t="str">
            <v>Sleight of Hand</v>
          </cell>
          <cell r="IB76" t="str">
            <v>PH</v>
          </cell>
          <cell r="IE76" t="str">
            <v>DEX</v>
          </cell>
          <cell r="IF76" t="b">
            <v>1</v>
          </cell>
        </row>
        <row r="77">
          <cell r="A77" t="str">
            <v>Speak Language</v>
          </cell>
          <cell r="F77">
            <v>0</v>
          </cell>
          <cell r="HE77">
            <v>21</v>
          </cell>
          <cell r="HF77">
            <v>0</v>
          </cell>
          <cell r="HG77">
            <v>0</v>
          </cell>
          <cell r="HH77">
            <v>0</v>
          </cell>
          <cell r="HI77" t="str">
            <v/>
          </cell>
          <cell r="HJ77" t="str">
            <v>S</v>
          </cell>
          <cell r="HK77" t="str">
            <v>Speak Language</v>
          </cell>
          <cell r="HL77" t="str">
            <v>INT</v>
          </cell>
          <cell r="HN77" t="str">
            <v/>
          </cell>
          <cell r="HO77" t="str">
            <v/>
          </cell>
          <cell r="HP77" t="str">
            <v/>
          </cell>
          <cell r="HQ77" t="str">
            <v/>
          </cell>
          <cell r="HR77" t="str">
            <v/>
          </cell>
          <cell r="HS77" t="str">
            <v/>
          </cell>
          <cell r="HT77" t="str">
            <v/>
          </cell>
          <cell r="HZ77" t="str">
            <v/>
          </cell>
          <cell r="IA77" t="str">
            <v>Speak Language</v>
          </cell>
          <cell r="IB77" t="str">
            <v>PH</v>
          </cell>
          <cell r="IE77" t="str">
            <v>INT</v>
          </cell>
          <cell r="IF77" t="b">
            <v>1</v>
          </cell>
        </row>
        <row r="78">
          <cell r="A78" t="str">
            <v>Spellcraft</v>
          </cell>
          <cell r="F78">
            <v>0</v>
          </cell>
          <cell r="HE78">
            <v>21</v>
          </cell>
          <cell r="HF78">
            <v>0</v>
          </cell>
          <cell r="HG78">
            <v>-1</v>
          </cell>
          <cell r="HH78">
            <v>0</v>
          </cell>
          <cell r="HI78">
            <v>-1</v>
          </cell>
          <cell r="HJ78" t="str">
            <v>£</v>
          </cell>
          <cell r="HK78" t="str">
            <v>Spellcraft</v>
          </cell>
          <cell r="HL78" t="str">
            <v>INT</v>
          </cell>
          <cell r="HN78" t="str">
            <v/>
          </cell>
          <cell r="HO78" t="str">
            <v/>
          </cell>
          <cell r="HP78" t="str">
            <v/>
          </cell>
          <cell r="HQ78" t="str">
            <v/>
          </cell>
          <cell r="HR78" t="str">
            <v/>
          </cell>
          <cell r="HS78" t="str">
            <v/>
          </cell>
          <cell r="HT78" t="str">
            <v/>
          </cell>
          <cell r="HZ78" t="str">
            <v/>
          </cell>
          <cell r="IA78" t="str">
            <v>Spellcraft</v>
          </cell>
          <cell r="IB78" t="str">
            <v>PH</v>
          </cell>
          <cell r="IE78" t="str">
            <v>INT</v>
          </cell>
          <cell r="IF78" t="b">
            <v>1</v>
          </cell>
        </row>
        <row r="79">
          <cell r="A79" t="str">
            <v>Spot¹</v>
          </cell>
          <cell r="F79">
            <v>0</v>
          </cell>
          <cell r="HE79">
            <v>22</v>
          </cell>
          <cell r="HF79">
            <v>2</v>
          </cell>
          <cell r="HG79">
            <v>-1</v>
          </cell>
          <cell r="HH79">
            <v>0</v>
          </cell>
          <cell r="HI79">
            <v>1</v>
          </cell>
          <cell r="HJ79" t="str">
            <v>S</v>
          </cell>
          <cell r="HK79" t="str">
            <v>Spot¹</v>
          </cell>
          <cell r="HL79" t="str">
            <v>WIS</v>
          </cell>
          <cell r="HN79" t="str">
            <v/>
          </cell>
          <cell r="HO79" t="str">
            <v/>
          </cell>
          <cell r="HP79" t="str">
            <v/>
          </cell>
          <cell r="HQ79" t="str">
            <v/>
          </cell>
          <cell r="HR79" t="str">
            <v/>
          </cell>
          <cell r="HS79" t="str">
            <v/>
          </cell>
          <cell r="HT79" t="str">
            <v/>
          </cell>
          <cell r="HZ79" t="str">
            <v/>
          </cell>
          <cell r="IA79" t="str">
            <v>Spot</v>
          </cell>
          <cell r="IB79" t="str">
            <v>PH</v>
          </cell>
          <cell r="IE79" t="str">
            <v>WIS</v>
          </cell>
          <cell r="IF79" t="b">
            <v>1</v>
          </cell>
        </row>
        <row r="80">
          <cell r="A80" t="str">
            <v>Survival¹</v>
          </cell>
          <cell r="F80">
            <v>0</v>
          </cell>
          <cell r="HE80">
            <v>23</v>
          </cell>
          <cell r="HF80">
            <v>0</v>
          </cell>
          <cell r="HG80">
            <v>-1</v>
          </cell>
          <cell r="HH80">
            <v>0</v>
          </cell>
          <cell r="HI80">
            <v>-1</v>
          </cell>
          <cell r="HJ80" t="str">
            <v>S</v>
          </cell>
          <cell r="HK80" t="str">
            <v>Survival¹</v>
          </cell>
          <cell r="HL80" t="str">
            <v>WIS</v>
          </cell>
          <cell r="HN80" t="str">
            <v/>
          </cell>
          <cell r="HO80" t="str">
            <v/>
          </cell>
          <cell r="HP80" t="str">
            <v/>
          </cell>
          <cell r="HQ80" t="str">
            <v/>
          </cell>
          <cell r="HR80" t="str">
            <v/>
          </cell>
          <cell r="HS80" t="str">
            <v/>
          </cell>
          <cell r="HT80" t="str">
            <v/>
          </cell>
          <cell r="HZ80" t="str">
            <v/>
          </cell>
          <cell r="IA80" t="str">
            <v>Survival</v>
          </cell>
          <cell r="IB80" t="str">
            <v>PH</v>
          </cell>
          <cell r="IE80" t="str">
            <v>WIS</v>
          </cell>
          <cell r="IF80" t="b">
            <v>1</v>
          </cell>
        </row>
        <row r="81">
          <cell r="A81" t="str">
            <v>Swim¹</v>
          </cell>
          <cell r="F81">
            <v>0</v>
          </cell>
          <cell r="HE81">
            <v>24</v>
          </cell>
          <cell r="HF81">
            <v>0</v>
          </cell>
          <cell r="HG81">
            <v>-1</v>
          </cell>
          <cell r="HH81">
            <v>0</v>
          </cell>
          <cell r="HI81">
            <v>-1</v>
          </cell>
          <cell r="HJ81" t="str">
            <v>S</v>
          </cell>
          <cell r="HK81" t="str">
            <v>Swim¹</v>
          </cell>
          <cell r="HL81" t="str">
            <v>STR**</v>
          </cell>
          <cell r="HN81" t="str">
            <v/>
          </cell>
          <cell r="HO81" t="str">
            <v/>
          </cell>
          <cell r="HP81" t="str">
            <v/>
          </cell>
          <cell r="HQ81" t="str">
            <v/>
          </cell>
          <cell r="HR81" t="str">
            <v/>
          </cell>
          <cell r="HS81" t="str">
            <v/>
          </cell>
          <cell r="HT81" t="str">
            <v/>
          </cell>
          <cell r="HZ81" t="str">
            <v/>
          </cell>
          <cell r="IA81" t="str">
            <v>Swim</v>
          </cell>
          <cell r="IB81" t="str">
            <v>PH</v>
          </cell>
          <cell r="IE81" t="str">
            <v>STR</v>
          </cell>
          <cell r="IF81" t="b">
            <v>1</v>
          </cell>
        </row>
        <row r="82">
          <cell r="A82" t="str">
            <v>Tumble</v>
          </cell>
          <cell r="F82">
            <v>0</v>
          </cell>
          <cell r="HE82">
            <v>24</v>
          </cell>
          <cell r="HF82">
            <v>0</v>
          </cell>
          <cell r="HG82">
            <v>-1</v>
          </cell>
          <cell r="HH82">
            <v>0</v>
          </cell>
          <cell r="HI82">
            <v>-1</v>
          </cell>
          <cell r="HJ82" t="str">
            <v>S</v>
          </cell>
          <cell r="HK82" t="str">
            <v>Tumble</v>
          </cell>
          <cell r="HL82" t="str">
            <v>DEX*</v>
          </cell>
          <cell r="HN82" t="str">
            <v/>
          </cell>
          <cell r="HO82" t="str">
            <v/>
          </cell>
          <cell r="HP82" t="str">
            <v/>
          </cell>
          <cell r="HQ82" t="str">
            <v/>
          </cell>
          <cell r="HR82" t="str">
            <v/>
          </cell>
          <cell r="HS82" t="str">
            <v/>
          </cell>
          <cell r="HT82" t="str">
            <v/>
          </cell>
          <cell r="HZ82" t="str">
            <v/>
          </cell>
          <cell r="IA82" t="str">
            <v>Tumble</v>
          </cell>
          <cell r="IB82" t="str">
            <v>PH</v>
          </cell>
          <cell r="IE82" t="str">
            <v>DEX</v>
          </cell>
          <cell r="IF82" t="b">
            <v>1</v>
          </cell>
        </row>
        <row r="83">
          <cell r="A83" t="str">
            <v>Use Magic Device</v>
          </cell>
          <cell r="F83">
            <v>0</v>
          </cell>
          <cell r="HE83">
            <v>24</v>
          </cell>
          <cell r="HF83">
            <v>0</v>
          </cell>
          <cell r="HG83">
            <v>-2</v>
          </cell>
          <cell r="HH83">
            <v>0</v>
          </cell>
          <cell r="HI83">
            <v>-2</v>
          </cell>
          <cell r="HJ83" t="str">
            <v>S</v>
          </cell>
          <cell r="HK83" t="str">
            <v>Use Magic Device</v>
          </cell>
          <cell r="HL83" t="str">
            <v>CHA</v>
          </cell>
          <cell r="HN83" t="str">
            <v/>
          </cell>
          <cell r="HO83" t="str">
            <v/>
          </cell>
          <cell r="HP83" t="str">
            <v/>
          </cell>
          <cell r="HQ83" t="str">
            <v/>
          </cell>
          <cell r="HR83" t="str">
            <v/>
          </cell>
          <cell r="HS83" t="str">
            <v/>
          </cell>
          <cell r="HT83" t="str">
            <v/>
          </cell>
          <cell r="HZ83" t="str">
            <v/>
          </cell>
          <cell r="IA83" t="str">
            <v>Use Magic Device</v>
          </cell>
          <cell r="IB83" t="str">
            <v>PH</v>
          </cell>
          <cell r="IE83" t="str">
            <v>CHA</v>
          </cell>
          <cell r="IF83" t="b">
            <v>1</v>
          </cell>
        </row>
        <row r="84">
          <cell r="A84" t="str">
            <v>Use Psionic Device</v>
          </cell>
          <cell r="F84">
            <v>0</v>
          </cell>
          <cell r="HE84">
            <v>24</v>
          </cell>
          <cell r="HF84">
            <v>0</v>
          </cell>
          <cell r="HG84">
            <v>-2</v>
          </cell>
          <cell r="HH84">
            <v>0</v>
          </cell>
          <cell r="HI84">
            <v>-2</v>
          </cell>
          <cell r="HJ84" t="str">
            <v/>
          </cell>
          <cell r="HK84" t="str">
            <v/>
          </cell>
          <cell r="HL84" t="str">
            <v>CHA</v>
          </cell>
          <cell r="HN84" t="str">
            <v/>
          </cell>
          <cell r="HO84" t="str">
            <v/>
          </cell>
          <cell r="HP84" t="str">
            <v/>
          </cell>
          <cell r="HQ84" t="str">
            <v/>
          </cell>
          <cell r="HR84" t="str">
            <v/>
          </cell>
          <cell r="HS84" t="str">
            <v/>
          </cell>
          <cell r="HT84" t="str">
            <v/>
          </cell>
          <cell r="HZ84" t="str">
            <v/>
          </cell>
          <cell r="IA84" t="str">
            <v>Use Psionic Device</v>
          </cell>
          <cell r="IB84" t="str">
            <v>XPH</v>
          </cell>
          <cell r="IC84">
            <v>38</v>
          </cell>
          <cell r="IE84" t="str">
            <v>CHA</v>
          </cell>
          <cell r="IF84" t="b">
            <v>0</v>
          </cell>
        </row>
        <row r="85">
          <cell r="A85" t="str">
            <v>Use Rope¹</v>
          </cell>
          <cell r="F85">
            <v>0</v>
          </cell>
          <cell r="HE85">
            <v>25</v>
          </cell>
          <cell r="HF85">
            <v>0</v>
          </cell>
          <cell r="HG85">
            <v>-1</v>
          </cell>
          <cell r="HH85">
            <v>0</v>
          </cell>
          <cell r="HI85">
            <v>-1</v>
          </cell>
          <cell r="HJ85" t="str">
            <v>S</v>
          </cell>
          <cell r="HK85" t="str">
            <v>Use Rope¹</v>
          </cell>
          <cell r="HL85" t="str">
            <v>DEX</v>
          </cell>
          <cell r="HN85" t="str">
            <v/>
          </cell>
          <cell r="HO85" t="str">
            <v/>
          </cell>
          <cell r="HP85" t="str">
            <v/>
          </cell>
          <cell r="HQ85" t="str">
            <v/>
          </cell>
          <cell r="HR85" t="str">
            <v/>
          </cell>
          <cell r="HS85" t="str">
            <v/>
          </cell>
          <cell r="HT85" t="str">
            <v/>
          </cell>
          <cell r="HZ85" t="str">
            <v/>
          </cell>
          <cell r="IA85" t="str">
            <v>Use Rope</v>
          </cell>
          <cell r="IB85" t="str">
            <v>PH</v>
          </cell>
          <cell r="IE85" t="str">
            <v>DEX</v>
          </cell>
          <cell r="IF85" t="b">
            <v>1</v>
          </cell>
        </row>
      </sheetData>
      <sheetData sheetId="29">
        <row r="3">
          <cell r="G3">
            <v>0</v>
          </cell>
        </row>
        <row r="5">
          <cell r="R5" t="str">
            <v/>
          </cell>
          <cell r="S5" t="str">
            <v/>
          </cell>
        </row>
        <row r="6">
          <cell r="O6">
            <v>0</v>
          </cell>
        </row>
        <row r="14">
          <cell r="O14">
            <v>0</v>
          </cell>
        </row>
        <row r="28">
          <cell r="O28">
            <v>0</v>
          </cell>
        </row>
        <row r="37">
          <cell r="O37">
            <v>0</v>
          </cell>
        </row>
      </sheetData>
      <sheetData sheetId="30">
        <row r="3">
          <cell r="O3">
            <v>2</v>
          </cell>
        </row>
        <row r="5">
          <cell r="R5" t="str">
            <v>Common</v>
          </cell>
        </row>
        <row r="6">
          <cell r="R6" t="str">
            <v>Dwarven</v>
          </cell>
        </row>
        <row r="7">
          <cell r="H7" t="b">
            <v>0</v>
          </cell>
          <cell r="R7" t="str">
            <v/>
          </cell>
        </row>
        <row r="8">
          <cell r="H8" t="b">
            <v>0</v>
          </cell>
          <cell r="R8" t="str">
            <v/>
          </cell>
        </row>
        <row r="9">
          <cell r="R9" t="str">
            <v/>
          </cell>
        </row>
        <row r="10">
          <cell r="H10" t="b">
            <v>0</v>
          </cell>
          <cell r="R10" t="str">
            <v/>
          </cell>
        </row>
        <row r="11">
          <cell r="R11" t="str">
            <v/>
          </cell>
        </row>
        <row r="12">
          <cell r="R12" t="str">
            <v/>
          </cell>
        </row>
        <row r="13">
          <cell r="R13" t="str">
            <v/>
          </cell>
        </row>
        <row r="14">
          <cell r="R14" t="str">
            <v/>
          </cell>
        </row>
        <row r="15">
          <cell r="R15" t="str">
            <v/>
          </cell>
        </row>
        <row r="16">
          <cell r="H16" t="b">
            <v>0</v>
          </cell>
          <cell r="R16" t="str">
            <v/>
          </cell>
        </row>
        <row r="17">
          <cell r="R17" t="str">
            <v/>
          </cell>
        </row>
        <row r="18">
          <cell r="R18" t="str">
            <v/>
          </cell>
        </row>
        <row r="19">
          <cell r="R19" t="str">
            <v/>
          </cell>
        </row>
        <row r="20">
          <cell r="R20" t="str">
            <v/>
          </cell>
        </row>
        <row r="21">
          <cell r="H21" t="b">
            <v>0</v>
          </cell>
          <cell r="R21" t="str">
            <v/>
          </cell>
        </row>
        <row r="22">
          <cell r="H22" t="b">
            <v>0</v>
          </cell>
          <cell r="R22" t="str">
            <v/>
          </cell>
        </row>
        <row r="23">
          <cell r="R23" t="str">
            <v/>
          </cell>
        </row>
        <row r="24">
          <cell r="R24" t="str">
            <v/>
          </cell>
        </row>
        <row r="25">
          <cell r="H25" t="b">
            <v>0</v>
          </cell>
          <cell r="R25" t="str">
            <v/>
          </cell>
        </row>
        <row r="26">
          <cell r="R26" t="str">
            <v/>
          </cell>
        </row>
        <row r="27">
          <cell r="N27" t="b">
            <v>0</v>
          </cell>
          <cell r="R27" t="str">
            <v/>
          </cell>
        </row>
        <row r="28">
          <cell r="R28" t="str">
            <v/>
          </cell>
        </row>
        <row r="29">
          <cell r="R29" t="str">
            <v/>
          </cell>
        </row>
        <row r="30">
          <cell r="R30" t="str">
            <v/>
          </cell>
        </row>
        <row r="31">
          <cell r="R31" t="str">
            <v/>
          </cell>
        </row>
        <row r="32">
          <cell r="R32" t="str">
            <v/>
          </cell>
        </row>
        <row r="33">
          <cell r="R33" t="str">
            <v/>
          </cell>
        </row>
        <row r="34">
          <cell r="R34" t="str">
            <v/>
          </cell>
        </row>
        <row r="35">
          <cell r="R35" t="str">
            <v/>
          </cell>
        </row>
        <row r="36">
          <cell r="R36" t="str">
            <v/>
          </cell>
        </row>
        <row r="37">
          <cell r="R37" t="str">
            <v/>
          </cell>
        </row>
        <row r="38">
          <cell r="R38" t="str">
            <v/>
          </cell>
        </row>
        <row r="39">
          <cell r="R39" t="str">
            <v/>
          </cell>
        </row>
        <row r="40">
          <cell r="R40" t="str">
            <v/>
          </cell>
        </row>
        <row r="41">
          <cell r="R41" t="str">
            <v/>
          </cell>
        </row>
        <row r="42">
          <cell r="R42" t="str">
            <v/>
          </cell>
        </row>
        <row r="43">
          <cell r="R43" t="str">
            <v/>
          </cell>
        </row>
        <row r="44">
          <cell r="R44" t="str">
            <v/>
          </cell>
        </row>
        <row r="45">
          <cell r="R45" t="str">
            <v/>
          </cell>
        </row>
        <row r="46">
          <cell r="R46" t="str">
            <v/>
          </cell>
        </row>
        <row r="47">
          <cell r="R47" t="str">
            <v/>
          </cell>
        </row>
        <row r="48">
          <cell r="R48" t="str">
            <v/>
          </cell>
        </row>
        <row r="49">
          <cell r="R49" t="str">
            <v/>
          </cell>
        </row>
        <row r="50">
          <cell r="R50" t="str">
            <v/>
          </cell>
        </row>
        <row r="51">
          <cell r="R51" t="str">
            <v/>
          </cell>
        </row>
        <row r="52">
          <cell r="R52" t="str">
            <v/>
          </cell>
        </row>
        <row r="53">
          <cell r="R53" t="str">
            <v/>
          </cell>
        </row>
        <row r="54">
          <cell r="R54" t="str">
            <v/>
          </cell>
        </row>
        <row r="55">
          <cell r="R55" t="str">
            <v/>
          </cell>
        </row>
        <row r="56">
          <cell r="R56" t="str">
            <v/>
          </cell>
        </row>
        <row r="57">
          <cell r="R57" t="str">
            <v/>
          </cell>
        </row>
        <row r="58">
          <cell r="R58" t="str">
            <v/>
          </cell>
        </row>
        <row r="59">
          <cell r="R59" t="str">
            <v/>
          </cell>
        </row>
        <row r="60">
          <cell r="R60" t="str">
            <v/>
          </cell>
        </row>
        <row r="61">
          <cell r="R61" t="str">
            <v/>
          </cell>
        </row>
        <row r="62">
          <cell r="R62" t="str">
            <v/>
          </cell>
        </row>
        <row r="63">
          <cell r="R63" t="str">
            <v/>
          </cell>
        </row>
        <row r="64">
          <cell r="R64" t="str">
            <v/>
          </cell>
        </row>
        <row r="65">
          <cell r="R65" t="str">
            <v/>
          </cell>
        </row>
        <row r="66">
          <cell r="R66" t="str">
            <v/>
          </cell>
        </row>
        <row r="67">
          <cell r="R67" t="str">
            <v/>
          </cell>
        </row>
        <row r="68">
          <cell r="R68" t="str">
            <v/>
          </cell>
        </row>
        <row r="69">
          <cell r="R69" t="str">
            <v/>
          </cell>
        </row>
        <row r="70">
          <cell r="R70" t="str">
            <v/>
          </cell>
        </row>
        <row r="71">
          <cell r="R71" t="str">
            <v/>
          </cell>
        </row>
        <row r="72">
          <cell r="R72" t="str">
            <v/>
          </cell>
        </row>
        <row r="73">
          <cell r="R73" t="str">
            <v/>
          </cell>
        </row>
        <row r="74">
          <cell r="R74" t="str">
            <v/>
          </cell>
        </row>
        <row r="75">
          <cell r="R75" t="str">
            <v/>
          </cell>
        </row>
        <row r="76">
          <cell r="R76" t="str">
            <v/>
          </cell>
        </row>
        <row r="77">
          <cell r="R77" t="str">
            <v/>
          </cell>
        </row>
        <row r="78">
          <cell r="R78" t="str">
            <v/>
          </cell>
        </row>
        <row r="79">
          <cell r="R79" t="str">
            <v/>
          </cell>
        </row>
        <row r="80">
          <cell r="R80" t="str">
            <v/>
          </cell>
        </row>
        <row r="81">
          <cell r="R81" t="str">
            <v/>
          </cell>
        </row>
        <row r="82">
          <cell r="R82" t="str">
            <v/>
          </cell>
        </row>
        <row r="83">
          <cell r="R83" t="str">
            <v/>
          </cell>
        </row>
        <row r="84">
          <cell r="R84" t="str">
            <v/>
          </cell>
        </row>
        <row r="85">
          <cell r="R85" t="str">
            <v/>
          </cell>
        </row>
        <row r="86">
          <cell r="R86" t="str">
            <v/>
          </cell>
        </row>
        <row r="87">
          <cell r="R87" t="str">
            <v/>
          </cell>
        </row>
        <row r="88">
          <cell r="R88" t="str">
            <v/>
          </cell>
        </row>
        <row r="89">
          <cell r="R89" t="str">
            <v/>
          </cell>
        </row>
        <row r="90">
          <cell r="R90" t="str">
            <v/>
          </cell>
        </row>
        <row r="91">
          <cell r="R91" t="str">
            <v/>
          </cell>
        </row>
        <row r="92">
          <cell r="R92" t="str">
            <v/>
          </cell>
        </row>
        <row r="93">
          <cell r="R93" t="str">
            <v/>
          </cell>
        </row>
        <row r="94">
          <cell r="R94" t="str">
            <v/>
          </cell>
        </row>
        <row r="95">
          <cell r="R95" t="str">
            <v/>
          </cell>
        </row>
        <row r="96">
          <cell r="R96" t="str">
            <v/>
          </cell>
        </row>
        <row r="97">
          <cell r="R97" t="str">
            <v/>
          </cell>
        </row>
        <row r="98">
          <cell r="R98" t="str">
            <v/>
          </cell>
        </row>
        <row r="99">
          <cell r="R99" t="str">
            <v/>
          </cell>
        </row>
        <row r="100">
          <cell r="R100" t="str">
            <v/>
          </cell>
        </row>
        <row r="101">
          <cell r="R101" t="str">
            <v/>
          </cell>
        </row>
        <row r="102">
          <cell r="R102" t="str">
            <v/>
          </cell>
        </row>
        <row r="103">
          <cell r="R103" t="str">
            <v/>
          </cell>
        </row>
        <row r="104">
          <cell r="R104" t="str">
            <v/>
          </cell>
        </row>
        <row r="105">
          <cell r="R105" t="str">
            <v/>
          </cell>
        </row>
        <row r="106">
          <cell r="R106" t="str">
            <v/>
          </cell>
        </row>
        <row r="107">
          <cell r="R107" t="str">
            <v/>
          </cell>
        </row>
        <row r="108">
          <cell r="R108" t="str">
            <v/>
          </cell>
        </row>
        <row r="109">
          <cell r="R109" t="str">
            <v/>
          </cell>
        </row>
        <row r="110">
          <cell r="R110" t="str">
            <v/>
          </cell>
        </row>
        <row r="111">
          <cell r="R111" t="str">
            <v/>
          </cell>
        </row>
        <row r="112">
          <cell r="R112" t="str">
            <v/>
          </cell>
        </row>
        <row r="113">
          <cell r="R113" t="str">
            <v/>
          </cell>
        </row>
        <row r="114">
          <cell r="R114" t="str">
            <v/>
          </cell>
        </row>
        <row r="115">
          <cell r="R115" t="str">
            <v/>
          </cell>
        </row>
        <row r="116">
          <cell r="R116" t="str">
            <v/>
          </cell>
        </row>
        <row r="117">
          <cell r="R117" t="str">
            <v/>
          </cell>
        </row>
        <row r="118">
          <cell r="R118" t="str">
            <v/>
          </cell>
        </row>
        <row r="119">
          <cell r="R119" t="str">
            <v/>
          </cell>
        </row>
        <row r="120">
          <cell r="R120" t="str">
            <v/>
          </cell>
        </row>
        <row r="121">
          <cell r="R121" t="str">
            <v/>
          </cell>
        </row>
        <row r="122">
          <cell r="R122" t="str">
            <v/>
          </cell>
        </row>
        <row r="123">
          <cell r="R123" t="str">
            <v/>
          </cell>
        </row>
        <row r="124">
          <cell r="R124" t="str">
            <v/>
          </cell>
        </row>
        <row r="125">
          <cell r="R125" t="str">
            <v/>
          </cell>
        </row>
        <row r="126">
          <cell r="R126" t="str">
            <v/>
          </cell>
        </row>
        <row r="127">
          <cell r="R127" t="str">
            <v/>
          </cell>
        </row>
        <row r="128">
          <cell r="R128" t="str">
            <v/>
          </cell>
        </row>
        <row r="129">
          <cell r="R129" t="str">
            <v/>
          </cell>
        </row>
        <row r="130">
          <cell r="R130" t="str">
            <v/>
          </cell>
        </row>
        <row r="131">
          <cell r="R131" t="str">
            <v/>
          </cell>
        </row>
        <row r="132">
          <cell r="R132" t="str">
            <v/>
          </cell>
        </row>
        <row r="133">
          <cell r="R133" t="str">
            <v/>
          </cell>
        </row>
        <row r="134">
          <cell r="R134" t="str">
            <v/>
          </cell>
        </row>
        <row r="135">
          <cell r="R135" t="str">
            <v/>
          </cell>
        </row>
        <row r="136">
          <cell r="R136" t="str">
            <v/>
          </cell>
        </row>
        <row r="137">
          <cell r="R137" t="str">
            <v/>
          </cell>
        </row>
        <row r="138">
          <cell r="R138" t="str">
            <v/>
          </cell>
        </row>
        <row r="139">
          <cell r="R139" t="str">
            <v/>
          </cell>
        </row>
        <row r="140">
          <cell r="R140" t="str">
            <v/>
          </cell>
        </row>
        <row r="141">
          <cell r="R141" t="str">
            <v/>
          </cell>
        </row>
        <row r="142">
          <cell r="R142" t="str">
            <v/>
          </cell>
        </row>
        <row r="143">
          <cell r="R143" t="str">
            <v/>
          </cell>
        </row>
        <row r="144">
          <cell r="R144" t="str">
            <v/>
          </cell>
        </row>
        <row r="145">
          <cell r="R145" t="str">
            <v/>
          </cell>
        </row>
        <row r="146">
          <cell r="R146" t="str">
            <v/>
          </cell>
        </row>
        <row r="147">
          <cell r="R147" t="str">
            <v/>
          </cell>
        </row>
        <row r="148">
          <cell r="R148" t="str">
            <v/>
          </cell>
        </row>
        <row r="149">
          <cell r="R149" t="str">
            <v/>
          </cell>
        </row>
        <row r="150">
          <cell r="R150" t="str">
            <v/>
          </cell>
        </row>
        <row r="151">
          <cell r="R151" t="str">
            <v/>
          </cell>
        </row>
        <row r="152">
          <cell r="R152" t="str">
            <v/>
          </cell>
        </row>
        <row r="153">
          <cell r="R153" t="str">
            <v/>
          </cell>
        </row>
        <row r="154">
          <cell r="R154" t="str">
            <v/>
          </cell>
        </row>
        <row r="155">
          <cell r="R155" t="str">
            <v/>
          </cell>
        </row>
        <row r="156">
          <cell r="R156" t="str">
            <v/>
          </cell>
        </row>
        <row r="157">
          <cell r="R157" t="str">
            <v/>
          </cell>
        </row>
        <row r="158">
          <cell r="R158" t="str">
            <v/>
          </cell>
        </row>
        <row r="159">
          <cell r="R159" t="str">
            <v/>
          </cell>
        </row>
        <row r="160">
          <cell r="R160" t="str">
            <v/>
          </cell>
        </row>
        <row r="161">
          <cell r="R161" t="str">
            <v/>
          </cell>
        </row>
        <row r="162">
          <cell r="R162" t="str">
            <v/>
          </cell>
        </row>
        <row r="163">
          <cell r="R163" t="str">
            <v/>
          </cell>
        </row>
        <row r="164">
          <cell r="R164" t="str">
            <v/>
          </cell>
        </row>
        <row r="165">
          <cell r="R165" t="str">
            <v/>
          </cell>
        </row>
        <row r="166">
          <cell r="R166" t="str">
            <v/>
          </cell>
        </row>
        <row r="167">
          <cell r="R167" t="str">
            <v/>
          </cell>
        </row>
        <row r="168">
          <cell r="R168" t="str">
            <v/>
          </cell>
        </row>
        <row r="169">
          <cell r="R169" t="str">
            <v/>
          </cell>
        </row>
        <row r="170">
          <cell r="R170" t="str">
            <v/>
          </cell>
        </row>
        <row r="171">
          <cell r="R171" t="str">
            <v/>
          </cell>
        </row>
        <row r="172">
          <cell r="R172" t="str">
            <v/>
          </cell>
        </row>
        <row r="173">
          <cell r="R173" t="str">
            <v/>
          </cell>
        </row>
        <row r="174">
          <cell r="R174" t="str">
            <v/>
          </cell>
        </row>
        <row r="175">
          <cell r="R175" t="str">
            <v/>
          </cell>
        </row>
        <row r="176">
          <cell r="R176" t="str">
            <v/>
          </cell>
        </row>
        <row r="177">
          <cell r="R177" t="str">
            <v/>
          </cell>
        </row>
        <row r="178">
          <cell r="R178" t="str">
            <v/>
          </cell>
        </row>
        <row r="179">
          <cell r="R179" t="str">
            <v/>
          </cell>
        </row>
        <row r="180">
          <cell r="R180" t="str">
            <v/>
          </cell>
        </row>
        <row r="181">
          <cell r="R181" t="str">
            <v/>
          </cell>
        </row>
        <row r="182">
          <cell r="R182" t="str">
            <v/>
          </cell>
        </row>
        <row r="183">
          <cell r="R183" t="str">
            <v/>
          </cell>
        </row>
      </sheetData>
      <sheetData sheetId="31">
        <row r="1">
          <cell r="G1">
            <v>0</v>
          </cell>
        </row>
        <row r="4">
          <cell r="H4">
            <v>0</v>
          </cell>
          <cell r="I4">
            <v>0</v>
          </cell>
          <cell r="J4">
            <v>0</v>
          </cell>
          <cell r="K4">
            <v>0</v>
          </cell>
          <cell r="L4">
            <v>0</v>
          </cell>
          <cell r="M4">
            <v>0</v>
          </cell>
          <cell r="N4">
            <v>0</v>
          </cell>
          <cell r="AC4" t="str">
            <v/>
          </cell>
        </row>
        <row r="67">
          <cell r="E67" t="b">
            <v>0</v>
          </cell>
        </row>
      </sheetData>
      <sheetData sheetId="32">
        <row r="2">
          <cell r="E2">
            <v>0</v>
          </cell>
        </row>
        <row r="3">
          <cell r="N3" t="str">
            <v/>
          </cell>
          <cell r="O3" t="str">
            <v/>
          </cell>
        </row>
        <row r="4">
          <cell r="E4" t="b">
            <v>0</v>
          </cell>
          <cell r="F4" t="b">
            <v>0</v>
          </cell>
        </row>
        <row r="5">
          <cell r="E5" t="b">
            <v>0</v>
          </cell>
          <cell r="F5" t="b">
            <v>0</v>
          </cell>
        </row>
        <row r="6">
          <cell r="E6" t="b">
            <v>0</v>
          </cell>
          <cell r="F6" t="b">
            <v>0</v>
          </cell>
        </row>
        <row r="7">
          <cell r="E7" t="b">
            <v>0</v>
          </cell>
          <cell r="F7" t="b">
            <v>0</v>
          </cell>
        </row>
        <row r="8">
          <cell r="E8" t="b">
            <v>0</v>
          </cell>
          <cell r="F8" t="b">
            <v>0</v>
          </cell>
        </row>
        <row r="9">
          <cell r="E9" t="b">
            <v>0</v>
          </cell>
          <cell r="F9" t="b">
            <v>0</v>
          </cell>
        </row>
        <row r="10">
          <cell r="E10" t="b">
            <v>0</v>
          </cell>
          <cell r="F10" t="b">
            <v>0</v>
          </cell>
        </row>
        <row r="11">
          <cell r="E11" t="b">
            <v>0</v>
          </cell>
          <cell r="F11" t="b">
            <v>0</v>
          </cell>
        </row>
        <row r="12">
          <cell r="E12" t="b">
            <v>0</v>
          </cell>
          <cell r="F12" t="b">
            <v>0</v>
          </cell>
        </row>
        <row r="13">
          <cell r="E13" t="b">
            <v>0</v>
          </cell>
          <cell r="F13" t="b">
            <v>0</v>
          </cell>
        </row>
        <row r="14">
          <cell r="E14" t="b">
            <v>0</v>
          </cell>
          <cell r="F14" t="b">
            <v>0</v>
          </cell>
        </row>
        <row r="15">
          <cell r="E15" t="b">
            <v>0</v>
          </cell>
          <cell r="F15" t="b">
            <v>0</v>
          </cell>
        </row>
        <row r="16">
          <cell r="E16" t="b">
            <v>0</v>
          </cell>
          <cell r="F16" t="b">
            <v>0</v>
          </cell>
        </row>
        <row r="17">
          <cell r="E17" t="b">
            <v>0</v>
          </cell>
          <cell r="F17" t="b">
            <v>0</v>
          </cell>
        </row>
        <row r="18">
          <cell r="E18" t="b">
            <v>0</v>
          </cell>
          <cell r="F18" t="b">
            <v>0</v>
          </cell>
        </row>
        <row r="19">
          <cell r="G19" t="str">
            <v/>
          </cell>
        </row>
        <row r="21">
          <cell r="E21" t="b">
            <v>0</v>
          </cell>
          <cell r="F21" t="b">
            <v>0</v>
          </cell>
        </row>
        <row r="22">
          <cell r="E22" t="b">
            <v>0</v>
          </cell>
          <cell r="F22" t="b">
            <v>0</v>
          </cell>
        </row>
        <row r="23">
          <cell r="E23" t="b">
            <v>0</v>
          </cell>
          <cell r="F23" t="b">
            <v>0</v>
          </cell>
        </row>
        <row r="24">
          <cell r="E24" t="b">
            <v>0</v>
          </cell>
          <cell r="F24" t="b">
            <v>0</v>
          </cell>
        </row>
        <row r="25">
          <cell r="E25" t="b">
            <v>0</v>
          </cell>
          <cell r="F25" t="b">
            <v>0</v>
          </cell>
        </row>
        <row r="26">
          <cell r="F26">
            <v>0</v>
          </cell>
        </row>
        <row r="27">
          <cell r="E27" t="b">
            <v>0</v>
          </cell>
          <cell r="F27" t="b">
            <v>0</v>
          </cell>
        </row>
        <row r="28">
          <cell r="E28" t="b">
            <v>0</v>
          </cell>
          <cell r="F28" t="b">
            <v>0</v>
          </cell>
        </row>
        <row r="29">
          <cell r="E29" t="b">
            <v>0</v>
          </cell>
          <cell r="F29" t="b">
            <v>0</v>
          </cell>
        </row>
        <row r="30">
          <cell r="E30" t="b">
            <v>0</v>
          </cell>
          <cell r="F30" t="b">
            <v>0</v>
          </cell>
        </row>
        <row r="31">
          <cell r="E31" t="b">
            <v>0</v>
          </cell>
          <cell r="F31" t="b">
            <v>0</v>
          </cell>
        </row>
        <row r="32">
          <cell r="E32" t="b">
            <v>0</v>
          </cell>
        </row>
        <row r="33">
          <cell r="E33" t="b">
            <v>0</v>
          </cell>
          <cell r="F33" t="b">
            <v>0</v>
          </cell>
        </row>
        <row r="34">
          <cell r="E34" t="b">
            <v>0</v>
          </cell>
          <cell r="F34" t="b">
            <v>0</v>
          </cell>
        </row>
        <row r="35">
          <cell r="E35" t="b">
            <v>0</v>
          </cell>
        </row>
        <row r="36">
          <cell r="E36" t="b">
            <v>0</v>
          </cell>
          <cell r="F36" t="b">
            <v>0</v>
          </cell>
        </row>
        <row r="37">
          <cell r="E37" t="b">
            <v>0</v>
          </cell>
          <cell r="F37" t="b">
            <v>0</v>
          </cell>
        </row>
        <row r="39">
          <cell r="E39" t="b">
            <v>0</v>
          </cell>
          <cell r="F39" t="b">
            <v>0</v>
          </cell>
        </row>
        <row r="41">
          <cell r="E41" t="b">
            <v>0</v>
          </cell>
          <cell r="F41" t="b">
            <v>0</v>
          </cell>
        </row>
        <row r="42">
          <cell r="E42" t="b">
            <v>0</v>
          </cell>
          <cell r="F42" t="b">
            <v>0</v>
          </cell>
        </row>
        <row r="43">
          <cell r="E43" t="b">
            <v>0</v>
          </cell>
          <cell r="F43" t="b">
            <v>0</v>
          </cell>
        </row>
        <row r="44">
          <cell r="E44" t="b">
            <v>0</v>
          </cell>
          <cell r="F44" t="b">
            <v>0</v>
          </cell>
        </row>
        <row r="45">
          <cell r="E45" t="b">
            <v>0</v>
          </cell>
        </row>
        <row r="46">
          <cell r="E46" t="b">
            <v>0</v>
          </cell>
        </row>
        <row r="47">
          <cell r="E47" t="b">
            <v>0</v>
          </cell>
        </row>
        <row r="48">
          <cell r="E48" t="b">
            <v>0</v>
          </cell>
        </row>
        <row r="49">
          <cell r="E49" t="b">
            <v>0</v>
          </cell>
        </row>
      </sheetData>
      <sheetData sheetId="33">
        <row r="3">
          <cell r="E3">
            <v>0</v>
          </cell>
        </row>
        <row r="4">
          <cell r="K4" t="str">
            <v/>
          </cell>
          <cell r="L4" t="str">
            <v/>
          </cell>
        </row>
        <row r="5">
          <cell r="E5" t="b">
            <v>0</v>
          </cell>
          <cell r="F5" t="b">
            <v>0</v>
          </cell>
        </row>
        <row r="6">
          <cell r="E6" t="b">
            <v>0</v>
          </cell>
          <cell r="F6" t="b">
            <v>0</v>
          </cell>
        </row>
        <row r="7">
          <cell r="E7" t="b">
            <v>0</v>
          </cell>
          <cell r="F7" t="b">
            <v>0</v>
          </cell>
        </row>
        <row r="8">
          <cell r="E8" t="b">
            <v>0</v>
          </cell>
          <cell r="F8" t="b">
            <v>0</v>
          </cell>
        </row>
        <row r="9">
          <cell r="E9" t="b">
            <v>0</v>
          </cell>
        </row>
        <row r="10">
          <cell r="E10" t="b">
            <v>0</v>
          </cell>
          <cell r="F10" t="b">
            <v>0</v>
          </cell>
        </row>
        <row r="11">
          <cell r="E11" t="b">
            <v>0</v>
          </cell>
        </row>
        <row r="12">
          <cell r="E12" t="b">
            <v>0</v>
          </cell>
          <cell r="F12" t="b">
            <v>0</v>
          </cell>
        </row>
        <row r="13">
          <cell r="E13" t="b">
            <v>0</v>
          </cell>
          <cell r="F13" t="b">
            <v>0</v>
          </cell>
        </row>
        <row r="14">
          <cell r="E14" t="b">
            <v>0</v>
          </cell>
        </row>
        <row r="15">
          <cell r="E15" t="b">
            <v>0</v>
          </cell>
          <cell r="F15" t="b">
            <v>0</v>
          </cell>
        </row>
        <row r="16">
          <cell r="E16" t="b">
            <v>0</v>
          </cell>
          <cell r="F16" t="b">
            <v>0</v>
          </cell>
        </row>
        <row r="17">
          <cell r="E17" t="b">
            <v>0</v>
          </cell>
          <cell r="F17" t="b">
            <v>0</v>
          </cell>
        </row>
        <row r="18">
          <cell r="E18" t="b">
            <v>0</v>
          </cell>
        </row>
        <row r="19">
          <cell r="E19" t="b">
            <v>0</v>
          </cell>
        </row>
        <row r="20">
          <cell r="E20" t="b">
            <v>0</v>
          </cell>
        </row>
        <row r="21">
          <cell r="E21" t="b">
            <v>0</v>
          </cell>
        </row>
        <row r="22">
          <cell r="E22" t="b">
            <v>0</v>
          </cell>
        </row>
      </sheetData>
      <sheetData sheetId="34">
        <row r="1">
          <cell r="Y1" t="b">
            <v>0</v>
          </cell>
        </row>
        <row r="6">
          <cell r="X6">
            <v>0</v>
          </cell>
          <cell r="AE6">
            <v>0</v>
          </cell>
          <cell r="AP6" t="str">
            <v/>
          </cell>
          <cell r="AQ6" t="str">
            <v/>
          </cell>
          <cell r="AR6" t="str">
            <v/>
          </cell>
          <cell r="AS6" t="str">
            <v/>
          </cell>
          <cell r="AX6" t="str">
            <v/>
          </cell>
          <cell r="AY6" t="str">
            <v/>
          </cell>
          <cell r="AZ6" t="str">
            <v/>
          </cell>
          <cell r="BA6" t="str">
            <v/>
          </cell>
          <cell r="BB6" t="str">
            <v/>
          </cell>
          <cell r="BC6" t="str">
            <v/>
          </cell>
        </row>
        <row r="7">
          <cell r="X7">
            <v>0</v>
          </cell>
          <cell r="Z7" t="str">
            <v>Select Class</v>
          </cell>
          <cell r="AD7" t="str">
            <v>None</v>
          </cell>
          <cell r="BJ7">
            <v>0</v>
          </cell>
          <cell r="BN7">
            <v>0</v>
          </cell>
          <cell r="BO7" t="str">
            <v>Select Class</v>
          </cell>
        </row>
        <row r="8">
          <cell r="Z8" t="str">
            <v>Select Class</v>
          </cell>
          <cell r="AD8" t="str">
            <v>None</v>
          </cell>
          <cell r="BJ8">
            <v>0</v>
          </cell>
          <cell r="BN8">
            <v>1</v>
          </cell>
          <cell r="BO8" t="str">
            <v>Crusader</v>
          </cell>
        </row>
        <row r="9">
          <cell r="Z9" t="str">
            <v>Select Class</v>
          </cell>
          <cell r="AD9" t="str">
            <v>None</v>
          </cell>
          <cell r="BJ9">
            <v>0</v>
          </cell>
          <cell r="BN9">
            <v>2</v>
          </cell>
          <cell r="BO9" t="str">
            <v>Swordsage</v>
          </cell>
        </row>
        <row r="10">
          <cell r="AA10" t="str">
            <v>Select Class</v>
          </cell>
          <cell r="AD10" t="str">
            <v>None</v>
          </cell>
          <cell r="BJ10">
            <v>1</v>
          </cell>
          <cell r="BN10">
            <v>3</v>
          </cell>
          <cell r="BO10" t="str">
            <v>Warblade</v>
          </cell>
        </row>
        <row r="11">
          <cell r="Z11" t="str">
            <v>Select Class</v>
          </cell>
          <cell r="AD11" t="str">
            <v>None</v>
          </cell>
          <cell r="BN11">
            <v>4</v>
          </cell>
          <cell r="BO11" t="str">
            <v>Other</v>
          </cell>
        </row>
        <row r="12">
          <cell r="Z12" t="str">
            <v>Select Class</v>
          </cell>
          <cell r="AD12" t="str">
            <v>None</v>
          </cell>
        </row>
        <row r="13">
          <cell r="Z13" t="str">
            <v>Select Class</v>
          </cell>
          <cell r="AD13" t="str">
            <v>None</v>
          </cell>
          <cell r="BJ13">
            <v>4</v>
          </cell>
        </row>
        <row r="14">
          <cell r="Z14" t="str">
            <v>Select Class</v>
          </cell>
          <cell r="AD14" t="str">
            <v>None</v>
          </cell>
          <cell r="BJ14">
            <v>5</v>
          </cell>
        </row>
        <row r="15">
          <cell r="Z15" t="str">
            <v>Select Class</v>
          </cell>
          <cell r="AD15" t="str">
            <v>None</v>
          </cell>
          <cell r="BJ15">
            <v>2</v>
          </cell>
        </row>
        <row r="16">
          <cell r="Z16" t="str">
            <v>Select Class</v>
          </cell>
          <cell r="AD16" t="str">
            <v>None</v>
          </cell>
          <cell r="BJ16">
            <v>0</v>
          </cell>
        </row>
        <row r="17">
          <cell r="Z17" t="str">
            <v>Select Class</v>
          </cell>
          <cell r="AD17" t="str">
            <v>None</v>
          </cell>
        </row>
        <row r="18">
          <cell r="AA18" t="str">
            <v>Select Class</v>
          </cell>
          <cell r="AD18" t="str">
            <v>None</v>
          </cell>
        </row>
        <row r="19">
          <cell r="Z19" t="str">
            <v>Select Class</v>
          </cell>
          <cell r="AD19" t="str">
            <v>None</v>
          </cell>
          <cell r="BJ19">
            <v>5</v>
          </cell>
        </row>
        <row r="20">
          <cell r="Z20" t="str">
            <v>Select Class</v>
          </cell>
          <cell r="AD20" t="str">
            <v>None</v>
          </cell>
          <cell r="BJ20">
            <v>4</v>
          </cell>
        </row>
        <row r="21">
          <cell r="Z21" t="str">
            <v>Select Class</v>
          </cell>
          <cell r="AD21" t="str">
            <v>None</v>
          </cell>
          <cell r="BJ21">
            <v>3</v>
          </cell>
        </row>
        <row r="22">
          <cell r="Z22" t="str">
            <v>Select Class</v>
          </cell>
          <cell r="AD22" t="str">
            <v>None</v>
          </cell>
          <cell r="BJ22">
            <v>0</v>
          </cell>
        </row>
        <row r="23">
          <cell r="Z23" t="str">
            <v>Select Class</v>
          </cell>
          <cell r="AD23" t="str">
            <v>None</v>
          </cell>
        </row>
        <row r="24">
          <cell r="Z24" t="str">
            <v>Select Class</v>
          </cell>
          <cell r="AD24" t="str">
            <v>None</v>
          </cell>
        </row>
        <row r="25">
          <cell r="Z25" t="str">
            <v>Select Class</v>
          </cell>
          <cell r="AD25" t="str">
            <v>None</v>
          </cell>
          <cell r="BJ25">
            <v>0</v>
          </cell>
        </row>
        <row r="26">
          <cell r="Z26" t="str">
            <v>Select Class</v>
          </cell>
          <cell r="AD26" t="str">
            <v>None</v>
          </cell>
          <cell r="BJ26">
            <v>0</v>
          </cell>
        </row>
        <row r="27">
          <cell r="AA27" t="str">
            <v>Select Class</v>
          </cell>
          <cell r="AD27" t="str">
            <v>None</v>
          </cell>
          <cell r="BJ27">
            <v>1</v>
          </cell>
        </row>
        <row r="28">
          <cell r="Z28" t="str">
            <v>Select Class</v>
          </cell>
          <cell r="AD28" t="str">
            <v>None</v>
          </cell>
          <cell r="BJ28">
            <v>0</v>
          </cell>
        </row>
        <row r="29">
          <cell r="Z29" t="str">
            <v>Select Class</v>
          </cell>
          <cell r="AD29" t="str">
            <v>None</v>
          </cell>
        </row>
        <row r="30">
          <cell r="Z30" t="str">
            <v>Select Class</v>
          </cell>
          <cell r="AD30" t="str">
            <v>None</v>
          </cell>
        </row>
        <row r="31">
          <cell r="AA31" t="str">
            <v>Select Class</v>
          </cell>
          <cell r="AD31" t="str">
            <v>None</v>
          </cell>
        </row>
        <row r="32">
          <cell r="Z32" t="str">
            <v>Select Class</v>
          </cell>
          <cell r="AD32" t="str">
            <v>None</v>
          </cell>
        </row>
        <row r="33">
          <cell r="Z33" t="str">
            <v>Select Class</v>
          </cell>
          <cell r="AD33" t="str">
            <v>None</v>
          </cell>
          <cell r="AE33">
            <v>14</v>
          </cell>
        </row>
        <row r="34">
          <cell r="AD34" t="str">
            <v>None</v>
          </cell>
        </row>
        <row r="35">
          <cell r="AD35" t="str">
            <v>None</v>
          </cell>
        </row>
        <row r="36">
          <cell r="X36">
            <v>0</v>
          </cell>
          <cell r="Z36" t="str">
            <v>Select Class</v>
          </cell>
          <cell r="AD36" t="str">
            <v>None</v>
          </cell>
          <cell r="AE36">
            <v>8</v>
          </cell>
        </row>
        <row r="37">
          <cell r="AA37" t="str">
            <v>Select Class</v>
          </cell>
          <cell r="AD37" t="str">
            <v>None</v>
          </cell>
        </row>
        <row r="38">
          <cell r="AA38" t="str">
            <v>Select Class</v>
          </cell>
          <cell r="AD38" t="str">
            <v>None</v>
          </cell>
        </row>
        <row r="39">
          <cell r="Z39" t="str">
            <v>Select Class</v>
          </cell>
          <cell r="AD39" t="str">
            <v>None</v>
          </cell>
        </row>
        <row r="40">
          <cell r="Z40" t="str">
            <v>Select Class</v>
          </cell>
          <cell r="AD40" t="str">
            <v>None</v>
          </cell>
        </row>
        <row r="41">
          <cell r="Z41" t="str">
            <v>Select Class</v>
          </cell>
          <cell r="AD41" t="str">
            <v>None</v>
          </cell>
        </row>
        <row r="42">
          <cell r="Z42" t="str">
            <v>Select Class</v>
          </cell>
          <cell r="AD42" t="str">
            <v>None</v>
          </cell>
        </row>
        <row r="43">
          <cell r="Z43" t="str">
            <v>Select Class</v>
          </cell>
          <cell r="AD43" t="str">
            <v>None</v>
          </cell>
        </row>
        <row r="44">
          <cell r="AA44" t="str">
            <v>Select Class</v>
          </cell>
          <cell r="AD44" t="str">
            <v>None</v>
          </cell>
        </row>
        <row r="45">
          <cell r="Z45" t="str">
            <v>Select Class</v>
          </cell>
          <cell r="AD45" t="str">
            <v>None</v>
          </cell>
        </row>
        <row r="46">
          <cell r="Z46" t="str">
            <v>Select Class</v>
          </cell>
          <cell r="AD46" t="str">
            <v>None</v>
          </cell>
        </row>
        <row r="47">
          <cell r="Z47" t="str">
            <v>Select Class</v>
          </cell>
          <cell r="AD47" t="str">
            <v>None</v>
          </cell>
        </row>
        <row r="48">
          <cell r="Z48" t="str">
            <v>Select Class</v>
          </cell>
          <cell r="AD48" t="str">
            <v>None</v>
          </cell>
        </row>
        <row r="49">
          <cell r="Z49" t="str">
            <v>Select Class</v>
          </cell>
          <cell r="AD49" t="str">
            <v>None</v>
          </cell>
        </row>
        <row r="50">
          <cell r="Z50" t="str">
            <v>Select Class</v>
          </cell>
          <cell r="AD50" t="str">
            <v>None</v>
          </cell>
        </row>
        <row r="51">
          <cell r="Z51" t="str">
            <v>Select Class</v>
          </cell>
          <cell r="AD51" t="str">
            <v>None</v>
          </cell>
        </row>
        <row r="52">
          <cell r="AA52" t="str">
            <v>Select Class</v>
          </cell>
          <cell r="AD52" t="str">
            <v>None</v>
          </cell>
        </row>
        <row r="53">
          <cell r="AA53" t="str">
            <v>Select Class</v>
          </cell>
          <cell r="AD53" t="str">
            <v>None</v>
          </cell>
        </row>
        <row r="54">
          <cell r="AA54" t="str">
            <v>Select Class</v>
          </cell>
          <cell r="AD54" t="str">
            <v>None</v>
          </cell>
        </row>
        <row r="55">
          <cell r="AA55" t="str">
            <v>Select Class</v>
          </cell>
          <cell r="AD55" t="str">
            <v>None</v>
          </cell>
        </row>
        <row r="56">
          <cell r="Z56" t="str">
            <v>Select Class</v>
          </cell>
          <cell r="AD56" t="str">
            <v>None</v>
          </cell>
        </row>
        <row r="57">
          <cell r="Z57" t="str">
            <v>Select Class</v>
          </cell>
          <cell r="AD57" t="str">
            <v>None</v>
          </cell>
        </row>
        <row r="58">
          <cell r="Z58" t="str">
            <v>Select Class</v>
          </cell>
          <cell r="AD58" t="str">
            <v>None</v>
          </cell>
        </row>
        <row r="59">
          <cell r="Z59" t="str">
            <v>Select Class</v>
          </cell>
          <cell r="AD59" t="str">
            <v>None</v>
          </cell>
        </row>
        <row r="60">
          <cell r="AA60" t="str">
            <v>Select Class</v>
          </cell>
          <cell r="AD60" t="str">
            <v>None</v>
          </cell>
        </row>
        <row r="61">
          <cell r="Z61" t="str">
            <v>Select Class</v>
          </cell>
          <cell r="AD61" t="str">
            <v>None</v>
          </cell>
        </row>
        <row r="62">
          <cell r="AD62" t="str">
            <v>None</v>
          </cell>
        </row>
        <row r="63">
          <cell r="AD63" t="str">
            <v>None</v>
          </cell>
        </row>
        <row r="64">
          <cell r="X64">
            <v>0</v>
          </cell>
          <cell r="Z64" t="str">
            <v>Select Class</v>
          </cell>
          <cell r="AD64" t="str">
            <v>None</v>
          </cell>
          <cell r="AE64">
            <v>11</v>
          </cell>
        </row>
        <row r="65">
          <cell r="Z65" t="str">
            <v>Select Class</v>
          </cell>
          <cell r="AD65" t="str">
            <v>None</v>
          </cell>
        </row>
        <row r="66">
          <cell r="AA66" t="str">
            <v>Select Class</v>
          </cell>
          <cell r="AD66" t="str">
            <v>None</v>
          </cell>
        </row>
        <row r="67">
          <cell r="Z67" t="str">
            <v>Select Class</v>
          </cell>
          <cell r="AD67" t="str">
            <v>None</v>
          </cell>
        </row>
        <row r="68">
          <cell r="Z68" t="str">
            <v>Select Class</v>
          </cell>
          <cell r="AD68" t="str">
            <v>None</v>
          </cell>
        </row>
        <row r="69">
          <cell r="Z69" t="str">
            <v>Select Class</v>
          </cell>
          <cell r="AD69" t="str">
            <v>None</v>
          </cell>
        </row>
        <row r="70">
          <cell r="Z70" t="str">
            <v>Select Class</v>
          </cell>
          <cell r="AD70" t="str">
            <v>None</v>
          </cell>
        </row>
        <row r="71">
          <cell r="AA71" t="str">
            <v>Select Class</v>
          </cell>
          <cell r="AD71" t="str">
            <v>None</v>
          </cell>
        </row>
        <row r="72">
          <cell r="Z72" t="str">
            <v>Select Class</v>
          </cell>
          <cell r="AD72" t="str">
            <v>None</v>
          </cell>
        </row>
        <row r="73">
          <cell r="Z73" t="str">
            <v>Select Class</v>
          </cell>
          <cell r="AD73" t="str">
            <v>None</v>
          </cell>
        </row>
        <row r="74">
          <cell r="Z74" t="str">
            <v>Select Class</v>
          </cell>
          <cell r="AD74" t="str">
            <v>None</v>
          </cell>
        </row>
        <row r="75">
          <cell r="Z75" t="str">
            <v>Select Class</v>
          </cell>
          <cell r="AD75" t="str">
            <v>None</v>
          </cell>
        </row>
        <row r="76">
          <cell r="AA76" t="str">
            <v>Select Class</v>
          </cell>
          <cell r="AD76" t="str">
            <v>None</v>
          </cell>
        </row>
        <row r="77">
          <cell r="Z77" t="str">
            <v>Select Class</v>
          </cell>
          <cell r="AD77" t="str">
            <v>None</v>
          </cell>
        </row>
        <row r="78">
          <cell r="Z78" t="str">
            <v>Select Class</v>
          </cell>
          <cell r="AD78" t="str">
            <v>None</v>
          </cell>
        </row>
        <row r="79">
          <cell r="Z79" t="str">
            <v>Select Class</v>
          </cell>
          <cell r="AD79" t="str">
            <v>None</v>
          </cell>
        </row>
        <row r="80">
          <cell r="Z80" t="str">
            <v>Select Class</v>
          </cell>
          <cell r="AD80" t="str">
            <v>None</v>
          </cell>
        </row>
        <row r="81">
          <cell r="Z81" t="str">
            <v>Select Class</v>
          </cell>
          <cell r="AD81" t="str">
            <v>None</v>
          </cell>
        </row>
        <row r="82">
          <cell r="Z82" t="str">
            <v>Select Class</v>
          </cell>
          <cell r="AD82" t="str">
            <v>None</v>
          </cell>
        </row>
        <row r="83">
          <cell r="Z83" t="str">
            <v>Select Class</v>
          </cell>
          <cell r="AD83" t="str">
            <v>None</v>
          </cell>
        </row>
        <row r="84">
          <cell r="AA84" t="str">
            <v>Select Class</v>
          </cell>
          <cell r="AD84" t="str">
            <v>None</v>
          </cell>
        </row>
        <row r="85">
          <cell r="Z85" t="str">
            <v>Select Class</v>
          </cell>
          <cell r="AD85" t="str">
            <v>None</v>
          </cell>
        </row>
        <row r="86">
          <cell r="AD86" t="str">
            <v>None</v>
          </cell>
        </row>
        <row r="87">
          <cell r="AD87" t="str">
            <v>None</v>
          </cell>
        </row>
        <row r="88">
          <cell r="X88">
            <v>0</v>
          </cell>
          <cell r="AA88" t="str">
            <v>Select Class</v>
          </cell>
          <cell r="AD88" t="str">
            <v>None</v>
          </cell>
          <cell r="AE88">
            <v>10</v>
          </cell>
        </row>
        <row r="89">
          <cell r="Z89" t="str">
            <v>Select Class</v>
          </cell>
          <cell r="AD89" t="str">
            <v>None</v>
          </cell>
        </row>
        <row r="90">
          <cell r="Z90" t="str">
            <v>Select Class</v>
          </cell>
          <cell r="AD90" t="str">
            <v>None</v>
          </cell>
        </row>
        <row r="91">
          <cell r="Z91" t="str">
            <v>Select Class</v>
          </cell>
          <cell r="AD91" t="str">
            <v>None</v>
          </cell>
        </row>
        <row r="92">
          <cell r="Z92" t="str">
            <v>Select Class</v>
          </cell>
          <cell r="AD92" t="str">
            <v>None</v>
          </cell>
        </row>
        <row r="93">
          <cell r="AA93" t="str">
            <v>Select Class</v>
          </cell>
          <cell r="AD93" t="str">
            <v>None</v>
          </cell>
        </row>
        <row r="94">
          <cell r="Z94" t="str">
            <v>Select Class</v>
          </cell>
          <cell r="AD94" t="str">
            <v>None</v>
          </cell>
        </row>
        <row r="95">
          <cell r="Z95" t="str">
            <v>Select Class</v>
          </cell>
          <cell r="AD95" t="str">
            <v>None</v>
          </cell>
        </row>
        <row r="96">
          <cell r="Z96" t="str">
            <v>Select Class</v>
          </cell>
          <cell r="AD96" t="str">
            <v>None</v>
          </cell>
        </row>
        <row r="97">
          <cell r="Z97" t="str">
            <v>Select Class</v>
          </cell>
          <cell r="AD97" t="str">
            <v>None</v>
          </cell>
        </row>
        <row r="98">
          <cell r="AA98" t="str">
            <v>Select Class</v>
          </cell>
          <cell r="AD98" t="str">
            <v>None</v>
          </cell>
        </row>
        <row r="99">
          <cell r="Z99" t="str">
            <v>Select Class</v>
          </cell>
          <cell r="AD99" t="str">
            <v>None</v>
          </cell>
        </row>
        <row r="100">
          <cell r="Z100" t="str">
            <v>Select Class</v>
          </cell>
          <cell r="AD100" t="str">
            <v>None</v>
          </cell>
        </row>
        <row r="101">
          <cell r="Z101" t="str">
            <v>Select Class</v>
          </cell>
          <cell r="AD101" t="str">
            <v>None</v>
          </cell>
        </row>
        <row r="102">
          <cell r="Z102" t="str">
            <v>Select Class</v>
          </cell>
          <cell r="AD102" t="str">
            <v>None</v>
          </cell>
        </row>
        <row r="103">
          <cell r="Z103" t="str">
            <v>Select Class</v>
          </cell>
          <cell r="AD103" t="str">
            <v>None</v>
          </cell>
        </row>
        <row r="104">
          <cell r="Z104" t="str">
            <v>Select Class</v>
          </cell>
          <cell r="AD104" t="str">
            <v>None</v>
          </cell>
        </row>
        <row r="105">
          <cell r="Z105" t="str">
            <v>Select Class</v>
          </cell>
          <cell r="AD105" t="str">
            <v>None</v>
          </cell>
        </row>
        <row r="106">
          <cell r="Z106" t="str">
            <v>Select Class</v>
          </cell>
          <cell r="AD106" t="str">
            <v>None</v>
          </cell>
        </row>
        <row r="107">
          <cell r="AA107" t="str">
            <v>Select Class</v>
          </cell>
          <cell r="AD107" t="str">
            <v>None</v>
          </cell>
        </row>
        <row r="108">
          <cell r="Z108" t="str">
            <v>Select Class</v>
          </cell>
          <cell r="AD108" t="str">
            <v>None</v>
          </cell>
        </row>
        <row r="109">
          <cell r="AD109" t="str">
            <v>None</v>
          </cell>
        </row>
        <row r="110">
          <cell r="AD110" t="str">
            <v>None</v>
          </cell>
        </row>
        <row r="111">
          <cell r="X111">
            <v>0</v>
          </cell>
          <cell r="Z111" t="str">
            <v>Select Class</v>
          </cell>
          <cell r="AD111" t="str">
            <v>None</v>
          </cell>
          <cell r="AE111">
            <v>9</v>
          </cell>
        </row>
        <row r="112">
          <cell r="Z112" t="str">
            <v>Select Class</v>
          </cell>
          <cell r="AD112" t="str">
            <v>None</v>
          </cell>
        </row>
        <row r="113">
          <cell r="AA113" t="str">
            <v>Select Class</v>
          </cell>
          <cell r="AD113" t="str">
            <v>None</v>
          </cell>
        </row>
        <row r="114">
          <cell r="Z114" t="str">
            <v>Select Class</v>
          </cell>
          <cell r="AD114" t="str">
            <v>None</v>
          </cell>
        </row>
        <row r="115">
          <cell r="Z115" t="str">
            <v>Select Class</v>
          </cell>
          <cell r="AD115" t="str">
            <v>None</v>
          </cell>
        </row>
        <row r="116">
          <cell r="Z116" t="str">
            <v>Select Class</v>
          </cell>
          <cell r="AD116" t="str">
            <v>None</v>
          </cell>
        </row>
        <row r="117">
          <cell r="Z117" t="str">
            <v>Select Class</v>
          </cell>
          <cell r="AD117" t="str">
            <v>None</v>
          </cell>
        </row>
        <row r="118">
          <cell r="AA118" t="str">
            <v>Select Class</v>
          </cell>
          <cell r="AD118" t="str">
            <v>None</v>
          </cell>
        </row>
        <row r="119">
          <cell r="Z119" t="str">
            <v>Select Class</v>
          </cell>
          <cell r="AD119" t="str">
            <v>None</v>
          </cell>
        </row>
        <row r="120">
          <cell r="Z120" t="str">
            <v>Select Class</v>
          </cell>
          <cell r="AD120" t="str">
            <v>None</v>
          </cell>
        </row>
        <row r="121">
          <cell r="Z121" t="str">
            <v>Select Class</v>
          </cell>
          <cell r="AD121" t="str">
            <v>None</v>
          </cell>
        </row>
        <row r="122">
          <cell r="AA122" t="str">
            <v>Select Class</v>
          </cell>
          <cell r="AD122" t="str">
            <v>None</v>
          </cell>
        </row>
        <row r="123">
          <cell r="Z123" t="str">
            <v>Select Class</v>
          </cell>
          <cell r="AD123" t="str">
            <v>None</v>
          </cell>
        </row>
        <row r="124">
          <cell r="Z124" t="str">
            <v>Select Class</v>
          </cell>
          <cell r="AD124" t="str">
            <v>None</v>
          </cell>
        </row>
        <row r="125">
          <cell r="Z125" t="str">
            <v>Select Class</v>
          </cell>
          <cell r="AD125" t="str">
            <v>None</v>
          </cell>
        </row>
        <row r="126">
          <cell r="Z126" t="str">
            <v>Select Class</v>
          </cell>
          <cell r="AD126" t="str">
            <v>None</v>
          </cell>
        </row>
        <row r="127">
          <cell r="Z127" t="str">
            <v>Select Class</v>
          </cell>
          <cell r="AD127" t="str">
            <v>None</v>
          </cell>
        </row>
        <row r="128">
          <cell r="Z128" t="str">
            <v>Select Class</v>
          </cell>
          <cell r="AD128" t="str">
            <v>None</v>
          </cell>
        </row>
        <row r="129">
          <cell r="AA129" t="str">
            <v>Select Class</v>
          </cell>
          <cell r="AD129" t="str">
            <v>None</v>
          </cell>
        </row>
        <row r="130">
          <cell r="Z130" t="str">
            <v>Select Class</v>
          </cell>
          <cell r="AD130" t="str">
            <v>None</v>
          </cell>
        </row>
        <row r="131">
          <cell r="AD131" t="str">
            <v>None</v>
          </cell>
        </row>
        <row r="132">
          <cell r="AD132" t="str">
            <v>None</v>
          </cell>
        </row>
        <row r="133">
          <cell r="X133">
            <v>0</v>
          </cell>
          <cell r="AA133" t="str">
            <v>Select Class</v>
          </cell>
          <cell r="AD133" t="str">
            <v>None</v>
          </cell>
          <cell r="AE133">
            <v>6</v>
          </cell>
        </row>
        <row r="134">
          <cell r="Z134" t="str">
            <v>Select Class</v>
          </cell>
          <cell r="AD134" t="str">
            <v>None</v>
          </cell>
        </row>
        <row r="135">
          <cell r="AA135" t="str">
            <v>Select Class</v>
          </cell>
          <cell r="AD135" t="str">
            <v>None</v>
          </cell>
        </row>
        <row r="136">
          <cell r="Z136" t="str">
            <v>Select Class</v>
          </cell>
          <cell r="AD136" t="str">
            <v>None</v>
          </cell>
        </row>
        <row r="137">
          <cell r="Z137" t="str">
            <v>Select Class</v>
          </cell>
          <cell r="AD137" t="str">
            <v>None</v>
          </cell>
        </row>
        <row r="138">
          <cell r="Z138" t="str">
            <v>Select Class</v>
          </cell>
          <cell r="AD138" t="str">
            <v>None</v>
          </cell>
        </row>
        <row r="139">
          <cell r="Z139" t="str">
            <v>Select Class</v>
          </cell>
          <cell r="AD139" t="str">
            <v>None</v>
          </cell>
        </row>
        <row r="140">
          <cell r="AA140" t="str">
            <v>Select Class</v>
          </cell>
          <cell r="AD140" t="str">
            <v>None</v>
          </cell>
        </row>
        <row r="141">
          <cell r="AA141" t="str">
            <v>Select Class</v>
          </cell>
          <cell r="AD141" t="str">
            <v>None</v>
          </cell>
        </row>
        <row r="142">
          <cell r="Z142" t="str">
            <v>Select Class</v>
          </cell>
          <cell r="AD142" t="str">
            <v>None</v>
          </cell>
        </row>
        <row r="143">
          <cell r="Z143" t="str">
            <v>Select Class</v>
          </cell>
          <cell r="AD143" t="str">
            <v>None</v>
          </cell>
        </row>
        <row r="144">
          <cell r="Z144" t="str">
            <v>Select Class</v>
          </cell>
          <cell r="AD144" t="str">
            <v>None</v>
          </cell>
        </row>
        <row r="145">
          <cell r="Z145" t="str">
            <v>Select Class</v>
          </cell>
          <cell r="AD145" t="str">
            <v>None</v>
          </cell>
        </row>
        <row r="146">
          <cell r="Z146" t="str">
            <v>Select Class</v>
          </cell>
          <cell r="AD146" t="str">
            <v>None</v>
          </cell>
        </row>
        <row r="147">
          <cell r="Z147" t="str">
            <v>Select Class</v>
          </cell>
          <cell r="AD147" t="str">
            <v>None</v>
          </cell>
        </row>
        <row r="148">
          <cell r="AA148" t="str">
            <v>Select Class</v>
          </cell>
          <cell r="AD148" t="str">
            <v>None</v>
          </cell>
        </row>
        <row r="149">
          <cell r="Z149" t="str">
            <v>Select Class</v>
          </cell>
          <cell r="AD149" t="str">
            <v>None</v>
          </cell>
        </row>
        <row r="150">
          <cell r="Z150" t="str">
            <v>Select Class</v>
          </cell>
          <cell r="AD150" t="str">
            <v>None</v>
          </cell>
        </row>
        <row r="151">
          <cell r="Z151" t="str">
            <v>Select Class</v>
          </cell>
          <cell r="AD151" t="str">
            <v>None</v>
          </cell>
        </row>
        <row r="152">
          <cell r="Z152" t="str">
            <v>Select Class</v>
          </cell>
          <cell r="AD152" t="str">
            <v>None</v>
          </cell>
        </row>
        <row r="153">
          <cell r="Z153" t="str">
            <v>Select Class</v>
          </cell>
          <cell r="AD153" t="str">
            <v>None</v>
          </cell>
        </row>
        <row r="154">
          <cell r="AA154" t="str">
            <v>Select Class</v>
          </cell>
          <cell r="AD154" t="str">
            <v>None</v>
          </cell>
        </row>
        <row r="155">
          <cell r="Z155" t="str">
            <v>Select Class</v>
          </cell>
          <cell r="AD155" t="str">
            <v>None</v>
          </cell>
        </row>
        <row r="156">
          <cell r="Z156" t="str">
            <v>Select Class</v>
          </cell>
          <cell r="AD156" t="str">
            <v>None</v>
          </cell>
        </row>
        <row r="157">
          <cell r="Z157" t="str">
            <v>Select Class</v>
          </cell>
          <cell r="AD157" t="str">
            <v>None</v>
          </cell>
        </row>
        <row r="158">
          <cell r="AD158" t="str">
            <v>None</v>
          </cell>
        </row>
        <row r="159">
          <cell r="AD159" t="str">
            <v>None</v>
          </cell>
        </row>
        <row r="160">
          <cell r="X160">
            <v>0</v>
          </cell>
          <cell r="Z160" t="str">
            <v>Select Class</v>
          </cell>
          <cell r="AD160" t="str">
            <v>None</v>
          </cell>
        </row>
        <row r="161">
          <cell r="Z161" t="str">
            <v>Select Class</v>
          </cell>
          <cell r="AD161" t="str">
            <v>None</v>
          </cell>
        </row>
        <row r="162">
          <cell r="AA162" t="str">
            <v>Select Class</v>
          </cell>
          <cell r="AD162" t="str">
            <v>None</v>
          </cell>
        </row>
        <row r="163">
          <cell r="Z163" t="str">
            <v>Select Class</v>
          </cell>
          <cell r="AD163" t="str">
            <v>None</v>
          </cell>
        </row>
        <row r="164">
          <cell r="Z164" t="str">
            <v>Select Class</v>
          </cell>
          <cell r="AD164" t="str">
            <v>None</v>
          </cell>
        </row>
        <row r="165">
          <cell r="Z165" t="str">
            <v>Select Class</v>
          </cell>
          <cell r="AD165" t="str">
            <v>None</v>
          </cell>
        </row>
        <row r="166">
          <cell r="AA166" t="str">
            <v>Select Class</v>
          </cell>
          <cell r="AD166" t="str">
            <v>None</v>
          </cell>
        </row>
        <row r="167">
          <cell r="AA167" t="str">
            <v>Select Class</v>
          </cell>
          <cell r="AD167" t="str">
            <v>None</v>
          </cell>
        </row>
        <row r="168">
          <cell r="Z168" t="str">
            <v>Select Class</v>
          </cell>
          <cell r="AD168" t="str">
            <v>None</v>
          </cell>
        </row>
        <row r="169">
          <cell r="Z169" t="str">
            <v>Select Class</v>
          </cell>
          <cell r="AD169" t="str">
            <v>None</v>
          </cell>
        </row>
        <row r="170">
          <cell r="Z170" t="str">
            <v>Select Class</v>
          </cell>
          <cell r="AD170" t="str">
            <v>None</v>
          </cell>
        </row>
        <row r="171">
          <cell r="Z171" t="str">
            <v>Select Class</v>
          </cell>
          <cell r="AD171" t="str">
            <v>None</v>
          </cell>
        </row>
        <row r="172">
          <cell r="Z172" t="str">
            <v>Select Class</v>
          </cell>
          <cell r="AD172" t="str">
            <v>None</v>
          </cell>
        </row>
        <row r="173">
          <cell r="AA173" t="str">
            <v>Select Class</v>
          </cell>
          <cell r="AD173" t="str">
            <v>None</v>
          </cell>
        </row>
        <row r="174">
          <cell r="Z174" t="str">
            <v>Select Class</v>
          </cell>
          <cell r="AD174" t="str">
            <v>None</v>
          </cell>
        </row>
        <row r="175">
          <cell r="Z175" t="str">
            <v>Select Class</v>
          </cell>
          <cell r="AD175" t="str">
            <v>None</v>
          </cell>
        </row>
        <row r="176">
          <cell r="Z176" t="str">
            <v>Select Class</v>
          </cell>
          <cell r="AD176" t="str">
            <v>None</v>
          </cell>
        </row>
        <row r="177">
          <cell r="Z177" t="str">
            <v>Select Class</v>
          </cell>
          <cell r="AD177" t="str">
            <v>None</v>
          </cell>
        </row>
        <row r="178">
          <cell r="Z178" t="str">
            <v>Select Class</v>
          </cell>
          <cell r="AD178" t="str">
            <v>None</v>
          </cell>
        </row>
        <row r="179">
          <cell r="Z179" t="str">
            <v>Select Class</v>
          </cell>
          <cell r="AD179" t="str">
            <v>None</v>
          </cell>
        </row>
        <row r="180">
          <cell r="Z180" t="str">
            <v>Select Class</v>
          </cell>
          <cell r="AD180" t="str">
            <v>None</v>
          </cell>
        </row>
        <row r="181">
          <cell r="Z181" t="str">
            <v>Select Class</v>
          </cell>
          <cell r="AD181" t="str">
            <v>None</v>
          </cell>
        </row>
        <row r="182">
          <cell r="AA182" t="str">
            <v>Select Class</v>
          </cell>
          <cell r="AD182" t="str">
            <v>None</v>
          </cell>
        </row>
        <row r="183">
          <cell r="Z183" t="str">
            <v>Select Class</v>
          </cell>
          <cell r="AD183" t="str">
            <v>None</v>
          </cell>
        </row>
        <row r="184">
          <cell r="AD184" t="str">
            <v>None</v>
          </cell>
        </row>
        <row r="185">
          <cell r="AD185" t="str">
            <v>None</v>
          </cell>
        </row>
        <row r="186">
          <cell r="X186">
            <v>0</v>
          </cell>
          <cell r="AA186" t="str">
            <v>Select Class</v>
          </cell>
          <cell r="AD186" t="str">
            <v>None</v>
          </cell>
        </row>
        <row r="187">
          <cell r="AA187" t="str">
            <v>Select Class</v>
          </cell>
          <cell r="AD187" t="str">
            <v>None</v>
          </cell>
        </row>
        <row r="188">
          <cell r="Z188" t="str">
            <v>Select Class</v>
          </cell>
          <cell r="AD188" t="str">
            <v>None</v>
          </cell>
        </row>
        <row r="189">
          <cell r="Z189" t="str">
            <v>Select Class</v>
          </cell>
          <cell r="AD189" t="str">
            <v>None</v>
          </cell>
        </row>
        <row r="190">
          <cell r="Z190" t="str">
            <v>Select Class</v>
          </cell>
          <cell r="AD190" t="str">
            <v>None</v>
          </cell>
        </row>
        <row r="191">
          <cell r="Z191" t="str">
            <v>Select Class</v>
          </cell>
          <cell r="AD191" t="str">
            <v>None</v>
          </cell>
        </row>
        <row r="192">
          <cell r="Z192" t="str">
            <v>Select Class</v>
          </cell>
          <cell r="AD192" t="str">
            <v>None</v>
          </cell>
        </row>
        <row r="193">
          <cell r="AA193" t="str">
            <v>Select Class</v>
          </cell>
          <cell r="AD193" t="str">
            <v>None</v>
          </cell>
        </row>
        <row r="194">
          <cell r="Z194" t="str">
            <v>Select Class</v>
          </cell>
          <cell r="AD194" t="str">
            <v>None</v>
          </cell>
        </row>
        <row r="195">
          <cell r="AA195" t="str">
            <v>Select Class</v>
          </cell>
          <cell r="AD195" t="str">
            <v>None</v>
          </cell>
        </row>
        <row r="196">
          <cell r="Z196" t="str">
            <v>Select Class</v>
          </cell>
          <cell r="AD196" t="str">
            <v>None</v>
          </cell>
        </row>
        <row r="197">
          <cell r="Z197" t="str">
            <v>Select Class</v>
          </cell>
          <cell r="AD197" t="str">
            <v>None</v>
          </cell>
        </row>
        <row r="198">
          <cell r="Z198" t="str">
            <v>Select Class</v>
          </cell>
          <cell r="AD198" t="str">
            <v>None</v>
          </cell>
        </row>
        <row r="199">
          <cell r="Z199" t="str">
            <v>Select Class</v>
          </cell>
          <cell r="AD199" t="str">
            <v>None</v>
          </cell>
        </row>
        <row r="200">
          <cell r="Z200" t="str">
            <v>Select Class</v>
          </cell>
          <cell r="AD200" t="str">
            <v>None</v>
          </cell>
        </row>
        <row r="201">
          <cell r="Z201" t="str">
            <v>Select Class</v>
          </cell>
          <cell r="AD201" t="str">
            <v>None</v>
          </cell>
        </row>
        <row r="202">
          <cell r="Z202" t="str">
            <v>Select Class</v>
          </cell>
          <cell r="AD202" t="str">
            <v>None</v>
          </cell>
        </row>
        <row r="203">
          <cell r="AA203" t="str">
            <v>Select Class</v>
          </cell>
          <cell r="AD203" t="str">
            <v>None</v>
          </cell>
        </row>
        <row r="204">
          <cell r="Z204" t="str">
            <v>Select Class</v>
          </cell>
          <cell r="AD204" t="str">
            <v>None</v>
          </cell>
        </row>
        <row r="205">
          <cell r="Z205" t="str">
            <v>Select Class</v>
          </cell>
          <cell r="AD205" t="str">
            <v>None</v>
          </cell>
        </row>
        <row r="206">
          <cell r="Z206" t="str">
            <v>Select Class</v>
          </cell>
          <cell r="AD206" t="str">
            <v>None</v>
          </cell>
        </row>
        <row r="207">
          <cell r="AA207" t="str">
            <v>Select Class</v>
          </cell>
          <cell r="AD207" t="str">
            <v>None</v>
          </cell>
        </row>
        <row r="208">
          <cell r="Z208" t="str">
            <v>Select Class</v>
          </cell>
          <cell r="AD208" t="str">
            <v>None</v>
          </cell>
        </row>
        <row r="209">
          <cell r="AD209" t="str">
            <v>None</v>
          </cell>
        </row>
        <row r="210">
          <cell r="AD210" t="str">
            <v>None</v>
          </cell>
        </row>
        <row r="211">
          <cell r="X211">
            <v>0</v>
          </cell>
          <cell r="AA211" t="str">
            <v>Select Class</v>
          </cell>
          <cell r="AD211" t="str">
            <v>None</v>
          </cell>
        </row>
        <row r="212">
          <cell r="Z212" t="str">
            <v>Select Class</v>
          </cell>
          <cell r="AD212" t="str">
            <v>None</v>
          </cell>
        </row>
        <row r="213">
          <cell r="Z213" t="str">
            <v>Select Class</v>
          </cell>
          <cell r="AD213" t="str">
            <v>None</v>
          </cell>
        </row>
        <row r="214">
          <cell r="AA214" t="str">
            <v>Select Class</v>
          </cell>
          <cell r="AD214" t="str">
            <v>None</v>
          </cell>
        </row>
        <row r="215">
          <cell r="Z215" t="str">
            <v>Select Class</v>
          </cell>
          <cell r="AD215" t="str">
            <v>None</v>
          </cell>
        </row>
        <row r="216">
          <cell r="Z216" t="str">
            <v>Select Class</v>
          </cell>
          <cell r="AD216" t="str">
            <v>None</v>
          </cell>
        </row>
        <row r="217">
          <cell r="Z217" t="str">
            <v>Select Class</v>
          </cell>
          <cell r="AD217" t="str">
            <v>None</v>
          </cell>
        </row>
        <row r="218">
          <cell r="AA218" t="str">
            <v>Select Class</v>
          </cell>
          <cell r="AD218" t="str">
            <v>None</v>
          </cell>
        </row>
        <row r="219">
          <cell r="Z219" t="str">
            <v>Select Class</v>
          </cell>
          <cell r="AD219" t="str">
            <v>None</v>
          </cell>
        </row>
        <row r="220">
          <cell r="Z220" t="str">
            <v>Select Class</v>
          </cell>
          <cell r="AD220" t="str">
            <v>None</v>
          </cell>
        </row>
        <row r="221">
          <cell r="Z221" t="str">
            <v>Select Class</v>
          </cell>
          <cell r="AD221" t="str">
            <v>None</v>
          </cell>
        </row>
        <row r="222">
          <cell r="Z222" t="str">
            <v>Select Class</v>
          </cell>
          <cell r="AD222" t="str">
            <v>None</v>
          </cell>
        </row>
        <row r="223">
          <cell r="AA223" t="str">
            <v>Select Class</v>
          </cell>
          <cell r="AD223" t="str">
            <v>None</v>
          </cell>
        </row>
        <row r="224">
          <cell r="Z224" t="str">
            <v>Select Class</v>
          </cell>
          <cell r="AD224" t="str">
            <v>None</v>
          </cell>
        </row>
        <row r="225">
          <cell r="Z225" t="str">
            <v>Select Class</v>
          </cell>
          <cell r="AD225" t="str">
            <v>None</v>
          </cell>
        </row>
        <row r="226">
          <cell r="Z226" t="str">
            <v>Select Class</v>
          </cell>
          <cell r="AD226" t="str">
            <v>None</v>
          </cell>
        </row>
        <row r="227">
          <cell r="Z227" t="str">
            <v>Select Class</v>
          </cell>
          <cell r="AD227" t="str">
            <v>None</v>
          </cell>
        </row>
        <row r="228">
          <cell r="AA228" t="str">
            <v>Select Class</v>
          </cell>
          <cell r="AD228" t="str">
            <v>None</v>
          </cell>
        </row>
        <row r="229">
          <cell r="Z229" t="str">
            <v>Select Class</v>
          </cell>
          <cell r="AD229" t="str">
            <v>None</v>
          </cell>
        </row>
        <row r="230">
          <cell r="Z230" t="str">
            <v>Select Class</v>
          </cell>
          <cell r="AD230" t="str">
            <v>None</v>
          </cell>
        </row>
      </sheetData>
      <sheetData sheetId="35">
        <row r="1">
          <cell r="F1">
            <v>1</v>
          </cell>
        </row>
        <row r="2">
          <cell r="AQ2" t="b">
            <v>0</v>
          </cell>
        </row>
        <row r="3">
          <cell r="L3" t="str">
            <v>None</v>
          </cell>
          <cell r="AQ3" t="b">
            <v>0</v>
          </cell>
        </row>
        <row r="4">
          <cell r="L4">
            <v>1</v>
          </cell>
          <cell r="S4" t="b">
            <v>0</v>
          </cell>
          <cell r="T4" t="b">
            <v>0</v>
          </cell>
          <cell r="U4" t="b">
            <v>0</v>
          </cell>
          <cell r="AQ4">
            <v>1</v>
          </cell>
          <cell r="BK4" t="str">
            <v>Dwarf</v>
          </cell>
        </row>
        <row r="5">
          <cell r="L5">
            <v>1</v>
          </cell>
          <cell r="AC5">
            <v>1</v>
          </cell>
          <cell r="AN5">
            <v>0</v>
          </cell>
        </row>
        <row r="6">
          <cell r="AC6">
            <v>0</v>
          </cell>
          <cell r="AD6">
            <v>1</v>
          </cell>
          <cell r="AE6">
            <v>0</v>
          </cell>
          <cell r="AF6">
            <v>0</v>
          </cell>
          <cell r="AG6">
            <v>0</v>
          </cell>
          <cell r="AH6">
            <v>0</v>
          </cell>
          <cell r="AI6">
            <v>0</v>
          </cell>
          <cell r="AJ6">
            <v>0</v>
          </cell>
          <cell r="AK6">
            <v>0</v>
          </cell>
          <cell r="AL6">
            <v>0</v>
          </cell>
          <cell r="AM6">
            <v>0</v>
          </cell>
          <cell r="AN6">
            <v>0</v>
          </cell>
        </row>
        <row r="8">
          <cell r="AY8">
            <v>18</v>
          </cell>
          <cell r="BD8">
            <v>16</v>
          </cell>
          <cell r="BJ8" t="str">
            <v>None</v>
          </cell>
          <cell r="BK8" t="str">
            <v>None</v>
          </cell>
        </row>
        <row r="9">
          <cell r="BJ9" t="str">
            <v>Academy Sorcerer</v>
          </cell>
          <cell r="BK9" t="str">
            <v>AcS</v>
          </cell>
          <cell r="BL9">
            <v>0</v>
          </cell>
        </row>
        <row r="10">
          <cell r="AU10" t="str">
            <v>Scribe Scroll(PH 99)²</v>
          </cell>
          <cell r="AV10" t="str">
            <v xml:space="preserve">× Scribe Scroll(PH 99)² : Create magic scrolls.
</v>
          </cell>
          <cell r="BC10" t="str">
            <v>Select a Metamagic Feat</v>
          </cell>
          <cell r="BH10" t="str">
            <v>Select an Item Creation Feat</v>
          </cell>
          <cell r="BJ10" t="str">
            <v>Alienist</v>
          </cell>
          <cell r="BK10" t="str">
            <v>Ali</v>
          </cell>
          <cell r="BL10">
            <v>0</v>
          </cell>
        </row>
        <row r="11">
          <cell r="AR11" t="b">
            <v>0</v>
          </cell>
          <cell r="BC11" t="str">
            <v>Delay Spell</v>
          </cell>
          <cell r="BH11" t="str">
            <v>Brew Potion</v>
          </cell>
          <cell r="BJ11" t="str">
            <v>Anointed Knight</v>
          </cell>
          <cell r="BK11" t="str">
            <v>AnK</v>
          </cell>
          <cell r="BL11">
            <v>0</v>
          </cell>
        </row>
        <row r="12">
          <cell r="AR12" t="b">
            <v>0</v>
          </cell>
          <cell r="BC12" t="str">
            <v>Disrupting Spell</v>
          </cell>
          <cell r="BH12" t="str">
            <v>Craft Epic Magic Arms and Armor</v>
          </cell>
          <cell r="BJ12" t="str">
            <v>Archivist</v>
          </cell>
          <cell r="BK12" t="str">
            <v>Arv</v>
          </cell>
          <cell r="BL12">
            <v>0</v>
          </cell>
        </row>
        <row r="13">
          <cell r="J13" t="b">
            <v>0</v>
          </cell>
          <cell r="AR13" t="b">
            <v>0</v>
          </cell>
          <cell r="BC13" t="str">
            <v>Empower Spell</v>
          </cell>
          <cell r="BH13" t="str">
            <v>Craft Epic Rod</v>
          </cell>
          <cell r="BJ13" t="str">
            <v>Ardent Dilettante</v>
          </cell>
          <cell r="BK13" t="str">
            <v>Any</v>
          </cell>
          <cell r="BL13">
            <v>0</v>
          </cell>
        </row>
        <row r="14">
          <cell r="AR14" t="b">
            <v>0</v>
          </cell>
          <cell r="BC14" t="str">
            <v>Enlarge Spell</v>
          </cell>
          <cell r="BH14" t="str">
            <v>Craft Epic Staff</v>
          </cell>
          <cell r="BJ14" t="str">
            <v>Artificer</v>
          </cell>
          <cell r="BK14" t="str">
            <v>Afc</v>
          </cell>
          <cell r="BL14">
            <v>0</v>
          </cell>
        </row>
        <row r="15">
          <cell r="AR15" t="b">
            <v>0</v>
          </cell>
          <cell r="BC15" t="str">
            <v>Extend Spell</v>
          </cell>
          <cell r="BH15" t="str">
            <v>Craft Epic Wondrous Item</v>
          </cell>
          <cell r="BJ15" t="str">
            <v>Ashworm Dragoon</v>
          </cell>
          <cell r="BK15" t="str">
            <v>AwD</v>
          </cell>
          <cell r="BL15">
            <v>0</v>
          </cell>
        </row>
        <row r="16">
          <cell r="AR16" t="b">
            <v>0</v>
          </cell>
          <cell r="BC16" t="str">
            <v>Heighten Spell</v>
          </cell>
          <cell r="BH16" t="str">
            <v>Craft Magic Arms and Armor</v>
          </cell>
          <cell r="BJ16" t="str">
            <v>Barbarian</v>
          </cell>
          <cell r="BK16" t="str">
            <v>Bbn</v>
          </cell>
          <cell r="BL16">
            <v>0</v>
          </cell>
        </row>
        <row r="17">
          <cell r="AR17" t="b">
            <v>0</v>
          </cell>
          <cell r="BC17" t="str">
            <v>Insidious Magic</v>
          </cell>
          <cell r="BH17" t="str">
            <v>Craft Rod</v>
          </cell>
          <cell r="BJ17" t="str">
            <v>Battle Trickster</v>
          </cell>
          <cell r="BK17" t="str">
            <v>BtT</v>
          </cell>
          <cell r="BL17">
            <v>0</v>
          </cell>
        </row>
        <row r="18">
          <cell r="AR18" t="b">
            <v>0</v>
          </cell>
          <cell r="BC18" t="str">
            <v>Intensify Spell</v>
          </cell>
          <cell r="BH18" t="str">
            <v>Craft Staff</v>
          </cell>
          <cell r="BJ18" t="str">
            <v>Binder</v>
          </cell>
          <cell r="BK18" t="str">
            <v>Bin</v>
          </cell>
          <cell r="BL18">
            <v>0</v>
          </cell>
        </row>
        <row r="19">
          <cell r="J19" t="b">
            <v>0</v>
          </cell>
          <cell r="AR19" t="b">
            <v>0</v>
          </cell>
          <cell r="BC19" t="str">
            <v>Maximize Spell</v>
          </cell>
          <cell r="BH19" t="str">
            <v>Craft Wand</v>
          </cell>
          <cell r="BJ19" t="str">
            <v>Blade Bravo</v>
          </cell>
          <cell r="BK19" t="str">
            <v>BBo</v>
          </cell>
          <cell r="BL19">
            <v>0</v>
          </cell>
        </row>
        <row r="20">
          <cell r="J20" t="b">
            <v>0</v>
          </cell>
          <cell r="AR20" t="b">
            <v>0</v>
          </cell>
          <cell r="BC20" t="str">
            <v>Pernicious Magic</v>
          </cell>
          <cell r="BH20" t="str">
            <v>Craft Wondrous Item</v>
          </cell>
          <cell r="BJ20" t="str">
            <v>Bloodstorm Blade</v>
          </cell>
          <cell r="BK20" t="str">
            <v>BsB</v>
          </cell>
          <cell r="BL20">
            <v>0</v>
          </cell>
        </row>
        <row r="21">
          <cell r="J21" t="b">
            <v>0</v>
          </cell>
          <cell r="AR21" t="b">
            <v>0</v>
          </cell>
          <cell r="BC21" t="str">
            <v>Persistent Spell</v>
          </cell>
          <cell r="BH21" t="str">
            <v>Forge Epic Ring</v>
          </cell>
          <cell r="BJ21" t="str">
            <v>Breachgnome</v>
          </cell>
          <cell r="BK21" t="str">
            <v>BrG</v>
          </cell>
          <cell r="BL21">
            <v>0</v>
          </cell>
        </row>
        <row r="22">
          <cell r="J22" t="b">
            <v>0</v>
          </cell>
          <cell r="AR22" t="b">
            <v>0</v>
          </cell>
          <cell r="BC22" t="str">
            <v>Quicken Spell</v>
          </cell>
          <cell r="BH22" t="str">
            <v>Forge Ring</v>
          </cell>
          <cell r="BJ22" t="str">
            <v>Cabinet Trickster</v>
          </cell>
          <cell r="BK22" t="str">
            <v>CbT</v>
          </cell>
          <cell r="BL22">
            <v>0</v>
          </cell>
        </row>
        <row r="23">
          <cell r="AR23" t="b">
            <v>0</v>
          </cell>
          <cell r="BC23" t="str">
            <v>Silent Spell</v>
          </cell>
          <cell r="BH23" t="str">
            <v>Inscribe Rune</v>
          </cell>
          <cell r="BJ23" t="str">
            <v>Champion of Corellon Larethian</v>
          </cell>
          <cell r="BK23" t="str">
            <v>ChC</v>
          </cell>
          <cell r="BL23">
            <v>0</v>
          </cell>
        </row>
        <row r="24">
          <cell r="AR24" t="b">
            <v>0</v>
          </cell>
          <cell r="BC24" t="str">
            <v>Still Spell</v>
          </cell>
          <cell r="BH24" t="str">
            <v>Scribe Epic Scroll</v>
          </cell>
          <cell r="BJ24" t="str">
            <v>Cipher Adept</v>
          </cell>
          <cell r="BK24" t="str">
            <v>Cad</v>
          </cell>
          <cell r="BL24">
            <v>0</v>
          </cell>
        </row>
        <row r="25">
          <cell r="AR25" t="b">
            <v>0</v>
          </cell>
          <cell r="BC25" t="str">
            <v>Tenacious Magic</v>
          </cell>
          <cell r="BH25" t="str">
            <v>Scribe Scroll</v>
          </cell>
          <cell r="BJ25" t="str">
            <v>Cloud Anchorite</v>
          </cell>
          <cell r="BK25" t="str">
            <v>ClA</v>
          </cell>
          <cell r="BL25">
            <v>0</v>
          </cell>
        </row>
        <row r="26">
          <cell r="AR26" t="b">
            <v>0</v>
          </cell>
          <cell r="BC26" t="str">
            <v>Twin Spell</v>
          </cell>
          <cell r="BH26" t="str">
            <v/>
          </cell>
          <cell r="BJ26" t="str">
            <v>Divine Champion</v>
          </cell>
          <cell r="BK26" t="str">
            <v>Chm</v>
          </cell>
          <cell r="BL26">
            <v>0</v>
          </cell>
        </row>
        <row r="27">
          <cell r="AR27" t="b">
            <v>0</v>
          </cell>
          <cell r="BC27" t="str">
            <v>Widen Spell</v>
          </cell>
          <cell r="BH27" t="str">
            <v/>
          </cell>
          <cell r="BJ27" t="str">
            <v>Dracolexi</v>
          </cell>
          <cell r="BK27" t="str">
            <v>Dcx</v>
          </cell>
          <cell r="BL27">
            <v>0</v>
          </cell>
        </row>
        <row r="28">
          <cell r="AR28" t="b">
            <v>0</v>
          </cell>
          <cell r="BC28" t="str">
            <v/>
          </cell>
          <cell r="BH28" t="str">
            <v/>
          </cell>
          <cell r="BJ28" t="str">
            <v>Dragonheart Mage</v>
          </cell>
          <cell r="BK28" t="str">
            <v>DhM</v>
          </cell>
          <cell r="BL28">
            <v>0</v>
          </cell>
        </row>
        <row r="29">
          <cell r="AR29" t="b">
            <v>0</v>
          </cell>
          <cell r="BC29" t="str">
            <v/>
          </cell>
          <cell r="BH29" t="str">
            <v/>
          </cell>
          <cell r="BJ29" t="str">
            <v>Dragon Prophet</v>
          </cell>
          <cell r="BK29" t="str">
            <v>DrP</v>
          </cell>
          <cell r="BL29">
            <v>0</v>
          </cell>
        </row>
        <row r="30">
          <cell r="AR30" t="b">
            <v>0</v>
          </cell>
          <cell r="BC30" t="str">
            <v/>
          </cell>
          <cell r="BH30" t="str">
            <v/>
          </cell>
          <cell r="BJ30" t="str">
            <v>Dragonrider</v>
          </cell>
          <cell r="BK30" t="str">
            <v>DgR</v>
          </cell>
          <cell r="BL30">
            <v>0</v>
          </cell>
        </row>
        <row r="31">
          <cell r="AR31" t="b">
            <v>0</v>
          </cell>
          <cell r="BC31" t="str">
            <v/>
          </cell>
          <cell r="BH31" t="str">
            <v/>
          </cell>
          <cell r="BJ31" t="str">
            <v>Doomguide</v>
          </cell>
          <cell r="BK31" t="str">
            <v>DmG</v>
          </cell>
          <cell r="BL31">
            <v>0</v>
          </cell>
        </row>
        <row r="32">
          <cell r="AR32" t="b">
            <v>0</v>
          </cell>
          <cell r="BC32" t="str">
            <v/>
          </cell>
          <cell r="BH32" t="str">
            <v/>
          </cell>
          <cell r="BJ32" t="str">
            <v>Doomlord</v>
          </cell>
          <cell r="BK32" t="str">
            <v>DLd</v>
          </cell>
          <cell r="BL32">
            <v>0</v>
          </cell>
        </row>
        <row r="33">
          <cell r="AR33" t="b">
            <v>0</v>
          </cell>
          <cell r="BC33" t="str">
            <v/>
          </cell>
          <cell r="BH33" t="str">
            <v/>
          </cell>
          <cell r="BJ33" t="str">
            <v>Eldritch Knight</v>
          </cell>
          <cell r="BK33" t="str">
            <v>ElK</v>
          </cell>
          <cell r="BL33">
            <v>0</v>
          </cell>
        </row>
        <row r="34">
          <cell r="AR34" t="b">
            <v>0</v>
          </cell>
          <cell r="BC34" t="str">
            <v/>
          </cell>
          <cell r="BH34" t="str">
            <v/>
          </cell>
          <cell r="BJ34" t="str">
            <v>Elven High Mage</v>
          </cell>
          <cell r="BK34" t="str">
            <v>EHM</v>
          </cell>
          <cell r="BL34">
            <v>0</v>
          </cell>
        </row>
        <row r="35">
          <cell r="AR35" t="b">
            <v>0</v>
          </cell>
          <cell r="BC35" t="str">
            <v/>
          </cell>
          <cell r="BH35" t="str">
            <v/>
          </cell>
          <cell r="BJ35" t="str">
            <v>Exalted Arcanist</v>
          </cell>
          <cell r="BK35" t="str">
            <v>ExA</v>
          </cell>
          <cell r="BL35">
            <v>0</v>
          </cell>
        </row>
        <row r="36">
          <cell r="J36" t="b">
            <v>0</v>
          </cell>
          <cell r="AR36" t="b">
            <v>0</v>
          </cell>
          <cell r="BC36" t="str">
            <v/>
          </cell>
          <cell r="BH36" t="str">
            <v/>
          </cell>
          <cell r="BJ36" t="str">
            <v>Exemplar</v>
          </cell>
          <cell r="BK36" t="str">
            <v>Exl</v>
          </cell>
          <cell r="BL36">
            <v>0</v>
          </cell>
        </row>
        <row r="37">
          <cell r="AO37" t="str">
            <v/>
          </cell>
          <cell r="AR37" t="b">
            <v>0</v>
          </cell>
          <cell r="BC37" t="str">
            <v/>
          </cell>
          <cell r="BH37" t="str">
            <v/>
          </cell>
          <cell r="BJ37" t="str">
            <v>Exemplar</v>
          </cell>
          <cell r="BK37" t="str">
            <v>Exr</v>
          </cell>
          <cell r="BL37">
            <v>0</v>
          </cell>
        </row>
        <row r="38">
          <cell r="AO38" t="str">
            <v/>
          </cell>
          <cell r="AQ38" t="str">
            <v/>
          </cell>
          <cell r="AR38" t="b">
            <v>0</v>
          </cell>
          <cell r="BC38" t="str">
            <v/>
          </cell>
          <cell r="BH38" t="str">
            <v/>
          </cell>
          <cell r="BJ38" t="str">
            <v>Extreme Explorer</v>
          </cell>
          <cell r="BK38" t="str">
            <v>Exe</v>
          </cell>
          <cell r="BL38">
            <v>0</v>
          </cell>
        </row>
        <row r="39">
          <cell r="AO39" t="str">
            <v/>
          </cell>
          <cell r="AR39" t="b">
            <v>0</v>
          </cell>
          <cell r="BC39" t="str">
            <v/>
          </cell>
          <cell r="BH39" t="str">
            <v/>
          </cell>
          <cell r="BJ39" t="str">
            <v>Fighter</v>
          </cell>
          <cell r="BK39" t="str">
            <v>Ftr</v>
          </cell>
          <cell r="BL39">
            <v>0</v>
          </cell>
        </row>
        <row r="40">
          <cell r="AO40" t="str">
            <v/>
          </cell>
          <cell r="BC40" t="str">
            <v/>
          </cell>
          <cell r="BH40" t="str">
            <v/>
          </cell>
          <cell r="BJ40" t="str">
            <v>Fighter (Warforged Racial lvl 2)</v>
          </cell>
          <cell r="BK40" t="str">
            <v>WF2</v>
          </cell>
          <cell r="BL40">
            <v>0</v>
          </cell>
        </row>
        <row r="41">
          <cell r="J41" t="b">
            <v>0</v>
          </cell>
          <cell r="AR41" t="b">
            <v>0</v>
          </cell>
          <cell r="BC41" t="str">
            <v/>
          </cell>
          <cell r="BH41" t="str">
            <v/>
          </cell>
          <cell r="BJ41" t="str">
            <v>Fist of Zuoken</v>
          </cell>
          <cell r="BK41" t="str">
            <v>FoZ</v>
          </cell>
          <cell r="BL41">
            <v>0</v>
          </cell>
        </row>
        <row r="42">
          <cell r="J42" t="b">
            <v>0</v>
          </cell>
          <cell r="AR42" t="b">
            <v>0</v>
          </cell>
          <cell r="BC42" t="str">
            <v/>
          </cell>
          <cell r="BH42" t="str">
            <v/>
          </cell>
          <cell r="BJ42" t="str">
            <v>Fortune's Friend</v>
          </cell>
          <cell r="BK42" t="str">
            <v>FFr</v>
          </cell>
          <cell r="BL42">
            <v>0</v>
          </cell>
        </row>
        <row r="43">
          <cell r="AR43" t="b">
            <v>0</v>
          </cell>
          <cell r="BC43" t="str">
            <v/>
          </cell>
          <cell r="BH43" t="str">
            <v/>
          </cell>
          <cell r="BJ43" t="str">
            <v>Friar</v>
          </cell>
          <cell r="BK43" t="str">
            <v>Far</v>
          </cell>
          <cell r="BL43">
            <v>0</v>
          </cell>
        </row>
        <row r="44">
          <cell r="AR44" t="b">
            <v>0</v>
          </cell>
          <cell r="BC44" t="str">
            <v/>
          </cell>
          <cell r="BH44" t="str">
            <v/>
          </cell>
          <cell r="BJ44" t="str">
            <v>Great Rift Skyguard</v>
          </cell>
          <cell r="BK44" t="str">
            <v>GRS</v>
          </cell>
          <cell r="BL44">
            <v>0</v>
          </cell>
        </row>
        <row r="45">
          <cell r="J45" t="b">
            <v>0</v>
          </cell>
          <cell r="AR45" t="b">
            <v>0</v>
          </cell>
          <cell r="BC45" t="str">
            <v/>
          </cell>
          <cell r="BH45" t="str">
            <v/>
          </cell>
          <cell r="BJ45" t="str">
            <v>Guild Wizard of Waterdeep</v>
          </cell>
          <cell r="BK45" t="str">
            <v>GWW</v>
          </cell>
          <cell r="BL45">
            <v>0</v>
          </cell>
        </row>
        <row r="46">
          <cell r="AR46" t="b">
            <v>0</v>
          </cell>
          <cell r="BC46" t="str">
            <v/>
          </cell>
          <cell r="BH46" t="str">
            <v/>
          </cell>
          <cell r="BJ46" t="str">
            <v>Heir of Siberys</v>
          </cell>
          <cell r="BK46" t="str">
            <v>HSb</v>
          </cell>
          <cell r="BL46">
            <v>0</v>
          </cell>
        </row>
        <row r="47">
          <cell r="AO47" t="str">
            <v/>
          </cell>
          <cell r="BC47" t="str">
            <v/>
          </cell>
          <cell r="BH47" t="str">
            <v/>
          </cell>
          <cell r="BJ47" t="str">
            <v>Hellbred (Body aspect)</v>
          </cell>
          <cell r="BK47" t="str">
            <v>Hbd</v>
          </cell>
          <cell r="BL47">
            <v>0</v>
          </cell>
        </row>
        <row r="48">
          <cell r="AO48" t="str">
            <v/>
          </cell>
          <cell r="AR48" t="b">
            <v>0</v>
          </cell>
          <cell r="BC48" t="str">
            <v/>
          </cell>
          <cell r="BH48" t="str">
            <v/>
          </cell>
          <cell r="BJ48" t="str">
            <v>Hierophant</v>
          </cell>
          <cell r="BK48" t="str">
            <v>Hie</v>
          </cell>
          <cell r="BL48">
            <v>0</v>
          </cell>
        </row>
        <row r="49">
          <cell r="AO49" t="str">
            <v/>
          </cell>
          <cell r="AR49" t="b">
            <v>0</v>
          </cell>
          <cell r="BC49" t="str">
            <v/>
          </cell>
          <cell r="BH49" t="str">
            <v/>
          </cell>
          <cell r="BJ49" t="str">
            <v>Holy Warrior</v>
          </cell>
          <cell r="BK49" t="str">
            <v>Hyw</v>
          </cell>
          <cell r="BL49">
            <v>0</v>
          </cell>
        </row>
        <row r="50">
          <cell r="AO50" t="str">
            <v/>
          </cell>
          <cell r="BC50" t="str">
            <v/>
          </cell>
          <cell r="BH50" t="str">
            <v/>
          </cell>
          <cell r="BJ50" t="str">
            <v>Hospitaler</v>
          </cell>
          <cell r="BK50" t="str">
            <v>Hos</v>
          </cell>
          <cell r="BL50">
            <v>0</v>
          </cell>
        </row>
        <row r="51">
          <cell r="AR51" t="b">
            <v>0</v>
          </cell>
          <cell r="BC51" t="str">
            <v/>
          </cell>
          <cell r="BH51" t="str">
            <v/>
          </cell>
          <cell r="BJ51" t="str">
            <v>Horned Harbinger</v>
          </cell>
          <cell r="BK51" t="str">
            <v>HrH</v>
          </cell>
          <cell r="BL51">
            <v>0</v>
          </cell>
        </row>
        <row r="52">
          <cell r="AR52" t="b">
            <v>0</v>
          </cell>
          <cell r="BC52" t="str">
            <v/>
          </cell>
          <cell r="BH52" t="str">
            <v/>
          </cell>
          <cell r="BJ52" t="str">
            <v>Hexblade</v>
          </cell>
          <cell r="BK52" t="str">
            <v>HxB</v>
          </cell>
          <cell r="BL52">
            <v>0</v>
          </cell>
        </row>
        <row r="53">
          <cell r="AR53" t="b">
            <v>0</v>
          </cell>
          <cell r="BC53" t="str">
            <v/>
          </cell>
          <cell r="BH53" t="str">
            <v/>
          </cell>
          <cell r="BJ53" t="str">
            <v>Iaijutsu Master</v>
          </cell>
          <cell r="BK53" t="str">
            <v>Iai</v>
          </cell>
          <cell r="BL53">
            <v>0</v>
          </cell>
        </row>
        <row r="54">
          <cell r="J54" t="b">
            <v>0</v>
          </cell>
          <cell r="AR54" t="b">
            <v>0</v>
          </cell>
          <cell r="BC54" t="str">
            <v/>
          </cell>
          <cell r="BH54" t="str">
            <v/>
          </cell>
          <cell r="BJ54" t="str">
            <v>Initiate of Pistis Sophia</v>
          </cell>
          <cell r="BK54" t="str">
            <v>IPS</v>
          </cell>
          <cell r="BL54">
            <v>0</v>
          </cell>
        </row>
        <row r="55">
          <cell r="J55" t="b">
            <v>0</v>
          </cell>
          <cell r="AR55" t="b">
            <v>0</v>
          </cell>
          <cell r="BC55" t="str">
            <v/>
          </cell>
          <cell r="BH55" t="str">
            <v/>
          </cell>
          <cell r="BJ55" t="str">
            <v>Incantatrix</v>
          </cell>
          <cell r="BK55" t="str">
            <v>Itx</v>
          </cell>
          <cell r="BL55">
            <v>0</v>
          </cell>
        </row>
        <row r="56">
          <cell r="AR56" t="b">
            <v>0</v>
          </cell>
          <cell r="BC56" t="str">
            <v/>
          </cell>
          <cell r="BH56" t="str">
            <v/>
          </cell>
          <cell r="BJ56" t="str">
            <v>Justice of Weald and Woe</v>
          </cell>
          <cell r="BK56" t="str">
            <v>JWW</v>
          </cell>
          <cell r="BL56">
            <v>0</v>
          </cell>
        </row>
        <row r="57">
          <cell r="BC57" t="str">
            <v/>
          </cell>
          <cell r="BH57" t="str">
            <v/>
          </cell>
          <cell r="BJ57" t="str">
            <v>Knight</v>
          </cell>
          <cell r="BK57" t="str">
            <v>Kni</v>
          </cell>
          <cell r="BL57">
            <v>0</v>
          </cell>
        </row>
        <row r="58">
          <cell r="J58" t="b">
            <v>0</v>
          </cell>
          <cell r="AR58" t="b">
            <v>0</v>
          </cell>
          <cell r="BC58" t="str">
            <v/>
          </cell>
          <cell r="BH58" t="str">
            <v/>
          </cell>
          <cell r="BJ58" t="str">
            <v>Knight-Errant of Silverymoon</v>
          </cell>
          <cell r="BK58" t="str">
            <v>KES</v>
          </cell>
          <cell r="BL58">
            <v>0</v>
          </cell>
        </row>
        <row r="59">
          <cell r="AR59" t="b">
            <v>0</v>
          </cell>
          <cell r="BC59" t="str">
            <v/>
          </cell>
          <cell r="BH59" t="str">
            <v/>
          </cell>
          <cell r="BJ59" t="str">
            <v>Knight of the Flying Hunt</v>
          </cell>
          <cell r="BK59" t="str">
            <v>KoFH</v>
          </cell>
          <cell r="BL59">
            <v>0</v>
          </cell>
        </row>
        <row r="60">
          <cell r="J60" t="b">
            <v>0</v>
          </cell>
          <cell r="AR60" t="b">
            <v>0</v>
          </cell>
          <cell r="BC60" t="str">
            <v/>
          </cell>
          <cell r="BH60" t="str">
            <v/>
          </cell>
          <cell r="BJ60" t="str">
            <v>Legendary Leader</v>
          </cell>
          <cell r="BK60" t="str">
            <v>LLd</v>
          </cell>
          <cell r="BL60">
            <v>0</v>
          </cell>
        </row>
        <row r="61">
          <cell r="AR61" t="b">
            <v>0</v>
          </cell>
          <cell r="BC61" t="str">
            <v/>
          </cell>
          <cell r="BH61" t="str">
            <v/>
          </cell>
          <cell r="BJ61" t="str">
            <v>Maester</v>
          </cell>
          <cell r="BK61" t="str">
            <v>Mae</v>
          </cell>
          <cell r="BL61">
            <v>0</v>
          </cell>
        </row>
        <row r="62">
          <cell r="J62" t="b">
            <v>0</v>
          </cell>
          <cell r="AO62" t="str">
            <v/>
          </cell>
          <cell r="AR62" t="b">
            <v>0</v>
          </cell>
          <cell r="BC62" t="str">
            <v/>
          </cell>
          <cell r="BH62" t="str">
            <v/>
          </cell>
          <cell r="BJ62" t="str">
            <v>Mage of the Arcane Order</v>
          </cell>
          <cell r="BK62" t="str">
            <v>MoA</v>
          </cell>
          <cell r="BL62">
            <v>0</v>
          </cell>
        </row>
        <row r="63">
          <cell r="AO63" t="str">
            <v/>
          </cell>
          <cell r="AR63" t="b">
            <v>0</v>
          </cell>
          <cell r="BC63" t="str">
            <v/>
          </cell>
          <cell r="BH63" t="str">
            <v/>
          </cell>
          <cell r="BJ63" t="str">
            <v>Magical Trickster</v>
          </cell>
          <cell r="BK63" t="str">
            <v>MagT</v>
          </cell>
          <cell r="BL63">
            <v>0</v>
          </cell>
        </row>
        <row r="64">
          <cell r="AO64" t="str">
            <v/>
          </cell>
          <cell r="AR64" t="b">
            <v>0</v>
          </cell>
          <cell r="BC64" t="str">
            <v/>
          </cell>
          <cell r="BH64" t="str">
            <v/>
          </cell>
          <cell r="BJ64" t="str">
            <v>Mariner</v>
          </cell>
          <cell r="BK64" t="str">
            <v>Mar</v>
          </cell>
          <cell r="BL64">
            <v>0</v>
          </cell>
        </row>
        <row r="65">
          <cell r="AO65" t="str">
            <v/>
          </cell>
          <cell r="AR65" t="b">
            <v>0</v>
          </cell>
          <cell r="BC65" t="str">
            <v/>
          </cell>
          <cell r="BH65" t="str">
            <v/>
          </cell>
          <cell r="BJ65" t="str">
            <v>Martyred Champion of Ilmater</v>
          </cell>
          <cell r="BK65" t="str">
            <v>Any</v>
          </cell>
          <cell r="BL65">
            <v>0</v>
          </cell>
        </row>
        <row r="66">
          <cell r="AO66" t="str">
            <v/>
          </cell>
          <cell r="AR66" t="b">
            <v>0</v>
          </cell>
          <cell r="BC66" t="str">
            <v/>
          </cell>
          <cell r="BH66" t="str">
            <v/>
          </cell>
          <cell r="BJ66" t="str">
            <v>Master Inquisitive</v>
          </cell>
          <cell r="BK66" t="str">
            <v>MIn</v>
          </cell>
          <cell r="BL66">
            <v>0</v>
          </cell>
        </row>
        <row r="67">
          <cell r="AO67" t="str">
            <v/>
          </cell>
          <cell r="BC67" t="str">
            <v/>
          </cell>
          <cell r="BH67" t="str">
            <v/>
          </cell>
          <cell r="BJ67" t="str">
            <v>Magnifico</v>
          </cell>
          <cell r="BK67" t="str">
            <v>Mnf</v>
          </cell>
          <cell r="BL67">
            <v>0</v>
          </cell>
        </row>
        <row r="68">
          <cell r="AR68" t="b">
            <v>0</v>
          </cell>
          <cell r="BC68" t="str">
            <v/>
          </cell>
          <cell r="BH68" t="str">
            <v/>
          </cell>
          <cell r="BJ68" t="str">
            <v>Monk (Kalashtar Racial lvl 2)</v>
          </cell>
          <cell r="BK68" t="str">
            <v>KM2</v>
          </cell>
          <cell r="BL68">
            <v>0</v>
          </cell>
        </row>
        <row r="69">
          <cell r="AR69" t="b">
            <v>0</v>
          </cell>
          <cell r="BC69" t="str">
            <v/>
          </cell>
          <cell r="BH69" t="str">
            <v/>
          </cell>
          <cell r="BJ69" t="str">
            <v>Orc Scout</v>
          </cell>
          <cell r="BK69" t="str">
            <v>OrS</v>
          </cell>
          <cell r="BL69">
            <v>0</v>
          </cell>
        </row>
        <row r="70">
          <cell r="AR70" t="b">
            <v>0</v>
          </cell>
          <cell r="BC70" t="str">
            <v/>
          </cell>
          <cell r="BH70" t="str">
            <v/>
          </cell>
          <cell r="BJ70" t="str">
            <v>Psion</v>
          </cell>
          <cell r="BK70" t="str">
            <v>Psi</v>
          </cell>
          <cell r="BL70">
            <v>0</v>
          </cell>
        </row>
        <row r="71">
          <cell r="AR71" t="b">
            <v>0</v>
          </cell>
          <cell r="BC71" t="str">
            <v/>
          </cell>
          <cell r="BH71" t="str">
            <v/>
          </cell>
          <cell r="BJ71" t="str">
            <v>Psychic Warrior</v>
          </cell>
          <cell r="BK71" t="str">
            <v>Psw</v>
          </cell>
          <cell r="BL71">
            <v>0</v>
          </cell>
        </row>
        <row r="72">
          <cell r="AR72" t="b">
            <v>0</v>
          </cell>
          <cell r="BC72" t="str">
            <v/>
          </cell>
          <cell r="BH72" t="str">
            <v/>
          </cell>
          <cell r="BJ72" t="str">
            <v>Ranger</v>
          </cell>
          <cell r="BK72" t="str">
            <v>Rgr</v>
          </cell>
          <cell r="BL72">
            <v>0</v>
          </cell>
        </row>
        <row r="73">
          <cell r="BC73" t="str">
            <v/>
          </cell>
          <cell r="BH73" t="str">
            <v/>
          </cell>
          <cell r="BJ73" t="str">
            <v>Renegade Mastermaker</v>
          </cell>
          <cell r="BK73" t="str">
            <v>RMm</v>
          </cell>
          <cell r="BL73">
            <v>0</v>
          </cell>
        </row>
        <row r="74">
          <cell r="AR74" t="b">
            <v>0</v>
          </cell>
          <cell r="BC74" t="str">
            <v/>
          </cell>
          <cell r="BH74" t="str">
            <v/>
          </cell>
          <cell r="BJ74" t="str">
            <v>Ronin</v>
          </cell>
          <cell r="BK74" t="str">
            <v>Ron</v>
          </cell>
          <cell r="BL74">
            <v>0</v>
          </cell>
        </row>
        <row r="75">
          <cell r="AR75" t="b">
            <v>0</v>
          </cell>
          <cell r="BC75" t="str">
            <v/>
          </cell>
          <cell r="BH75" t="str">
            <v/>
          </cell>
          <cell r="BJ75" t="str">
            <v>Rogue (Martial Training)</v>
          </cell>
          <cell r="BK75" t="str">
            <v>Ftr</v>
          </cell>
          <cell r="BL75">
            <v>0</v>
          </cell>
        </row>
        <row r="76">
          <cell r="AR76" t="b">
            <v>0</v>
          </cell>
          <cell r="BC76" t="str">
            <v/>
          </cell>
          <cell r="BH76" t="str">
            <v/>
          </cell>
          <cell r="BJ76" t="str">
            <v>Rogue (Rilkan Racial lvl 3)</v>
          </cell>
          <cell r="BK76" t="str">
            <v>RR3</v>
          </cell>
          <cell r="BL76">
            <v>0</v>
          </cell>
        </row>
        <row r="77">
          <cell r="J77" t="b">
            <v>0</v>
          </cell>
          <cell r="AR77" t="b">
            <v>0</v>
          </cell>
          <cell r="BC77" t="str">
            <v/>
          </cell>
          <cell r="BH77" t="str">
            <v/>
          </cell>
          <cell r="BJ77" t="str">
            <v>Samurai (Oriental Adventures)</v>
          </cell>
          <cell r="BK77" t="str">
            <v>SamNA</v>
          </cell>
          <cell r="BL77">
            <v>0</v>
          </cell>
        </row>
        <row r="78">
          <cell r="AR78" t="b">
            <v>0</v>
          </cell>
          <cell r="BC78" t="str">
            <v/>
          </cell>
          <cell r="BH78" t="str">
            <v/>
          </cell>
          <cell r="BJ78" t="str">
            <v>Scout</v>
          </cell>
          <cell r="BK78" t="str">
            <v>Sct</v>
          </cell>
          <cell r="BL78">
            <v>0</v>
          </cell>
        </row>
        <row r="79">
          <cell r="AR79" t="b">
            <v>0</v>
          </cell>
          <cell r="BC79" t="str">
            <v/>
          </cell>
          <cell r="BH79" t="str">
            <v/>
          </cell>
          <cell r="BJ79" t="str">
            <v>Shadowspy</v>
          </cell>
          <cell r="BK79" t="str">
            <v>ShaS</v>
          </cell>
          <cell r="BL79">
            <v>0</v>
          </cell>
        </row>
        <row r="80">
          <cell r="AR80" t="b">
            <v>0</v>
          </cell>
          <cell r="BC80" t="str">
            <v/>
          </cell>
          <cell r="BH80" t="str">
            <v/>
          </cell>
          <cell r="BJ80" t="str">
            <v>Shadow Thief of Amn</v>
          </cell>
          <cell r="BK80" t="str">
            <v>STA</v>
          </cell>
          <cell r="BL80">
            <v>0</v>
          </cell>
        </row>
        <row r="81">
          <cell r="J81" t="b">
            <v>0</v>
          </cell>
          <cell r="AR81" t="b">
            <v>0</v>
          </cell>
          <cell r="BC81" t="str">
            <v/>
          </cell>
          <cell r="BH81" t="str">
            <v/>
          </cell>
          <cell r="BJ81" t="str">
            <v>Shaman</v>
          </cell>
          <cell r="BK81" t="str">
            <v>Sha</v>
          </cell>
          <cell r="BL81">
            <v>0</v>
          </cell>
        </row>
        <row r="82">
          <cell r="AR82" t="b">
            <v>0</v>
          </cell>
          <cell r="BC82" t="str">
            <v/>
          </cell>
          <cell r="BH82" t="str">
            <v/>
          </cell>
          <cell r="BJ82" t="str">
            <v>Shintao Monk</v>
          </cell>
          <cell r="BK82" t="str">
            <v>ShMk</v>
          </cell>
          <cell r="BL82">
            <v>0</v>
          </cell>
        </row>
        <row r="83">
          <cell r="BC83" t="str">
            <v/>
          </cell>
          <cell r="BH83" t="str">
            <v/>
          </cell>
          <cell r="BJ83" t="str">
            <v>Soulborn</v>
          </cell>
          <cell r="BK83" t="str">
            <v>Sbn</v>
          </cell>
          <cell r="BL83">
            <v>0</v>
          </cell>
        </row>
        <row r="84">
          <cell r="AR84" t="b">
            <v>0</v>
          </cell>
          <cell r="BC84" t="str">
            <v/>
          </cell>
          <cell r="BH84" t="str">
            <v/>
          </cell>
          <cell r="BJ84" t="str">
            <v>Soulbow</v>
          </cell>
          <cell r="BK84" t="str">
            <v>SlBw</v>
          </cell>
          <cell r="BL84">
            <v>0</v>
          </cell>
        </row>
        <row r="85">
          <cell r="AR85" t="b">
            <v>0</v>
          </cell>
          <cell r="BC85" t="str">
            <v/>
          </cell>
          <cell r="BH85" t="str">
            <v/>
          </cell>
          <cell r="BJ85" t="str">
            <v>Spellguard of Silverymoon</v>
          </cell>
          <cell r="BK85" t="str">
            <v>SoS</v>
          </cell>
          <cell r="BL85">
            <v>0</v>
          </cell>
        </row>
        <row r="86">
          <cell r="AR86" t="b">
            <v>0</v>
          </cell>
          <cell r="BC86" t="str">
            <v/>
          </cell>
          <cell r="BH86" t="str">
            <v/>
          </cell>
          <cell r="BJ86" t="str">
            <v>Spellsword</v>
          </cell>
          <cell r="BK86" t="str">
            <v>Sps</v>
          </cell>
          <cell r="BL86">
            <v>0</v>
          </cell>
        </row>
        <row r="87">
          <cell r="AR87" t="b">
            <v>0</v>
          </cell>
          <cell r="BC87" t="str">
            <v/>
          </cell>
          <cell r="BH87" t="str">
            <v/>
          </cell>
          <cell r="BJ87" t="str">
            <v>Stormtalon</v>
          </cell>
          <cell r="BK87" t="str">
            <v>StT</v>
          </cell>
          <cell r="BL87">
            <v>0</v>
          </cell>
        </row>
        <row r="88">
          <cell r="BC88" t="str">
            <v/>
          </cell>
          <cell r="BH88" t="str">
            <v/>
          </cell>
          <cell r="BJ88" t="str">
            <v>Sword of Righteousness</v>
          </cell>
          <cell r="BK88" t="str">
            <v>SwR</v>
          </cell>
          <cell r="BL88">
            <v>0</v>
          </cell>
        </row>
        <row r="89">
          <cell r="AR89" t="b">
            <v>0</v>
          </cell>
          <cell r="BC89" t="str">
            <v/>
          </cell>
          <cell r="BH89" t="str">
            <v/>
          </cell>
          <cell r="BJ89" t="str">
            <v>Pious Templar</v>
          </cell>
          <cell r="BK89" t="str">
            <v>Tem</v>
          </cell>
          <cell r="BL89">
            <v>0</v>
          </cell>
        </row>
        <row r="90">
          <cell r="J90" t="b">
            <v>0</v>
          </cell>
          <cell r="AR90" t="b">
            <v>0</v>
          </cell>
          <cell r="BC90" t="str">
            <v/>
          </cell>
          <cell r="BH90" t="str">
            <v/>
          </cell>
          <cell r="BJ90" t="str">
            <v>Thayan Knight</v>
          </cell>
          <cell r="BK90" t="str">
            <v>Thy</v>
          </cell>
          <cell r="BL90">
            <v>0</v>
          </cell>
        </row>
        <row r="91">
          <cell r="AR91" t="b">
            <v>0</v>
          </cell>
          <cell r="BC91" t="str">
            <v/>
          </cell>
          <cell r="BH91" t="str">
            <v/>
          </cell>
          <cell r="BJ91" t="str">
            <v>Thrall of Demogorgon</v>
          </cell>
          <cell r="BK91" t="str">
            <v>Any</v>
          </cell>
          <cell r="BL91">
            <v>0</v>
          </cell>
        </row>
        <row r="92">
          <cell r="AO92" t="str">
            <v/>
          </cell>
          <cell r="AR92" t="b">
            <v>0</v>
          </cell>
          <cell r="BC92" t="str">
            <v/>
          </cell>
          <cell r="BH92" t="str">
            <v/>
          </cell>
          <cell r="BJ92" t="str">
            <v>Thrall of Orcus</v>
          </cell>
          <cell r="BK92" t="str">
            <v>Any</v>
          </cell>
          <cell r="BL92">
            <v>0</v>
          </cell>
        </row>
        <row r="93">
          <cell r="AO93" t="str">
            <v/>
          </cell>
          <cell r="AR93" t="b">
            <v>0</v>
          </cell>
          <cell r="BC93" t="str">
            <v/>
          </cell>
          <cell r="BH93" t="str">
            <v/>
          </cell>
          <cell r="BJ93" t="str">
            <v>Ultimate Magus</v>
          </cell>
          <cell r="BK93" t="str">
            <v>UlM</v>
          </cell>
          <cell r="BL93">
            <v>0</v>
          </cell>
        </row>
        <row r="94">
          <cell r="AO94" t="str">
            <v/>
          </cell>
          <cell r="AQ94" t="str">
            <v/>
          </cell>
          <cell r="AR94" t="b">
            <v>0</v>
          </cell>
          <cell r="BC94" t="str">
            <v/>
          </cell>
          <cell r="BH94" t="str">
            <v/>
          </cell>
          <cell r="BJ94" t="str">
            <v>Vassal of Bahamut</v>
          </cell>
          <cell r="BK94" t="str">
            <v>VoB</v>
          </cell>
          <cell r="BL94">
            <v>0</v>
          </cell>
        </row>
        <row r="95">
          <cell r="AR95" t="b">
            <v>0</v>
          </cell>
          <cell r="BC95" t="str">
            <v/>
          </cell>
          <cell r="BH95" t="str">
            <v/>
          </cell>
          <cell r="BJ95" t="str">
            <v>Vengeance Knight</v>
          </cell>
          <cell r="BK95" t="str">
            <v>Vek</v>
          </cell>
          <cell r="BL95">
            <v>0</v>
          </cell>
        </row>
        <row r="96">
          <cell r="AR96" t="b">
            <v>0</v>
          </cell>
          <cell r="BC96" t="str">
            <v/>
          </cell>
          <cell r="BH96" t="str">
            <v/>
          </cell>
          <cell r="BJ96" t="str">
            <v>Vow of Poverty</v>
          </cell>
          <cell r="BK96" t="str">
            <v>VoP</v>
          </cell>
          <cell r="BL96">
            <v>0</v>
          </cell>
        </row>
        <row r="97">
          <cell r="AO97" t="str">
            <v/>
          </cell>
          <cell r="AR97" t="b">
            <v>0</v>
          </cell>
          <cell r="BC97" t="str">
            <v/>
          </cell>
          <cell r="BH97" t="str">
            <v/>
          </cell>
          <cell r="BJ97" t="str">
            <v>Wizard</v>
          </cell>
          <cell r="BK97" t="str">
            <v>Wiz</v>
          </cell>
          <cell r="BL97">
            <v>0</v>
          </cell>
        </row>
        <row r="98">
          <cell r="AO98" t="str">
            <v/>
          </cell>
          <cell r="AR98" t="b">
            <v>0</v>
          </cell>
          <cell r="BC98" t="str">
            <v/>
          </cell>
          <cell r="BH98" t="str">
            <v/>
          </cell>
          <cell r="BJ98" t="str">
            <v>Wizard (Elf Racial lvl 5)</v>
          </cell>
          <cell r="BK98" t="str">
            <v>Ew5</v>
          </cell>
          <cell r="BL98">
            <v>0</v>
          </cell>
        </row>
        <row r="99">
          <cell r="AO99" t="str">
            <v/>
          </cell>
          <cell r="AR99" t="b">
            <v>0</v>
          </cell>
          <cell r="BC99" t="str">
            <v/>
          </cell>
          <cell r="BH99" t="str">
            <v/>
          </cell>
          <cell r="BJ99" t="str">
            <v>Warblade</v>
          </cell>
          <cell r="BK99" t="str">
            <v>Wbl</v>
          </cell>
          <cell r="BL99">
            <v>0</v>
          </cell>
        </row>
        <row r="100">
          <cell r="AO100" t="str">
            <v/>
          </cell>
          <cell r="AR100" t="b">
            <v>0</v>
          </cell>
          <cell r="BC100" t="str">
            <v/>
          </cell>
          <cell r="BH100" t="str">
            <v/>
          </cell>
          <cell r="BJ100" t="str">
            <v>War Mage</v>
          </cell>
          <cell r="BK100" t="str">
            <v>WMa</v>
          </cell>
          <cell r="BL100">
            <v>0</v>
          </cell>
        </row>
        <row r="101">
          <cell r="AO101" t="str">
            <v/>
          </cell>
          <cell r="BC101" t="str">
            <v/>
          </cell>
          <cell r="BH101" t="str">
            <v/>
          </cell>
          <cell r="BJ101" t="str">
            <v>Warrior of Darkness</v>
          </cell>
          <cell r="BK101" t="str">
            <v>WoD</v>
          </cell>
          <cell r="BL101">
            <v>0</v>
          </cell>
        </row>
        <row r="102">
          <cell r="AO102" t="str">
            <v/>
          </cell>
          <cell r="AQ102" t="str">
            <v/>
          </cell>
          <cell r="AR102" t="b">
            <v>0</v>
          </cell>
          <cell r="BC102" t="str">
            <v/>
          </cell>
          <cell r="BH102" t="str">
            <v/>
          </cell>
          <cell r="BJ102" t="str">
            <v>Weretouched Master</v>
          </cell>
          <cell r="BK102" t="str">
            <v>WtM</v>
          </cell>
          <cell r="BL102">
            <v>0</v>
          </cell>
        </row>
        <row r="103">
          <cell r="AO103" t="str">
            <v/>
          </cell>
          <cell r="AR103" t="b">
            <v>0</v>
          </cell>
          <cell r="BC103" t="str">
            <v/>
          </cell>
          <cell r="BH103" t="str">
            <v/>
          </cell>
          <cell r="BJ103" t="str">
            <v>Wonderworker</v>
          </cell>
          <cell r="BK103" t="str">
            <v>Won</v>
          </cell>
          <cell r="BL103">
            <v>0</v>
          </cell>
        </row>
        <row r="104">
          <cell r="AO104" t="str">
            <v/>
          </cell>
          <cell r="AR104" t="b">
            <v>0</v>
          </cell>
          <cell r="BC104" t="str">
            <v/>
          </cell>
          <cell r="BH104" t="str">
            <v/>
          </cell>
          <cell r="BJ104" t="str">
            <v>Wearer of Purple</v>
          </cell>
          <cell r="BK104" t="str">
            <v>WoP</v>
          </cell>
          <cell r="BL104">
            <v>0</v>
          </cell>
        </row>
        <row r="105">
          <cell r="AO105" t="str">
            <v/>
          </cell>
          <cell r="AR105" t="b">
            <v>0</v>
          </cell>
          <cell r="BC105" t="str">
            <v/>
          </cell>
          <cell r="BH105" t="str">
            <v/>
          </cell>
          <cell r="BJ105" t="str">
            <v>War Wizard of Cormyr</v>
          </cell>
          <cell r="BK105" t="str">
            <v>WWC</v>
          </cell>
          <cell r="BL105">
            <v>0</v>
          </cell>
        </row>
        <row r="106">
          <cell r="AO106" t="str">
            <v/>
          </cell>
          <cell r="AP106">
            <v>1</v>
          </cell>
          <cell r="AR106" t="b">
            <v>0</v>
          </cell>
          <cell r="BC106" t="str">
            <v/>
          </cell>
          <cell r="BH106" t="str">
            <v/>
          </cell>
          <cell r="BJ106" t="str">
            <v>Wild Scout</v>
          </cell>
          <cell r="BK106" t="str">
            <v>WdS</v>
          </cell>
          <cell r="BL106">
            <v>0</v>
          </cell>
        </row>
        <row r="107">
          <cell r="AO107" t="str">
            <v/>
          </cell>
          <cell r="AP107">
            <v>1</v>
          </cell>
          <cell r="AR107" t="b">
            <v>0</v>
          </cell>
          <cell r="BC107" t="str">
            <v/>
          </cell>
          <cell r="BH107" t="str">
            <v/>
          </cell>
          <cell r="BJ107" t="str">
            <v>Wu Jen</v>
          </cell>
          <cell r="BK107" t="str">
            <v>WuJ</v>
          </cell>
          <cell r="BL107">
            <v>0</v>
          </cell>
        </row>
        <row r="108">
          <cell r="AO108" t="str">
            <v/>
          </cell>
          <cell r="AP108">
            <v>1</v>
          </cell>
          <cell r="AR108" t="b">
            <v>0</v>
          </cell>
          <cell r="BC108" t="str">
            <v/>
          </cell>
          <cell r="BH108" t="str">
            <v/>
          </cell>
        </row>
        <row r="109">
          <cell r="BC109" t="str">
            <v/>
          </cell>
          <cell r="BH109" t="str">
            <v/>
          </cell>
        </row>
        <row r="110">
          <cell r="AO110" t="str">
            <v/>
          </cell>
          <cell r="AR110" t="b">
            <v>0</v>
          </cell>
          <cell r="BC110" t="str">
            <v/>
          </cell>
          <cell r="BH110" t="str">
            <v/>
          </cell>
        </row>
        <row r="111">
          <cell r="AO111" t="str">
            <v/>
          </cell>
          <cell r="AR111" t="b">
            <v>0</v>
          </cell>
          <cell r="BC111" t="str">
            <v/>
          </cell>
          <cell r="BH111" t="str">
            <v/>
          </cell>
        </row>
        <row r="112">
          <cell r="AO112" t="str">
            <v/>
          </cell>
          <cell r="AR112" t="b">
            <v>0</v>
          </cell>
          <cell r="BC112" t="str">
            <v/>
          </cell>
          <cell r="BH112" t="str">
            <v/>
          </cell>
        </row>
        <row r="113">
          <cell r="BC113" t="str">
            <v/>
          </cell>
          <cell r="BH113" t="str">
            <v/>
          </cell>
        </row>
        <row r="114">
          <cell r="AR114" t="b">
            <v>0</v>
          </cell>
          <cell r="BC114" t="str">
            <v/>
          </cell>
          <cell r="BH114" t="str">
            <v/>
          </cell>
        </row>
        <row r="115">
          <cell r="AR115" t="b">
            <v>0</v>
          </cell>
          <cell r="BC115" t="str">
            <v/>
          </cell>
          <cell r="BH115" t="str">
            <v/>
          </cell>
        </row>
        <row r="116">
          <cell r="AR116" t="b">
            <v>0</v>
          </cell>
          <cell r="BC116" t="str">
            <v/>
          </cell>
          <cell r="BH116" t="str">
            <v/>
          </cell>
        </row>
        <row r="117">
          <cell r="AR117" t="b">
            <v>0</v>
          </cell>
          <cell r="BC117" t="str">
            <v/>
          </cell>
          <cell r="BH117" t="str">
            <v/>
          </cell>
        </row>
        <row r="118">
          <cell r="AR118" t="b">
            <v>0</v>
          </cell>
          <cell r="BC118" t="str">
            <v/>
          </cell>
          <cell r="BH118" t="str">
            <v/>
          </cell>
        </row>
        <row r="119">
          <cell r="AR119" t="b">
            <v>0</v>
          </cell>
          <cell r="BC119" t="str">
            <v/>
          </cell>
          <cell r="BH119" t="str">
            <v/>
          </cell>
        </row>
        <row r="120">
          <cell r="AQ120">
            <v>0</v>
          </cell>
          <cell r="AR120" t="b">
            <v>0</v>
          </cell>
          <cell r="BC120" t="str">
            <v/>
          </cell>
          <cell r="BH120" t="str">
            <v/>
          </cell>
        </row>
        <row r="121">
          <cell r="AR121" t="b">
            <v>0</v>
          </cell>
          <cell r="BC121" t="str">
            <v/>
          </cell>
          <cell r="BH121" t="str">
            <v/>
          </cell>
        </row>
        <row r="122">
          <cell r="BC122" t="str">
            <v/>
          </cell>
          <cell r="BH122" t="str">
            <v/>
          </cell>
        </row>
        <row r="123">
          <cell r="J123" t="b">
            <v>0</v>
          </cell>
          <cell r="AR123" t="b">
            <v>0</v>
          </cell>
          <cell r="BC123" t="str">
            <v/>
          </cell>
          <cell r="BH123" t="str">
            <v/>
          </cell>
        </row>
        <row r="124">
          <cell r="J124" t="b">
            <v>0</v>
          </cell>
          <cell r="AO124" t="b">
            <v>0</v>
          </cell>
          <cell r="AR124" t="b">
            <v>0</v>
          </cell>
          <cell r="BC124" t="str">
            <v/>
          </cell>
          <cell r="BH124" t="str">
            <v/>
          </cell>
        </row>
        <row r="125">
          <cell r="AR125" t="b">
            <v>0</v>
          </cell>
          <cell r="BC125" t="str">
            <v/>
          </cell>
          <cell r="BH125" t="str">
            <v/>
          </cell>
        </row>
        <row r="126">
          <cell r="J126" t="b">
            <v>0</v>
          </cell>
          <cell r="AR126" t="b">
            <v>0</v>
          </cell>
          <cell r="BC126" t="str">
            <v/>
          </cell>
          <cell r="BH126" t="str">
            <v/>
          </cell>
        </row>
        <row r="127">
          <cell r="J127" t="b">
            <v>0</v>
          </cell>
          <cell r="AR127" t="b">
            <v>0</v>
          </cell>
          <cell r="BC127" t="str">
            <v/>
          </cell>
          <cell r="BH127" t="str">
            <v/>
          </cell>
        </row>
        <row r="128">
          <cell r="J128" t="b">
            <v>0</v>
          </cell>
          <cell r="AQ128" t="str">
            <v/>
          </cell>
          <cell r="AR128" t="b">
            <v>0</v>
          </cell>
          <cell r="BC128" t="str">
            <v/>
          </cell>
          <cell r="BH128" t="str">
            <v/>
          </cell>
          <cell r="BM128" t="str">
            <v>Select a Weapon</v>
          </cell>
        </row>
        <row r="129">
          <cell r="J129" t="b">
            <v>0</v>
          </cell>
          <cell r="AR129" t="b">
            <v>0</v>
          </cell>
          <cell r="BC129" t="str">
            <v/>
          </cell>
          <cell r="BH129" t="str">
            <v/>
          </cell>
          <cell r="BM129" t="str">
            <v/>
          </cell>
        </row>
        <row r="130">
          <cell r="AR130" t="b">
            <v>0</v>
          </cell>
          <cell r="BC130" t="str">
            <v/>
          </cell>
          <cell r="BH130" t="str">
            <v/>
          </cell>
          <cell r="BM130" t="str">
            <v/>
          </cell>
        </row>
        <row r="131">
          <cell r="AR131" t="b">
            <v>0</v>
          </cell>
          <cell r="BC131" t="str">
            <v/>
          </cell>
          <cell r="BH131" t="str">
            <v/>
          </cell>
          <cell r="BM131" t="str">
            <v/>
          </cell>
        </row>
        <row r="132">
          <cell r="AO132" t="str">
            <v/>
          </cell>
          <cell r="AR132" t="b">
            <v>0</v>
          </cell>
          <cell r="BC132" t="str">
            <v/>
          </cell>
          <cell r="BH132" t="str">
            <v/>
          </cell>
          <cell r="BM132" t="str">
            <v/>
          </cell>
        </row>
        <row r="133">
          <cell r="BC133" t="str">
            <v/>
          </cell>
          <cell r="BH133" t="str">
            <v/>
          </cell>
          <cell r="BM133" t="str">
            <v/>
          </cell>
        </row>
        <row r="134">
          <cell r="AO134" t="str">
            <v/>
          </cell>
          <cell r="AQ134" t="str">
            <v/>
          </cell>
          <cell r="AR134" t="b">
            <v>0</v>
          </cell>
          <cell r="BC134" t="str">
            <v/>
          </cell>
          <cell r="BH134" t="str">
            <v/>
          </cell>
          <cell r="BM134" t="str">
            <v/>
          </cell>
        </row>
        <row r="135">
          <cell r="AO135" t="str">
            <v/>
          </cell>
          <cell r="AR135" t="b">
            <v>0</v>
          </cell>
          <cell r="BC135" t="str">
            <v/>
          </cell>
          <cell r="BH135" t="str">
            <v/>
          </cell>
          <cell r="BM135" t="str">
            <v/>
          </cell>
        </row>
        <row r="136">
          <cell r="AO136" t="str">
            <v/>
          </cell>
          <cell r="AR136" t="b">
            <v>0</v>
          </cell>
          <cell r="BC136" t="str">
            <v/>
          </cell>
          <cell r="BH136" t="str">
            <v/>
          </cell>
          <cell r="BM136" t="str">
            <v/>
          </cell>
        </row>
        <row r="137">
          <cell r="J137" t="b">
            <v>0</v>
          </cell>
          <cell r="AO137" t="str">
            <v/>
          </cell>
          <cell r="BC137" t="str">
            <v/>
          </cell>
          <cell r="BH137" t="str">
            <v/>
          </cell>
          <cell r="BL137" t="str">
            <v/>
          </cell>
          <cell r="BM137" t="str">
            <v/>
          </cell>
        </row>
        <row r="138">
          <cell r="AO138" t="str">
            <v/>
          </cell>
          <cell r="AR138" t="b">
            <v>0</v>
          </cell>
          <cell r="BC138" t="str">
            <v/>
          </cell>
          <cell r="BH138" t="str">
            <v/>
          </cell>
          <cell r="BL138" t="str">
            <v/>
          </cell>
          <cell r="BM138" t="str">
            <v/>
          </cell>
        </row>
        <row r="139">
          <cell r="AO139" t="str">
            <v/>
          </cell>
          <cell r="AR139" t="b">
            <v>0</v>
          </cell>
          <cell r="BC139" t="str">
            <v/>
          </cell>
          <cell r="BH139" t="str">
            <v/>
          </cell>
          <cell r="BM139" t="str">
            <v/>
          </cell>
        </row>
        <row r="140">
          <cell r="AO140" t="str">
            <v/>
          </cell>
          <cell r="AR140" t="b">
            <v>0</v>
          </cell>
          <cell r="BC140" t="str">
            <v/>
          </cell>
          <cell r="BH140" t="str">
            <v/>
          </cell>
          <cell r="BL140" t="str">
            <v/>
          </cell>
          <cell r="BM140" t="str">
            <v/>
          </cell>
        </row>
        <row r="141">
          <cell r="BC141" t="str">
            <v/>
          </cell>
          <cell r="BH141" t="str">
            <v/>
          </cell>
          <cell r="BL141" t="str">
            <v/>
          </cell>
          <cell r="BM141" t="str">
            <v/>
          </cell>
        </row>
        <row r="142">
          <cell r="AO142" t="str">
            <v/>
          </cell>
          <cell r="BC142" t="str">
            <v/>
          </cell>
          <cell r="BH142" t="str">
            <v/>
          </cell>
          <cell r="BL142" t="str">
            <v/>
          </cell>
          <cell r="BM142" t="str">
            <v/>
          </cell>
        </row>
        <row r="143">
          <cell r="AO143" t="str">
            <v/>
          </cell>
          <cell r="BC143" t="str">
            <v/>
          </cell>
          <cell r="BH143" t="str">
            <v/>
          </cell>
          <cell r="BM143" t="str">
            <v/>
          </cell>
        </row>
        <row r="144">
          <cell r="AO144" t="str">
            <v/>
          </cell>
          <cell r="BC144" t="str">
            <v/>
          </cell>
          <cell r="BH144" t="str">
            <v/>
          </cell>
          <cell r="BM144" t="str">
            <v/>
          </cell>
        </row>
        <row r="145">
          <cell r="BC145" t="str">
            <v/>
          </cell>
          <cell r="BH145" t="str">
            <v/>
          </cell>
          <cell r="BM145" t="str">
            <v/>
          </cell>
        </row>
        <row r="146">
          <cell r="AO146" t="str">
            <v/>
          </cell>
          <cell r="BC146" t="str">
            <v/>
          </cell>
          <cell r="BH146" t="str">
            <v/>
          </cell>
          <cell r="BM146" t="str">
            <v/>
          </cell>
        </row>
        <row r="147">
          <cell r="AO147" t="str">
            <v/>
          </cell>
          <cell r="AR147" t="b">
            <v>0</v>
          </cell>
          <cell r="BC147" t="str">
            <v/>
          </cell>
          <cell r="BH147" t="str">
            <v/>
          </cell>
          <cell r="BM147" t="str">
            <v/>
          </cell>
        </row>
        <row r="148">
          <cell r="AO148" t="str">
            <v/>
          </cell>
          <cell r="AR148" t="b">
            <v>0</v>
          </cell>
          <cell r="BC148" t="str">
            <v/>
          </cell>
          <cell r="BH148" t="str">
            <v/>
          </cell>
          <cell r="BM148" t="str">
            <v/>
          </cell>
        </row>
        <row r="149">
          <cell r="AO149" t="str">
            <v/>
          </cell>
          <cell r="AR149" t="b">
            <v>0</v>
          </cell>
          <cell r="BC149" t="str">
            <v/>
          </cell>
          <cell r="BH149" t="str">
            <v/>
          </cell>
        </row>
        <row r="150">
          <cell r="AR150" t="b">
            <v>0</v>
          </cell>
          <cell r="BC150" t="str">
            <v/>
          </cell>
          <cell r="BH150" t="str">
            <v/>
          </cell>
        </row>
        <row r="151">
          <cell r="AR151" t="b">
            <v>0</v>
          </cell>
          <cell r="BC151" t="str">
            <v/>
          </cell>
          <cell r="BH151" t="str">
            <v/>
          </cell>
        </row>
        <row r="152">
          <cell r="AR152" t="b">
            <v>0</v>
          </cell>
          <cell r="BC152" t="str">
            <v/>
          </cell>
          <cell r="BH152" t="str">
            <v/>
          </cell>
        </row>
        <row r="153">
          <cell r="AR153" t="b">
            <v>0</v>
          </cell>
          <cell r="BC153" t="str">
            <v/>
          </cell>
          <cell r="BH153" t="str">
            <v/>
          </cell>
        </row>
        <row r="154">
          <cell r="J154" t="b">
            <v>1</v>
          </cell>
          <cell r="AR154" t="b">
            <v>1</v>
          </cell>
          <cell r="BC154" t="str">
            <v/>
          </cell>
          <cell r="BH154" t="str">
            <v/>
          </cell>
        </row>
        <row r="155">
          <cell r="BC155" t="str">
            <v/>
          </cell>
          <cell r="BH155" t="str">
            <v/>
          </cell>
        </row>
        <row r="156">
          <cell r="BC156" t="str">
            <v/>
          </cell>
          <cell r="BH156" t="str">
            <v/>
          </cell>
        </row>
        <row r="157">
          <cell r="AR157" t="b">
            <v>0</v>
          </cell>
          <cell r="BC157" t="str">
            <v/>
          </cell>
          <cell r="BH157" t="str">
            <v/>
          </cell>
        </row>
        <row r="158">
          <cell r="AR158" t="b">
            <v>0</v>
          </cell>
          <cell r="BC158" t="str">
            <v/>
          </cell>
          <cell r="BH158" t="str">
            <v/>
          </cell>
        </row>
        <row r="159">
          <cell r="AR159" t="b">
            <v>0</v>
          </cell>
          <cell r="BC159" t="str">
            <v/>
          </cell>
          <cell r="BH159" t="str">
            <v/>
          </cell>
        </row>
        <row r="160">
          <cell r="AR160" t="b">
            <v>0</v>
          </cell>
          <cell r="BC160" t="str">
            <v/>
          </cell>
          <cell r="BH160" t="str">
            <v/>
          </cell>
        </row>
        <row r="161">
          <cell r="AR161" t="b">
            <v>0</v>
          </cell>
          <cell r="BC161" t="str">
            <v/>
          </cell>
          <cell r="BH161" t="str">
            <v/>
          </cell>
        </row>
        <row r="162">
          <cell r="AR162" t="b">
            <v>0</v>
          </cell>
          <cell r="BC162" t="str">
            <v/>
          </cell>
          <cell r="BH162" t="str">
            <v/>
          </cell>
        </row>
        <row r="163">
          <cell r="AR163" t="b">
            <v>0</v>
          </cell>
          <cell r="BC163" t="str">
            <v/>
          </cell>
          <cell r="BH163" t="str">
            <v/>
          </cell>
        </row>
        <row r="164">
          <cell r="AR164" t="b">
            <v>0</v>
          </cell>
          <cell r="BC164" t="str">
            <v/>
          </cell>
          <cell r="BH164" t="str">
            <v/>
          </cell>
        </row>
        <row r="165">
          <cell r="AR165" t="b">
            <v>0</v>
          </cell>
          <cell r="BC165" t="str">
            <v/>
          </cell>
          <cell r="BH165" t="str">
            <v/>
          </cell>
        </row>
        <row r="166">
          <cell r="BC166" t="str">
            <v/>
          </cell>
          <cell r="BH166" t="str">
            <v/>
          </cell>
        </row>
        <row r="167">
          <cell r="BC167" t="str">
            <v/>
          </cell>
          <cell r="BH167" t="str">
            <v/>
          </cell>
        </row>
        <row r="168">
          <cell r="AA168">
            <v>2</v>
          </cell>
          <cell r="BC168" t="str">
            <v/>
          </cell>
          <cell r="BH168" t="str">
            <v/>
          </cell>
        </row>
        <row r="169">
          <cell r="AA169">
            <v>2</v>
          </cell>
          <cell r="AR169" t="b">
            <v>0</v>
          </cell>
          <cell r="BC169" t="str">
            <v/>
          </cell>
          <cell r="BH169" t="str">
            <v/>
          </cell>
        </row>
        <row r="170">
          <cell r="AA170">
            <v>2</v>
          </cell>
          <cell r="BC170" t="str">
            <v/>
          </cell>
          <cell r="BH170" t="str">
            <v/>
          </cell>
        </row>
        <row r="171">
          <cell r="AA171">
            <v>2</v>
          </cell>
          <cell r="BC171" t="str">
            <v/>
          </cell>
          <cell r="BH171" t="str">
            <v/>
          </cell>
        </row>
        <row r="172">
          <cell r="AA172">
            <v>2</v>
          </cell>
          <cell r="AR172" t="b">
            <v>0</v>
          </cell>
          <cell r="BC172" t="str">
            <v/>
          </cell>
          <cell r="BH172" t="str">
            <v/>
          </cell>
        </row>
        <row r="173">
          <cell r="AA173">
            <v>2</v>
          </cell>
          <cell r="AR173" t="b">
            <v>0</v>
          </cell>
          <cell r="BC173" t="str">
            <v/>
          </cell>
          <cell r="BH173" t="str">
            <v/>
          </cell>
        </row>
        <row r="174">
          <cell r="AA174">
            <v>2</v>
          </cell>
          <cell r="AR174" t="b">
            <v>0</v>
          </cell>
          <cell r="BC174" t="str">
            <v/>
          </cell>
          <cell r="BH174" t="str">
            <v/>
          </cell>
        </row>
        <row r="175">
          <cell r="AA175">
            <v>2</v>
          </cell>
          <cell r="AR175" t="b">
            <v>0</v>
          </cell>
          <cell r="BC175" t="str">
            <v/>
          </cell>
          <cell r="BH175" t="str">
            <v/>
          </cell>
        </row>
        <row r="176">
          <cell r="AA176">
            <v>2</v>
          </cell>
          <cell r="BC176" t="str">
            <v/>
          </cell>
          <cell r="BH176" t="str">
            <v/>
          </cell>
        </row>
        <row r="177">
          <cell r="AA177">
            <v>2</v>
          </cell>
          <cell r="BC177" t="str">
            <v/>
          </cell>
          <cell r="BH177" t="str">
            <v/>
          </cell>
        </row>
        <row r="178">
          <cell r="AA178">
            <v>2</v>
          </cell>
          <cell r="AO178" t="str">
            <v/>
          </cell>
          <cell r="AR178" t="b">
            <v>0</v>
          </cell>
          <cell r="BC178" t="str">
            <v/>
          </cell>
          <cell r="BH178" t="str">
            <v/>
          </cell>
        </row>
        <row r="179">
          <cell r="AA179">
            <v>2</v>
          </cell>
          <cell r="AO179" t="str">
            <v/>
          </cell>
          <cell r="AR179" t="b">
            <v>0</v>
          </cell>
          <cell r="BC179" t="str">
            <v/>
          </cell>
          <cell r="BH179" t="str">
            <v/>
          </cell>
        </row>
        <row r="180">
          <cell r="AA180">
            <v>2</v>
          </cell>
          <cell r="AO180" t="str">
            <v/>
          </cell>
          <cell r="AR180" t="b">
            <v>0</v>
          </cell>
          <cell r="BC180" t="str">
            <v/>
          </cell>
          <cell r="BH180" t="str">
            <v/>
          </cell>
        </row>
        <row r="181">
          <cell r="AA181">
            <v>2</v>
          </cell>
          <cell r="BC181" t="str">
            <v/>
          </cell>
          <cell r="BH181" t="str">
            <v/>
          </cell>
        </row>
        <row r="182">
          <cell r="AA182">
            <v>2</v>
          </cell>
          <cell r="BC182" t="str">
            <v/>
          </cell>
          <cell r="BH182" t="str">
            <v/>
          </cell>
        </row>
        <row r="183">
          <cell r="AA183">
            <v>2</v>
          </cell>
          <cell r="BC183" t="str">
            <v/>
          </cell>
          <cell r="BH183" t="str">
            <v/>
          </cell>
        </row>
        <row r="184">
          <cell r="Y184" t="b">
            <v>0</v>
          </cell>
          <cell r="AA184">
            <v>2</v>
          </cell>
          <cell r="BC184" t="str">
            <v/>
          </cell>
          <cell r="BH184" t="str">
            <v/>
          </cell>
        </row>
        <row r="185">
          <cell r="AA185">
            <v>2</v>
          </cell>
          <cell r="BC185" t="str">
            <v/>
          </cell>
          <cell r="BH185" t="str">
            <v/>
          </cell>
        </row>
        <row r="186">
          <cell r="AA186">
            <v>2</v>
          </cell>
          <cell r="BC186" t="str">
            <v/>
          </cell>
          <cell r="BH186" t="str">
            <v/>
          </cell>
        </row>
        <row r="187">
          <cell r="AA187">
            <v>2</v>
          </cell>
          <cell r="AR187" t="b">
            <v>0</v>
          </cell>
          <cell r="BC187" t="str">
            <v/>
          </cell>
          <cell r="BH187" t="str">
            <v/>
          </cell>
        </row>
        <row r="188">
          <cell r="AA188">
            <v>2</v>
          </cell>
          <cell r="BC188" t="str">
            <v/>
          </cell>
          <cell r="BH188" t="str">
            <v/>
          </cell>
        </row>
        <row r="189">
          <cell r="AA189">
            <v>2</v>
          </cell>
          <cell r="BC189" t="str">
            <v/>
          </cell>
          <cell r="BH189" t="str">
            <v/>
          </cell>
        </row>
        <row r="190">
          <cell r="AA190">
            <v>2</v>
          </cell>
          <cell r="BC190" t="str">
            <v/>
          </cell>
          <cell r="BH190" t="str">
            <v/>
          </cell>
        </row>
        <row r="191">
          <cell r="AA191">
            <v>2</v>
          </cell>
          <cell r="BC191" t="str">
            <v/>
          </cell>
          <cell r="BH191" t="str">
            <v/>
          </cell>
        </row>
        <row r="192">
          <cell r="AA192">
            <v>2</v>
          </cell>
          <cell r="AR192" t="b">
            <v>0</v>
          </cell>
          <cell r="BC192" t="str">
            <v/>
          </cell>
          <cell r="BH192" t="str">
            <v/>
          </cell>
        </row>
        <row r="193">
          <cell r="AA193">
            <v>2</v>
          </cell>
          <cell r="BC193" t="str">
            <v/>
          </cell>
          <cell r="BH193" t="str">
            <v/>
          </cell>
        </row>
        <row r="194">
          <cell r="AA194">
            <v>2</v>
          </cell>
          <cell r="BC194" t="str">
            <v/>
          </cell>
          <cell r="BH194" t="str">
            <v/>
          </cell>
        </row>
        <row r="195">
          <cell r="AA195">
            <v>2</v>
          </cell>
          <cell r="BC195" t="str">
            <v/>
          </cell>
          <cell r="BH195" t="str">
            <v/>
          </cell>
        </row>
        <row r="196">
          <cell r="AA196">
            <v>2</v>
          </cell>
          <cell r="BC196" t="str">
            <v/>
          </cell>
          <cell r="BH196" t="str">
            <v/>
          </cell>
        </row>
        <row r="197">
          <cell r="AA197">
            <v>2</v>
          </cell>
          <cell r="BC197" t="str">
            <v/>
          </cell>
          <cell r="BH197" t="str">
            <v/>
          </cell>
        </row>
        <row r="198">
          <cell r="AA198">
            <v>2</v>
          </cell>
          <cell r="BC198" t="str">
            <v/>
          </cell>
          <cell r="BH198" t="str">
            <v/>
          </cell>
        </row>
        <row r="199">
          <cell r="AA199">
            <v>2</v>
          </cell>
          <cell r="AR199" t="b">
            <v>0</v>
          </cell>
          <cell r="BC199" t="str">
            <v/>
          </cell>
          <cell r="BH199" t="str">
            <v/>
          </cell>
        </row>
        <row r="200">
          <cell r="AA200">
            <v>2</v>
          </cell>
          <cell r="BC200" t="str">
            <v/>
          </cell>
          <cell r="BH200" t="str">
            <v/>
          </cell>
        </row>
        <row r="201">
          <cell r="AA201">
            <v>2</v>
          </cell>
          <cell r="BC201" t="str">
            <v/>
          </cell>
          <cell r="BH201" t="str">
            <v/>
          </cell>
        </row>
        <row r="202">
          <cell r="AA202">
            <v>2</v>
          </cell>
          <cell r="BC202" t="str">
            <v/>
          </cell>
          <cell r="BH202" t="str">
            <v/>
          </cell>
        </row>
        <row r="203">
          <cell r="AA203">
            <v>2</v>
          </cell>
          <cell r="AR203" t="b">
            <v>0</v>
          </cell>
          <cell r="BC203" t="str">
            <v/>
          </cell>
          <cell r="BH203" t="str">
            <v/>
          </cell>
        </row>
        <row r="204">
          <cell r="AA204">
            <v>2</v>
          </cell>
          <cell r="BC204" t="str">
            <v/>
          </cell>
          <cell r="BH204" t="str">
            <v/>
          </cell>
        </row>
        <row r="205">
          <cell r="Y205" t="b">
            <v>0</v>
          </cell>
          <cell r="AA205">
            <v>2</v>
          </cell>
          <cell r="BC205" t="str">
            <v/>
          </cell>
          <cell r="BH205" t="str">
            <v/>
          </cell>
        </row>
        <row r="206">
          <cell r="AA206">
            <v>2</v>
          </cell>
          <cell r="BC206" t="str">
            <v/>
          </cell>
          <cell r="BH206" t="str">
            <v/>
          </cell>
        </row>
        <row r="207">
          <cell r="AA207">
            <v>2</v>
          </cell>
          <cell r="BC207" t="str">
            <v/>
          </cell>
          <cell r="BH207" t="str">
            <v/>
          </cell>
        </row>
        <row r="208">
          <cell r="AA208">
            <v>2</v>
          </cell>
          <cell r="BC208" t="str">
            <v/>
          </cell>
          <cell r="BH208" t="str">
            <v/>
          </cell>
        </row>
        <row r="209">
          <cell r="AA209">
            <v>2</v>
          </cell>
          <cell r="BC209" t="str">
            <v/>
          </cell>
          <cell r="BH209" t="str">
            <v/>
          </cell>
        </row>
        <row r="210">
          <cell r="AA210">
            <v>2</v>
          </cell>
          <cell r="BC210" t="str">
            <v/>
          </cell>
          <cell r="BH210" t="str">
            <v/>
          </cell>
        </row>
        <row r="211">
          <cell r="AA211">
            <v>2</v>
          </cell>
          <cell r="BC211" t="str">
            <v/>
          </cell>
          <cell r="BH211" t="str">
            <v/>
          </cell>
        </row>
        <row r="212">
          <cell r="AA212">
            <v>2</v>
          </cell>
          <cell r="BC212" t="str">
            <v/>
          </cell>
          <cell r="BH212" t="str">
            <v/>
          </cell>
        </row>
        <row r="213">
          <cell r="AA213">
            <v>2</v>
          </cell>
          <cell r="AR213" t="b">
            <v>0</v>
          </cell>
          <cell r="BC213" t="str">
            <v/>
          </cell>
          <cell r="BH213" t="str">
            <v/>
          </cell>
        </row>
        <row r="214">
          <cell r="AA214">
            <v>2</v>
          </cell>
          <cell r="AR214" t="b">
            <v>0</v>
          </cell>
          <cell r="BC214" t="str">
            <v/>
          </cell>
          <cell r="BH214" t="str">
            <v/>
          </cell>
        </row>
        <row r="215">
          <cell r="AA215">
            <v>2</v>
          </cell>
          <cell r="AP215">
            <v>1</v>
          </cell>
          <cell r="AR215" t="b">
            <v>0</v>
          </cell>
          <cell r="BC215" t="str">
            <v/>
          </cell>
          <cell r="BH215" t="str">
            <v/>
          </cell>
        </row>
        <row r="216">
          <cell r="AA216">
            <v>2</v>
          </cell>
          <cell r="AP216">
            <v>1</v>
          </cell>
          <cell r="AR216" t="b">
            <v>0</v>
          </cell>
          <cell r="BC216" t="str">
            <v/>
          </cell>
          <cell r="BH216" t="str">
            <v/>
          </cell>
        </row>
        <row r="217">
          <cell r="AA217">
            <v>2</v>
          </cell>
          <cell r="AP217">
            <v>1</v>
          </cell>
          <cell r="BC217" t="str">
            <v/>
          </cell>
          <cell r="BH217" t="str">
            <v/>
          </cell>
        </row>
        <row r="218">
          <cell r="AA218">
            <v>2</v>
          </cell>
          <cell r="BC218" t="str">
            <v/>
          </cell>
          <cell r="BH218" t="str">
            <v/>
          </cell>
        </row>
        <row r="219">
          <cell r="AA219">
            <v>2</v>
          </cell>
          <cell r="BC219" t="str">
            <v/>
          </cell>
          <cell r="BH219" t="str">
            <v/>
          </cell>
        </row>
        <row r="220">
          <cell r="AA220">
            <v>2</v>
          </cell>
          <cell r="AR220" t="b">
            <v>0</v>
          </cell>
          <cell r="BC220" t="str">
            <v/>
          </cell>
          <cell r="BH220" t="str">
            <v/>
          </cell>
        </row>
        <row r="221">
          <cell r="AA221">
            <v>2</v>
          </cell>
          <cell r="BC221" t="str">
            <v/>
          </cell>
          <cell r="BH221" t="str">
            <v/>
          </cell>
        </row>
        <row r="222">
          <cell r="AA222">
            <v>2</v>
          </cell>
          <cell r="AR222" t="b">
            <v>0</v>
          </cell>
          <cell r="BC222" t="str">
            <v/>
          </cell>
          <cell r="BH222" t="str">
            <v/>
          </cell>
        </row>
        <row r="223">
          <cell r="AA223">
            <v>2</v>
          </cell>
          <cell r="BC223" t="str">
            <v/>
          </cell>
          <cell r="BH223" t="str">
            <v/>
          </cell>
        </row>
        <row r="224">
          <cell r="AA224">
            <v>2</v>
          </cell>
          <cell r="BC224" t="str">
            <v/>
          </cell>
          <cell r="BH224" t="str">
            <v/>
          </cell>
        </row>
        <row r="225">
          <cell r="AA225">
            <v>2</v>
          </cell>
          <cell r="AR225" t="b">
            <v>0</v>
          </cell>
          <cell r="BC225" t="str">
            <v/>
          </cell>
          <cell r="BH225" t="str">
            <v/>
          </cell>
        </row>
        <row r="226">
          <cell r="AA226">
            <v>2</v>
          </cell>
          <cell r="AP226">
            <v>1</v>
          </cell>
          <cell r="AR226" t="b">
            <v>0</v>
          </cell>
          <cell r="BC226" t="str">
            <v/>
          </cell>
          <cell r="BH226" t="str">
            <v/>
          </cell>
        </row>
        <row r="227">
          <cell r="AA227">
            <v>2</v>
          </cell>
          <cell r="AP227">
            <v>1</v>
          </cell>
          <cell r="AR227" t="b">
            <v>0</v>
          </cell>
          <cell r="BC227" t="str">
            <v/>
          </cell>
          <cell r="BH227" t="str">
            <v/>
          </cell>
        </row>
        <row r="228">
          <cell r="AA228">
            <v>2</v>
          </cell>
          <cell r="AP228">
            <v>1</v>
          </cell>
          <cell r="BC228" t="str">
            <v/>
          </cell>
          <cell r="BH228" t="str">
            <v/>
          </cell>
        </row>
        <row r="229">
          <cell r="AA229">
            <v>2</v>
          </cell>
          <cell r="BC229" t="str">
            <v/>
          </cell>
          <cell r="BH229" t="str">
            <v/>
          </cell>
        </row>
        <row r="230">
          <cell r="AA230">
            <v>2</v>
          </cell>
          <cell r="AR230" t="b">
            <v>0</v>
          </cell>
          <cell r="BC230" t="str">
            <v/>
          </cell>
          <cell r="BH230" t="str">
            <v/>
          </cell>
        </row>
        <row r="231">
          <cell r="AA231">
            <v>2</v>
          </cell>
          <cell r="AO231" t="str">
            <v/>
          </cell>
          <cell r="AR231" t="b">
            <v>0</v>
          </cell>
          <cell r="BC231" t="str">
            <v/>
          </cell>
          <cell r="BH231" t="str">
            <v/>
          </cell>
        </row>
        <row r="232">
          <cell r="AA232">
            <v>2</v>
          </cell>
          <cell r="AO232" t="str">
            <v/>
          </cell>
          <cell r="AR232" t="b">
            <v>0</v>
          </cell>
          <cell r="BC232" t="str">
            <v/>
          </cell>
          <cell r="BH232" t="str">
            <v/>
          </cell>
        </row>
        <row r="233">
          <cell r="AA233">
            <v>2</v>
          </cell>
          <cell r="AO233" t="str">
            <v/>
          </cell>
          <cell r="AR233" t="b">
            <v>0</v>
          </cell>
          <cell r="BC233" t="str">
            <v/>
          </cell>
          <cell r="BH233" t="str">
            <v/>
          </cell>
        </row>
        <row r="234">
          <cell r="AA234">
            <v>2</v>
          </cell>
          <cell r="AR234" t="b">
            <v>0</v>
          </cell>
          <cell r="BC234" t="str">
            <v/>
          </cell>
          <cell r="BH234" t="str">
            <v/>
          </cell>
        </row>
        <row r="235">
          <cell r="AA235">
            <v>2</v>
          </cell>
          <cell r="AR235" t="b">
            <v>0</v>
          </cell>
          <cell r="BC235" t="str">
            <v/>
          </cell>
          <cell r="BH235" t="str">
            <v/>
          </cell>
        </row>
        <row r="236">
          <cell r="AA236">
            <v>2</v>
          </cell>
          <cell r="BC236" t="str">
            <v/>
          </cell>
          <cell r="BH236" t="str">
            <v/>
          </cell>
        </row>
        <row r="237">
          <cell r="AA237">
            <v>2</v>
          </cell>
          <cell r="AR237" t="b">
            <v>0</v>
          </cell>
          <cell r="BC237" t="str">
            <v/>
          </cell>
          <cell r="BH237" t="str">
            <v/>
          </cell>
        </row>
        <row r="238">
          <cell r="AA238">
            <v>2</v>
          </cell>
          <cell r="BC238" t="str">
            <v/>
          </cell>
          <cell r="BH238" t="str">
            <v/>
          </cell>
        </row>
        <row r="239">
          <cell r="AA239">
            <v>2</v>
          </cell>
          <cell r="BC239" t="str">
            <v/>
          </cell>
          <cell r="BH239" t="str">
            <v/>
          </cell>
        </row>
        <row r="240">
          <cell r="AA240">
            <v>2</v>
          </cell>
          <cell r="BC240" t="str">
            <v/>
          </cell>
          <cell r="BH240" t="str">
            <v/>
          </cell>
        </row>
        <row r="241">
          <cell r="AA241">
            <v>2</v>
          </cell>
          <cell r="AR241" t="b">
            <v>0</v>
          </cell>
          <cell r="BC241" t="str">
            <v/>
          </cell>
          <cell r="BH241" t="str">
            <v/>
          </cell>
        </row>
        <row r="242">
          <cell r="AA242">
            <v>2</v>
          </cell>
          <cell r="BC242" t="str">
            <v/>
          </cell>
          <cell r="BH242" t="str">
            <v/>
          </cell>
        </row>
        <row r="243">
          <cell r="AA243">
            <v>2</v>
          </cell>
          <cell r="BC243" t="str">
            <v/>
          </cell>
          <cell r="BH243" t="str">
            <v/>
          </cell>
        </row>
        <row r="244">
          <cell r="AA244">
            <v>2</v>
          </cell>
          <cell r="BC244" t="str">
            <v/>
          </cell>
          <cell r="BH244" t="str">
            <v/>
          </cell>
        </row>
        <row r="245">
          <cell r="AA245">
            <v>2</v>
          </cell>
          <cell r="BC245" t="str">
            <v/>
          </cell>
          <cell r="BH245" t="str">
            <v/>
          </cell>
        </row>
        <row r="246">
          <cell r="AA246">
            <v>2</v>
          </cell>
          <cell r="BC246" t="str">
            <v/>
          </cell>
          <cell r="BH246" t="str">
            <v/>
          </cell>
        </row>
        <row r="247">
          <cell r="AA247">
            <v>2</v>
          </cell>
          <cell r="BC247" t="str">
            <v/>
          </cell>
          <cell r="BH247" t="str">
            <v/>
          </cell>
        </row>
        <row r="248">
          <cell r="AA248">
            <v>2</v>
          </cell>
          <cell r="BC248" t="str">
            <v/>
          </cell>
          <cell r="BH248" t="str">
            <v/>
          </cell>
        </row>
        <row r="249">
          <cell r="AA249">
            <v>2</v>
          </cell>
          <cell r="AR249" t="b">
            <v>0</v>
          </cell>
          <cell r="BC249" t="str">
            <v/>
          </cell>
          <cell r="BH249" t="str">
            <v/>
          </cell>
        </row>
        <row r="250">
          <cell r="AA250">
            <v>2</v>
          </cell>
          <cell r="BC250" t="str">
            <v/>
          </cell>
          <cell r="BH250" t="str">
            <v/>
          </cell>
        </row>
        <row r="251">
          <cell r="AA251">
            <v>2</v>
          </cell>
          <cell r="BC251" t="str">
            <v/>
          </cell>
          <cell r="BH251" t="str">
            <v/>
          </cell>
        </row>
        <row r="252">
          <cell r="AA252">
            <v>2</v>
          </cell>
          <cell r="BC252" t="str">
            <v/>
          </cell>
          <cell r="BH252" t="str">
            <v/>
          </cell>
        </row>
        <row r="253">
          <cell r="BC253" t="str">
            <v/>
          </cell>
          <cell r="BH253" t="str">
            <v/>
          </cell>
        </row>
        <row r="254">
          <cell r="BC254" t="str">
            <v/>
          </cell>
          <cell r="BH254" t="str">
            <v/>
          </cell>
        </row>
        <row r="255">
          <cell r="AA255">
            <v>2</v>
          </cell>
          <cell r="BC255" t="str">
            <v/>
          </cell>
          <cell r="BH255" t="str">
            <v/>
          </cell>
        </row>
        <row r="256">
          <cell r="AA256">
            <v>2</v>
          </cell>
          <cell r="BC256" t="str">
            <v/>
          </cell>
          <cell r="BH256" t="str">
            <v/>
          </cell>
        </row>
        <row r="257">
          <cell r="BC257" t="str">
            <v/>
          </cell>
          <cell r="BH257" t="str">
            <v/>
          </cell>
        </row>
        <row r="258">
          <cell r="AQ258">
            <v>0</v>
          </cell>
          <cell r="BC258" t="str">
            <v/>
          </cell>
          <cell r="BH258" t="str">
            <v/>
          </cell>
        </row>
        <row r="259">
          <cell r="AA259">
            <v>2</v>
          </cell>
          <cell r="AR259" t="b">
            <v>0</v>
          </cell>
          <cell r="BC259" t="str">
            <v/>
          </cell>
          <cell r="BH259" t="str">
            <v/>
          </cell>
        </row>
        <row r="260">
          <cell r="AA260">
            <v>2</v>
          </cell>
          <cell r="BC260" t="str">
            <v/>
          </cell>
          <cell r="BH260" t="str">
            <v/>
          </cell>
        </row>
        <row r="261">
          <cell r="AA261">
            <v>2</v>
          </cell>
          <cell r="BC261" t="str">
            <v/>
          </cell>
          <cell r="BH261" t="str">
            <v/>
          </cell>
        </row>
        <row r="262">
          <cell r="AA262">
            <v>2</v>
          </cell>
          <cell r="BC262" t="str">
            <v/>
          </cell>
          <cell r="BH262" t="str">
            <v/>
          </cell>
        </row>
        <row r="263">
          <cell r="AA263">
            <v>2</v>
          </cell>
          <cell r="BC263" t="str">
            <v/>
          </cell>
          <cell r="BH263" t="str">
            <v/>
          </cell>
        </row>
        <row r="264">
          <cell r="AA264">
            <v>2</v>
          </cell>
          <cell r="BC264" t="str">
            <v/>
          </cell>
          <cell r="BH264" t="str">
            <v/>
          </cell>
        </row>
        <row r="265">
          <cell r="BC265" t="str">
            <v/>
          </cell>
          <cell r="BH265" t="str">
            <v/>
          </cell>
        </row>
        <row r="266">
          <cell r="BC266" t="str">
            <v/>
          </cell>
          <cell r="BH266" t="str">
            <v/>
          </cell>
        </row>
        <row r="267">
          <cell r="AA267">
            <v>2</v>
          </cell>
          <cell r="BC267" t="str">
            <v/>
          </cell>
          <cell r="BH267" t="str">
            <v/>
          </cell>
        </row>
        <row r="268">
          <cell r="AA268">
            <v>2</v>
          </cell>
          <cell r="BC268" t="str">
            <v/>
          </cell>
          <cell r="BH268" t="str">
            <v/>
          </cell>
        </row>
        <row r="269">
          <cell r="AA269">
            <v>2</v>
          </cell>
          <cell r="BC269" t="str">
            <v/>
          </cell>
          <cell r="BH269" t="str">
            <v/>
          </cell>
        </row>
        <row r="270">
          <cell r="AA270">
            <v>2</v>
          </cell>
          <cell r="BC270" t="str">
            <v/>
          </cell>
          <cell r="BH270" t="str">
            <v/>
          </cell>
        </row>
        <row r="271">
          <cell r="AA271">
            <v>2</v>
          </cell>
          <cell r="BC271" t="str">
            <v/>
          </cell>
          <cell r="BH271" t="str">
            <v/>
          </cell>
        </row>
        <row r="272">
          <cell r="AA272">
            <v>2</v>
          </cell>
          <cell r="AR272" t="b">
            <v>0</v>
          </cell>
          <cell r="BC272" t="str">
            <v/>
          </cell>
          <cell r="BH272" t="str">
            <v/>
          </cell>
        </row>
        <row r="273">
          <cell r="AA273">
            <v>2</v>
          </cell>
          <cell r="BC273" t="str">
            <v/>
          </cell>
          <cell r="BH273" t="str">
            <v/>
          </cell>
        </row>
        <row r="274">
          <cell r="AA274">
            <v>2</v>
          </cell>
          <cell r="BC274" t="str">
            <v/>
          </cell>
          <cell r="BH274" t="str">
            <v/>
          </cell>
        </row>
        <row r="275">
          <cell r="BC275" t="str">
            <v/>
          </cell>
          <cell r="BH275" t="str">
            <v/>
          </cell>
        </row>
        <row r="276">
          <cell r="AQ276">
            <v>0</v>
          </cell>
          <cell r="BC276" t="str">
            <v/>
          </cell>
          <cell r="BH276" t="str">
            <v/>
          </cell>
        </row>
        <row r="277">
          <cell r="AA277">
            <v>2</v>
          </cell>
          <cell r="AR277" t="b">
            <v>0</v>
          </cell>
          <cell r="BC277" t="str">
            <v/>
          </cell>
          <cell r="BH277" t="str">
            <v/>
          </cell>
        </row>
        <row r="278">
          <cell r="AA278">
            <v>2</v>
          </cell>
          <cell r="BC278" t="str">
            <v/>
          </cell>
          <cell r="BH278" t="str">
            <v/>
          </cell>
        </row>
        <row r="279">
          <cell r="AA279">
            <v>2</v>
          </cell>
          <cell r="BC279" t="str">
            <v/>
          </cell>
          <cell r="BH279" t="str">
            <v/>
          </cell>
        </row>
        <row r="280">
          <cell r="AA280">
            <v>2</v>
          </cell>
          <cell r="BC280" t="str">
            <v/>
          </cell>
          <cell r="BH280" t="str">
            <v/>
          </cell>
        </row>
        <row r="281">
          <cell r="AA281">
            <v>2</v>
          </cell>
          <cell r="BC281" t="str">
            <v/>
          </cell>
          <cell r="BH281" t="str">
            <v/>
          </cell>
        </row>
        <row r="282">
          <cell r="AA282">
            <v>2</v>
          </cell>
          <cell r="AR282" t="b">
            <v>0</v>
          </cell>
          <cell r="BC282" t="str">
            <v/>
          </cell>
          <cell r="BH282" t="str">
            <v/>
          </cell>
        </row>
        <row r="283">
          <cell r="AA283">
            <v>2</v>
          </cell>
          <cell r="BC283" t="str">
            <v/>
          </cell>
          <cell r="BH283" t="str">
            <v/>
          </cell>
        </row>
        <row r="284">
          <cell r="AA284">
            <v>2</v>
          </cell>
          <cell r="BC284" t="str">
            <v/>
          </cell>
          <cell r="BH284" t="str">
            <v/>
          </cell>
        </row>
        <row r="285">
          <cell r="AA285">
            <v>2</v>
          </cell>
          <cell r="BC285" t="str">
            <v/>
          </cell>
          <cell r="BH285" t="str">
            <v/>
          </cell>
        </row>
        <row r="286">
          <cell r="BC286" t="str">
            <v/>
          </cell>
          <cell r="BH286" t="str">
            <v/>
          </cell>
        </row>
        <row r="287">
          <cell r="BC287" t="str">
            <v/>
          </cell>
          <cell r="BH287" t="str">
            <v/>
          </cell>
        </row>
        <row r="288">
          <cell r="AA288">
            <v>2</v>
          </cell>
          <cell r="BC288" t="str">
            <v/>
          </cell>
          <cell r="BH288" t="str">
            <v/>
          </cell>
        </row>
        <row r="289">
          <cell r="AA289">
            <v>2</v>
          </cell>
          <cell r="BC289" t="str">
            <v/>
          </cell>
          <cell r="BH289" t="str">
            <v/>
          </cell>
        </row>
        <row r="290">
          <cell r="AA290">
            <v>2</v>
          </cell>
          <cell r="BC290" t="str">
            <v/>
          </cell>
          <cell r="BH290" t="str">
            <v/>
          </cell>
        </row>
        <row r="291">
          <cell r="AA291">
            <v>2</v>
          </cell>
          <cell r="BC291" t="str">
            <v/>
          </cell>
          <cell r="BH291" t="str">
            <v/>
          </cell>
        </row>
        <row r="292">
          <cell r="AA292">
            <v>2</v>
          </cell>
          <cell r="BC292" t="str">
            <v/>
          </cell>
          <cell r="BH292" t="str">
            <v/>
          </cell>
        </row>
        <row r="293">
          <cell r="BC293" t="str">
            <v/>
          </cell>
          <cell r="BH293" t="str">
            <v/>
          </cell>
        </row>
        <row r="294">
          <cell r="BC294" t="str">
            <v/>
          </cell>
          <cell r="BH294" t="str">
            <v/>
          </cell>
        </row>
        <row r="295">
          <cell r="AA295">
            <v>2</v>
          </cell>
          <cell r="AR295" t="b">
            <v>0</v>
          </cell>
          <cell r="BC295" t="str">
            <v/>
          </cell>
          <cell r="BH295" t="str">
            <v/>
          </cell>
        </row>
        <row r="296">
          <cell r="AA296">
            <v>2</v>
          </cell>
          <cell r="AR296" t="b">
            <v>0</v>
          </cell>
          <cell r="BC296" t="str">
            <v/>
          </cell>
          <cell r="BH296" t="str">
            <v/>
          </cell>
        </row>
        <row r="297">
          <cell r="AA297">
            <v>2</v>
          </cell>
          <cell r="BC297" t="str">
            <v/>
          </cell>
          <cell r="BH297" t="str">
            <v/>
          </cell>
        </row>
        <row r="298">
          <cell r="AA298">
            <v>2</v>
          </cell>
          <cell r="AR298" t="b">
            <v>0</v>
          </cell>
          <cell r="BC298" t="str">
            <v/>
          </cell>
          <cell r="BH298" t="str">
            <v/>
          </cell>
        </row>
        <row r="299">
          <cell r="AA299">
            <v>2</v>
          </cell>
          <cell r="BC299" t="str">
            <v/>
          </cell>
          <cell r="BH299" t="str">
            <v/>
          </cell>
        </row>
        <row r="300">
          <cell r="AA300">
            <v>2</v>
          </cell>
          <cell r="BC300" t="str">
            <v/>
          </cell>
          <cell r="BH300" t="str">
            <v/>
          </cell>
        </row>
        <row r="301">
          <cell r="BC301" t="str">
            <v/>
          </cell>
          <cell r="BH301" t="str">
            <v/>
          </cell>
        </row>
        <row r="302">
          <cell r="BC302" t="str">
            <v/>
          </cell>
          <cell r="BH302" t="str">
            <v/>
          </cell>
        </row>
        <row r="303">
          <cell r="AA303">
            <v>2</v>
          </cell>
          <cell r="BC303" t="str">
            <v/>
          </cell>
          <cell r="BH303" t="str">
            <v/>
          </cell>
        </row>
        <row r="304">
          <cell r="AA304">
            <v>2</v>
          </cell>
          <cell r="BC304" t="str">
            <v/>
          </cell>
          <cell r="BH304" t="str">
            <v/>
          </cell>
        </row>
        <row r="305">
          <cell r="AA305">
            <v>2</v>
          </cell>
          <cell r="BC305" t="str">
            <v/>
          </cell>
          <cell r="BH305" t="str">
            <v/>
          </cell>
        </row>
        <row r="306">
          <cell r="BC306" t="str">
            <v/>
          </cell>
          <cell r="BH306" t="str">
            <v/>
          </cell>
        </row>
        <row r="307">
          <cell r="AA307">
            <v>2</v>
          </cell>
          <cell r="AR307" t="b">
            <v>0</v>
          </cell>
          <cell r="BC307" t="str">
            <v/>
          </cell>
          <cell r="BH307" t="str">
            <v/>
          </cell>
        </row>
        <row r="308">
          <cell r="AA308">
            <v>2</v>
          </cell>
          <cell r="AR308" t="b">
            <v>0</v>
          </cell>
          <cell r="BC308" t="str">
            <v/>
          </cell>
          <cell r="BH308" t="str">
            <v/>
          </cell>
        </row>
        <row r="309">
          <cell r="AA309">
            <v>2</v>
          </cell>
          <cell r="AR309" t="b">
            <v>0</v>
          </cell>
          <cell r="BC309" t="str">
            <v/>
          </cell>
          <cell r="BH309" t="str">
            <v/>
          </cell>
        </row>
        <row r="310">
          <cell r="AA310">
            <v>2</v>
          </cell>
          <cell r="BC310" t="str">
            <v/>
          </cell>
          <cell r="BH310" t="str">
            <v/>
          </cell>
        </row>
        <row r="311">
          <cell r="AA311">
            <v>2</v>
          </cell>
          <cell r="AR311" t="b">
            <v>0</v>
          </cell>
          <cell r="BC311" t="str">
            <v/>
          </cell>
          <cell r="BH311" t="str">
            <v/>
          </cell>
        </row>
        <row r="312">
          <cell r="AA312">
            <v>2</v>
          </cell>
          <cell r="BC312" t="str">
            <v/>
          </cell>
          <cell r="BH312" t="str">
            <v/>
          </cell>
        </row>
        <row r="313">
          <cell r="AA313">
            <v>2</v>
          </cell>
          <cell r="BC313" t="str">
            <v/>
          </cell>
          <cell r="BH313" t="str">
            <v/>
          </cell>
        </row>
        <row r="314">
          <cell r="BC314" t="str">
            <v/>
          </cell>
          <cell r="BH314" t="str">
            <v/>
          </cell>
        </row>
        <row r="315">
          <cell r="AA315">
            <v>2</v>
          </cell>
          <cell r="AR315" t="b">
            <v>0</v>
          </cell>
          <cell r="BC315" t="str">
            <v/>
          </cell>
          <cell r="BH315" t="str">
            <v/>
          </cell>
        </row>
        <row r="316">
          <cell r="AA316">
            <v>2</v>
          </cell>
          <cell r="AR316" t="b">
            <v>0</v>
          </cell>
          <cell r="BC316" t="str">
            <v/>
          </cell>
          <cell r="BH316" t="str">
            <v/>
          </cell>
        </row>
        <row r="317">
          <cell r="AA317">
            <v>2</v>
          </cell>
          <cell r="AR317" t="b">
            <v>0</v>
          </cell>
          <cell r="BC317" t="str">
            <v/>
          </cell>
          <cell r="BH317" t="str">
            <v/>
          </cell>
        </row>
        <row r="318">
          <cell r="AA318">
            <v>2</v>
          </cell>
          <cell r="AQ318">
            <v>0</v>
          </cell>
          <cell r="AR318" t="b">
            <v>0</v>
          </cell>
          <cell r="BC318" t="str">
            <v/>
          </cell>
          <cell r="BH318" t="str">
            <v/>
          </cell>
        </row>
        <row r="319">
          <cell r="AA319">
            <v>2</v>
          </cell>
          <cell r="AR319" t="b">
            <v>0</v>
          </cell>
          <cell r="BC319" t="str">
            <v/>
          </cell>
          <cell r="BH319" t="str">
            <v/>
          </cell>
        </row>
        <row r="320">
          <cell r="AA320">
            <v>2</v>
          </cell>
          <cell r="AR320" t="b">
            <v>0</v>
          </cell>
          <cell r="BC320" t="str">
            <v/>
          </cell>
          <cell r="BH320" t="str">
            <v/>
          </cell>
        </row>
        <row r="321">
          <cell r="AA321">
            <v>2</v>
          </cell>
          <cell r="BC321" t="str">
            <v/>
          </cell>
          <cell r="BH321" t="str">
            <v/>
          </cell>
        </row>
        <row r="322">
          <cell r="AA322">
            <v>2</v>
          </cell>
          <cell r="AR322" t="b">
            <v>0</v>
          </cell>
          <cell r="BC322" t="str">
            <v/>
          </cell>
          <cell r="BH322" t="str">
            <v/>
          </cell>
        </row>
        <row r="323">
          <cell r="AA323">
            <v>2</v>
          </cell>
          <cell r="AR323" t="b">
            <v>0</v>
          </cell>
          <cell r="BC323" t="str">
            <v/>
          </cell>
          <cell r="BH323" t="str">
            <v/>
          </cell>
        </row>
        <row r="324">
          <cell r="AA324">
            <v>2</v>
          </cell>
          <cell r="BC324" t="str">
            <v/>
          </cell>
          <cell r="BH324" t="str">
            <v/>
          </cell>
        </row>
        <row r="325">
          <cell r="AA325">
            <v>2</v>
          </cell>
          <cell r="BC325" t="str">
            <v/>
          </cell>
          <cell r="BH325" t="str">
            <v/>
          </cell>
        </row>
        <row r="326">
          <cell r="AA326">
            <v>2</v>
          </cell>
          <cell r="AR326" t="b">
            <v>0</v>
          </cell>
          <cell r="BC326" t="str">
            <v/>
          </cell>
          <cell r="BH326" t="str">
            <v/>
          </cell>
        </row>
        <row r="327">
          <cell r="AA327">
            <v>2</v>
          </cell>
          <cell r="BC327" t="str">
            <v/>
          </cell>
          <cell r="BH327" t="str">
            <v/>
          </cell>
        </row>
        <row r="328">
          <cell r="AA328">
            <v>2</v>
          </cell>
          <cell r="BC328" t="str">
            <v/>
          </cell>
          <cell r="BH328" t="str">
            <v/>
          </cell>
        </row>
        <row r="329">
          <cell r="AA329">
            <v>2</v>
          </cell>
          <cell r="BC329" t="str">
            <v/>
          </cell>
          <cell r="BH329" t="str">
            <v/>
          </cell>
        </row>
        <row r="330">
          <cell r="BC330" t="str">
            <v/>
          </cell>
          <cell r="BH330" t="str">
            <v/>
          </cell>
        </row>
        <row r="331">
          <cell r="AA331">
            <v>2</v>
          </cell>
          <cell r="BC331" t="str">
            <v/>
          </cell>
          <cell r="BH331" t="str">
            <v/>
          </cell>
        </row>
        <row r="332">
          <cell r="AA332">
            <v>2</v>
          </cell>
          <cell r="BC332" t="str">
            <v/>
          </cell>
          <cell r="BH332" t="str">
            <v/>
          </cell>
        </row>
        <row r="333">
          <cell r="AA333">
            <v>2</v>
          </cell>
          <cell r="AR333" t="b">
            <v>0</v>
          </cell>
          <cell r="BC333" t="str">
            <v/>
          </cell>
          <cell r="BH333" t="str">
            <v/>
          </cell>
        </row>
        <row r="334">
          <cell r="AA334">
            <v>2</v>
          </cell>
          <cell r="AP334">
            <v>1</v>
          </cell>
          <cell r="AQ334" t="str">
            <v/>
          </cell>
          <cell r="BC334" t="str">
            <v/>
          </cell>
          <cell r="BH334" t="str">
            <v/>
          </cell>
        </row>
        <row r="335">
          <cell r="AA335">
            <v>2</v>
          </cell>
          <cell r="AR335" t="b">
            <v>0</v>
          </cell>
          <cell r="BC335" t="str">
            <v/>
          </cell>
          <cell r="BH335" t="str">
            <v/>
          </cell>
        </row>
        <row r="336">
          <cell r="AA336">
            <v>2</v>
          </cell>
          <cell r="BC336" t="str">
            <v/>
          </cell>
          <cell r="BH336" t="str">
            <v/>
          </cell>
        </row>
        <row r="337">
          <cell r="AA337">
            <v>2</v>
          </cell>
          <cell r="BC337" t="str">
            <v/>
          </cell>
          <cell r="BH337" t="str">
            <v/>
          </cell>
        </row>
        <row r="338">
          <cell r="AA338">
            <v>2</v>
          </cell>
          <cell r="BC338" t="str">
            <v/>
          </cell>
          <cell r="BH338" t="str">
            <v/>
          </cell>
        </row>
        <row r="339">
          <cell r="AA339">
            <v>2</v>
          </cell>
          <cell r="BC339" t="str">
            <v/>
          </cell>
          <cell r="BH339" t="str">
            <v/>
          </cell>
        </row>
        <row r="340">
          <cell r="AA340">
            <v>2</v>
          </cell>
          <cell r="BC340" t="str">
            <v/>
          </cell>
          <cell r="BH340" t="str">
            <v/>
          </cell>
        </row>
        <row r="341">
          <cell r="AA341">
            <v>2</v>
          </cell>
          <cell r="BC341" t="str">
            <v/>
          </cell>
          <cell r="BH341" t="str">
            <v/>
          </cell>
        </row>
        <row r="342">
          <cell r="AA342">
            <v>2</v>
          </cell>
          <cell r="AR342" t="b">
            <v>0</v>
          </cell>
          <cell r="BC342" t="str">
            <v/>
          </cell>
          <cell r="BH342" t="str">
            <v/>
          </cell>
        </row>
        <row r="343">
          <cell r="BC343" t="str">
            <v/>
          </cell>
          <cell r="BH343" t="str">
            <v/>
          </cell>
        </row>
        <row r="344">
          <cell r="AA344">
            <v>2</v>
          </cell>
          <cell r="AR344" t="b">
            <v>0</v>
          </cell>
          <cell r="BC344" t="str">
            <v/>
          </cell>
          <cell r="BH344" t="str">
            <v/>
          </cell>
        </row>
        <row r="345">
          <cell r="BC345" t="str">
            <v/>
          </cell>
          <cell r="BH345" t="str">
            <v/>
          </cell>
        </row>
        <row r="346">
          <cell r="AA346">
            <v>2</v>
          </cell>
          <cell r="BC346" t="str">
            <v/>
          </cell>
          <cell r="BH346" t="str">
            <v/>
          </cell>
        </row>
        <row r="347">
          <cell r="AA347">
            <v>2</v>
          </cell>
          <cell r="AR347" t="b">
            <v>0</v>
          </cell>
          <cell r="BC347" t="str">
            <v/>
          </cell>
          <cell r="BH347" t="str">
            <v/>
          </cell>
        </row>
        <row r="348">
          <cell r="AA348">
            <v>2</v>
          </cell>
          <cell r="BC348" t="str">
            <v/>
          </cell>
          <cell r="BH348" t="str">
            <v/>
          </cell>
        </row>
        <row r="349">
          <cell r="AA349">
            <v>2</v>
          </cell>
          <cell r="AR349" t="b">
            <v>0</v>
          </cell>
          <cell r="BC349" t="str">
            <v/>
          </cell>
          <cell r="BH349" t="str">
            <v/>
          </cell>
        </row>
        <row r="350">
          <cell r="AA350">
            <v>2</v>
          </cell>
          <cell r="BC350" t="str">
            <v/>
          </cell>
          <cell r="BH350" t="str">
            <v/>
          </cell>
        </row>
        <row r="351">
          <cell r="AA351">
            <v>2</v>
          </cell>
          <cell r="AR351" t="b">
            <v>0</v>
          </cell>
          <cell r="BC351" t="str">
            <v/>
          </cell>
          <cell r="BH351" t="str">
            <v/>
          </cell>
        </row>
        <row r="352">
          <cell r="AA352">
            <v>2</v>
          </cell>
          <cell r="BC352" t="str">
            <v/>
          </cell>
          <cell r="BH352" t="str">
            <v/>
          </cell>
        </row>
        <row r="353">
          <cell r="AA353">
            <v>2</v>
          </cell>
          <cell r="BC353" t="str">
            <v/>
          </cell>
          <cell r="BH353" t="str">
            <v/>
          </cell>
        </row>
        <row r="354">
          <cell r="AA354">
            <v>2</v>
          </cell>
          <cell r="BC354" t="str">
            <v/>
          </cell>
          <cell r="BH354" t="str">
            <v/>
          </cell>
        </row>
        <row r="355">
          <cell r="AA355">
            <v>2</v>
          </cell>
          <cell r="BC355" t="str">
            <v/>
          </cell>
          <cell r="BH355" t="str">
            <v/>
          </cell>
        </row>
        <row r="356">
          <cell r="AA356">
            <v>2</v>
          </cell>
          <cell r="AR356" t="b">
            <v>0</v>
          </cell>
          <cell r="BC356" t="str">
            <v/>
          </cell>
          <cell r="BH356" t="str">
            <v/>
          </cell>
        </row>
        <row r="357">
          <cell r="AA357">
            <v>2</v>
          </cell>
          <cell r="AR357" t="b">
            <v>0</v>
          </cell>
          <cell r="BC357" t="str">
            <v/>
          </cell>
          <cell r="BH357" t="str">
            <v/>
          </cell>
        </row>
        <row r="358">
          <cell r="AA358">
            <v>2</v>
          </cell>
          <cell r="AR358" t="b">
            <v>0</v>
          </cell>
          <cell r="BC358" t="str">
            <v/>
          </cell>
          <cell r="BH358" t="str">
            <v/>
          </cell>
        </row>
        <row r="359">
          <cell r="AA359">
            <v>2</v>
          </cell>
          <cell r="BC359" t="str">
            <v/>
          </cell>
          <cell r="BH359" t="str">
            <v/>
          </cell>
        </row>
        <row r="360">
          <cell r="AA360">
            <v>2</v>
          </cell>
          <cell r="BC360" t="str">
            <v/>
          </cell>
          <cell r="BH360" t="str">
            <v/>
          </cell>
        </row>
        <row r="361">
          <cell r="AA361">
            <v>2</v>
          </cell>
          <cell r="AR361" t="b">
            <v>0</v>
          </cell>
          <cell r="BC361" t="str">
            <v/>
          </cell>
          <cell r="BH361" t="str">
            <v/>
          </cell>
        </row>
        <row r="362">
          <cell r="AA362">
            <v>2</v>
          </cell>
          <cell r="BC362" t="str">
            <v/>
          </cell>
          <cell r="BH362" t="str">
            <v/>
          </cell>
        </row>
        <row r="363">
          <cell r="AA363">
            <v>2</v>
          </cell>
          <cell r="BC363" t="str">
            <v/>
          </cell>
          <cell r="BH363" t="str">
            <v/>
          </cell>
        </row>
        <row r="364">
          <cell r="AA364">
            <v>2</v>
          </cell>
          <cell r="BC364" t="str">
            <v/>
          </cell>
          <cell r="BH364" t="str">
            <v/>
          </cell>
        </row>
        <row r="365">
          <cell r="AA365">
            <v>2</v>
          </cell>
          <cell r="BC365" t="str">
            <v/>
          </cell>
          <cell r="BH365" t="str">
            <v/>
          </cell>
        </row>
        <row r="366">
          <cell r="AA366">
            <v>2</v>
          </cell>
          <cell r="BC366" t="str">
            <v/>
          </cell>
          <cell r="BH366" t="str">
            <v/>
          </cell>
        </row>
        <row r="367">
          <cell r="AA367">
            <v>2</v>
          </cell>
          <cell r="BC367" t="str">
            <v/>
          </cell>
          <cell r="BH367" t="str">
            <v/>
          </cell>
        </row>
        <row r="368">
          <cell r="AA368">
            <v>2</v>
          </cell>
          <cell r="AR368" t="b">
            <v>0</v>
          </cell>
          <cell r="BC368" t="str">
            <v/>
          </cell>
          <cell r="BH368" t="str">
            <v/>
          </cell>
        </row>
        <row r="369">
          <cell r="AA369">
            <v>2</v>
          </cell>
          <cell r="BC369" t="str">
            <v/>
          </cell>
          <cell r="BH369" t="str">
            <v/>
          </cell>
        </row>
        <row r="370">
          <cell r="AA370">
            <v>2</v>
          </cell>
          <cell r="BC370" t="str">
            <v/>
          </cell>
          <cell r="BH370" t="str">
            <v/>
          </cell>
        </row>
        <row r="371">
          <cell r="AA371">
            <v>2</v>
          </cell>
          <cell r="BC371" t="str">
            <v/>
          </cell>
          <cell r="BH371" t="str">
            <v/>
          </cell>
        </row>
        <row r="372">
          <cell r="AA372">
            <v>2</v>
          </cell>
          <cell r="BC372" t="str">
            <v/>
          </cell>
          <cell r="BH372" t="str">
            <v/>
          </cell>
        </row>
        <row r="373">
          <cell r="AA373">
            <v>2</v>
          </cell>
          <cell r="AR373" t="b">
            <v>0</v>
          </cell>
          <cell r="BC373" t="str">
            <v/>
          </cell>
          <cell r="BH373" t="str">
            <v/>
          </cell>
        </row>
        <row r="374">
          <cell r="BC374" t="str">
            <v/>
          </cell>
          <cell r="BH374" t="str">
            <v/>
          </cell>
        </row>
        <row r="375">
          <cell r="BC375" t="str">
            <v/>
          </cell>
          <cell r="BH375" t="str">
            <v/>
          </cell>
        </row>
        <row r="376">
          <cell r="AA376">
            <v>2</v>
          </cell>
          <cell r="AR376" t="b">
            <v>0</v>
          </cell>
          <cell r="BC376" t="str">
            <v/>
          </cell>
          <cell r="BH376" t="str">
            <v/>
          </cell>
        </row>
        <row r="377">
          <cell r="AA377">
            <v>2</v>
          </cell>
          <cell r="BC377" t="str">
            <v/>
          </cell>
          <cell r="BH377" t="str">
            <v/>
          </cell>
        </row>
        <row r="378">
          <cell r="AA378">
            <v>2</v>
          </cell>
          <cell r="BC378" t="str">
            <v/>
          </cell>
          <cell r="BH378" t="str">
            <v/>
          </cell>
        </row>
        <row r="379">
          <cell r="AA379">
            <v>2</v>
          </cell>
          <cell r="BC379" t="str">
            <v/>
          </cell>
          <cell r="BH379" t="str">
            <v/>
          </cell>
        </row>
        <row r="380">
          <cell r="AA380">
            <v>2</v>
          </cell>
          <cell r="BC380" t="str">
            <v/>
          </cell>
          <cell r="BH380" t="str">
            <v/>
          </cell>
        </row>
        <row r="381">
          <cell r="BC381" t="str">
            <v/>
          </cell>
          <cell r="BH381" t="str">
            <v/>
          </cell>
        </row>
        <row r="382">
          <cell r="BC382" t="str">
            <v/>
          </cell>
          <cell r="BH382" t="str">
            <v/>
          </cell>
        </row>
        <row r="383">
          <cell r="BC383" t="str">
            <v/>
          </cell>
          <cell r="BH383" t="str">
            <v/>
          </cell>
        </row>
        <row r="384">
          <cell r="AA384">
            <v>2</v>
          </cell>
          <cell r="BC384" t="str">
            <v/>
          </cell>
          <cell r="BH384" t="str">
            <v/>
          </cell>
        </row>
        <row r="385">
          <cell r="AA385">
            <v>2</v>
          </cell>
          <cell r="BC385" t="str">
            <v/>
          </cell>
          <cell r="BH385" t="str">
            <v/>
          </cell>
        </row>
        <row r="386">
          <cell r="AA386">
            <v>2</v>
          </cell>
          <cell r="BC386" t="str">
            <v/>
          </cell>
          <cell r="BH386" t="str">
            <v/>
          </cell>
        </row>
        <row r="387">
          <cell r="AA387">
            <v>2</v>
          </cell>
          <cell r="BC387" t="str">
            <v/>
          </cell>
          <cell r="BH387" t="str">
            <v/>
          </cell>
        </row>
        <row r="388">
          <cell r="AA388">
            <v>2</v>
          </cell>
          <cell r="AR388" t="b">
            <v>0</v>
          </cell>
          <cell r="BC388" t="str">
            <v/>
          </cell>
          <cell r="BH388" t="str">
            <v/>
          </cell>
        </row>
        <row r="389">
          <cell r="AA389">
            <v>2</v>
          </cell>
          <cell r="BC389" t="str">
            <v/>
          </cell>
          <cell r="BH389" t="str">
            <v/>
          </cell>
        </row>
        <row r="390">
          <cell r="AA390">
            <v>2</v>
          </cell>
          <cell r="BC390" t="str">
            <v/>
          </cell>
          <cell r="BH390" t="str">
            <v/>
          </cell>
        </row>
        <row r="391">
          <cell r="AA391">
            <v>2</v>
          </cell>
          <cell r="BC391" t="str">
            <v/>
          </cell>
          <cell r="BH391" t="str">
            <v/>
          </cell>
        </row>
        <row r="392">
          <cell r="BC392" t="str">
            <v/>
          </cell>
          <cell r="BH392" t="str">
            <v/>
          </cell>
        </row>
        <row r="393">
          <cell r="BC393" t="str">
            <v/>
          </cell>
          <cell r="BH393" t="str">
            <v/>
          </cell>
        </row>
        <row r="394">
          <cell r="AA394">
            <v>2</v>
          </cell>
          <cell r="BC394" t="str">
            <v/>
          </cell>
          <cell r="BH394" t="str">
            <v/>
          </cell>
        </row>
        <row r="395">
          <cell r="AA395">
            <v>2</v>
          </cell>
          <cell r="BC395" t="str">
            <v/>
          </cell>
          <cell r="BH395" t="str">
            <v/>
          </cell>
        </row>
        <row r="396">
          <cell r="AA396">
            <v>2</v>
          </cell>
          <cell r="BC396" t="str">
            <v/>
          </cell>
          <cell r="BH396" t="str">
            <v/>
          </cell>
        </row>
        <row r="397">
          <cell r="AA397">
            <v>2</v>
          </cell>
          <cell r="BC397" t="str">
            <v/>
          </cell>
          <cell r="BH397" t="str">
            <v/>
          </cell>
        </row>
        <row r="398">
          <cell r="AA398">
            <v>2</v>
          </cell>
          <cell r="BC398" t="str">
            <v/>
          </cell>
          <cell r="BH398" t="str">
            <v/>
          </cell>
        </row>
        <row r="399">
          <cell r="AA399">
            <v>2</v>
          </cell>
          <cell r="BC399" t="str">
            <v/>
          </cell>
          <cell r="BH399" t="str">
            <v/>
          </cell>
        </row>
        <row r="400">
          <cell r="AA400">
            <v>2</v>
          </cell>
          <cell r="BC400" t="str">
            <v/>
          </cell>
          <cell r="BH400" t="str">
            <v/>
          </cell>
        </row>
        <row r="401">
          <cell r="AA401">
            <v>2</v>
          </cell>
          <cell r="BC401" t="str">
            <v/>
          </cell>
          <cell r="BH401" t="str">
            <v/>
          </cell>
        </row>
        <row r="402">
          <cell r="AA402">
            <v>2</v>
          </cell>
          <cell r="BC402" t="str">
            <v/>
          </cell>
          <cell r="BH402" t="str">
            <v/>
          </cell>
        </row>
        <row r="403">
          <cell r="AA403">
            <v>2</v>
          </cell>
          <cell r="BC403" t="str">
            <v/>
          </cell>
          <cell r="BH403" t="str">
            <v/>
          </cell>
        </row>
        <row r="404">
          <cell r="BC404" t="str">
            <v/>
          </cell>
          <cell r="BH404" t="str">
            <v/>
          </cell>
        </row>
        <row r="405">
          <cell r="BC405" t="str">
            <v/>
          </cell>
          <cell r="BH405" t="str">
            <v/>
          </cell>
        </row>
        <row r="406">
          <cell r="AA406">
            <v>2</v>
          </cell>
          <cell r="AQ406">
            <v>0</v>
          </cell>
          <cell r="BC406" t="str">
            <v/>
          </cell>
          <cell r="BH406" t="str">
            <v/>
          </cell>
        </row>
        <row r="407">
          <cell r="AA407">
            <v>2</v>
          </cell>
          <cell r="BC407" t="str">
            <v/>
          </cell>
          <cell r="BH407" t="str">
            <v/>
          </cell>
        </row>
        <row r="408">
          <cell r="AA408">
            <v>2</v>
          </cell>
          <cell r="BC408" t="str">
            <v/>
          </cell>
          <cell r="BH408" t="str">
            <v/>
          </cell>
        </row>
        <row r="409">
          <cell r="AA409">
            <v>2</v>
          </cell>
          <cell r="BC409" t="str">
            <v/>
          </cell>
          <cell r="BH409" t="str">
            <v/>
          </cell>
        </row>
        <row r="410">
          <cell r="AA410">
            <v>2</v>
          </cell>
          <cell r="BC410" t="str">
            <v/>
          </cell>
          <cell r="BH410" t="str">
            <v/>
          </cell>
        </row>
        <row r="411">
          <cell r="AA411">
            <v>2</v>
          </cell>
          <cell r="AQ411">
            <v>0</v>
          </cell>
          <cell r="BC411" t="str">
            <v/>
          </cell>
          <cell r="BH411" t="str">
            <v/>
          </cell>
        </row>
        <row r="412">
          <cell r="AA412">
            <v>2</v>
          </cell>
          <cell r="BC412" t="str">
            <v/>
          </cell>
          <cell r="BH412" t="str">
            <v/>
          </cell>
        </row>
        <row r="413">
          <cell r="AA413">
            <v>2</v>
          </cell>
          <cell r="BC413" t="str">
            <v/>
          </cell>
          <cell r="BH413" t="str">
            <v/>
          </cell>
        </row>
        <row r="414">
          <cell r="AA414">
            <v>2</v>
          </cell>
          <cell r="BC414" t="str">
            <v/>
          </cell>
          <cell r="BH414" t="str">
            <v/>
          </cell>
        </row>
        <row r="415">
          <cell r="AA415">
            <v>2</v>
          </cell>
          <cell r="AQ415">
            <v>0</v>
          </cell>
          <cell r="AR415" t="b">
            <v>0</v>
          </cell>
          <cell r="BC415" t="str">
            <v/>
          </cell>
          <cell r="BH415" t="str">
            <v/>
          </cell>
        </row>
        <row r="416">
          <cell r="AA416">
            <v>2</v>
          </cell>
          <cell r="BC416" t="str">
            <v/>
          </cell>
          <cell r="BH416" t="str">
            <v/>
          </cell>
        </row>
        <row r="417">
          <cell r="AA417">
            <v>2</v>
          </cell>
          <cell r="BC417" t="str">
            <v/>
          </cell>
          <cell r="BH417" t="str">
            <v/>
          </cell>
        </row>
        <row r="418">
          <cell r="AA418">
            <v>2</v>
          </cell>
          <cell r="AQ418">
            <v>0</v>
          </cell>
          <cell r="BC418" t="str">
            <v/>
          </cell>
          <cell r="BH418" t="str">
            <v/>
          </cell>
        </row>
        <row r="419">
          <cell r="AA419">
            <v>2</v>
          </cell>
          <cell r="BC419" t="str">
            <v/>
          </cell>
          <cell r="BH419" t="str">
            <v/>
          </cell>
        </row>
        <row r="420">
          <cell r="AA420">
            <v>2</v>
          </cell>
          <cell r="BC420" t="str">
            <v/>
          </cell>
          <cell r="BH420" t="str">
            <v/>
          </cell>
        </row>
        <row r="421">
          <cell r="AA421">
            <v>2</v>
          </cell>
          <cell r="BC421" t="str">
            <v/>
          </cell>
          <cell r="BH421" t="str">
            <v/>
          </cell>
        </row>
        <row r="422">
          <cell r="AA422">
            <v>2</v>
          </cell>
          <cell r="BC422" t="str">
            <v/>
          </cell>
          <cell r="BH422" t="str">
            <v/>
          </cell>
        </row>
        <row r="423">
          <cell r="AA423">
            <v>2</v>
          </cell>
          <cell r="AO423" t="str">
            <v/>
          </cell>
          <cell r="AQ423" t="str">
            <v/>
          </cell>
          <cell r="AR423" t="b">
            <v>0</v>
          </cell>
          <cell r="BC423" t="str">
            <v/>
          </cell>
          <cell r="BH423" t="str">
            <v/>
          </cell>
        </row>
        <row r="424">
          <cell r="AA424">
            <v>2</v>
          </cell>
          <cell r="AO424" t="str">
            <v/>
          </cell>
          <cell r="AR424" t="b">
            <v>0</v>
          </cell>
          <cell r="BC424" t="str">
            <v/>
          </cell>
          <cell r="BH424" t="str">
            <v/>
          </cell>
        </row>
        <row r="425">
          <cell r="AA425">
            <v>2</v>
          </cell>
          <cell r="AO425" t="str">
            <v/>
          </cell>
          <cell r="BC425" t="str">
            <v/>
          </cell>
          <cell r="BH425" t="str">
            <v/>
          </cell>
        </row>
        <row r="426">
          <cell r="AA426">
            <v>2</v>
          </cell>
          <cell r="BC426" t="str">
            <v/>
          </cell>
          <cell r="BH426" t="str">
            <v/>
          </cell>
        </row>
        <row r="427">
          <cell r="AA427">
            <v>2</v>
          </cell>
          <cell r="AR427" t="b">
            <v>0</v>
          </cell>
          <cell r="BC427" t="str">
            <v/>
          </cell>
          <cell r="BH427" t="str">
            <v/>
          </cell>
        </row>
        <row r="428">
          <cell r="AA428">
            <v>2</v>
          </cell>
          <cell r="BC428" t="str">
            <v/>
          </cell>
          <cell r="BH428" t="str">
            <v/>
          </cell>
        </row>
        <row r="429">
          <cell r="BC429" t="str">
            <v/>
          </cell>
          <cell r="BH429" t="str">
            <v/>
          </cell>
        </row>
        <row r="430">
          <cell r="BC430" t="str">
            <v/>
          </cell>
          <cell r="BH430" t="str">
            <v/>
          </cell>
        </row>
        <row r="431">
          <cell r="AA431">
            <v>2</v>
          </cell>
          <cell r="BC431" t="str">
            <v/>
          </cell>
          <cell r="BH431" t="str">
            <v/>
          </cell>
        </row>
        <row r="432">
          <cell r="AA432">
            <v>2</v>
          </cell>
          <cell r="AR432" t="b">
            <v>0</v>
          </cell>
          <cell r="BC432" t="str">
            <v/>
          </cell>
          <cell r="BH432" t="str">
            <v/>
          </cell>
        </row>
        <row r="433">
          <cell r="AA433">
            <v>2</v>
          </cell>
          <cell r="AR433" t="b">
            <v>0</v>
          </cell>
          <cell r="BC433" t="str">
            <v/>
          </cell>
          <cell r="BH433" t="str">
            <v/>
          </cell>
        </row>
        <row r="434">
          <cell r="AA434">
            <v>2</v>
          </cell>
          <cell r="AR434" t="b">
            <v>0</v>
          </cell>
          <cell r="BC434" t="str">
            <v/>
          </cell>
          <cell r="BH434" t="str">
            <v/>
          </cell>
        </row>
        <row r="435">
          <cell r="AA435">
            <v>2</v>
          </cell>
          <cell r="BC435" t="str">
            <v/>
          </cell>
          <cell r="BH435" t="str">
            <v/>
          </cell>
        </row>
        <row r="436">
          <cell r="AA436">
            <v>2</v>
          </cell>
          <cell r="BC436" t="str">
            <v/>
          </cell>
          <cell r="BH436" t="str">
            <v/>
          </cell>
        </row>
        <row r="437">
          <cell r="AA437">
            <v>2</v>
          </cell>
          <cell r="AR437" t="b">
            <v>0</v>
          </cell>
          <cell r="BC437" t="str">
            <v/>
          </cell>
          <cell r="BH437" t="str">
            <v/>
          </cell>
        </row>
        <row r="438">
          <cell r="AA438">
            <v>2</v>
          </cell>
          <cell r="AR438" t="b">
            <v>0</v>
          </cell>
          <cell r="BC438" t="str">
            <v/>
          </cell>
          <cell r="BH438" t="str">
            <v/>
          </cell>
        </row>
        <row r="439">
          <cell r="AA439">
            <v>2</v>
          </cell>
          <cell r="AR439" t="b">
            <v>0</v>
          </cell>
          <cell r="BC439" t="str">
            <v/>
          </cell>
          <cell r="BH439" t="str">
            <v/>
          </cell>
        </row>
        <row r="440">
          <cell r="BC440" t="str">
            <v/>
          </cell>
          <cell r="BH440" t="str">
            <v/>
          </cell>
        </row>
        <row r="441">
          <cell r="AA441">
            <v>2</v>
          </cell>
          <cell r="BC441" t="str">
            <v/>
          </cell>
          <cell r="BH441" t="str">
            <v/>
          </cell>
        </row>
        <row r="442">
          <cell r="BC442" t="str">
            <v/>
          </cell>
          <cell r="BH442" t="str">
            <v/>
          </cell>
        </row>
        <row r="443">
          <cell r="AA443">
            <v>2</v>
          </cell>
          <cell r="BC443" t="str">
            <v/>
          </cell>
          <cell r="BH443" t="str">
            <v/>
          </cell>
        </row>
        <row r="444">
          <cell r="AA444">
            <v>2</v>
          </cell>
          <cell r="BC444" t="str">
            <v/>
          </cell>
          <cell r="BH444" t="str">
            <v/>
          </cell>
        </row>
        <row r="445">
          <cell r="AA445">
            <v>2</v>
          </cell>
          <cell r="BC445" t="str">
            <v/>
          </cell>
          <cell r="BH445" t="str">
            <v/>
          </cell>
        </row>
        <row r="446">
          <cell r="BC446" t="str">
            <v/>
          </cell>
          <cell r="BH446" t="str">
            <v/>
          </cell>
        </row>
        <row r="447">
          <cell r="BC447" t="str">
            <v/>
          </cell>
          <cell r="BH447" t="str">
            <v/>
          </cell>
        </row>
        <row r="448">
          <cell r="AA448">
            <v>2</v>
          </cell>
          <cell r="BC448" t="str">
            <v/>
          </cell>
          <cell r="BH448" t="str">
            <v/>
          </cell>
        </row>
        <row r="449">
          <cell r="AA449">
            <v>2</v>
          </cell>
          <cell r="BC449" t="str">
            <v/>
          </cell>
          <cell r="BH449" t="str">
            <v/>
          </cell>
        </row>
        <row r="450">
          <cell r="AA450">
            <v>2</v>
          </cell>
          <cell r="AR450" t="b">
            <v>0</v>
          </cell>
          <cell r="BC450" t="str">
            <v/>
          </cell>
          <cell r="BH450" t="str">
            <v/>
          </cell>
        </row>
        <row r="451">
          <cell r="AA451">
            <v>2</v>
          </cell>
          <cell r="AR451" t="b">
            <v>0</v>
          </cell>
          <cell r="BC451" t="str">
            <v/>
          </cell>
          <cell r="BH451" t="str">
            <v/>
          </cell>
        </row>
        <row r="452">
          <cell r="AA452">
            <v>2</v>
          </cell>
          <cell r="AR452" t="b">
            <v>0</v>
          </cell>
          <cell r="BC452" t="str">
            <v/>
          </cell>
          <cell r="BH452" t="str">
            <v/>
          </cell>
        </row>
        <row r="453">
          <cell r="AA453">
            <v>2</v>
          </cell>
          <cell r="BC453" t="str">
            <v/>
          </cell>
          <cell r="BH453" t="str">
            <v/>
          </cell>
        </row>
        <row r="454">
          <cell r="AA454">
            <v>2</v>
          </cell>
          <cell r="BC454" t="str">
            <v/>
          </cell>
          <cell r="BH454" t="str">
            <v/>
          </cell>
        </row>
        <row r="455">
          <cell r="AA455">
            <v>2</v>
          </cell>
          <cell r="BC455" t="str">
            <v/>
          </cell>
          <cell r="BH455" t="str">
            <v/>
          </cell>
        </row>
        <row r="456">
          <cell r="AA456">
            <v>2</v>
          </cell>
          <cell r="AR456" t="b">
            <v>0</v>
          </cell>
          <cell r="BC456" t="str">
            <v/>
          </cell>
          <cell r="BH456" t="str">
            <v/>
          </cell>
        </row>
        <row r="457">
          <cell r="AA457">
            <v>2</v>
          </cell>
          <cell r="AR457" t="b">
            <v>0</v>
          </cell>
          <cell r="BC457" t="str">
            <v/>
          </cell>
          <cell r="BH457" t="str">
            <v/>
          </cell>
        </row>
        <row r="458">
          <cell r="AA458">
            <v>2</v>
          </cell>
          <cell r="AR458" t="b">
            <v>0</v>
          </cell>
          <cell r="BC458" t="str">
            <v/>
          </cell>
          <cell r="BH458" t="str">
            <v/>
          </cell>
        </row>
        <row r="459">
          <cell r="AA459">
            <v>2</v>
          </cell>
          <cell r="BC459" t="str">
            <v/>
          </cell>
          <cell r="BH459" t="str">
            <v/>
          </cell>
        </row>
        <row r="460">
          <cell r="AA460">
            <v>2</v>
          </cell>
          <cell r="BC460" t="str">
            <v/>
          </cell>
          <cell r="BH460" t="str">
            <v/>
          </cell>
        </row>
        <row r="461">
          <cell r="AA461">
            <v>2</v>
          </cell>
          <cell r="BC461" t="str">
            <v/>
          </cell>
          <cell r="BH461" t="str">
            <v/>
          </cell>
        </row>
        <row r="462">
          <cell r="AA462">
            <v>2</v>
          </cell>
          <cell r="BC462" t="str">
            <v/>
          </cell>
          <cell r="BH462" t="str">
            <v/>
          </cell>
        </row>
        <row r="463">
          <cell r="AA463">
            <v>2</v>
          </cell>
          <cell r="BC463" t="str">
            <v/>
          </cell>
          <cell r="BH463" t="str">
            <v/>
          </cell>
        </row>
        <row r="464">
          <cell r="AA464">
            <v>2</v>
          </cell>
          <cell r="AR464" t="b">
            <v>0</v>
          </cell>
          <cell r="BC464" t="str">
            <v/>
          </cell>
          <cell r="BH464" t="str">
            <v/>
          </cell>
        </row>
        <row r="465">
          <cell r="BC465" t="str">
            <v/>
          </cell>
          <cell r="BH465" t="str">
            <v/>
          </cell>
        </row>
        <row r="466">
          <cell r="BC466" t="str">
            <v/>
          </cell>
          <cell r="BH466" t="str">
            <v/>
          </cell>
        </row>
        <row r="467">
          <cell r="AA467">
            <v>2</v>
          </cell>
          <cell r="BC467" t="str">
            <v/>
          </cell>
          <cell r="BH467" t="str">
            <v/>
          </cell>
        </row>
        <row r="468">
          <cell r="AA468">
            <v>2</v>
          </cell>
          <cell r="BC468" t="str">
            <v/>
          </cell>
          <cell r="BH468" t="str">
            <v/>
          </cell>
        </row>
        <row r="469">
          <cell r="AA469">
            <v>2</v>
          </cell>
          <cell r="BC469" t="str">
            <v/>
          </cell>
          <cell r="BH469" t="str">
            <v/>
          </cell>
        </row>
        <row r="470">
          <cell r="BC470" t="str">
            <v/>
          </cell>
          <cell r="BH470" t="str">
            <v/>
          </cell>
        </row>
        <row r="471">
          <cell r="BC471" t="str">
            <v/>
          </cell>
          <cell r="BH471" t="str">
            <v/>
          </cell>
        </row>
        <row r="472">
          <cell r="AA472">
            <v>2</v>
          </cell>
          <cell r="BC472" t="str">
            <v/>
          </cell>
          <cell r="BH472" t="str">
            <v/>
          </cell>
        </row>
        <row r="473">
          <cell r="BC473" t="str">
            <v/>
          </cell>
          <cell r="BH473" t="str">
            <v/>
          </cell>
        </row>
        <row r="474">
          <cell r="BC474" t="str">
            <v/>
          </cell>
          <cell r="BH474" t="str">
            <v/>
          </cell>
        </row>
        <row r="475">
          <cell r="AA475">
            <v>2</v>
          </cell>
          <cell r="AR475" t="b">
            <v>0</v>
          </cell>
          <cell r="BC475" t="str">
            <v/>
          </cell>
          <cell r="BH475" t="str">
            <v/>
          </cell>
        </row>
        <row r="476">
          <cell r="AA476">
            <v>2</v>
          </cell>
          <cell r="AR476" t="b">
            <v>0</v>
          </cell>
          <cell r="BC476" t="str">
            <v/>
          </cell>
          <cell r="BH476" t="str">
            <v/>
          </cell>
        </row>
        <row r="477">
          <cell r="AA477">
            <v>2</v>
          </cell>
          <cell r="BC477" t="str">
            <v/>
          </cell>
          <cell r="BH477" t="str">
            <v/>
          </cell>
        </row>
        <row r="478">
          <cell r="AA478">
            <v>2</v>
          </cell>
          <cell r="BC478" t="str">
            <v/>
          </cell>
          <cell r="BH478" t="str">
            <v/>
          </cell>
        </row>
        <row r="479">
          <cell r="BC479" t="str">
            <v/>
          </cell>
          <cell r="BH479" t="str">
            <v/>
          </cell>
        </row>
        <row r="480">
          <cell r="BC480" t="str">
            <v/>
          </cell>
          <cell r="BH480" t="str">
            <v/>
          </cell>
        </row>
        <row r="481">
          <cell r="BC481" t="str">
            <v/>
          </cell>
          <cell r="BH481" t="str">
            <v/>
          </cell>
        </row>
        <row r="482">
          <cell r="AA482">
            <v>2</v>
          </cell>
          <cell r="BC482" t="str">
            <v/>
          </cell>
          <cell r="BH482" t="str">
            <v/>
          </cell>
        </row>
        <row r="483">
          <cell r="AA483">
            <v>2</v>
          </cell>
          <cell r="BC483" t="str">
            <v/>
          </cell>
          <cell r="BH483" t="str">
            <v/>
          </cell>
        </row>
        <row r="484">
          <cell r="AA484">
            <v>2</v>
          </cell>
          <cell r="BC484" t="str">
            <v/>
          </cell>
          <cell r="BH484" t="str">
            <v/>
          </cell>
        </row>
        <row r="485">
          <cell r="AA485">
            <v>2</v>
          </cell>
          <cell r="BC485" t="str">
            <v/>
          </cell>
          <cell r="BH485" t="str">
            <v/>
          </cell>
        </row>
        <row r="486">
          <cell r="AA486">
            <v>2</v>
          </cell>
          <cell r="AR486" t="b">
            <v>0</v>
          </cell>
          <cell r="BC486" t="str">
            <v/>
          </cell>
          <cell r="BH486" t="str">
            <v/>
          </cell>
        </row>
        <row r="487">
          <cell r="AA487">
            <v>2</v>
          </cell>
          <cell r="AR487" t="b">
            <v>0</v>
          </cell>
          <cell r="BC487" t="str">
            <v/>
          </cell>
          <cell r="BH487" t="str">
            <v/>
          </cell>
        </row>
        <row r="488">
          <cell r="AA488">
            <v>2</v>
          </cell>
          <cell r="AR488" t="b">
            <v>0</v>
          </cell>
          <cell r="BC488" t="str">
            <v/>
          </cell>
          <cell r="BH488" t="str">
            <v/>
          </cell>
        </row>
        <row r="489">
          <cell r="AA489">
            <v>2</v>
          </cell>
          <cell r="AR489" t="b">
            <v>0</v>
          </cell>
          <cell r="BC489" t="str">
            <v/>
          </cell>
          <cell r="BH489" t="str">
            <v/>
          </cell>
        </row>
        <row r="490">
          <cell r="AA490">
            <v>2</v>
          </cell>
          <cell r="BC490" t="str">
            <v/>
          </cell>
          <cell r="BH490" t="str">
            <v/>
          </cell>
        </row>
        <row r="491">
          <cell r="AA491">
            <v>2</v>
          </cell>
          <cell r="BC491" t="str">
            <v/>
          </cell>
          <cell r="BH491" t="str">
            <v/>
          </cell>
        </row>
        <row r="492">
          <cell r="AA492">
            <v>2</v>
          </cell>
          <cell r="BC492" t="str">
            <v/>
          </cell>
          <cell r="BH492" t="str">
            <v/>
          </cell>
        </row>
        <row r="493">
          <cell r="AA493">
            <v>2</v>
          </cell>
          <cell r="BC493" t="str">
            <v/>
          </cell>
          <cell r="BH493" t="str">
            <v/>
          </cell>
        </row>
        <row r="494">
          <cell r="AA494">
            <v>2</v>
          </cell>
          <cell r="BC494" t="str">
            <v/>
          </cell>
          <cell r="BH494" t="str">
            <v/>
          </cell>
        </row>
        <row r="495">
          <cell r="AA495">
            <v>2</v>
          </cell>
          <cell r="BC495" t="str">
            <v/>
          </cell>
          <cell r="BH495" t="str">
            <v/>
          </cell>
        </row>
        <row r="496">
          <cell r="BC496" t="str">
            <v/>
          </cell>
          <cell r="BH496" t="str">
            <v/>
          </cell>
        </row>
        <row r="497">
          <cell r="BC497" t="str">
            <v/>
          </cell>
          <cell r="BH497" t="str">
            <v/>
          </cell>
        </row>
        <row r="498">
          <cell r="AA498">
            <v>2</v>
          </cell>
          <cell r="AQ498">
            <v>0</v>
          </cell>
          <cell r="BC498" t="str">
            <v/>
          </cell>
          <cell r="BH498" t="str">
            <v/>
          </cell>
        </row>
        <row r="499">
          <cell r="AA499">
            <v>2</v>
          </cell>
          <cell r="BC499" t="str">
            <v/>
          </cell>
          <cell r="BH499" t="str">
            <v/>
          </cell>
        </row>
        <row r="500">
          <cell r="AA500">
            <v>2</v>
          </cell>
          <cell r="BC500" t="str">
            <v/>
          </cell>
          <cell r="BH500" t="str">
            <v/>
          </cell>
        </row>
        <row r="501">
          <cell r="AA501">
            <v>2</v>
          </cell>
          <cell r="BC501" t="str">
            <v/>
          </cell>
          <cell r="BH501" t="str">
            <v/>
          </cell>
        </row>
        <row r="502">
          <cell r="AA502">
            <v>2</v>
          </cell>
          <cell r="BC502" t="str">
            <v/>
          </cell>
          <cell r="BH502" t="str">
            <v/>
          </cell>
        </row>
        <row r="503">
          <cell r="AA503">
            <v>2</v>
          </cell>
          <cell r="AR503" t="b">
            <v>0</v>
          </cell>
          <cell r="BC503" t="str">
            <v/>
          </cell>
          <cell r="BH503" t="str">
            <v/>
          </cell>
        </row>
        <row r="504">
          <cell r="AA504">
            <v>2</v>
          </cell>
          <cell r="AR504" t="b">
            <v>0</v>
          </cell>
          <cell r="BC504" t="str">
            <v/>
          </cell>
          <cell r="BH504" t="str">
            <v/>
          </cell>
        </row>
        <row r="505">
          <cell r="AA505">
            <v>2</v>
          </cell>
          <cell r="BC505" t="str">
            <v/>
          </cell>
          <cell r="BH505" t="str">
            <v/>
          </cell>
        </row>
        <row r="506">
          <cell r="AA506">
            <v>2</v>
          </cell>
          <cell r="AR506" t="b">
            <v>0</v>
          </cell>
          <cell r="BC506" t="str">
            <v/>
          </cell>
          <cell r="BH506" t="str">
            <v/>
          </cell>
        </row>
        <row r="507">
          <cell r="AA507">
            <v>2</v>
          </cell>
          <cell r="BC507" t="str">
            <v/>
          </cell>
          <cell r="BH507" t="str">
            <v/>
          </cell>
        </row>
        <row r="508">
          <cell r="AA508">
            <v>2</v>
          </cell>
          <cell r="BC508" t="str">
            <v/>
          </cell>
          <cell r="BH508" t="str">
            <v/>
          </cell>
        </row>
        <row r="509">
          <cell r="AA509">
            <v>2</v>
          </cell>
          <cell r="BC509" t="str">
            <v/>
          </cell>
          <cell r="BH509" t="str">
            <v/>
          </cell>
        </row>
        <row r="510">
          <cell r="AA510">
            <v>2</v>
          </cell>
          <cell r="AR510" t="b">
            <v>0</v>
          </cell>
          <cell r="BC510" t="str">
            <v/>
          </cell>
          <cell r="BH510" t="str">
            <v/>
          </cell>
        </row>
        <row r="511">
          <cell r="AA511">
            <v>2</v>
          </cell>
          <cell r="BC511" t="str">
            <v/>
          </cell>
          <cell r="BH511" t="str">
            <v/>
          </cell>
        </row>
        <row r="512">
          <cell r="AA512">
            <v>2</v>
          </cell>
          <cell r="BC512" t="str">
            <v/>
          </cell>
          <cell r="BH512" t="str">
            <v/>
          </cell>
        </row>
        <row r="513">
          <cell r="BC513" t="str">
            <v/>
          </cell>
          <cell r="BH513" t="str">
            <v/>
          </cell>
        </row>
        <row r="514">
          <cell r="BC514" t="str">
            <v/>
          </cell>
          <cell r="BH514" t="str">
            <v/>
          </cell>
        </row>
        <row r="515">
          <cell r="AA515">
            <v>2</v>
          </cell>
          <cell r="BC515" t="str">
            <v/>
          </cell>
          <cell r="BH515" t="str">
            <v/>
          </cell>
        </row>
        <row r="516">
          <cell r="AA516">
            <v>2</v>
          </cell>
          <cell r="AR516" t="b">
            <v>0</v>
          </cell>
          <cell r="BC516" t="str">
            <v/>
          </cell>
          <cell r="BH516" t="str">
            <v/>
          </cell>
        </row>
        <row r="517">
          <cell r="AA517">
            <v>2</v>
          </cell>
          <cell r="AR517" t="b">
            <v>0</v>
          </cell>
          <cell r="BC517" t="str">
            <v/>
          </cell>
          <cell r="BH517" t="str">
            <v/>
          </cell>
        </row>
        <row r="518">
          <cell r="AA518">
            <v>2</v>
          </cell>
          <cell r="AR518" t="b">
            <v>0</v>
          </cell>
          <cell r="BC518" t="str">
            <v/>
          </cell>
          <cell r="BH518" t="str">
            <v/>
          </cell>
        </row>
        <row r="519">
          <cell r="AA519">
            <v>2</v>
          </cell>
          <cell r="BC519" t="str">
            <v/>
          </cell>
          <cell r="BH519" t="str">
            <v/>
          </cell>
        </row>
        <row r="520">
          <cell r="AA520">
            <v>0</v>
          </cell>
          <cell r="BC520" t="str">
            <v/>
          </cell>
          <cell r="BH520" t="str">
            <v/>
          </cell>
        </row>
        <row r="521">
          <cell r="AA521">
            <v>2</v>
          </cell>
          <cell r="AR521" t="b">
            <v>0</v>
          </cell>
          <cell r="BC521" t="str">
            <v/>
          </cell>
          <cell r="BH521" t="str">
            <v/>
          </cell>
        </row>
        <row r="522">
          <cell r="AA522">
            <v>2</v>
          </cell>
          <cell r="BC522" t="str">
            <v/>
          </cell>
          <cell r="BH522" t="str">
            <v/>
          </cell>
        </row>
        <row r="523">
          <cell r="AA523">
            <v>2</v>
          </cell>
          <cell r="BC523" t="str">
            <v/>
          </cell>
          <cell r="BH523" t="str">
            <v/>
          </cell>
        </row>
        <row r="524">
          <cell r="AA524">
            <v>2</v>
          </cell>
          <cell r="BC524" t="str">
            <v/>
          </cell>
          <cell r="BH524" t="str">
            <v/>
          </cell>
        </row>
        <row r="525">
          <cell r="AA525">
            <v>2</v>
          </cell>
          <cell r="AR525" t="b">
            <v>0</v>
          </cell>
          <cell r="BC525" t="str">
            <v/>
          </cell>
          <cell r="BH525" t="str">
            <v/>
          </cell>
        </row>
        <row r="526">
          <cell r="AA526">
            <v>2</v>
          </cell>
          <cell r="AR526" t="b">
            <v>0</v>
          </cell>
          <cell r="BC526" t="str">
            <v/>
          </cell>
          <cell r="BH526" t="str">
            <v/>
          </cell>
        </row>
        <row r="527">
          <cell r="AA527">
            <v>2</v>
          </cell>
          <cell r="AR527" t="b">
            <v>0</v>
          </cell>
          <cell r="BC527" t="str">
            <v/>
          </cell>
          <cell r="BH527" t="str">
            <v/>
          </cell>
        </row>
        <row r="528">
          <cell r="AA528">
            <v>2</v>
          </cell>
          <cell r="AR528" t="b">
            <v>0</v>
          </cell>
          <cell r="BC528" t="str">
            <v/>
          </cell>
          <cell r="BH528" t="str">
            <v/>
          </cell>
        </row>
        <row r="529">
          <cell r="AA529">
            <v>2</v>
          </cell>
          <cell r="BC529" t="str">
            <v/>
          </cell>
          <cell r="BH529" t="str">
            <v/>
          </cell>
        </row>
        <row r="530">
          <cell r="AA530">
            <v>2</v>
          </cell>
          <cell r="AR530" t="b">
            <v>0</v>
          </cell>
          <cell r="BC530" t="str">
            <v/>
          </cell>
          <cell r="BH530" t="str">
            <v/>
          </cell>
        </row>
        <row r="531">
          <cell r="AA531">
            <v>2</v>
          </cell>
          <cell r="AR531" t="b">
            <v>0</v>
          </cell>
          <cell r="BC531" t="str">
            <v/>
          </cell>
          <cell r="BH531" t="str">
            <v/>
          </cell>
        </row>
        <row r="532">
          <cell r="AA532">
            <v>2</v>
          </cell>
          <cell r="AR532" t="b">
            <v>0</v>
          </cell>
          <cell r="BC532" t="str">
            <v/>
          </cell>
          <cell r="BH532" t="str">
            <v/>
          </cell>
        </row>
        <row r="533">
          <cell r="AA533">
            <v>2</v>
          </cell>
          <cell r="BC533" t="str">
            <v/>
          </cell>
          <cell r="BH533" t="str">
            <v/>
          </cell>
        </row>
        <row r="534">
          <cell r="AA534">
            <v>2</v>
          </cell>
          <cell r="AR534" t="b">
            <v>0</v>
          </cell>
          <cell r="BC534" t="str">
            <v/>
          </cell>
          <cell r="BH534" t="str">
            <v/>
          </cell>
        </row>
        <row r="535">
          <cell r="AA535">
            <v>2</v>
          </cell>
          <cell r="AR535" t="b">
            <v>0</v>
          </cell>
          <cell r="BC535" t="str">
            <v/>
          </cell>
          <cell r="BH535" t="str">
            <v/>
          </cell>
        </row>
        <row r="536">
          <cell r="AA536">
            <v>2</v>
          </cell>
          <cell r="AR536" t="b">
            <v>0</v>
          </cell>
          <cell r="BC536" t="str">
            <v/>
          </cell>
          <cell r="BH536" t="str">
            <v/>
          </cell>
        </row>
        <row r="537">
          <cell r="AA537">
            <v>2</v>
          </cell>
          <cell r="BC537" t="str">
            <v/>
          </cell>
          <cell r="BH537" t="str">
            <v/>
          </cell>
        </row>
        <row r="538">
          <cell r="AA538">
            <v>2</v>
          </cell>
          <cell r="AR538" t="b">
            <v>0</v>
          </cell>
          <cell r="BC538" t="str">
            <v/>
          </cell>
          <cell r="BH538" t="str">
            <v/>
          </cell>
        </row>
        <row r="539">
          <cell r="AA539">
            <v>2</v>
          </cell>
          <cell r="AR539" t="b">
            <v>0</v>
          </cell>
          <cell r="BC539" t="str">
            <v/>
          </cell>
          <cell r="BH539" t="str">
            <v/>
          </cell>
        </row>
        <row r="540">
          <cell r="AA540">
            <v>2</v>
          </cell>
          <cell r="AR540" t="b">
            <v>0</v>
          </cell>
          <cell r="BC540" t="str">
            <v/>
          </cell>
          <cell r="BH540" t="str">
            <v/>
          </cell>
        </row>
        <row r="541">
          <cell r="AA541">
            <v>2</v>
          </cell>
          <cell r="BC541" t="str">
            <v/>
          </cell>
          <cell r="BH541" t="str">
            <v/>
          </cell>
        </row>
        <row r="542">
          <cell r="AA542">
            <v>2</v>
          </cell>
          <cell r="AR542" t="b">
            <v>0</v>
          </cell>
          <cell r="BC542" t="str">
            <v/>
          </cell>
          <cell r="BH542" t="str">
            <v/>
          </cell>
        </row>
        <row r="543">
          <cell r="AA543">
            <v>2</v>
          </cell>
          <cell r="AR543" t="b">
            <v>0</v>
          </cell>
          <cell r="BC543" t="str">
            <v/>
          </cell>
          <cell r="BH543" t="str">
            <v/>
          </cell>
        </row>
        <row r="544">
          <cell r="AA544">
            <v>2</v>
          </cell>
          <cell r="BC544" t="str">
            <v/>
          </cell>
          <cell r="BH544" t="str">
            <v/>
          </cell>
        </row>
        <row r="545">
          <cell r="AA545">
            <v>0</v>
          </cell>
          <cell r="AR545" t="b">
            <v>0</v>
          </cell>
          <cell r="BC545" t="str">
            <v/>
          </cell>
          <cell r="BH545" t="str">
            <v/>
          </cell>
        </row>
        <row r="546">
          <cell r="AA546">
            <v>0</v>
          </cell>
          <cell r="AR546" t="b">
            <v>0</v>
          </cell>
          <cell r="BC546" t="str">
            <v/>
          </cell>
          <cell r="BH546" t="str">
            <v/>
          </cell>
        </row>
        <row r="547">
          <cell r="AA547">
            <v>0</v>
          </cell>
          <cell r="BC547" t="str">
            <v/>
          </cell>
          <cell r="BH547" t="str">
            <v/>
          </cell>
        </row>
        <row r="548">
          <cell r="AA548">
            <v>2</v>
          </cell>
          <cell r="BC548" t="str">
            <v/>
          </cell>
          <cell r="BH548" t="str">
            <v/>
          </cell>
        </row>
        <row r="549">
          <cell r="AA549">
            <v>2</v>
          </cell>
          <cell r="AR549" t="b">
            <v>0</v>
          </cell>
          <cell r="BC549" t="str">
            <v/>
          </cell>
          <cell r="BH549" t="str">
            <v/>
          </cell>
        </row>
        <row r="550">
          <cell r="AA550">
            <v>2</v>
          </cell>
          <cell r="AR550" t="b">
            <v>0</v>
          </cell>
          <cell r="BC550" t="str">
            <v/>
          </cell>
          <cell r="BH550" t="str">
            <v/>
          </cell>
        </row>
        <row r="551">
          <cell r="AA551">
            <v>2</v>
          </cell>
          <cell r="AR551" t="b">
            <v>0</v>
          </cell>
          <cell r="BC551" t="str">
            <v/>
          </cell>
          <cell r="BH551" t="str">
            <v/>
          </cell>
        </row>
        <row r="552">
          <cell r="AA552">
            <v>2</v>
          </cell>
          <cell r="AR552" t="b">
            <v>0</v>
          </cell>
          <cell r="BC552" t="str">
            <v/>
          </cell>
          <cell r="BH552" t="str">
            <v/>
          </cell>
        </row>
        <row r="553">
          <cell r="AA553">
            <v>2</v>
          </cell>
          <cell r="AR553" t="b">
            <v>0</v>
          </cell>
          <cell r="BC553" t="str">
            <v/>
          </cell>
          <cell r="BH553" t="str">
            <v/>
          </cell>
        </row>
        <row r="554">
          <cell r="AA554">
            <v>2</v>
          </cell>
          <cell r="BC554" t="str">
            <v/>
          </cell>
          <cell r="BH554" t="str">
            <v/>
          </cell>
        </row>
        <row r="555">
          <cell r="AA555">
            <v>2</v>
          </cell>
          <cell r="BC555" t="str">
            <v/>
          </cell>
          <cell r="BH555" t="str">
            <v/>
          </cell>
        </row>
        <row r="556">
          <cell r="AA556">
            <v>2</v>
          </cell>
          <cell r="BC556" t="str">
            <v/>
          </cell>
          <cell r="BH556" t="str">
            <v/>
          </cell>
        </row>
        <row r="557">
          <cell r="AA557">
            <v>2</v>
          </cell>
          <cell r="AR557" t="b">
            <v>0</v>
          </cell>
          <cell r="BC557" t="str">
            <v/>
          </cell>
          <cell r="BH557" t="str">
            <v/>
          </cell>
        </row>
        <row r="558">
          <cell r="AA558">
            <v>2</v>
          </cell>
          <cell r="BC558" t="str">
            <v/>
          </cell>
          <cell r="BH558" t="str">
            <v/>
          </cell>
        </row>
        <row r="559">
          <cell r="AA559">
            <v>2</v>
          </cell>
          <cell r="AO559" t="str">
            <v/>
          </cell>
          <cell r="AR559" t="b">
            <v>0</v>
          </cell>
          <cell r="BC559" t="str">
            <v/>
          </cell>
          <cell r="BH559" t="str">
            <v/>
          </cell>
        </row>
        <row r="560">
          <cell r="AA560">
            <v>2</v>
          </cell>
          <cell r="AO560" t="str">
            <v/>
          </cell>
          <cell r="AR560" t="b">
            <v>0</v>
          </cell>
          <cell r="BC560" t="str">
            <v/>
          </cell>
          <cell r="BH560" t="str">
            <v/>
          </cell>
        </row>
        <row r="561">
          <cell r="AA561">
            <v>2</v>
          </cell>
          <cell r="AO561" t="str">
            <v/>
          </cell>
          <cell r="AR561" t="b">
            <v>0</v>
          </cell>
          <cell r="BC561" t="str">
            <v/>
          </cell>
          <cell r="BH561" t="str">
            <v/>
          </cell>
        </row>
        <row r="562">
          <cell r="AA562">
            <v>2</v>
          </cell>
          <cell r="AR562" t="b">
            <v>0</v>
          </cell>
          <cell r="BC562" t="str">
            <v/>
          </cell>
          <cell r="BH562" t="str">
            <v/>
          </cell>
        </row>
        <row r="563">
          <cell r="AA563">
            <v>2</v>
          </cell>
          <cell r="BC563" t="str">
            <v/>
          </cell>
          <cell r="BH563" t="str">
            <v/>
          </cell>
        </row>
        <row r="564">
          <cell r="AA564">
            <v>2</v>
          </cell>
          <cell r="BC564" t="str">
            <v/>
          </cell>
          <cell r="BH564" t="str">
            <v/>
          </cell>
        </row>
        <row r="565">
          <cell r="AA565">
            <v>2</v>
          </cell>
          <cell r="BC565" t="str">
            <v/>
          </cell>
          <cell r="BH565" t="str">
            <v/>
          </cell>
        </row>
        <row r="566">
          <cell r="AA566">
            <v>2</v>
          </cell>
          <cell r="BC566" t="str">
            <v/>
          </cell>
          <cell r="BH566" t="str">
            <v/>
          </cell>
        </row>
        <row r="567">
          <cell r="AA567">
            <v>2</v>
          </cell>
          <cell r="BC567" t="str">
            <v/>
          </cell>
          <cell r="BH567" t="str">
            <v/>
          </cell>
        </row>
        <row r="568">
          <cell r="AA568">
            <v>2</v>
          </cell>
          <cell r="BC568" t="str">
            <v/>
          </cell>
          <cell r="BH568" t="str">
            <v/>
          </cell>
        </row>
        <row r="569">
          <cell r="BC569" t="str">
            <v/>
          </cell>
          <cell r="BH569" t="str">
            <v/>
          </cell>
        </row>
        <row r="570">
          <cell r="BC570" t="str">
            <v/>
          </cell>
          <cell r="BH570" t="str">
            <v/>
          </cell>
        </row>
        <row r="571">
          <cell r="BC571" t="str">
            <v/>
          </cell>
          <cell r="BH571" t="str">
            <v/>
          </cell>
        </row>
        <row r="572">
          <cell r="BC572" t="str">
            <v/>
          </cell>
          <cell r="BH572" t="str">
            <v/>
          </cell>
        </row>
        <row r="573">
          <cell r="BC573" t="str">
            <v/>
          </cell>
          <cell r="BH573" t="str">
            <v/>
          </cell>
        </row>
        <row r="574">
          <cell r="BC574" t="str">
            <v/>
          </cell>
          <cell r="BH574" t="str">
            <v/>
          </cell>
        </row>
        <row r="575">
          <cell r="BC575" t="str">
            <v/>
          </cell>
          <cell r="BH575" t="str">
            <v/>
          </cell>
        </row>
        <row r="576">
          <cell r="BC576" t="str">
            <v/>
          </cell>
          <cell r="BH576" t="str">
            <v/>
          </cell>
        </row>
        <row r="577">
          <cell r="BC577" t="str">
            <v/>
          </cell>
          <cell r="BH577" t="str">
            <v/>
          </cell>
        </row>
        <row r="578">
          <cell r="BC578" t="str">
            <v/>
          </cell>
          <cell r="BH578" t="str">
            <v/>
          </cell>
        </row>
        <row r="579">
          <cell r="BC579" t="str">
            <v/>
          </cell>
          <cell r="BH579" t="str">
            <v/>
          </cell>
        </row>
        <row r="580">
          <cell r="BC580" t="str">
            <v/>
          </cell>
          <cell r="BH580" t="str">
            <v/>
          </cell>
        </row>
        <row r="581">
          <cell r="BC581" t="str">
            <v/>
          </cell>
          <cell r="BH581" t="str">
            <v/>
          </cell>
        </row>
        <row r="582">
          <cell r="AA582">
            <v>2</v>
          </cell>
          <cell r="BC582" t="str">
            <v/>
          </cell>
          <cell r="BH582" t="str">
            <v/>
          </cell>
        </row>
        <row r="583">
          <cell r="BC583" t="str">
            <v/>
          </cell>
          <cell r="BH583" t="str">
            <v/>
          </cell>
        </row>
        <row r="584">
          <cell r="BC584" t="str">
            <v/>
          </cell>
          <cell r="BH584" t="str">
            <v/>
          </cell>
        </row>
        <row r="585">
          <cell r="AA585">
            <v>2</v>
          </cell>
          <cell r="BC585" t="str">
            <v/>
          </cell>
          <cell r="BH585" t="str">
            <v/>
          </cell>
        </row>
        <row r="586">
          <cell r="AA586">
            <v>2</v>
          </cell>
          <cell r="BC586" t="str">
            <v/>
          </cell>
          <cell r="BH586" t="str">
            <v/>
          </cell>
        </row>
        <row r="587">
          <cell r="AA587">
            <v>2</v>
          </cell>
          <cell r="AR587" t="b">
            <v>0</v>
          </cell>
          <cell r="BC587" t="str">
            <v/>
          </cell>
          <cell r="BH587" t="str">
            <v/>
          </cell>
        </row>
        <row r="588">
          <cell r="AA588">
            <v>0</v>
          </cell>
          <cell r="BC588" t="str">
            <v/>
          </cell>
          <cell r="BH588" t="str">
            <v/>
          </cell>
        </row>
        <row r="589">
          <cell r="AA589">
            <v>2</v>
          </cell>
          <cell r="BC589" t="str">
            <v/>
          </cell>
          <cell r="BH589" t="str">
            <v/>
          </cell>
        </row>
        <row r="590">
          <cell r="AA590">
            <v>2</v>
          </cell>
          <cell r="AO590" t="str">
            <v/>
          </cell>
          <cell r="AP590">
            <v>1</v>
          </cell>
          <cell r="AR590" t="b">
            <v>0</v>
          </cell>
          <cell r="BC590" t="str">
            <v/>
          </cell>
          <cell r="BH590" t="str">
            <v/>
          </cell>
        </row>
        <row r="591">
          <cell r="AA591">
            <v>2</v>
          </cell>
          <cell r="AO591" t="str">
            <v/>
          </cell>
          <cell r="AP591">
            <v>1</v>
          </cell>
          <cell r="AR591" t="b">
            <v>0</v>
          </cell>
          <cell r="BC591" t="str">
            <v/>
          </cell>
          <cell r="BH591" t="str">
            <v/>
          </cell>
        </row>
        <row r="592">
          <cell r="AA592">
            <v>2</v>
          </cell>
          <cell r="AO592" t="str">
            <v/>
          </cell>
          <cell r="AP592">
            <v>1</v>
          </cell>
          <cell r="AR592" t="b">
            <v>0</v>
          </cell>
          <cell r="BC592" t="str">
            <v/>
          </cell>
          <cell r="BH592" t="str">
            <v/>
          </cell>
        </row>
        <row r="593">
          <cell r="AA593">
            <v>2</v>
          </cell>
          <cell r="BC593" t="str">
            <v/>
          </cell>
          <cell r="BH593" t="str">
            <v/>
          </cell>
        </row>
        <row r="594">
          <cell r="AA594">
            <v>2</v>
          </cell>
          <cell r="BC594" t="str">
            <v/>
          </cell>
          <cell r="BH594" t="str">
            <v/>
          </cell>
        </row>
        <row r="595">
          <cell r="AA595">
            <v>2</v>
          </cell>
          <cell r="AR595" t="b">
            <v>0</v>
          </cell>
          <cell r="BC595" t="str">
            <v/>
          </cell>
          <cell r="BH595" t="str">
            <v/>
          </cell>
        </row>
        <row r="596">
          <cell r="AA596">
            <v>2</v>
          </cell>
          <cell r="AR596" t="b">
            <v>0</v>
          </cell>
          <cell r="BC596" t="str">
            <v/>
          </cell>
          <cell r="BH596" t="str">
            <v/>
          </cell>
        </row>
        <row r="597">
          <cell r="AA597">
            <v>2</v>
          </cell>
          <cell r="AR597" t="b">
            <v>0</v>
          </cell>
          <cell r="BC597" t="str">
            <v/>
          </cell>
          <cell r="BH597" t="str">
            <v/>
          </cell>
        </row>
        <row r="598">
          <cell r="AA598">
            <v>2</v>
          </cell>
          <cell r="BC598" t="str">
            <v/>
          </cell>
          <cell r="BH598" t="str">
            <v/>
          </cell>
        </row>
        <row r="599">
          <cell r="AA599">
            <v>2</v>
          </cell>
          <cell r="BC599" t="str">
            <v/>
          </cell>
          <cell r="BH599" t="str">
            <v/>
          </cell>
        </row>
        <row r="600">
          <cell r="AA600">
            <v>2</v>
          </cell>
          <cell r="BC600" t="str">
            <v/>
          </cell>
          <cell r="BH600" t="str">
            <v/>
          </cell>
        </row>
        <row r="601">
          <cell r="AA601">
            <v>2</v>
          </cell>
          <cell r="BC601" t="str">
            <v/>
          </cell>
          <cell r="BH601" t="str">
            <v/>
          </cell>
        </row>
        <row r="602">
          <cell r="AA602">
            <v>2</v>
          </cell>
          <cell r="AR602" t="b">
            <v>0</v>
          </cell>
          <cell r="BC602" t="str">
            <v/>
          </cell>
          <cell r="BH602" t="str">
            <v/>
          </cell>
        </row>
        <row r="603">
          <cell r="AA603">
            <v>2</v>
          </cell>
          <cell r="AR603" t="b">
            <v>0</v>
          </cell>
          <cell r="BC603" t="str">
            <v/>
          </cell>
          <cell r="BH603" t="str">
            <v/>
          </cell>
        </row>
        <row r="604">
          <cell r="AA604">
            <v>2</v>
          </cell>
          <cell r="AR604" t="b">
            <v>0</v>
          </cell>
          <cell r="BC604" t="str">
            <v/>
          </cell>
          <cell r="BH604" t="str">
            <v/>
          </cell>
        </row>
        <row r="605">
          <cell r="AA605">
            <v>0</v>
          </cell>
          <cell r="BC605" t="str">
            <v/>
          </cell>
          <cell r="BH605" t="str">
            <v/>
          </cell>
        </row>
        <row r="606">
          <cell r="AA606">
            <v>2</v>
          </cell>
          <cell r="BC606" t="str">
            <v/>
          </cell>
          <cell r="BH606" t="str">
            <v/>
          </cell>
        </row>
        <row r="607">
          <cell r="AA607">
            <v>2</v>
          </cell>
          <cell r="BC607" t="str">
            <v/>
          </cell>
          <cell r="BH607" t="str">
            <v/>
          </cell>
        </row>
        <row r="608">
          <cell r="AA608">
            <v>2</v>
          </cell>
          <cell r="BC608" t="str">
            <v/>
          </cell>
          <cell r="BH608" t="str">
            <v/>
          </cell>
        </row>
        <row r="609">
          <cell r="AA609">
            <v>2</v>
          </cell>
          <cell r="BC609" t="str">
            <v/>
          </cell>
          <cell r="BH609" t="str">
            <v/>
          </cell>
        </row>
        <row r="610">
          <cell r="AA610">
            <v>2</v>
          </cell>
          <cell r="AR610" t="b">
            <v>0</v>
          </cell>
          <cell r="BC610" t="str">
            <v/>
          </cell>
          <cell r="BH610" t="str">
            <v/>
          </cell>
        </row>
        <row r="611">
          <cell r="AA611">
            <v>2</v>
          </cell>
          <cell r="BC611" t="str">
            <v/>
          </cell>
          <cell r="BH611" t="str">
            <v/>
          </cell>
        </row>
        <row r="612">
          <cell r="AA612">
            <v>2</v>
          </cell>
          <cell r="AR612" t="b">
            <v>0</v>
          </cell>
          <cell r="BC612" t="str">
            <v/>
          </cell>
          <cell r="BH612" t="str">
            <v/>
          </cell>
        </row>
        <row r="613">
          <cell r="AA613">
            <v>2</v>
          </cell>
          <cell r="AR613" t="b">
            <v>0</v>
          </cell>
          <cell r="BC613" t="str">
            <v/>
          </cell>
          <cell r="BH613" t="str">
            <v/>
          </cell>
        </row>
        <row r="614">
          <cell r="AA614">
            <v>2</v>
          </cell>
          <cell r="BC614" t="str">
            <v/>
          </cell>
          <cell r="BH614" t="str">
            <v/>
          </cell>
        </row>
        <row r="615">
          <cell r="AA615">
            <v>2</v>
          </cell>
          <cell r="AR615" t="b">
            <v>0</v>
          </cell>
          <cell r="BC615" t="str">
            <v/>
          </cell>
          <cell r="BH615" t="str">
            <v/>
          </cell>
        </row>
        <row r="616">
          <cell r="AA616">
            <v>2</v>
          </cell>
          <cell r="AR616" t="b">
            <v>0</v>
          </cell>
          <cell r="BC616" t="str">
            <v/>
          </cell>
          <cell r="BH616" t="str">
            <v/>
          </cell>
        </row>
        <row r="617">
          <cell r="AA617">
            <v>2</v>
          </cell>
          <cell r="BC617" t="str">
            <v/>
          </cell>
          <cell r="BH617" t="str">
            <v/>
          </cell>
        </row>
        <row r="618">
          <cell r="AA618">
            <v>2</v>
          </cell>
          <cell r="BC618" t="str">
            <v/>
          </cell>
          <cell r="BH618" t="str">
            <v/>
          </cell>
        </row>
        <row r="619">
          <cell r="AA619">
            <v>0</v>
          </cell>
          <cell r="BC619" t="str">
            <v/>
          </cell>
          <cell r="BH619" t="str">
            <v/>
          </cell>
        </row>
        <row r="620">
          <cell r="BC620" t="str">
            <v/>
          </cell>
          <cell r="BH620" t="str">
            <v/>
          </cell>
        </row>
        <row r="621">
          <cell r="BC621" t="str">
            <v/>
          </cell>
          <cell r="BH621" t="str">
            <v/>
          </cell>
        </row>
        <row r="622">
          <cell r="AA622">
            <v>2</v>
          </cell>
          <cell r="BC622" t="str">
            <v/>
          </cell>
          <cell r="BH622" t="str">
            <v/>
          </cell>
        </row>
        <row r="623">
          <cell r="AA623">
            <v>2</v>
          </cell>
          <cell r="BC623" t="str">
            <v/>
          </cell>
          <cell r="BH623" t="str">
            <v/>
          </cell>
        </row>
        <row r="624">
          <cell r="AA624">
            <v>2</v>
          </cell>
          <cell r="BC624" t="str">
            <v/>
          </cell>
          <cell r="BH624" t="str">
            <v/>
          </cell>
        </row>
        <row r="625">
          <cell r="AA625">
            <v>2</v>
          </cell>
          <cell r="BC625" t="str">
            <v/>
          </cell>
          <cell r="BH625" t="str">
            <v/>
          </cell>
        </row>
        <row r="626">
          <cell r="AA626">
            <v>2</v>
          </cell>
          <cell r="BC626" t="str">
            <v/>
          </cell>
          <cell r="BH626" t="str">
            <v/>
          </cell>
        </row>
        <row r="627">
          <cell r="AA627">
            <v>2</v>
          </cell>
          <cell r="BC627" t="str">
            <v/>
          </cell>
          <cell r="BH627" t="str">
            <v/>
          </cell>
        </row>
        <row r="628">
          <cell r="AA628">
            <v>2</v>
          </cell>
          <cell r="BC628" t="str">
            <v/>
          </cell>
          <cell r="BH628" t="str">
            <v/>
          </cell>
        </row>
        <row r="629">
          <cell r="AA629">
            <v>2</v>
          </cell>
          <cell r="BC629" t="str">
            <v/>
          </cell>
          <cell r="BH629" t="str">
            <v/>
          </cell>
        </row>
        <row r="630">
          <cell r="AA630">
            <v>2</v>
          </cell>
          <cell r="BC630" t="str">
            <v/>
          </cell>
          <cell r="BH630" t="str">
            <v/>
          </cell>
        </row>
        <row r="631">
          <cell r="AA631">
            <v>2</v>
          </cell>
          <cell r="BC631" t="str">
            <v/>
          </cell>
          <cell r="BH631" t="str">
            <v/>
          </cell>
        </row>
        <row r="632">
          <cell r="AA632">
            <v>2</v>
          </cell>
          <cell r="BC632" t="str">
            <v/>
          </cell>
          <cell r="BH632" t="str">
            <v/>
          </cell>
        </row>
        <row r="633">
          <cell r="AA633">
            <v>2</v>
          </cell>
          <cell r="AR633" t="b">
            <v>0</v>
          </cell>
          <cell r="BC633" t="str">
            <v/>
          </cell>
          <cell r="BH633" t="str">
            <v/>
          </cell>
        </row>
        <row r="634">
          <cell r="AA634">
            <v>2</v>
          </cell>
          <cell r="AR634" t="b">
            <v>0</v>
          </cell>
          <cell r="BC634" t="str">
            <v/>
          </cell>
          <cell r="BH634" t="str">
            <v/>
          </cell>
        </row>
        <row r="635">
          <cell r="AA635">
            <v>2</v>
          </cell>
          <cell r="AR635" t="b">
            <v>0</v>
          </cell>
          <cell r="BC635" t="str">
            <v/>
          </cell>
          <cell r="BH635" t="str">
            <v/>
          </cell>
        </row>
        <row r="636">
          <cell r="AA636">
            <v>2</v>
          </cell>
          <cell r="BC636" t="str">
            <v/>
          </cell>
          <cell r="BH636" t="str">
            <v/>
          </cell>
        </row>
        <row r="637">
          <cell r="AA637">
            <v>2</v>
          </cell>
          <cell r="BC637" t="str">
            <v/>
          </cell>
          <cell r="BH637" t="str">
            <v/>
          </cell>
        </row>
        <row r="638">
          <cell r="AA638">
            <v>2</v>
          </cell>
          <cell r="BC638" t="str">
            <v/>
          </cell>
          <cell r="BH638" t="str">
            <v/>
          </cell>
        </row>
        <row r="639">
          <cell r="AA639">
            <v>2</v>
          </cell>
          <cell r="BC639" t="str">
            <v/>
          </cell>
          <cell r="BH639" t="str">
            <v/>
          </cell>
        </row>
        <row r="640">
          <cell r="BC640" t="str">
            <v/>
          </cell>
          <cell r="BH640" t="str">
            <v/>
          </cell>
        </row>
        <row r="641">
          <cell r="BC641" t="str">
            <v/>
          </cell>
          <cell r="BH641" t="str">
            <v/>
          </cell>
        </row>
        <row r="642">
          <cell r="AA642">
            <v>2</v>
          </cell>
          <cell r="BC642" t="str">
            <v/>
          </cell>
          <cell r="BH642" t="str">
            <v/>
          </cell>
        </row>
        <row r="643">
          <cell r="AA643">
            <v>2</v>
          </cell>
          <cell r="AR643" t="b">
            <v>0</v>
          </cell>
          <cell r="BC643" t="str">
            <v/>
          </cell>
          <cell r="BH643" t="str">
            <v/>
          </cell>
        </row>
        <row r="644">
          <cell r="AA644">
            <v>2</v>
          </cell>
          <cell r="AR644" t="b">
            <v>0</v>
          </cell>
          <cell r="BC644" t="str">
            <v/>
          </cell>
          <cell r="BH644" t="str">
            <v/>
          </cell>
        </row>
        <row r="645">
          <cell r="AA645">
            <v>2</v>
          </cell>
          <cell r="AR645" t="b">
            <v>0</v>
          </cell>
          <cell r="BC645" t="str">
            <v/>
          </cell>
          <cell r="BH645" t="str">
            <v/>
          </cell>
        </row>
        <row r="646">
          <cell r="AA646">
            <v>2</v>
          </cell>
          <cell r="AR646" t="b">
            <v>0</v>
          </cell>
          <cell r="BC646" t="str">
            <v/>
          </cell>
          <cell r="BH646" t="str">
            <v/>
          </cell>
        </row>
        <row r="647">
          <cell r="AA647">
            <v>2</v>
          </cell>
          <cell r="BC647" t="str">
            <v/>
          </cell>
          <cell r="BH647" t="str">
            <v/>
          </cell>
        </row>
        <row r="648">
          <cell r="AA648">
            <v>2</v>
          </cell>
          <cell r="AR648" t="b">
            <v>0</v>
          </cell>
          <cell r="BC648" t="str">
            <v/>
          </cell>
          <cell r="BH648" t="str">
            <v/>
          </cell>
        </row>
        <row r="649">
          <cell r="AA649">
            <v>2</v>
          </cell>
          <cell r="AR649" t="b">
            <v>0</v>
          </cell>
          <cell r="BC649" t="str">
            <v/>
          </cell>
          <cell r="BH649" t="str">
            <v/>
          </cell>
        </row>
        <row r="650">
          <cell r="AA650">
            <v>2</v>
          </cell>
          <cell r="BC650" t="str">
            <v/>
          </cell>
          <cell r="BH650" t="str">
            <v/>
          </cell>
        </row>
        <row r="651">
          <cell r="AA651">
            <v>2</v>
          </cell>
          <cell r="BC651" t="str">
            <v/>
          </cell>
          <cell r="BH651" t="str">
            <v/>
          </cell>
        </row>
        <row r="652">
          <cell r="AA652">
            <v>2</v>
          </cell>
          <cell r="BC652" t="str">
            <v/>
          </cell>
          <cell r="BH652" t="str">
            <v/>
          </cell>
        </row>
        <row r="653">
          <cell r="AA653">
            <v>2</v>
          </cell>
          <cell r="BC653" t="str">
            <v/>
          </cell>
          <cell r="BH653" t="str">
            <v/>
          </cell>
        </row>
        <row r="654">
          <cell r="AA654">
            <v>2</v>
          </cell>
          <cell r="BC654" t="str">
            <v/>
          </cell>
          <cell r="BH654" t="str">
            <v/>
          </cell>
        </row>
        <row r="655">
          <cell r="AA655">
            <v>2</v>
          </cell>
          <cell r="BC655" t="str">
            <v/>
          </cell>
          <cell r="BH655" t="str">
            <v/>
          </cell>
        </row>
        <row r="656">
          <cell r="AA656">
            <v>2</v>
          </cell>
          <cell r="AR656" t="b">
            <v>0</v>
          </cell>
          <cell r="BC656" t="str">
            <v/>
          </cell>
          <cell r="BH656" t="str">
            <v/>
          </cell>
        </row>
        <row r="657">
          <cell r="AA657">
            <v>2</v>
          </cell>
          <cell r="AR657" t="b">
            <v>0</v>
          </cell>
          <cell r="BC657" t="str">
            <v/>
          </cell>
          <cell r="BH657" t="str">
            <v/>
          </cell>
        </row>
        <row r="658">
          <cell r="AA658">
            <v>2</v>
          </cell>
          <cell r="BC658" t="str">
            <v/>
          </cell>
          <cell r="BH658" t="str">
            <v/>
          </cell>
        </row>
        <row r="659">
          <cell r="AA659">
            <v>2</v>
          </cell>
          <cell r="BC659" t="str">
            <v/>
          </cell>
          <cell r="BH659" t="str">
            <v/>
          </cell>
        </row>
        <row r="660">
          <cell r="AA660">
            <v>2</v>
          </cell>
          <cell r="BC660" t="str">
            <v/>
          </cell>
          <cell r="BH660" t="str">
            <v/>
          </cell>
        </row>
        <row r="661">
          <cell r="AA661">
            <v>2</v>
          </cell>
          <cell r="BC661" t="str">
            <v/>
          </cell>
          <cell r="BH661" t="str">
            <v/>
          </cell>
        </row>
        <row r="662">
          <cell r="AA662">
            <v>2</v>
          </cell>
          <cell r="AR662" t="b">
            <v>0</v>
          </cell>
          <cell r="BC662" t="str">
            <v/>
          </cell>
          <cell r="BH662" t="str">
            <v/>
          </cell>
        </row>
        <row r="663">
          <cell r="AA663">
            <v>2</v>
          </cell>
          <cell r="AR663" t="b">
            <v>0</v>
          </cell>
          <cell r="BC663" t="str">
            <v/>
          </cell>
          <cell r="BH663" t="str">
            <v/>
          </cell>
        </row>
        <row r="664">
          <cell r="AA664">
            <v>2</v>
          </cell>
          <cell r="AR664" t="b">
            <v>0</v>
          </cell>
          <cell r="BC664" t="str">
            <v/>
          </cell>
          <cell r="BH664" t="str">
            <v/>
          </cell>
        </row>
        <row r="665">
          <cell r="AA665">
            <v>2</v>
          </cell>
          <cell r="BC665" t="str">
            <v/>
          </cell>
          <cell r="BH665" t="str">
            <v/>
          </cell>
        </row>
        <row r="666">
          <cell r="AA666">
            <v>2</v>
          </cell>
          <cell r="BC666" t="str">
            <v/>
          </cell>
          <cell r="BH666" t="str">
            <v/>
          </cell>
        </row>
        <row r="667">
          <cell r="AA667">
            <v>2</v>
          </cell>
          <cell r="BC667" t="str">
            <v/>
          </cell>
          <cell r="BH667" t="str">
            <v/>
          </cell>
        </row>
        <row r="668">
          <cell r="AA668">
            <v>2</v>
          </cell>
          <cell r="BC668" t="str">
            <v/>
          </cell>
          <cell r="BH668" t="str">
            <v/>
          </cell>
        </row>
        <row r="669">
          <cell r="AA669">
            <v>2</v>
          </cell>
          <cell r="BC669" t="str">
            <v/>
          </cell>
          <cell r="BH669" t="str">
            <v/>
          </cell>
        </row>
        <row r="670">
          <cell r="AA670">
            <v>2</v>
          </cell>
          <cell r="BC670" t="str">
            <v/>
          </cell>
          <cell r="BH670" t="str">
            <v/>
          </cell>
        </row>
        <row r="671">
          <cell r="AA671">
            <v>2</v>
          </cell>
          <cell r="BC671" t="str">
            <v/>
          </cell>
          <cell r="BH671" t="str">
            <v/>
          </cell>
        </row>
        <row r="672">
          <cell r="BC672" t="str">
            <v/>
          </cell>
          <cell r="BH672" t="str">
            <v/>
          </cell>
        </row>
        <row r="673">
          <cell r="AA673">
            <v>2</v>
          </cell>
          <cell r="AR673" t="b">
            <v>0</v>
          </cell>
          <cell r="BC673" t="str">
            <v/>
          </cell>
          <cell r="BH673" t="str">
            <v/>
          </cell>
        </row>
        <row r="674">
          <cell r="AA674">
            <v>2</v>
          </cell>
          <cell r="AR674" t="b">
            <v>0</v>
          </cell>
          <cell r="BC674" t="str">
            <v/>
          </cell>
          <cell r="BH674" t="str">
            <v/>
          </cell>
        </row>
        <row r="675">
          <cell r="AA675">
            <v>2</v>
          </cell>
          <cell r="AR675" t="b">
            <v>0</v>
          </cell>
          <cell r="BC675" t="str">
            <v/>
          </cell>
          <cell r="BH675" t="str">
            <v/>
          </cell>
        </row>
        <row r="676">
          <cell r="AA676">
            <v>2</v>
          </cell>
          <cell r="BC676" t="str">
            <v/>
          </cell>
          <cell r="BH676" t="str">
            <v/>
          </cell>
        </row>
        <row r="677">
          <cell r="AA677">
            <v>2</v>
          </cell>
          <cell r="BC677" t="str">
            <v/>
          </cell>
          <cell r="BH677" t="str">
            <v/>
          </cell>
        </row>
        <row r="678">
          <cell r="AA678">
            <v>2</v>
          </cell>
          <cell r="BC678" t="str">
            <v/>
          </cell>
          <cell r="BH678" t="str">
            <v/>
          </cell>
        </row>
        <row r="679">
          <cell r="AA679">
            <v>2</v>
          </cell>
          <cell r="AR679" t="b">
            <v>0</v>
          </cell>
          <cell r="BC679" t="str">
            <v/>
          </cell>
          <cell r="BH679" t="str">
            <v/>
          </cell>
        </row>
        <row r="680">
          <cell r="AA680">
            <v>2</v>
          </cell>
          <cell r="AR680" t="b">
            <v>0</v>
          </cell>
          <cell r="BC680" t="str">
            <v/>
          </cell>
          <cell r="BH680" t="str">
            <v/>
          </cell>
        </row>
        <row r="681">
          <cell r="AA681">
            <v>2</v>
          </cell>
          <cell r="AR681" t="b">
            <v>0</v>
          </cell>
          <cell r="BC681" t="str">
            <v/>
          </cell>
          <cell r="BH681" t="str">
            <v/>
          </cell>
        </row>
        <row r="682">
          <cell r="AA682">
            <v>2</v>
          </cell>
          <cell r="AR682" t="b">
            <v>0</v>
          </cell>
          <cell r="BC682" t="str">
            <v/>
          </cell>
          <cell r="BH682" t="str">
            <v/>
          </cell>
        </row>
        <row r="683">
          <cell r="AA683">
            <v>2</v>
          </cell>
          <cell r="AR683" t="b">
            <v>0</v>
          </cell>
          <cell r="BC683" t="str">
            <v/>
          </cell>
          <cell r="BH683" t="str">
            <v/>
          </cell>
        </row>
        <row r="684">
          <cell r="AA684">
            <v>2</v>
          </cell>
          <cell r="AR684" t="b">
            <v>0</v>
          </cell>
          <cell r="BC684" t="str">
            <v/>
          </cell>
          <cell r="BH684" t="str">
            <v/>
          </cell>
        </row>
        <row r="685">
          <cell r="BC685" t="str">
            <v/>
          </cell>
          <cell r="BH685" t="str">
            <v/>
          </cell>
        </row>
        <row r="686">
          <cell r="AA686">
            <v>2</v>
          </cell>
          <cell r="BC686" t="str">
            <v/>
          </cell>
          <cell r="BH686" t="str">
            <v/>
          </cell>
        </row>
        <row r="687">
          <cell r="AA687">
            <v>2</v>
          </cell>
          <cell r="BC687" t="str">
            <v/>
          </cell>
          <cell r="BH687" t="str">
            <v/>
          </cell>
        </row>
        <row r="688">
          <cell r="AA688">
            <v>2</v>
          </cell>
          <cell r="BC688" t="str">
            <v/>
          </cell>
          <cell r="BH688" t="str">
            <v/>
          </cell>
        </row>
        <row r="689">
          <cell r="AA689">
            <v>2</v>
          </cell>
          <cell r="AR689" t="b">
            <v>0</v>
          </cell>
          <cell r="BC689" t="str">
            <v/>
          </cell>
          <cell r="BH689" t="str">
            <v/>
          </cell>
        </row>
        <row r="690">
          <cell r="AA690">
            <v>2</v>
          </cell>
          <cell r="BC690" t="str">
            <v/>
          </cell>
          <cell r="BH690" t="str">
            <v/>
          </cell>
        </row>
        <row r="691">
          <cell r="BC691" t="str">
            <v/>
          </cell>
          <cell r="BH691" t="str">
            <v/>
          </cell>
        </row>
        <row r="692">
          <cell r="BC692" t="str">
            <v/>
          </cell>
          <cell r="BH692" t="str">
            <v/>
          </cell>
        </row>
        <row r="693">
          <cell r="AA693">
            <v>2</v>
          </cell>
          <cell r="BC693" t="str">
            <v/>
          </cell>
          <cell r="BH693" t="str">
            <v/>
          </cell>
        </row>
        <row r="694">
          <cell r="AA694">
            <v>2</v>
          </cell>
          <cell r="BC694" t="str">
            <v/>
          </cell>
          <cell r="BH694" t="str">
            <v/>
          </cell>
        </row>
        <row r="695">
          <cell r="AA695">
            <v>2</v>
          </cell>
          <cell r="BC695" t="str">
            <v/>
          </cell>
          <cell r="BH695" t="str">
            <v/>
          </cell>
        </row>
        <row r="696">
          <cell r="BC696" t="str">
            <v/>
          </cell>
          <cell r="BH696" t="str">
            <v/>
          </cell>
        </row>
        <row r="697">
          <cell r="BC697" t="str">
            <v/>
          </cell>
          <cell r="BH697" t="str">
            <v/>
          </cell>
        </row>
        <row r="698">
          <cell r="AA698">
            <v>2</v>
          </cell>
          <cell r="BC698" t="str">
            <v/>
          </cell>
          <cell r="BH698" t="str">
            <v/>
          </cell>
        </row>
        <row r="699">
          <cell r="AA699">
            <v>2</v>
          </cell>
          <cell r="AR699" t="b">
            <v>0</v>
          </cell>
          <cell r="BC699" t="str">
            <v/>
          </cell>
          <cell r="BH699" t="str">
            <v/>
          </cell>
        </row>
        <row r="700">
          <cell r="AA700">
            <v>2</v>
          </cell>
          <cell r="AR700" t="b">
            <v>0</v>
          </cell>
          <cell r="BC700" t="str">
            <v/>
          </cell>
          <cell r="BH700" t="str">
            <v/>
          </cell>
        </row>
        <row r="701">
          <cell r="AA701">
            <v>2</v>
          </cell>
          <cell r="BC701" t="str">
            <v/>
          </cell>
          <cell r="BH701" t="str">
            <v/>
          </cell>
        </row>
        <row r="702">
          <cell r="AA702">
            <v>2</v>
          </cell>
          <cell r="BC702" t="str">
            <v/>
          </cell>
          <cell r="BH702" t="str">
            <v/>
          </cell>
        </row>
        <row r="703">
          <cell r="AA703">
            <v>2</v>
          </cell>
          <cell r="BC703" t="str">
            <v/>
          </cell>
          <cell r="BH703" t="str">
            <v/>
          </cell>
        </row>
        <row r="704">
          <cell r="BC704" t="str">
            <v/>
          </cell>
          <cell r="BH704" t="str">
            <v/>
          </cell>
        </row>
        <row r="705">
          <cell r="BC705" t="str">
            <v/>
          </cell>
          <cell r="BH705" t="str">
            <v/>
          </cell>
        </row>
        <row r="706">
          <cell r="AA706">
            <v>2</v>
          </cell>
          <cell r="BC706" t="str">
            <v/>
          </cell>
          <cell r="BH706" t="str">
            <v/>
          </cell>
        </row>
        <row r="707">
          <cell r="AA707">
            <v>2</v>
          </cell>
          <cell r="BC707" t="str">
            <v/>
          </cell>
          <cell r="BH707" t="str">
            <v/>
          </cell>
        </row>
        <row r="708">
          <cell r="AA708">
            <v>2</v>
          </cell>
          <cell r="AR708" t="b">
            <v>0</v>
          </cell>
          <cell r="BC708" t="str">
            <v/>
          </cell>
          <cell r="BH708" t="str">
            <v/>
          </cell>
        </row>
        <row r="709">
          <cell r="AA709">
            <v>2</v>
          </cell>
          <cell r="BC709" t="str">
            <v/>
          </cell>
          <cell r="BH709" t="str">
            <v/>
          </cell>
        </row>
        <row r="710">
          <cell r="AA710">
            <v>2</v>
          </cell>
          <cell r="AO710" t="str">
            <v/>
          </cell>
          <cell r="AR710" t="b">
            <v>0</v>
          </cell>
          <cell r="BC710" t="str">
            <v/>
          </cell>
          <cell r="BH710" t="str">
            <v/>
          </cell>
        </row>
        <row r="711">
          <cell r="AA711">
            <v>2</v>
          </cell>
          <cell r="AO711" t="str">
            <v/>
          </cell>
          <cell r="AR711" t="b">
            <v>0</v>
          </cell>
          <cell r="BC711" t="str">
            <v/>
          </cell>
          <cell r="BH711" t="str">
            <v/>
          </cell>
        </row>
        <row r="712">
          <cell r="AA712">
            <v>2</v>
          </cell>
          <cell r="AO712" t="str">
            <v/>
          </cell>
          <cell r="AR712" t="b">
            <v>0</v>
          </cell>
          <cell r="BC712" t="str">
            <v/>
          </cell>
          <cell r="BH712" t="str">
            <v/>
          </cell>
        </row>
        <row r="713">
          <cell r="AA713">
            <v>2</v>
          </cell>
          <cell r="BC713" t="str">
            <v/>
          </cell>
          <cell r="BH713" t="str">
            <v/>
          </cell>
        </row>
        <row r="714">
          <cell r="AA714">
            <v>2</v>
          </cell>
          <cell r="BC714" t="str">
            <v/>
          </cell>
          <cell r="BH714" t="str">
            <v/>
          </cell>
        </row>
        <row r="715">
          <cell r="AA715">
            <v>2</v>
          </cell>
          <cell r="AR715" t="b">
            <v>0</v>
          </cell>
          <cell r="BC715" t="str">
            <v/>
          </cell>
          <cell r="BH715" t="str">
            <v/>
          </cell>
        </row>
        <row r="716">
          <cell r="AA716">
            <v>2</v>
          </cell>
          <cell r="BC716" t="str">
            <v/>
          </cell>
          <cell r="BH716" t="str">
            <v/>
          </cell>
        </row>
        <row r="717">
          <cell r="AA717">
            <v>2</v>
          </cell>
          <cell r="BC717" t="str">
            <v/>
          </cell>
          <cell r="BH717" t="str">
            <v/>
          </cell>
        </row>
        <row r="718">
          <cell r="AA718">
            <v>2</v>
          </cell>
          <cell r="BC718" t="str">
            <v/>
          </cell>
          <cell r="BH718" t="str">
            <v/>
          </cell>
        </row>
        <row r="719">
          <cell r="AA719">
            <v>2</v>
          </cell>
          <cell r="BC719" t="str">
            <v/>
          </cell>
          <cell r="BH719" t="str">
            <v/>
          </cell>
        </row>
        <row r="720">
          <cell r="AA720">
            <v>2</v>
          </cell>
          <cell r="BC720" t="str">
            <v/>
          </cell>
          <cell r="BH720" t="str">
            <v/>
          </cell>
        </row>
        <row r="721">
          <cell r="BC721" t="str">
            <v/>
          </cell>
          <cell r="BH721" t="str">
            <v/>
          </cell>
        </row>
        <row r="722">
          <cell r="BC722" t="str">
            <v/>
          </cell>
          <cell r="BH722" t="str">
            <v/>
          </cell>
        </row>
        <row r="723">
          <cell r="AA723">
            <v>2</v>
          </cell>
          <cell r="BC723" t="str">
            <v/>
          </cell>
          <cell r="BH723" t="str">
            <v/>
          </cell>
        </row>
        <row r="724">
          <cell r="AA724">
            <v>2</v>
          </cell>
          <cell r="BC724" t="str">
            <v/>
          </cell>
          <cell r="BH724" t="str">
            <v/>
          </cell>
        </row>
        <row r="725">
          <cell r="AA725">
            <v>2</v>
          </cell>
          <cell r="BC725" t="str">
            <v/>
          </cell>
          <cell r="BH725" t="str">
            <v/>
          </cell>
        </row>
        <row r="726">
          <cell r="AA726">
            <v>2</v>
          </cell>
          <cell r="BC726" t="str">
            <v/>
          </cell>
          <cell r="BH726" t="str">
            <v/>
          </cell>
        </row>
        <row r="727">
          <cell r="AA727">
            <v>2</v>
          </cell>
          <cell r="AR727" t="b">
            <v>0</v>
          </cell>
          <cell r="BC727" t="str">
            <v/>
          </cell>
          <cell r="BH727" t="str">
            <v/>
          </cell>
        </row>
        <row r="728">
          <cell r="AA728">
            <v>2</v>
          </cell>
          <cell r="AR728" t="b">
            <v>0</v>
          </cell>
          <cell r="BC728" t="str">
            <v/>
          </cell>
          <cell r="BH728" t="str">
            <v/>
          </cell>
        </row>
        <row r="729">
          <cell r="AA729">
            <v>2</v>
          </cell>
          <cell r="AR729" t="b">
            <v>0</v>
          </cell>
          <cell r="BC729" t="str">
            <v/>
          </cell>
          <cell r="BH729" t="str">
            <v/>
          </cell>
        </row>
        <row r="730">
          <cell r="AA730">
            <v>2</v>
          </cell>
          <cell r="AR730" t="b">
            <v>0</v>
          </cell>
          <cell r="BC730" t="str">
            <v/>
          </cell>
          <cell r="BH730" t="str">
            <v/>
          </cell>
        </row>
        <row r="731">
          <cell r="AA731">
            <v>2</v>
          </cell>
          <cell r="BC731" t="str">
            <v/>
          </cell>
          <cell r="BH731" t="str">
            <v/>
          </cell>
        </row>
        <row r="732">
          <cell r="AA732">
            <v>2</v>
          </cell>
          <cell r="BC732" t="str">
            <v/>
          </cell>
          <cell r="BH732" t="str">
            <v/>
          </cell>
        </row>
        <row r="733">
          <cell r="AA733">
            <v>2</v>
          </cell>
          <cell r="BC733" t="str">
            <v/>
          </cell>
          <cell r="BH733" t="str">
            <v/>
          </cell>
        </row>
        <row r="734">
          <cell r="AA734">
            <v>2</v>
          </cell>
          <cell r="BC734" t="str">
            <v/>
          </cell>
          <cell r="BH734" t="str">
            <v/>
          </cell>
        </row>
        <row r="735">
          <cell r="AA735">
            <v>2</v>
          </cell>
          <cell r="BC735" t="str">
            <v/>
          </cell>
          <cell r="BH735" t="str">
            <v/>
          </cell>
        </row>
        <row r="736">
          <cell r="AA736">
            <v>2</v>
          </cell>
          <cell r="BC736" t="str">
            <v/>
          </cell>
          <cell r="BH736" t="str">
            <v/>
          </cell>
        </row>
        <row r="737">
          <cell r="AA737">
            <v>2</v>
          </cell>
          <cell r="BC737" t="str">
            <v/>
          </cell>
          <cell r="BH737" t="str">
            <v/>
          </cell>
        </row>
        <row r="738">
          <cell r="AA738">
            <v>2</v>
          </cell>
          <cell r="BC738" t="str">
            <v/>
          </cell>
          <cell r="BH738" t="str">
            <v/>
          </cell>
        </row>
        <row r="739">
          <cell r="AA739">
            <v>2</v>
          </cell>
          <cell r="BC739" t="str">
            <v/>
          </cell>
          <cell r="BH739" t="str">
            <v/>
          </cell>
        </row>
        <row r="740">
          <cell r="AA740">
            <v>2</v>
          </cell>
          <cell r="BC740" t="str">
            <v/>
          </cell>
          <cell r="BH740" t="str">
            <v/>
          </cell>
        </row>
        <row r="741">
          <cell r="AA741">
            <v>2</v>
          </cell>
          <cell r="BC741" t="str">
            <v/>
          </cell>
          <cell r="BH741" t="str">
            <v/>
          </cell>
        </row>
        <row r="742">
          <cell r="AA742">
            <v>2</v>
          </cell>
          <cell r="AR742" t="b">
            <v>0</v>
          </cell>
          <cell r="BC742" t="str">
            <v/>
          </cell>
          <cell r="BH742" t="str">
            <v/>
          </cell>
        </row>
        <row r="743">
          <cell r="AA743">
            <v>2</v>
          </cell>
          <cell r="BC743" t="str">
            <v/>
          </cell>
          <cell r="BH743" t="str">
            <v/>
          </cell>
        </row>
        <row r="744">
          <cell r="AA744">
            <v>2</v>
          </cell>
          <cell r="AR744" t="b">
            <v>0</v>
          </cell>
          <cell r="BC744" t="str">
            <v/>
          </cell>
          <cell r="BH744" t="str">
            <v/>
          </cell>
        </row>
        <row r="745">
          <cell r="AA745">
            <v>2</v>
          </cell>
          <cell r="BC745" t="str">
            <v/>
          </cell>
          <cell r="BH745" t="str">
            <v/>
          </cell>
        </row>
        <row r="746">
          <cell r="AA746">
            <v>2</v>
          </cell>
          <cell r="BC746" t="str">
            <v/>
          </cell>
          <cell r="BH746" t="str">
            <v/>
          </cell>
        </row>
        <row r="747">
          <cell r="AA747">
            <v>2</v>
          </cell>
          <cell r="BC747" t="str">
            <v/>
          </cell>
          <cell r="BH747" t="str">
            <v/>
          </cell>
        </row>
        <row r="748">
          <cell r="AA748">
            <v>2</v>
          </cell>
          <cell r="BC748" t="str">
            <v/>
          </cell>
          <cell r="BH748" t="str">
            <v/>
          </cell>
        </row>
        <row r="749">
          <cell r="AA749">
            <v>2</v>
          </cell>
          <cell r="BC749" t="str">
            <v/>
          </cell>
          <cell r="BH749" t="str">
            <v/>
          </cell>
        </row>
        <row r="750">
          <cell r="AA750">
            <v>2</v>
          </cell>
          <cell r="AR750" t="b">
            <v>0</v>
          </cell>
          <cell r="BC750" t="str">
            <v/>
          </cell>
          <cell r="BH750" t="str">
            <v/>
          </cell>
        </row>
        <row r="751">
          <cell r="AA751">
            <v>2</v>
          </cell>
          <cell r="BC751" t="str">
            <v/>
          </cell>
          <cell r="BH751" t="str">
            <v/>
          </cell>
        </row>
        <row r="752">
          <cell r="AA752">
            <v>2</v>
          </cell>
          <cell r="BC752" t="str">
            <v/>
          </cell>
          <cell r="BH752" t="str">
            <v/>
          </cell>
        </row>
        <row r="753">
          <cell r="AA753">
            <v>2</v>
          </cell>
          <cell r="BC753" t="str">
            <v/>
          </cell>
          <cell r="BH753" t="str">
            <v/>
          </cell>
        </row>
        <row r="754">
          <cell r="AA754">
            <v>2</v>
          </cell>
          <cell r="BC754" t="str">
            <v/>
          </cell>
          <cell r="BH754" t="str">
            <v/>
          </cell>
        </row>
        <row r="755">
          <cell r="AA755">
            <v>2</v>
          </cell>
          <cell r="BC755" t="str">
            <v/>
          </cell>
          <cell r="BH755" t="str">
            <v/>
          </cell>
        </row>
        <row r="756">
          <cell r="AA756">
            <v>2</v>
          </cell>
          <cell r="BC756" t="str">
            <v/>
          </cell>
          <cell r="BH756" t="str">
            <v/>
          </cell>
        </row>
        <row r="757">
          <cell r="AA757">
            <v>2</v>
          </cell>
          <cell r="AO757" t="str">
            <v/>
          </cell>
          <cell r="AR757" t="b">
            <v>0</v>
          </cell>
          <cell r="BC757" t="str">
            <v/>
          </cell>
          <cell r="BH757" t="str">
            <v/>
          </cell>
        </row>
        <row r="758">
          <cell r="AA758">
            <v>2</v>
          </cell>
          <cell r="AO758" t="str">
            <v/>
          </cell>
          <cell r="AR758" t="b">
            <v>0</v>
          </cell>
          <cell r="BC758" t="str">
            <v/>
          </cell>
          <cell r="BH758" t="str">
            <v/>
          </cell>
        </row>
        <row r="759">
          <cell r="AA759">
            <v>2</v>
          </cell>
          <cell r="AO759" t="str">
            <v/>
          </cell>
          <cell r="AR759" t="b">
            <v>0</v>
          </cell>
          <cell r="BC759" t="str">
            <v/>
          </cell>
          <cell r="BH759" t="str">
            <v/>
          </cell>
        </row>
        <row r="760">
          <cell r="AA760">
            <v>2</v>
          </cell>
          <cell r="AR760" t="b">
            <v>0</v>
          </cell>
          <cell r="BC760" t="str">
            <v/>
          </cell>
          <cell r="BH760" t="str">
            <v/>
          </cell>
        </row>
        <row r="761">
          <cell r="AA761">
            <v>2</v>
          </cell>
          <cell r="AO761" t="str">
            <v/>
          </cell>
          <cell r="AR761" t="b">
            <v>0</v>
          </cell>
          <cell r="BC761" t="str">
            <v/>
          </cell>
          <cell r="BH761" t="str">
            <v/>
          </cell>
        </row>
        <row r="762">
          <cell r="AA762">
            <v>2</v>
          </cell>
          <cell r="AO762" t="str">
            <v/>
          </cell>
          <cell r="AR762" t="b">
            <v>0</v>
          </cell>
          <cell r="BC762" t="str">
            <v/>
          </cell>
          <cell r="BH762" t="str">
            <v/>
          </cell>
        </row>
        <row r="763">
          <cell r="AA763">
            <v>2</v>
          </cell>
          <cell r="AO763" t="str">
            <v/>
          </cell>
          <cell r="AR763" t="b">
            <v>0</v>
          </cell>
          <cell r="BC763" t="str">
            <v/>
          </cell>
          <cell r="BH763" t="str">
            <v/>
          </cell>
        </row>
        <row r="764">
          <cell r="AA764">
            <v>2</v>
          </cell>
          <cell r="BC764" t="str">
            <v/>
          </cell>
          <cell r="BH764" t="str">
            <v/>
          </cell>
        </row>
        <row r="765">
          <cell r="AA765">
            <v>2</v>
          </cell>
          <cell r="BC765" t="str">
            <v/>
          </cell>
          <cell r="BH765" t="str">
            <v/>
          </cell>
        </row>
        <row r="766">
          <cell r="AA766">
            <v>2</v>
          </cell>
          <cell r="BC766" t="str">
            <v/>
          </cell>
          <cell r="BH766" t="str">
            <v/>
          </cell>
        </row>
        <row r="767">
          <cell r="AA767">
            <v>2</v>
          </cell>
          <cell r="BC767" t="str">
            <v/>
          </cell>
          <cell r="BH767" t="str">
            <v/>
          </cell>
        </row>
        <row r="768">
          <cell r="AA768">
            <v>2</v>
          </cell>
          <cell r="AR768" t="b">
            <v>0</v>
          </cell>
          <cell r="BC768" t="str">
            <v/>
          </cell>
          <cell r="BH768" t="str">
            <v/>
          </cell>
        </row>
        <row r="769">
          <cell r="AA769">
            <v>2</v>
          </cell>
          <cell r="BC769" t="str">
            <v/>
          </cell>
          <cell r="BH769" t="str">
            <v/>
          </cell>
        </row>
        <row r="770">
          <cell r="AA770">
            <v>2</v>
          </cell>
          <cell r="AO770" t="str">
            <v/>
          </cell>
          <cell r="AR770" t="b">
            <v>0</v>
          </cell>
          <cell r="BC770" t="str">
            <v/>
          </cell>
          <cell r="BH770" t="str">
            <v/>
          </cell>
        </row>
        <row r="771">
          <cell r="AA771">
            <v>2</v>
          </cell>
          <cell r="AO771" t="str">
            <v/>
          </cell>
          <cell r="AR771" t="b">
            <v>0</v>
          </cell>
          <cell r="BC771" t="str">
            <v/>
          </cell>
          <cell r="BH771" t="str">
            <v/>
          </cell>
        </row>
        <row r="772">
          <cell r="AA772">
            <v>2</v>
          </cell>
          <cell r="AO772" t="str">
            <v/>
          </cell>
          <cell r="AR772" t="b">
            <v>0</v>
          </cell>
          <cell r="BC772" t="str">
            <v/>
          </cell>
          <cell r="BH772" t="str">
            <v/>
          </cell>
        </row>
        <row r="773">
          <cell r="AA773">
            <v>2</v>
          </cell>
          <cell r="BC773" t="str">
            <v/>
          </cell>
          <cell r="BH773" t="str">
            <v/>
          </cell>
        </row>
        <row r="774">
          <cell r="AA774">
            <v>2</v>
          </cell>
          <cell r="BC774" t="str">
            <v/>
          </cell>
          <cell r="BH774" t="str">
            <v/>
          </cell>
        </row>
        <row r="775">
          <cell r="AA775">
            <v>2</v>
          </cell>
          <cell r="BC775" t="str">
            <v/>
          </cell>
          <cell r="BH775" t="str">
            <v/>
          </cell>
        </row>
        <row r="776">
          <cell r="AA776">
            <v>2</v>
          </cell>
          <cell r="BC776" t="str">
            <v/>
          </cell>
          <cell r="BH776" t="str">
            <v/>
          </cell>
        </row>
        <row r="777">
          <cell r="AA777">
            <v>2</v>
          </cell>
          <cell r="BC777" t="str">
            <v/>
          </cell>
          <cell r="BH777" t="str">
            <v/>
          </cell>
        </row>
        <row r="778">
          <cell r="AA778">
            <v>2</v>
          </cell>
          <cell r="BC778" t="str">
            <v/>
          </cell>
          <cell r="BH778" t="str">
            <v/>
          </cell>
        </row>
        <row r="779">
          <cell r="AA779">
            <v>2</v>
          </cell>
          <cell r="BC779" t="str">
            <v/>
          </cell>
          <cell r="BH779" t="str">
            <v/>
          </cell>
        </row>
        <row r="780">
          <cell r="BC780" t="str">
            <v/>
          </cell>
          <cell r="BH780" t="str">
            <v/>
          </cell>
        </row>
        <row r="781">
          <cell r="BC781" t="str">
            <v/>
          </cell>
          <cell r="BH781" t="str">
            <v/>
          </cell>
        </row>
        <row r="782">
          <cell r="AA782">
            <v>2</v>
          </cell>
          <cell r="AR782" t="b">
            <v>0</v>
          </cell>
          <cell r="BC782" t="str">
            <v/>
          </cell>
          <cell r="BH782" t="str">
            <v/>
          </cell>
        </row>
        <row r="783">
          <cell r="AA783">
            <v>2</v>
          </cell>
          <cell r="AR783" t="b">
            <v>0</v>
          </cell>
          <cell r="BC783" t="str">
            <v/>
          </cell>
          <cell r="BH783" t="str">
            <v/>
          </cell>
        </row>
        <row r="784">
          <cell r="AA784">
            <v>2</v>
          </cell>
          <cell r="BC784" t="str">
            <v/>
          </cell>
          <cell r="BH784" t="str">
            <v/>
          </cell>
        </row>
        <row r="785">
          <cell r="AA785">
            <v>2</v>
          </cell>
          <cell r="BC785" t="str">
            <v/>
          </cell>
          <cell r="BH785" t="str">
            <v/>
          </cell>
        </row>
        <row r="786">
          <cell r="AA786">
            <v>2</v>
          </cell>
          <cell r="BC786" t="str">
            <v/>
          </cell>
          <cell r="BH786" t="str">
            <v/>
          </cell>
        </row>
        <row r="787">
          <cell r="AA787">
            <v>2</v>
          </cell>
          <cell r="BC787" t="str">
            <v/>
          </cell>
          <cell r="BH787" t="str">
            <v/>
          </cell>
        </row>
        <row r="788">
          <cell r="AA788">
            <v>2</v>
          </cell>
          <cell r="BC788" t="str">
            <v/>
          </cell>
          <cell r="BH788" t="str">
            <v/>
          </cell>
        </row>
        <row r="789">
          <cell r="AA789">
            <v>2</v>
          </cell>
          <cell r="AR789" t="b">
            <v>0</v>
          </cell>
          <cell r="BC789" t="str">
            <v/>
          </cell>
          <cell r="BH789" t="str">
            <v/>
          </cell>
        </row>
        <row r="790">
          <cell r="AA790">
            <v>2</v>
          </cell>
          <cell r="AR790" t="b">
            <v>0</v>
          </cell>
          <cell r="BC790" t="str">
            <v/>
          </cell>
          <cell r="BH790" t="str">
            <v/>
          </cell>
        </row>
        <row r="791">
          <cell r="AA791">
            <v>2</v>
          </cell>
          <cell r="BC791" t="str">
            <v/>
          </cell>
          <cell r="BH791" t="str">
            <v/>
          </cell>
        </row>
        <row r="792">
          <cell r="AA792">
            <v>2</v>
          </cell>
          <cell r="BC792" t="str">
            <v/>
          </cell>
          <cell r="BH792" t="str">
            <v/>
          </cell>
        </row>
        <row r="793">
          <cell r="AA793">
            <v>2</v>
          </cell>
          <cell r="BC793" t="str">
            <v/>
          </cell>
          <cell r="BH793" t="str">
            <v/>
          </cell>
        </row>
        <row r="794">
          <cell r="AA794">
            <v>2</v>
          </cell>
          <cell r="BC794" t="str">
            <v/>
          </cell>
          <cell r="BH794" t="str">
            <v/>
          </cell>
        </row>
        <row r="795">
          <cell r="AA795">
            <v>2</v>
          </cell>
          <cell r="BC795" t="str">
            <v/>
          </cell>
          <cell r="BH795" t="str">
            <v/>
          </cell>
        </row>
        <row r="796">
          <cell r="AA796">
            <v>2</v>
          </cell>
          <cell r="BC796" t="str">
            <v/>
          </cell>
          <cell r="BH796" t="str">
            <v/>
          </cell>
        </row>
        <row r="797">
          <cell r="AA797">
            <v>2</v>
          </cell>
          <cell r="BC797" t="str">
            <v/>
          </cell>
          <cell r="BH797" t="str">
            <v/>
          </cell>
        </row>
        <row r="798">
          <cell r="AA798">
            <v>2</v>
          </cell>
          <cell r="BC798" t="str">
            <v/>
          </cell>
          <cell r="BH798" t="str">
            <v/>
          </cell>
        </row>
        <row r="799">
          <cell r="AA799">
            <v>2</v>
          </cell>
          <cell r="BC799" t="str">
            <v/>
          </cell>
          <cell r="BH799" t="str">
            <v/>
          </cell>
        </row>
        <row r="800">
          <cell r="AA800">
            <v>2</v>
          </cell>
          <cell r="BC800" t="str">
            <v/>
          </cell>
          <cell r="BH800" t="str">
            <v/>
          </cell>
        </row>
        <row r="801">
          <cell r="AA801">
            <v>2</v>
          </cell>
          <cell r="BC801" t="str">
            <v/>
          </cell>
          <cell r="BH801" t="str">
            <v/>
          </cell>
        </row>
        <row r="802">
          <cell r="AA802">
            <v>2</v>
          </cell>
          <cell r="BC802" t="str">
            <v/>
          </cell>
          <cell r="BH802" t="str">
            <v/>
          </cell>
        </row>
        <row r="803">
          <cell r="AA803">
            <v>2</v>
          </cell>
          <cell r="BC803" t="str">
            <v/>
          </cell>
          <cell r="BH803" t="str">
            <v/>
          </cell>
        </row>
        <row r="804">
          <cell r="AA804">
            <v>2</v>
          </cell>
          <cell r="AR804" t="b">
            <v>0</v>
          </cell>
          <cell r="BC804" t="str">
            <v/>
          </cell>
          <cell r="BH804" t="str">
            <v/>
          </cell>
        </row>
        <row r="805">
          <cell r="AA805">
            <v>2</v>
          </cell>
          <cell r="AR805" t="b">
            <v>0</v>
          </cell>
          <cell r="BC805" t="str">
            <v/>
          </cell>
          <cell r="BH805" t="str">
            <v/>
          </cell>
        </row>
        <row r="806">
          <cell r="AA806">
            <v>2</v>
          </cell>
          <cell r="BC806" t="str">
            <v/>
          </cell>
          <cell r="BH806" t="str">
            <v/>
          </cell>
        </row>
        <row r="807">
          <cell r="AA807">
            <v>2</v>
          </cell>
          <cell r="BC807" t="str">
            <v/>
          </cell>
          <cell r="BH807" t="str">
            <v/>
          </cell>
        </row>
        <row r="808">
          <cell r="AA808">
            <v>2</v>
          </cell>
          <cell r="AR808" t="b">
            <v>0</v>
          </cell>
          <cell r="BC808" t="str">
            <v/>
          </cell>
          <cell r="BH808" t="str">
            <v/>
          </cell>
        </row>
        <row r="809">
          <cell r="AA809">
            <v>2</v>
          </cell>
          <cell r="AR809" t="b">
            <v>0</v>
          </cell>
          <cell r="BC809" t="str">
            <v/>
          </cell>
          <cell r="BH809" t="str">
            <v/>
          </cell>
        </row>
        <row r="810">
          <cell r="AA810">
            <v>2</v>
          </cell>
          <cell r="BC810" t="str">
            <v/>
          </cell>
          <cell r="BH810" t="str">
            <v/>
          </cell>
        </row>
        <row r="811">
          <cell r="AA811">
            <v>2</v>
          </cell>
          <cell r="AR811" t="b">
            <v>0</v>
          </cell>
          <cell r="BC811" t="str">
            <v/>
          </cell>
          <cell r="BH811" t="str">
            <v/>
          </cell>
        </row>
        <row r="812">
          <cell r="AA812">
            <v>2</v>
          </cell>
          <cell r="AR812" t="b">
            <v>0</v>
          </cell>
          <cell r="BC812" t="str">
            <v/>
          </cell>
          <cell r="BH812" t="str">
            <v/>
          </cell>
        </row>
        <row r="813">
          <cell r="AA813">
            <v>2</v>
          </cell>
          <cell r="BC813" t="str">
            <v/>
          </cell>
          <cell r="BH813" t="str">
            <v/>
          </cell>
        </row>
        <row r="814">
          <cell r="AA814">
            <v>2</v>
          </cell>
          <cell r="BC814" t="str">
            <v/>
          </cell>
          <cell r="BH814" t="str">
            <v/>
          </cell>
        </row>
        <row r="815">
          <cell r="AA815">
            <v>2</v>
          </cell>
          <cell r="BC815" t="str">
            <v/>
          </cell>
          <cell r="BH815" t="str">
            <v/>
          </cell>
        </row>
        <row r="816">
          <cell r="AA816">
            <v>2</v>
          </cell>
          <cell r="BC816" t="str">
            <v/>
          </cell>
          <cell r="BH816" t="str">
            <v/>
          </cell>
        </row>
        <row r="817">
          <cell r="AA817">
            <v>2</v>
          </cell>
          <cell r="AR817" t="b">
            <v>0</v>
          </cell>
          <cell r="BC817" t="str">
            <v/>
          </cell>
          <cell r="BH817" t="str">
            <v/>
          </cell>
        </row>
        <row r="818">
          <cell r="AA818">
            <v>2</v>
          </cell>
          <cell r="AR818" t="b">
            <v>0</v>
          </cell>
          <cell r="BC818" t="str">
            <v/>
          </cell>
          <cell r="BH818" t="str">
            <v/>
          </cell>
        </row>
        <row r="819">
          <cell r="AA819">
            <v>2</v>
          </cell>
          <cell r="BC819" t="str">
            <v/>
          </cell>
          <cell r="BH819" t="str">
            <v/>
          </cell>
        </row>
        <row r="820">
          <cell r="AA820">
            <v>2</v>
          </cell>
          <cell r="AR820" t="b">
            <v>0</v>
          </cell>
          <cell r="BC820" t="str">
            <v/>
          </cell>
          <cell r="BH820" t="str">
            <v/>
          </cell>
        </row>
        <row r="821">
          <cell r="AA821">
            <v>2</v>
          </cell>
          <cell r="AR821" t="b">
            <v>0</v>
          </cell>
          <cell r="BC821" t="str">
            <v/>
          </cell>
          <cell r="BH821" t="str">
            <v/>
          </cell>
        </row>
        <row r="822">
          <cell r="AA822">
            <v>2</v>
          </cell>
          <cell r="BC822" t="str">
            <v/>
          </cell>
          <cell r="BH822" t="str">
            <v/>
          </cell>
        </row>
        <row r="823">
          <cell r="AA823">
            <v>2</v>
          </cell>
          <cell r="AR823" t="b">
            <v>0</v>
          </cell>
          <cell r="BC823" t="str">
            <v/>
          </cell>
          <cell r="BH823" t="str">
            <v/>
          </cell>
        </row>
        <row r="824">
          <cell r="AA824">
            <v>2</v>
          </cell>
          <cell r="AR824" t="b">
            <v>0</v>
          </cell>
          <cell r="BC824" t="str">
            <v/>
          </cell>
          <cell r="BH824" t="str">
            <v/>
          </cell>
        </row>
        <row r="825">
          <cell r="AA825">
            <v>2</v>
          </cell>
          <cell r="BC825" t="str">
            <v/>
          </cell>
          <cell r="BH825" t="str">
            <v/>
          </cell>
        </row>
        <row r="826">
          <cell r="AA826">
            <v>2</v>
          </cell>
          <cell r="AR826" t="b">
            <v>0</v>
          </cell>
          <cell r="BC826" t="str">
            <v/>
          </cell>
          <cell r="BH826" t="str">
            <v/>
          </cell>
        </row>
        <row r="827">
          <cell r="AA827">
            <v>2</v>
          </cell>
          <cell r="AR827" t="b">
            <v>0</v>
          </cell>
          <cell r="BC827" t="str">
            <v/>
          </cell>
          <cell r="BH827" t="str">
            <v/>
          </cell>
        </row>
        <row r="828">
          <cell r="AA828">
            <v>2</v>
          </cell>
          <cell r="BC828" t="str">
            <v/>
          </cell>
          <cell r="BH828" t="str">
            <v/>
          </cell>
        </row>
        <row r="829">
          <cell r="AA829">
            <v>2</v>
          </cell>
          <cell r="BC829" t="str">
            <v/>
          </cell>
          <cell r="BH829" t="str">
            <v/>
          </cell>
        </row>
        <row r="830">
          <cell r="BC830" t="str">
            <v/>
          </cell>
          <cell r="BH830" t="str">
            <v/>
          </cell>
        </row>
        <row r="831">
          <cell r="BC831" t="str">
            <v/>
          </cell>
          <cell r="BH831" t="str">
            <v/>
          </cell>
        </row>
        <row r="832">
          <cell r="AA832">
            <v>2</v>
          </cell>
          <cell r="BC832" t="str">
            <v/>
          </cell>
          <cell r="BH832" t="str">
            <v/>
          </cell>
        </row>
        <row r="833">
          <cell r="AA833">
            <v>2</v>
          </cell>
          <cell r="BC833" t="str">
            <v/>
          </cell>
          <cell r="BH833" t="str">
            <v/>
          </cell>
        </row>
        <row r="834">
          <cell r="AA834">
            <v>2</v>
          </cell>
          <cell r="BC834" t="str">
            <v/>
          </cell>
          <cell r="BH834" t="str">
            <v/>
          </cell>
        </row>
        <row r="835">
          <cell r="AA835">
            <v>2</v>
          </cell>
          <cell r="BC835" t="str">
            <v/>
          </cell>
          <cell r="BH835" t="str">
            <v/>
          </cell>
        </row>
        <row r="836">
          <cell r="BC836" t="str">
            <v/>
          </cell>
          <cell r="BH836" t="str">
            <v/>
          </cell>
        </row>
        <row r="837">
          <cell r="AQ837">
            <v>0</v>
          </cell>
          <cell r="BC837" t="str">
            <v/>
          </cell>
          <cell r="BH837" t="str">
            <v/>
          </cell>
        </row>
        <row r="838">
          <cell r="AA838">
            <v>2</v>
          </cell>
          <cell r="BC838" t="str">
            <v/>
          </cell>
          <cell r="BH838" t="str">
            <v/>
          </cell>
        </row>
        <row r="839">
          <cell r="AA839">
            <v>2</v>
          </cell>
          <cell r="BC839" t="str">
            <v/>
          </cell>
          <cell r="BH839" t="str">
            <v/>
          </cell>
        </row>
        <row r="840">
          <cell r="AA840">
            <v>2</v>
          </cell>
          <cell r="BC840" t="str">
            <v/>
          </cell>
          <cell r="BH840" t="str">
            <v/>
          </cell>
        </row>
        <row r="841">
          <cell r="AA841">
            <v>2</v>
          </cell>
          <cell r="BC841" t="str">
            <v/>
          </cell>
          <cell r="BH841" t="str">
            <v/>
          </cell>
        </row>
        <row r="842">
          <cell r="AA842">
            <v>2</v>
          </cell>
          <cell r="BC842" t="str">
            <v/>
          </cell>
          <cell r="BH842" t="str">
            <v/>
          </cell>
        </row>
        <row r="843">
          <cell r="AA843">
            <v>2</v>
          </cell>
          <cell r="BC843" t="str">
            <v/>
          </cell>
          <cell r="BH843" t="str">
            <v/>
          </cell>
        </row>
        <row r="844">
          <cell r="AA844">
            <v>2</v>
          </cell>
          <cell r="BC844" t="str">
            <v/>
          </cell>
          <cell r="BH844" t="str">
            <v/>
          </cell>
        </row>
        <row r="845">
          <cell r="AA845">
            <v>2</v>
          </cell>
          <cell r="BC845" t="str">
            <v/>
          </cell>
          <cell r="BH845" t="str">
            <v/>
          </cell>
        </row>
        <row r="846">
          <cell r="BC846" t="str">
            <v/>
          </cell>
          <cell r="BH846" t="str">
            <v/>
          </cell>
        </row>
        <row r="847">
          <cell r="AQ847">
            <v>0</v>
          </cell>
          <cell r="BC847" t="str">
            <v/>
          </cell>
          <cell r="BH847" t="str">
            <v/>
          </cell>
        </row>
        <row r="848">
          <cell r="AA848">
            <v>2</v>
          </cell>
          <cell r="AR848" t="b">
            <v>0</v>
          </cell>
          <cell r="BC848" t="str">
            <v/>
          </cell>
          <cell r="BH848" t="str">
            <v/>
          </cell>
        </row>
        <row r="849">
          <cell r="AA849">
            <v>2</v>
          </cell>
          <cell r="BC849" t="str">
            <v/>
          </cell>
          <cell r="BH849" t="str">
            <v/>
          </cell>
        </row>
        <row r="850">
          <cell r="AA850">
            <v>2</v>
          </cell>
          <cell r="BC850" t="str">
            <v/>
          </cell>
          <cell r="BH850" t="str">
            <v/>
          </cell>
        </row>
        <row r="851">
          <cell r="AA851">
            <v>2</v>
          </cell>
          <cell r="BC851" t="str">
            <v/>
          </cell>
          <cell r="BH851" t="str">
            <v/>
          </cell>
        </row>
        <row r="852">
          <cell r="AA852">
            <v>2</v>
          </cell>
          <cell r="AR852" t="b">
            <v>0</v>
          </cell>
          <cell r="BC852" t="str">
            <v/>
          </cell>
          <cell r="BH852" t="str">
            <v/>
          </cell>
        </row>
        <row r="853">
          <cell r="AA853">
            <v>2</v>
          </cell>
          <cell r="AR853" t="b">
            <v>0</v>
          </cell>
          <cell r="BC853" t="str">
            <v/>
          </cell>
          <cell r="BH853" t="str">
            <v/>
          </cell>
        </row>
        <row r="854">
          <cell r="AA854">
            <v>2</v>
          </cell>
          <cell r="AR854" t="b">
            <v>0</v>
          </cell>
          <cell r="BC854" t="str">
            <v/>
          </cell>
          <cell r="BH854" t="str">
            <v/>
          </cell>
        </row>
        <row r="855">
          <cell r="AA855">
            <v>2</v>
          </cell>
          <cell r="AR855" t="b">
            <v>0</v>
          </cell>
          <cell r="BC855" t="str">
            <v/>
          </cell>
          <cell r="BH855" t="str">
            <v/>
          </cell>
        </row>
        <row r="856">
          <cell r="AA856">
            <v>2</v>
          </cell>
          <cell r="BC856" t="str">
            <v/>
          </cell>
          <cell r="BH856" t="str">
            <v/>
          </cell>
        </row>
        <row r="857">
          <cell r="AA857">
            <v>2</v>
          </cell>
          <cell r="BC857" t="str">
            <v/>
          </cell>
          <cell r="BH857" t="str">
            <v/>
          </cell>
        </row>
        <row r="858">
          <cell r="AA858">
            <v>2</v>
          </cell>
          <cell r="BC858" t="str">
            <v/>
          </cell>
          <cell r="BH858" t="str">
            <v/>
          </cell>
        </row>
        <row r="859">
          <cell r="AA859">
            <v>2</v>
          </cell>
          <cell r="AQ859">
            <v>0</v>
          </cell>
          <cell r="BC859" t="str">
            <v/>
          </cell>
          <cell r="BH859" t="str">
            <v/>
          </cell>
        </row>
        <row r="860">
          <cell r="AA860">
            <v>2</v>
          </cell>
          <cell r="BC860" t="str">
            <v/>
          </cell>
          <cell r="BH860" t="str">
            <v/>
          </cell>
        </row>
        <row r="861">
          <cell r="AA861">
            <v>2</v>
          </cell>
          <cell r="BC861" t="str">
            <v/>
          </cell>
          <cell r="BH861" t="str">
            <v/>
          </cell>
        </row>
        <row r="862">
          <cell r="BC862" t="str">
            <v/>
          </cell>
          <cell r="BH862" t="str">
            <v/>
          </cell>
        </row>
        <row r="863">
          <cell r="BC863" t="str">
            <v/>
          </cell>
          <cell r="BH863" t="str">
            <v/>
          </cell>
        </row>
        <row r="864">
          <cell r="AA864">
            <v>2</v>
          </cell>
          <cell r="BC864" t="str">
            <v/>
          </cell>
          <cell r="BH864" t="str">
            <v/>
          </cell>
        </row>
        <row r="865">
          <cell r="AA865">
            <v>2</v>
          </cell>
          <cell r="BC865" t="str">
            <v/>
          </cell>
          <cell r="BH865" t="str">
            <v/>
          </cell>
        </row>
        <row r="866">
          <cell r="AA866">
            <v>2</v>
          </cell>
          <cell r="AR866" t="b">
            <v>0</v>
          </cell>
          <cell r="BC866" t="str">
            <v/>
          </cell>
          <cell r="BH866" t="str">
            <v/>
          </cell>
        </row>
        <row r="867">
          <cell r="AA867">
            <v>2</v>
          </cell>
          <cell r="AR867" t="b">
            <v>0</v>
          </cell>
          <cell r="BC867" t="str">
            <v/>
          </cell>
          <cell r="BH867" t="str">
            <v/>
          </cell>
        </row>
        <row r="868">
          <cell r="AA868">
            <v>2</v>
          </cell>
          <cell r="BC868" t="str">
            <v/>
          </cell>
          <cell r="BH868" t="str">
            <v/>
          </cell>
        </row>
        <row r="869">
          <cell r="AA869">
            <v>2</v>
          </cell>
          <cell r="BC869" t="str">
            <v/>
          </cell>
          <cell r="BH869" t="str">
            <v/>
          </cell>
        </row>
        <row r="870">
          <cell r="AA870">
            <v>2</v>
          </cell>
          <cell r="AR870" t="b">
            <v>0</v>
          </cell>
          <cell r="BC870" t="str">
            <v/>
          </cell>
          <cell r="BH870" t="str">
            <v/>
          </cell>
        </row>
        <row r="871">
          <cell r="AA871">
            <v>2</v>
          </cell>
          <cell r="AR871" t="b">
            <v>0</v>
          </cell>
          <cell r="BC871" t="str">
            <v/>
          </cell>
          <cell r="BH871" t="str">
            <v/>
          </cell>
        </row>
        <row r="872">
          <cell r="AA872">
            <v>2</v>
          </cell>
          <cell r="AR872" t="b">
            <v>0</v>
          </cell>
          <cell r="BC872" t="str">
            <v/>
          </cell>
          <cell r="BH872" t="str">
            <v/>
          </cell>
        </row>
        <row r="873">
          <cell r="AA873">
            <v>2</v>
          </cell>
          <cell r="BC873" t="str">
            <v/>
          </cell>
          <cell r="BH873" t="str">
            <v/>
          </cell>
        </row>
        <row r="874">
          <cell r="AA874">
            <v>2</v>
          </cell>
          <cell r="BC874" t="str">
            <v/>
          </cell>
          <cell r="BH874" t="str">
            <v/>
          </cell>
        </row>
        <row r="875">
          <cell r="AA875">
            <v>2</v>
          </cell>
          <cell r="BC875" t="str">
            <v/>
          </cell>
          <cell r="BH875" t="str">
            <v/>
          </cell>
        </row>
        <row r="876">
          <cell r="BC876" t="str">
            <v/>
          </cell>
          <cell r="BH876" t="str">
            <v/>
          </cell>
        </row>
        <row r="877">
          <cell r="BC877" t="str">
            <v/>
          </cell>
          <cell r="BH877" t="str">
            <v/>
          </cell>
        </row>
        <row r="878">
          <cell r="AA878">
            <v>2</v>
          </cell>
          <cell r="AR878" t="b">
            <v>0</v>
          </cell>
          <cell r="BC878" t="str">
            <v/>
          </cell>
          <cell r="BH878" t="str">
            <v/>
          </cell>
        </row>
        <row r="879">
          <cell r="AA879">
            <v>2</v>
          </cell>
          <cell r="AR879" t="b">
            <v>0</v>
          </cell>
          <cell r="BC879" t="str">
            <v/>
          </cell>
          <cell r="BH879" t="str">
            <v/>
          </cell>
        </row>
        <row r="880">
          <cell r="AA880">
            <v>2</v>
          </cell>
          <cell r="BC880" t="str">
            <v/>
          </cell>
          <cell r="BH880" t="str">
            <v/>
          </cell>
        </row>
        <row r="881">
          <cell r="AA881">
            <v>2</v>
          </cell>
          <cell r="BC881" t="str">
            <v/>
          </cell>
          <cell r="BH881" t="str">
            <v/>
          </cell>
        </row>
        <row r="882">
          <cell r="AA882">
            <v>2</v>
          </cell>
          <cell r="BC882" t="str">
            <v/>
          </cell>
          <cell r="BH882" t="str">
            <v/>
          </cell>
        </row>
        <row r="883">
          <cell r="AA883">
            <v>2</v>
          </cell>
          <cell r="BC883" t="str">
            <v/>
          </cell>
          <cell r="BH883" t="str">
            <v/>
          </cell>
        </row>
        <row r="884">
          <cell r="AA884">
            <v>2</v>
          </cell>
          <cell r="BC884" t="str">
            <v/>
          </cell>
          <cell r="BH884" t="str">
            <v/>
          </cell>
        </row>
        <row r="885">
          <cell r="BC885" t="str">
            <v/>
          </cell>
          <cell r="BH885" t="str">
            <v/>
          </cell>
        </row>
        <row r="886">
          <cell r="BC886" t="str">
            <v/>
          </cell>
          <cell r="BH886" t="str">
            <v/>
          </cell>
        </row>
        <row r="887">
          <cell r="AA887">
            <v>2</v>
          </cell>
          <cell r="BC887" t="str">
            <v/>
          </cell>
          <cell r="BH887" t="str">
            <v/>
          </cell>
        </row>
        <row r="888">
          <cell r="AA888">
            <v>2</v>
          </cell>
          <cell r="BC888" t="str">
            <v/>
          </cell>
          <cell r="BH888" t="str">
            <v/>
          </cell>
        </row>
        <row r="889">
          <cell r="AA889">
            <v>2</v>
          </cell>
          <cell r="BC889" t="str">
            <v/>
          </cell>
          <cell r="BH889" t="str">
            <v/>
          </cell>
        </row>
        <row r="890">
          <cell r="AA890">
            <v>2</v>
          </cell>
          <cell r="BC890" t="str">
            <v/>
          </cell>
          <cell r="BH890" t="str">
            <v/>
          </cell>
        </row>
        <row r="891">
          <cell r="AA891">
            <v>2</v>
          </cell>
          <cell r="BC891" t="str">
            <v/>
          </cell>
          <cell r="BH891" t="str">
            <v/>
          </cell>
        </row>
        <row r="892">
          <cell r="AA892">
            <v>2</v>
          </cell>
          <cell r="BC892" t="str">
            <v/>
          </cell>
          <cell r="BH892" t="str">
            <v/>
          </cell>
        </row>
        <row r="893">
          <cell r="AA893">
            <v>2</v>
          </cell>
          <cell r="BC893" t="str">
            <v/>
          </cell>
          <cell r="BH893" t="str">
            <v/>
          </cell>
        </row>
        <row r="894">
          <cell r="AA894">
            <v>2</v>
          </cell>
          <cell r="BC894" t="str">
            <v/>
          </cell>
          <cell r="BH894" t="str">
            <v/>
          </cell>
        </row>
        <row r="895">
          <cell r="AA895">
            <v>2</v>
          </cell>
          <cell r="BC895" t="str">
            <v/>
          </cell>
          <cell r="BH895" t="str">
            <v/>
          </cell>
        </row>
        <row r="896">
          <cell r="AA896">
            <v>2</v>
          </cell>
          <cell r="AR896" t="b">
            <v>0</v>
          </cell>
          <cell r="BC896" t="str">
            <v/>
          </cell>
          <cell r="BH896" t="str">
            <v/>
          </cell>
        </row>
        <row r="897">
          <cell r="AA897">
            <v>2</v>
          </cell>
          <cell r="AR897" t="b">
            <v>0</v>
          </cell>
          <cell r="BC897" t="str">
            <v/>
          </cell>
          <cell r="BH897" t="str">
            <v/>
          </cell>
        </row>
        <row r="898">
          <cell r="AA898">
            <v>2</v>
          </cell>
          <cell r="AR898" t="b">
            <v>0</v>
          </cell>
          <cell r="BC898" t="str">
            <v/>
          </cell>
          <cell r="BH898" t="str">
            <v/>
          </cell>
        </row>
        <row r="899">
          <cell r="AA899">
            <v>2</v>
          </cell>
          <cell r="BC899" t="str">
            <v/>
          </cell>
          <cell r="BH899" t="str">
            <v/>
          </cell>
        </row>
        <row r="900">
          <cell r="AA900">
            <v>2</v>
          </cell>
          <cell r="BC900" t="str">
            <v/>
          </cell>
          <cell r="BH900" t="str">
            <v/>
          </cell>
        </row>
        <row r="901">
          <cell r="AA901">
            <v>2</v>
          </cell>
          <cell r="BC901" t="str">
            <v/>
          </cell>
          <cell r="BH901" t="str">
            <v/>
          </cell>
        </row>
        <row r="902">
          <cell r="AA902">
            <v>2</v>
          </cell>
          <cell r="BC902" t="str">
            <v/>
          </cell>
          <cell r="BH902" t="str">
            <v/>
          </cell>
        </row>
        <row r="903">
          <cell r="AA903">
            <v>2</v>
          </cell>
          <cell r="BC903" t="str">
            <v/>
          </cell>
          <cell r="BH903" t="str">
            <v/>
          </cell>
        </row>
        <row r="904">
          <cell r="AA904">
            <v>2</v>
          </cell>
          <cell r="AR904" t="b">
            <v>0</v>
          </cell>
          <cell r="BC904" t="str">
            <v/>
          </cell>
          <cell r="BH904" t="str">
            <v/>
          </cell>
        </row>
        <row r="905">
          <cell r="AA905">
            <v>2</v>
          </cell>
          <cell r="BC905" t="str">
            <v/>
          </cell>
          <cell r="BH905" t="str">
            <v/>
          </cell>
        </row>
        <row r="906">
          <cell r="AA906">
            <v>2</v>
          </cell>
          <cell r="AR906" t="b">
            <v>0</v>
          </cell>
          <cell r="BC906" t="str">
            <v/>
          </cell>
          <cell r="BH906" t="str">
            <v/>
          </cell>
        </row>
        <row r="907">
          <cell r="AA907">
            <v>2</v>
          </cell>
          <cell r="AR907" t="b">
            <v>0</v>
          </cell>
          <cell r="BC907" t="str">
            <v/>
          </cell>
          <cell r="BH907" t="str">
            <v/>
          </cell>
        </row>
        <row r="908">
          <cell r="AA908">
            <v>2</v>
          </cell>
          <cell r="AR908" t="b">
            <v>0</v>
          </cell>
          <cell r="BC908" t="str">
            <v/>
          </cell>
          <cell r="BH908" t="str">
            <v/>
          </cell>
        </row>
        <row r="909">
          <cell r="AA909">
            <v>2</v>
          </cell>
          <cell r="BC909" t="str">
            <v/>
          </cell>
          <cell r="BH909" t="str">
            <v/>
          </cell>
        </row>
        <row r="910">
          <cell r="AA910">
            <v>2</v>
          </cell>
          <cell r="BC910" t="str">
            <v/>
          </cell>
          <cell r="BH910" t="str">
            <v/>
          </cell>
        </row>
        <row r="911">
          <cell r="AA911">
            <v>2</v>
          </cell>
          <cell r="BC911" t="str">
            <v/>
          </cell>
          <cell r="BH911" t="str">
            <v/>
          </cell>
        </row>
        <row r="912">
          <cell r="AA912">
            <v>2</v>
          </cell>
          <cell r="BC912" t="str">
            <v/>
          </cell>
          <cell r="BH912" t="str">
            <v/>
          </cell>
        </row>
        <row r="913">
          <cell r="AA913">
            <v>2</v>
          </cell>
          <cell r="BC913" t="str">
            <v/>
          </cell>
          <cell r="BH913" t="str">
            <v/>
          </cell>
        </row>
        <row r="914">
          <cell r="AA914">
            <v>2</v>
          </cell>
          <cell r="BC914" t="str">
            <v/>
          </cell>
          <cell r="BH914" t="str">
            <v/>
          </cell>
        </row>
        <row r="915">
          <cell r="AA915">
            <v>2</v>
          </cell>
          <cell r="BC915" t="str">
            <v/>
          </cell>
          <cell r="BH915" t="str">
            <v/>
          </cell>
        </row>
        <row r="916">
          <cell r="AA916">
            <v>2</v>
          </cell>
          <cell r="BC916" t="str">
            <v/>
          </cell>
          <cell r="BH916" t="str">
            <v/>
          </cell>
        </row>
        <row r="917">
          <cell r="BC917" t="str">
            <v/>
          </cell>
          <cell r="BH917" t="str">
            <v/>
          </cell>
        </row>
        <row r="918">
          <cell r="BC918" t="str">
            <v/>
          </cell>
          <cell r="BH918" t="str">
            <v/>
          </cell>
        </row>
        <row r="919">
          <cell r="AA919">
            <v>2</v>
          </cell>
          <cell r="AQ919">
            <v>0</v>
          </cell>
          <cell r="AR919" t="b">
            <v>0</v>
          </cell>
          <cell r="BC919" t="str">
            <v/>
          </cell>
          <cell r="BH919" t="str">
            <v/>
          </cell>
        </row>
        <row r="920">
          <cell r="AA920">
            <v>2</v>
          </cell>
          <cell r="BC920" t="str">
            <v/>
          </cell>
          <cell r="BH920" t="str">
            <v/>
          </cell>
        </row>
        <row r="921">
          <cell r="AA921">
            <v>2</v>
          </cell>
          <cell r="BC921" t="str">
            <v/>
          </cell>
          <cell r="BH921" t="str">
            <v/>
          </cell>
        </row>
        <row r="922">
          <cell r="AA922">
            <v>2</v>
          </cell>
          <cell r="BC922" t="str">
            <v/>
          </cell>
          <cell r="BH922" t="str">
            <v/>
          </cell>
        </row>
        <row r="923">
          <cell r="AA923">
            <v>2</v>
          </cell>
          <cell r="AR923" t="b">
            <v>0</v>
          </cell>
          <cell r="BC923" t="str">
            <v/>
          </cell>
          <cell r="BH923" t="str">
            <v/>
          </cell>
        </row>
        <row r="924">
          <cell r="AA924">
            <v>2</v>
          </cell>
          <cell r="AR924" t="b">
            <v>0</v>
          </cell>
          <cell r="BC924" t="str">
            <v/>
          </cell>
          <cell r="BH924" t="str">
            <v/>
          </cell>
        </row>
        <row r="925">
          <cell r="AA925">
            <v>2</v>
          </cell>
          <cell r="BC925" t="str">
            <v/>
          </cell>
          <cell r="BH925" t="str">
            <v/>
          </cell>
        </row>
        <row r="926">
          <cell r="AA926">
            <v>2</v>
          </cell>
          <cell r="BC926" t="str">
            <v/>
          </cell>
          <cell r="BH926" t="str">
            <v/>
          </cell>
        </row>
        <row r="927">
          <cell r="AA927">
            <v>2</v>
          </cell>
          <cell r="BC927" t="str">
            <v/>
          </cell>
          <cell r="BH927" t="str">
            <v/>
          </cell>
        </row>
        <row r="928">
          <cell r="AA928">
            <v>2</v>
          </cell>
          <cell r="BC928" t="str">
            <v/>
          </cell>
          <cell r="BH928" t="str">
            <v/>
          </cell>
        </row>
        <row r="929">
          <cell r="BC929" t="str">
            <v/>
          </cell>
          <cell r="BH929" t="str">
            <v/>
          </cell>
        </row>
        <row r="930">
          <cell r="BC930" t="str">
            <v/>
          </cell>
          <cell r="BH930" t="str">
            <v/>
          </cell>
        </row>
        <row r="931">
          <cell r="AA931">
            <v>2</v>
          </cell>
          <cell r="BC931" t="str">
            <v/>
          </cell>
          <cell r="BH931" t="str">
            <v/>
          </cell>
        </row>
        <row r="932">
          <cell r="BC932" t="str">
            <v/>
          </cell>
          <cell r="BH932" t="str">
            <v/>
          </cell>
        </row>
        <row r="933">
          <cell r="BC933" t="str">
            <v/>
          </cell>
          <cell r="BH933" t="str">
            <v/>
          </cell>
        </row>
        <row r="934">
          <cell r="AA934">
            <v>2</v>
          </cell>
          <cell r="BC934" t="str">
            <v/>
          </cell>
          <cell r="BH934" t="str">
            <v/>
          </cell>
        </row>
        <row r="935">
          <cell r="AA935">
            <v>2</v>
          </cell>
          <cell r="BC935" t="str">
            <v/>
          </cell>
          <cell r="BH935" t="str">
            <v/>
          </cell>
        </row>
        <row r="936">
          <cell r="AA936">
            <v>2</v>
          </cell>
          <cell r="BC936" t="str">
            <v/>
          </cell>
          <cell r="BH936" t="str">
            <v/>
          </cell>
        </row>
        <row r="937">
          <cell r="AA937">
            <v>2</v>
          </cell>
          <cell r="BC937" t="str">
            <v/>
          </cell>
          <cell r="BH937" t="str">
            <v/>
          </cell>
        </row>
        <row r="938">
          <cell r="AA938">
            <v>2</v>
          </cell>
          <cell r="BC938" t="str">
            <v/>
          </cell>
          <cell r="BH938" t="str">
            <v/>
          </cell>
        </row>
        <row r="939">
          <cell r="AA939">
            <v>2</v>
          </cell>
          <cell r="BC939" t="str">
            <v/>
          </cell>
          <cell r="BH939" t="str">
            <v/>
          </cell>
        </row>
        <row r="940">
          <cell r="AA940">
            <v>2</v>
          </cell>
          <cell r="BC940" t="str">
            <v/>
          </cell>
          <cell r="BH940" t="str">
            <v/>
          </cell>
        </row>
        <row r="941">
          <cell r="AA941">
            <v>2</v>
          </cell>
          <cell r="BC941" t="str">
            <v/>
          </cell>
          <cell r="BH941" t="str">
            <v/>
          </cell>
        </row>
        <row r="942">
          <cell r="AA942">
            <v>2</v>
          </cell>
          <cell r="BC942" t="str">
            <v/>
          </cell>
          <cell r="BH942" t="str">
            <v/>
          </cell>
        </row>
        <row r="943">
          <cell r="AA943">
            <v>2</v>
          </cell>
          <cell r="BC943" t="str">
            <v/>
          </cell>
          <cell r="BH943" t="str">
            <v/>
          </cell>
        </row>
        <row r="944">
          <cell r="AA944">
            <v>2</v>
          </cell>
          <cell r="BC944" t="str">
            <v/>
          </cell>
          <cell r="BH944" t="str">
            <v/>
          </cell>
        </row>
        <row r="945">
          <cell r="AA945">
            <v>2</v>
          </cell>
          <cell r="BC945" t="str">
            <v/>
          </cell>
          <cell r="BH945" t="str">
            <v/>
          </cell>
        </row>
        <row r="946">
          <cell r="AA946">
            <v>2</v>
          </cell>
          <cell r="BC946" t="str">
            <v/>
          </cell>
          <cell r="BH946" t="str">
            <v/>
          </cell>
        </row>
        <row r="947">
          <cell r="AA947">
            <v>2</v>
          </cell>
          <cell r="BC947" t="str">
            <v/>
          </cell>
          <cell r="BH947" t="str">
            <v/>
          </cell>
        </row>
        <row r="948">
          <cell r="AA948">
            <v>2</v>
          </cell>
          <cell r="BC948" t="str">
            <v/>
          </cell>
          <cell r="BH948" t="str">
            <v/>
          </cell>
        </row>
        <row r="949">
          <cell r="AA949">
            <v>2</v>
          </cell>
          <cell r="BC949" t="str">
            <v/>
          </cell>
          <cell r="BH949" t="str">
            <v/>
          </cell>
        </row>
        <row r="950">
          <cell r="AA950">
            <v>2</v>
          </cell>
          <cell r="BC950" t="str">
            <v/>
          </cell>
          <cell r="BH950" t="str">
            <v/>
          </cell>
        </row>
        <row r="951">
          <cell r="AA951">
            <v>2</v>
          </cell>
          <cell r="BC951" t="str">
            <v/>
          </cell>
          <cell r="BH951" t="str">
            <v/>
          </cell>
        </row>
        <row r="952">
          <cell r="AA952">
            <v>2</v>
          </cell>
          <cell r="BC952" t="str">
            <v/>
          </cell>
          <cell r="BH952" t="str">
            <v/>
          </cell>
        </row>
        <row r="953">
          <cell r="AA953">
            <v>2</v>
          </cell>
          <cell r="BC953" t="str">
            <v/>
          </cell>
          <cell r="BH953" t="str">
            <v/>
          </cell>
        </row>
        <row r="954">
          <cell r="AA954">
            <v>2</v>
          </cell>
          <cell r="BC954" t="str">
            <v/>
          </cell>
          <cell r="BH954" t="str">
            <v/>
          </cell>
        </row>
        <row r="955">
          <cell r="AA955">
            <v>2</v>
          </cell>
          <cell r="BC955" t="str">
            <v/>
          </cell>
          <cell r="BH955" t="str">
            <v/>
          </cell>
        </row>
        <row r="956">
          <cell r="AA956">
            <v>2</v>
          </cell>
          <cell r="BC956" t="str">
            <v/>
          </cell>
          <cell r="BH956" t="str">
            <v/>
          </cell>
        </row>
        <row r="957">
          <cell r="AA957">
            <v>2</v>
          </cell>
          <cell r="BC957" t="str">
            <v/>
          </cell>
          <cell r="BH957" t="str">
            <v/>
          </cell>
        </row>
        <row r="958">
          <cell r="AA958">
            <v>2</v>
          </cell>
          <cell r="BC958" t="str">
            <v/>
          </cell>
          <cell r="BH958" t="str">
            <v/>
          </cell>
        </row>
        <row r="959">
          <cell r="BC959" t="str">
            <v/>
          </cell>
          <cell r="BH959" t="str">
            <v/>
          </cell>
        </row>
        <row r="960">
          <cell r="BC960" t="str">
            <v/>
          </cell>
          <cell r="BH960" t="str">
            <v/>
          </cell>
        </row>
        <row r="961">
          <cell r="AA961">
            <v>2</v>
          </cell>
          <cell r="BC961" t="str">
            <v/>
          </cell>
          <cell r="BH961" t="str">
            <v/>
          </cell>
        </row>
        <row r="962">
          <cell r="AA962">
            <v>2</v>
          </cell>
          <cell r="BC962" t="str">
            <v/>
          </cell>
          <cell r="BH962" t="str">
            <v/>
          </cell>
        </row>
        <row r="963">
          <cell r="AA963">
            <v>2</v>
          </cell>
          <cell r="BC963" t="str">
            <v/>
          </cell>
          <cell r="BH963" t="str">
            <v/>
          </cell>
        </row>
        <row r="964">
          <cell r="AA964">
            <v>2</v>
          </cell>
          <cell r="BC964" t="str">
            <v/>
          </cell>
          <cell r="BH964" t="str">
            <v/>
          </cell>
        </row>
        <row r="965">
          <cell r="AA965">
            <v>2</v>
          </cell>
          <cell r="BC965" t="str">
            <v/>
          </cell>
          <cell r="BH965" t="str">
            <v/>
          </cell>
        </row>
        <row r="966">
          <cell r="BC966" t="str">
            <v/>
          </cell>
          <cell r="BH966" t="str">
            <v/>
          </cell>
        </row>
        <row r="967">
          <cell r="BC967" t="str">
            <v/>
          </cell>
          <cell r="BH967" t="str">
            <v/>
          </cell>
        </row>
        <row r="968">
          <cell r="AA968">
            <v>2</v>
          </cell>
          <cell r="AR968" t="b">
            <v>0</v>
          </cell>
          <cell r="BC968" t="str">
            <v/>
          </cell>
          <cell r="BH968" t="str">
            <v/>
          </cell>
        </row>
        <row r="969">
          <cell r="AA969">
            <v>2</v>
          </cell>
          <cell r="AR969" t="b">
            <v>0</v>
          </cell>
          <cell r="BC969" t="str">
            <v/>
          </cell>
          <cell r="BH969" t="str">
            <v/>
          </cell>
        </row>
        <row r="970">
          <cell r="AA970">
            <v>2</v>
          </cell>
          <cell r="BC970" t="str">
            <v/>
          </cell>
          <cell r="BH970" t="str">
            <v/>
          </cell>
        </row>
        <row r="971">
          <cell r="AA971">
            <v>2</v>
          </cell>
          <cell r="AR971" t="b">
            <v>0</v>
          </cell>
          <cell r="BC971" t="str">
            <v/>
          </cell>
          <cell r="BH971" t="str">
            <v/>
          </cell>
        </row>
        <row r="972">
          <cell r="AA972">
            <v>2</v>
          </cell>
          <cell r="AR972" t="b">
            <v>0</v>
          </cell>
          <cell r="BC972" t="str">
            <v/>
          </cell>
          <cell r="BH972" t="str">
            <v/>
          </cell>
        </row>
        <row r="973">
          <cell r="AA973">
            <v>2</v>
          </cell>
          <cell r="AR973" t="b">
            <v>0</v>
          </cell>
          <cell r="BC973" t="str">
            <v/>
          </cell>
          <cell r="BH973" t="str">
            <v/>
          </cell>
        </row>
        <row r="974">
          <cell r="AA974">
            <v>2</v>
          </cell>
          <cell r="AR974" t="b">
            <v>0</v>
          </cell>
          <cell r="BC974" t="str">
            <v/>
          </cell>
          <cell r="BH974" t="str">
            <v/>
          </cell>
        </row>
        <row r="975">
          <cell r="AA975">
            <v>2</v>
          </cell>
          <cell r="BC975" t="str">
            <v/>
          </cell>
          <cell r="BH975" t="str">
            <v/>
          </cell>
        </row>
        <row r="976">
          <cell r="AA976">
            <v>2</v>
          </cell>
          <cell r="AR976" t="b">
            <v>0</v>
          </cell>
          <cell r="BC976" t="str">
            <v/>
          </cell>
          <cell r="BH976" t="str">
            <v/>
          </cell>
        </row>
        <row r="977">
          <cell r="AA977">
            <v>2</v>
          </cell>
          <cell r="BC977" t="str">
            <v/>
          </cell>
          <cell r="BH977" t="str">
            <v/>
          </cell>
        </row>
        <row r="978">
          <cell r="AA978">
            <v>2</v>
          </cell>
          <cell r="BC978" t="str">
            <v/>
          </cell>
          <cell r="BH978" t="str">
            <v/>
          </cell>
        </row>
        <row r="979">
          <cell r="AA979">
            <v>2</v>
          </cell>
          <cell r="AR979" t="b">
            <v>0</v>
          </cell>
          <cell r="BC979" t="str">
            <v/>
          </cell>
          <cell r="BH979" t="str">
            <v/>
          </cell>
        </row>
        <row r="980">
          <cell r="AA980">
            <v>2</v>
          </cell>
          <cell r="BC980" t="str">
            <v/>
          </cell>
          <cell r="BH980" t="str">
            <v/>
          </cell>
        </row>
        <row r="981">
          <cell r="AA981">
            <v>2</v>
          </cell>
          <cell r="AR981" t="b">
            <v>0</v>
          </cell>
          <cell r="BC981" t="str">
            <v/>
          </cell>
          <cell r="BH981" t="str">
            <v/>
          </cell>
        </row>
        <row r="982">
          <cell r="AA982">
            <v>2</v>
          </cell>
          <cell r="AR982" t="b">
            <v>0</v>
          </cell>
          <cell r="BC982" t="str">
            <v/>
          </cell>
          <cell r="BH982" t="str">
            <v/>
          </cell>
        </row>
        <row r="983">
          <cell r="AA983">
            <v>2</v>
          </cell>
          <cell r="AR983" t="b">
            <v>0</v>
          </cell>
          <cell r="BC983" t="str">
            <v/>
          </cell>
          <cell r="BH983" t="str">
            <v/>
          </cell>
        </row>
        <row r="984">
          <cell r="AA984">
            <v>2</v>
          </cell>
          <cell r="AR984" t="b">
            <v>0</v>
          </cell>
          <cell r="BC984" t="str">
            <v/>
          </cell>
          <cell r="BH984" t="str">
            <v/>
          </cell>
        </row>
        <row r="985">
          <cell r="AA985">
            <v>2</v>
          </cell>
          <cell r="BC985" t="str">
            <v/>
          </cell>
          <cell r="BH985" t="str">
            <v/>
          </cell>
        </row>
        <row r="986">
          <cell r="AA986">
            <v>2</v>
          </cell>
          <cell r="AR986" t="b">
            <v>0</v>
          </cell>
          <cell r="BC986" t="str">
            <v/>
          </cell>
          <cell r="BH986" t="str">
            <v/>
          </cell>
        </row>
        <row r="987">
          <cell r="AA987">
            <v>2</v>
          </cell>
          <cell r="AR987" t="b">
            <v>0</v>
          </cell>
          <cell r="BC987" t="str">
            <v/>
          </cell>
          <cell r="BH987" t="str">
            <v/>
          </cell>
        </row>
        <row r="988">
          <cell r="AA988">
            <v>2</v>
          </cell>
          <cell r="BC988" t="str">
            <v/>
          </cell>
          <cell r="BH988" t="str">
            <v/>
          </cell>
        </row>
        <row r="989">
          <cell r="AA989">
            <v>2</v>
          </cell>
          <cell r="AR989" t="b">
            <v>0</v>
          </cell>
          <cell r="BC989" t="str">
            <v/>
          </cell>
          <cell r="BH989" t="str">
            <v/>
          </cell>
        </row>
        <row r="990">
          <cell r="AA990">
            <v>2</v>
          </cell>
          <cell r="BC990" t="str">
            <v/>
          </cell>
          <cell r="BH990" t="str">
            <v/>
          </cell>
        </row>
        <row r="991">
          <cell r="AA991">
            <v>2</v>
          </cell>
          <cell r="AR991" t="b">
            <v>0</v>
          </cell>
          <cell r="BC991" t="str">
            <v/>
          </cell>
          <cell r="BH991" t="str">
            <v/>
          </cell>
        </row>
        <row r="992">
          <cell r="AA992">
            <v>2</v>
          </cell>
          <cell r="AR992" t="b">
            <v>0</v>
          </cell>
          <cell r="BC992" t="str">
            <v/>
          </cell>
          <cell r="BH992" t="str">
            <v/>
          </cell>
        </row>
        <row r="993">
          <cell r="AA993">
            <v>2</v>
          </cell>
          <cell r="AR993" t="b">
            <v>0</v>
          </cell>
          <cell r="BC993" t="str">
            <v/>
          </cell>
          <cell r="BH993" t="str">
            <v/>
          </cell>
        </row>
        <row r="994">
          <cell r="AA994">
            <v>2</v>
          </cell>
          <cell r="AR994" t="b">
            <v>0</v>
          </cell>
          <cell r="BC994" t="str">
            <v/>
          </cell>
          <cell r="BH994" t="str">
            <v/>
          </cell>
        </row>
        <row r="995">
          <cell r="BC995" t="str">
            <v/>
          </cell>
          <cell r="BH995" t="str">
            <v/>
          </cell>
        </row>
        <row r="996">
          <cell r="BC996" t="str">
            <v/>
          </cell>
          <cell r="BH996" t="str">
            <v/>
          </cell>
        </row>
        <row r="997">
          <cell r="AA997">
            <v>2</v>
          </cell>
          <cell r="BC997" t="str">
            <v/>
          </cell>
          <cell r="BH997" t="str">
            <v/>
          </cell>
        </row>
        <row r="998">
          <cell r="AA998">
            <v>2</v>
          </cell>
          <cell r="BC998" t="str">
            <v/>
          </cell>
          <cell r="BH998" t="str">
            <v/>
          </cell>
        </row>
        <row r="999">
          <cell r="AA999">
            <v>2</v>
          </cell>
          <cell r="BC999" t="str">
            <v/>
          </cell>
          <cell r="BH999" t="str">
            <v/>
          </cell>
        </row>
        <row r="1000">
          <cell r="AA1000">
            <v>2</v>
          </cell>
          <cell r="BC1000" t="str">
            <v/>
          </cell>
          <cell r="BH1000" t="str">
            <v/>
          </cell>
        </row>
        <row r="1001">
          <cell r="AA1001">
            <v>2</v>
          </cell>
          <cell r="BC1001" t="str">
            <v/>
          </cell>
          <cell r="BH1001" t="str">
            <v/>
          </cell>
        </row>
        <row r="1002">
          <cell r="AA1002">
            <v>2</v>
          </cell>
          <cell r="BC1002" t="str">
            <v/>
          </cell>
          <cell r="BH1002" t="str">
            <v/>
          </cell>
        </row>
        <row r="1003">
          <cell r="AA1003">
            <v>2</v>
          </cell>
          <cell r="BC1003" t="str">
            <v/>
          </cell>
          <cell r="BH1003" t="str">
            <v/>
          </cell>
        </row>
        <row r="1004">
          <cell r="AA1004">
            <v>2</v>
          </cell>
          <cell r="BC1004" t="str">
            <v/>
          </cell>
          <cell r="BH1004" t="str">
            <v/>
          </cell>
        </row>
        <row r="1005">
          <cell r="AA1005">
            <v>2</v>
          </cell>
          <cell r="BC1005" t="str">
            <v/>
          </cell>
          <cell r="BH1005" t="str">
            <v/>
          </cell>
        </row>
        <row r="1006">
          <cell r="AA1006">
            <v>2</v>
          </cell>
          <cell r="BC1006" t="str">
            <v/>
          </cell>
          <cell r="BH1006" t="str">
            <v/>
          </cell>
        </row>
        <row r="1007">
          <cell r="BC1007" t="str">
            <v/>
          </cell>
          <cell r="BH1007" t="str">
            <v/>
          </cell>
        </row>
        <row r="1008">
          <cell r="BC1008" t="str">
            <v/>
          </cell>
          <cell r="BH1008" t="str">
            <v/>
          </cell>
        </row>
        <row r="1009">
          <cell r="AA1009">
            <v>2</v>
          </cell>
          <cell r="BC1009" t="str">
            <v/>
          </cell>
          <cell r="BH1009" t="str">
            <v/>
          </cell>
        </row>
        <row r="1010">
          <cell r="AA1010">
            <v>2</v>
          </cell>
          <cell r="BC1010" t="str">
            <v/>
          </cell>
          <cell r="BH1010" t="str">
            <v/>
          </cell>
        </row>
        <row r="1011">
          <cell r="AA1011">
            <v>2</v>
          </cell>
          <cell r="BC1011" t="str">
            <v/>
          </cell>
          <cell r="BH1011" t="str">
            <v/>
          </cell>
        </row>
        <row r="1012">
          <cell r="AA1012">
            <v>2</v>
          </cell>
          <cell r="BC1012" t="str">
            <v/>
          </cell>
          <cell r="BH1012" t="str">
            <v/>
          </cell>
        </row>
        <row r="1013">
          <cell r="AA1013">
            <v>2</v>
          </cell>
          <cell r="BC1013" t="str">
            <v/>
          </cell>
          <cell r="BH1013" t="str">
            <v/>
          </cell>
        </row>
        <row r="1014">
          <cell r="BC1014" t="str">
            <v/>
          </cell>
          <cell r="BH1014" t="str">
            <v/>
          </cell>
        </row>
        <row r="1015">
          <cell r="BC1015" t="str">
            <v/>
          </cell>
          <cell r="BH1015" t="str">
            <v/>
          </cell>
        </row>
        <row r="1016">
          <cell r="AA1016">
            <v>2</v>
          </cell>
          <cell r="BC1016" t="str">
            <v/>
          </cell>
          <cell r="BH1016" t="str">
            <v/>
          </cell>
        </row>
        <row r="1017">
          <cell r="AA1017">
            <v>2</v>
          </cell>
          <cell r="BC1017" t="str">
            <v/>
          </cell>
          <cell r="BH1017" t="str">
            <v/>
          </cell>
        </row>
        <row r="1018">
          <cell r="AA1018">
            <v>2</v>
          </cell>
          <cell r="BC1018" t="str">
            <v/>
          </cell>
          <cell r="BH1018" t="str">
            <v/>
          </cell>
        </row>
        <row r="1019">
          <cell r="AA1019">
            <v>2</v>
          </cell>
          <cell r="BC1019" t="str">
            <v/>
          </cell>
          <cell r="BH1019" t="str">
            <v/>
          </cell>
        </row>
        <row r="1020">
          <cell r="AA1020">
            <v>2</v>
          </cell>
          <cell r="BC1020" t="str">
            <v/>
          </cell>
          <cell r="BH1020" t="str">
            <v/>
          </cell>
        </row>
        <row r="1021">
          <cell r="AA1021">
            <v>2</v>
          </cell>
          <cell r="BC1021" t="str">
            <v/>
          </cell>
          <cell r="BH1021" t="str">
            <v/>
          </cell>
        </row>
        <row r="1022">
          <cell r="AA1022">
            <v>2</v>
          </cell>
          <cell r="BC1022" t="str">
            <v/>
          </cell>
          <cell r="BH1022" t="str">
            <v/>
          </cell>
        </row>
        <row r="1023">
          <cell r="AA1023">
            <v>2</v>
          </cell>
          <cell r="BC1023" t="str">
            <v/>
          </cell>
          <cell r="BH1023" t="str">
            <v/>
          </cell>
        </row>
        <row r="1024">
          <cell r="AA1024">
            <v>2</v>
          </cell>
          <cell r="BC1024" t="str">
            <v/>
          </cell>
          <cell r="BH1024" t="str">
            <v/>
          </cell>
        </row>
        <row r="1025">
          <cell r="AA1025">
            <v>2</v>
          </cell>
          <cell r="BC1025" t="str">
            <v/>
          </cell>
          <cell r="BH1025" t="str">
            <v/>
          </cell>
        </row>
        <row r="1026">
          <cell r="AA1026">
            <v>2</v>
          </cell>
          <cell r="BC1026" t="str">
            <v/>
          </cell>
          <cell r="BH1026" t="str">
            <v/>
          </cell>
        </row>
        <row r="1027">
          <cell r="AA1027">
            <v>2</v>
          </cell>
          <cell r="BC1027" t="str">
            <v/>
          </cell>
          <cell r="BH1027" t="str">
            <v/>
          </cell>
        </row>
        <row r="1028">
          <cell r="AA1028">
            <v>2</v>
          </cell>
          <cell r="BC1028" t="str">
            <v/>
          </cell>
          <cell r="BH1028" t="str">
            <v/>
          </cell>
        </row>
        <row r="1029">
          <cell r="AA1029">
            <v>2</v>
          </cell>
          <cell r="BC1029" t="str">
            <v/>
          </cell>
          <cell r="BH1029" t="str">
            <v/>
          </cell>
        </row>
        <row r="1030">
          <cell r="AA1030">
            <v>2</v>
          </cell>
          <cell r="BC1030" t="str">
            <v/>
          </cell>
          <cell r="BH1030" t="str">
            <v/>
          </cell>
        </row>
        <row r="1031">
          <cell r="AA1031">
            <v>2</v>
          </cell>
          <cell r="BC1031" t="str">
            <v/>
          </cell>
          <cell r="BH1031" t="str">
            <v/>
          </cell>
        </row>
        <row r="1032">
          <cell r="AA1032">
            <v>2</v>
          </cell>
          <cell r="BC1032" t="str">
            <v/>
          </cell>
          <cell r="BH1032" t="str">
            <v/>
          </cell>
        </row>
        <row r="1033">
          <cell r="AA1033">
            <v>2</v>
          </cell>
          <cell r="BC1033" t="str">
            <v/>
          </cell>
          <cell r="BH1033" t="str">
            <v/>
          </cell>
        </row>
        <row r="1034">
          <cell r="AA1034">
            <v>2</v>
          </cell>
          <cell r="BC1034" t="str">
            <v/>
          </cell>
          <cell r="BH1034" t="str">
            <v/>
          </cell>
        </row>
        <row r="1035">
          <cell r="AA1035">
            <v>2</v>
          </cell>
          <cell r="BC1035" t="str">
            <v/>
          </cell>
          <cell r="BH1035" t="str">
            <v/>
          </cell>
        </row>
        <row r="1036">
          <cell r="AA1036">
            <v>2</v>
          </cell>
          <cell r="BC1036" t="str">
            <v/>
          </cell>
          <cell r="BH1036" t="str">
            <v/>
          </cell>
        </row>
        <row r="1037">
          <cell r="BC1037" t="str">
            <v/>
          </cell>
          <cell r="BH1037" t="str">
            <v/>
          </cell>
        </row>
        <row r="1038">
          <cell r="BC1038" t="str">
            <v/>
          </cell>
          <cell r="BH1038" t="str">
            <v/>
          </cell>
        </row>
        <row r="1039">
          <cell r="AA1039">
            <v>2</v>
          </cell>
          <cell r="BC1039" t="str">
            <v/>
          </cell>
          <cell r="BH1039" t="str">
            <v/>
          </cell>
        </row>
        <row r="1040">
          <cell r="AA1040">
            <v>2</v>
          </cell>
          <cell r="BC1040" t="str">
            <v/>
          </cell>
          <cell r="BH1040" t="str">
            <v/>
          </cell>
        </row>
        <row r="1041">
          <cell r="AA1041">
            <v>2</v>
          </cell>
          <cell r="BC1041" t="str">
            <v/>
          </cell>
          <cell r="BH1041" t="str">
            <v/>
          </cell>
        </row>
        <row r="1042">
          <cell r="BC1042" t="str">
            <v/>
          </cell>
          <cell r="BH1042" t="str">
            <v/>
          </cell>
        </row>
        <row r="1043">
          <cell r="BC1043" t="str">
            <v/>
          </cell>
          <cell r="BH1043" t="str">
            <v/>
          </cell>
        </row>
        <row r="1044">
          <cell r="AA1044">
            <v>2</v>
          </cell>
          <cell r="BC1044" t="str">
            <v/>
          </cell>
          <cell r="BH1044" t="str">
            <v/>
          </cell>
        </row>
        <row r="1045">
          <cell r="AA1045">
            <v>2</v>
          </cell>
          <cell r="BC1045" t="str">
            <v/>
          </cell>
          <cell r="BH1045" t="str">
            <v/>
          </cell>
        </row>
        <row r="1046">
          <cell r="BC1046" t="str">
            <v/>
          </cell>
          <cell r="BH1046" t="str">
            <v/>
          </cell>
        </row>
        <row r="1047">
          <cell r="BC1047" t="str">
            <v/>
          </cell>
          <cell r="BH1047" t="str">
            <v/>
          </cell>
        </row>
        <row r="1048">
          <cell r="AA1048">
            <v>2</v>
          </cell>
          <cell r="AR1048" t="b">
            <v>0</v>
          </cell>
          <cell r="BC1048" t="str">
            <v/>
          </cell>
          <cell r="BH1048" t="str">
            <v/>
          </cell>
        </row>
        <row r="1049">
          <cell r="AA1049">
            <v>2</v>
          </cell>
          <cell r="AR1049" t="b">
            <v>0</v>
          </cell>
          <cell r="BC1049" t="str">
            <v/>
          </cell>
          <cell r="BH1049" t="str">
            <v/>
          </cell>
        </row>
        <row r="1050">
          <cell r="AA1050">
            <v>2</v>
          </cell>
          <cell r="BC1050" t="str">
            <v/>
          </cell>
          <cell r="BH1050" t="str">
            <v/>
          </cell>
        </row>
        <row r="1051">
          <cell r="AA1051">
            <v>2</v>
          </cell>
          <cell r="AR1051" t="b">
            <v>0</v>
          </cell>
          <cell r="BC1051" t="str">
            <v/>
          </cell>
          <cell r="BH1051" t="str">
            <v/>
          </cell>
        </row>
        <row r="1052">
          <cell r="AA1052">
            <v>2</v>
          </cell>
          <cell r="AR1052" t="b">
            <v>0</v>
          </cell>
          <cell r="BC1052" t="str">
            <v/>
          </cell>
          <cell r="BH1052" t="str">
            <v/>
          </cell>
        </row>
        <row r="1053">
          <cell r="AA1053">
            <v>2</v>
          </cell>
          <cell r="BC1053" t="str">
            <v/>
          </cell>
          <cell r="BH1053" t="str">
            <v/>
          </cell>
        </row>
        <row r="1054">
          <cell r="AA1054">
            <v>2</v>
          </cell>
          <cell r="AR1054" t="b">
            <v>0</v>
          </cell>
          <cell r="BC1054" t="str">
            <v/>
          </cell>
          <cell r="BH1054" t="str">
            <v/>
          </cell>
        </row>
        <row r="1055">
          <cell r="AA1055">
            <v>2</v>
          </cell>
          <cell r="AR1055" t="b">
            <v>0</v>
          </cell>
          <cell r="BC1055" t="str">
            <v/>
          </cell>
          <cell r="BH1055" t="str">
            <v/>
          </cell>
        </row>
        <row r="1056">
          <cell r="AA1056">
            <v>2</v>
          </cell>
          <cell r="BC1056" t="str">
            <v/>
          </cell>
          <cell r="BH1056" t="str">
            <v/>
          </cell>
        </row>
        <row r="1057">
          <cell r="AA1057">
            <v>2</v>
          </cell>
          <cell r="AR1057" t="b">
            <v>0</v>
          </cell>
          <cell r="BC1057" t="str">
            <v/>
          </cell>
          <cell r="BH1057" t="str">
            <v/>
          </cell>
        </row>
        <row r="1058">
          <cell r="AA1058">
            <v>2</v>
          </cell>
          <cell r="AR1058" t="b">
            <v>0</v>
          </cell>
          <cell r="BC1058" t="str">
            <v/>
          </cell>
          <cell r="BH1058" t="str">
            <v/>
          </cell>
        </row>
        <row r="1059">
          <cell r="AA1059">
            <v>2</v>
          </cell>
          <cell r="BC1059" t="str">
            <v/>
          </cell>
          <cell r="BH1059" t="str">
            <v/>
          </cell>
        </row>
        <row r="1060">
          <cell r="AA1060">
            <v>2</v>
          </cell>
          <cell r="AR1060" t="b">
            <v>0</v>
          </cell>
          <cell r="BC1060" t="str">
            <v/>
          </cell>
          <cell r="BH1060" t="str">
            <v/>
          </cell>
        </row>
        <row r="1061">
          <cell r="AA1061">
            <v>2</v>
          </cell>
          <cell r="AR1061" t="b">
            <v>0</v>
          </cell>
          <cell r="BC1061" t="str">
            <v/>
          </cell>
          <cell r="BH1061" t="str">
            <v/>
          </cell>
        </row>
        <row r="1062">
          <cell r="AA1062">
            <v>2</v>
          </cell>
          <cell r="BC1062" t="str">
            <v/>
          </cell>
          <cell r="BH1062" t="str">
            <v/>
          </cell>
        </row>
        <row r="1063">
          <cell r="AA1063">
            <v>2</v>
          </cell>
          <cell r="AR1063" t="b">
            <v>0</v>
          </cell>
          <cell r="BC1063" t="str">
            <v/>
          </cell>
          <cell r="BH1063" t="str">
            <v/>
          </cell>
        </row>
        <row r="1064">
          <cell r="AA1064">
            <v>2</v>
          </cell>
          <cell r="AR1064" t="b">
            <v>0</v>
          </cell>
          <cell r="BC1064" t="str">
            <v/>
          </cell>
          <cell r="BH1064" t="str">
            <v/>
          </cell>
        </row>
        <row r="1065">
          <cell r="AA1065">
            <v>2</v>
          </cell>
          <cell r="BC1065" t="str">
            <v/>
          </cell>
          <cell r="BH1065" t="str">
            <v/>
          </cell>
        </row>
        <row r="1066">
          <cell r="AA1066">
            <v>2</v>
          </cell>
          <cell r="AR1066" t="b">
            <v>0</v>
          </cell>
          <cell r="BC1066" t="str">
            <v/>
          </cell>
          <cell r="BH1066" t="str">
            <v/>
          </cell>
        </row>
        <row r="1067">
          <cell r="AA1067">
            <v>2</v>
          </cell>
          <cell r="AR1067" t="b">
            <v>0</v>
          </cell>
          <cell r="BC1067" t="str">
            <v/>
          </cell>
          <cell r="BH1067" t="str">
            <v/>
          </cell>
        </row>
        <row r="1068">
          <cell r="AA1068">
            <v>2</v>
          </cell>
          <cell r="BC1068" t="str">
            <v/>
          </cell>
          <cell r="BH1068" t="str">
            <v/>
          </cell>
        </row>
        <row r="1069">
          <cell r="AA1069">
            <v>2</v>
          </cell>
          <cell r="AR1069" t="b">
            <v>0</v>
          </cell>
          <cell r="BC1069" t="str">
            <v/>
          </cell>
          <cell r="BH1069" t="str">
            <v/>
          </cell>
        </row>
        <row r="1070">
          <cell r="AA1070">
            <v>2</v>
          </cell>
          <cell r="AR1070" t="b">
            <v>0</v>
          </cell>
          <cell r="BC1070" t="str">
            <v/>
          </cell>
          <cell r="BH1070" t="str">
            <v/>
          </cell>
        </row>
        <row r="1071">
          <cell r="AA1071">
            <v>2</v>
          </cell>
          <cell r="BC1071" t="str">
            <v/>
          </cell>
          <cell r="BH1071" t="str">
            <v/>
          </cell>
        </row>
        <row r="1072">
          <cell r="AA1072">
            <v>2</v>
          </cell>
          <cell r="AR1072" t="b">
            <v>0</v>
          </cell>
          <cell r="BC1072" t="str">
            <v/>
          </cell>
          <cell r="BH1072" t="str">
            <v/>
          </cell>
        </row>
        <row r="1073">
          <cell r="AA1073">
            <v>2</v>
          </cell>
          <cell r="AR1073" t="b">
            <v>0</v>
          </cell>
          <cell r="BC1073" t="str">
            <v/>
          </cell>
          <cell r="BH1073" t="str">
            <v/>
          </cell>
        </row>
        <row r="1074">
          <cell r="AA1074">
            <v>2</v>
          </cell>
          <cell r="BC1074" t="str">
            <v/>
          </cell>
          <cell r="BH1074" t="str">
            <v/>
          </cell>
        </row>
        <row r="1075">
          <cell r="AA1075">
            <v>2</v>
          </cell>
          <cell r="AR1075" t="b">
            <v>0</v>
          </cell>
          <cell r="BC1075" t="str">
            <v/>
          </cell>
          <cell r="BH1075" t="str">
            <v/>
          </cell>
        </row>
        <row r="1076">
          <cell r="AA1076">
            <v>2</v>
          </cell>
          <cell r="AR1076" t="b">
            <v>0</v>
          </cell>
          <cell r="BC1076" t="str">
            <v/>
          </cell>
          <cell r="BH1076" t="str">
            <v/>
          </cell>
        </row>
        <row r="1077">
          <cell r="AA1077">
            <v>2</v>
          </cell>
          <cell r="BC1077" t="str">
            <v/>
          </cell>
          <cell r="BH1077" t="str">
            <v/>
          </cell>
        </row>
        <row r="1078">
          <cell r="AA1078">
            <v>2</v>
          </cell>
          <cell r="AR1078" t="b">
            <v>0</v>
          </cell>
          <cell r="BC1078" t="str">
            <v/>
          </cell>
          <cell r="BH1078" t="str">
            <v/>
          </cell>
        </row>
        <row r="1079">
          <cell r="AA1079">
            <v>2</v>
          </cell>
          <cell r="AR1079" t="b">
            <v>0</v>
          </cell>
          <cell r="BC1079" t="str">
            <v/>
          </cell>
          <cell r="BH1079" t="str">
            <v/>
          </cell>
        </row>
        <row r="1080">
          <cell r="AA1080">
            <v>2</v>
          </cell>
          <cell r="AR1080" t="b">
            <v>0</v>
          </cell>
          <cell r="BC1080" t="str">
            <v/>
          </cell>
          <cell r="BH1080" t="str">
            <v/>
          </cell>
        </row>
        <row r="1081">
          <cell r="AA1081">
            <v>2</v>
          </cell>
          <cell r="BC1081" t="str">
            <v/>
          </cell>
          <cell r="BH1081" t="str">
            <v/>
          </cell>
        </row>
        <row r="1082">
          <cell r="AA1082">
            <v>2</v>
          </cell>
          <cell r="AR1082" t="b">
            <v>0</v>
          </cell>
          <cell r="BC1082" t="str">
            <v/>
          </cell>
          <cell r="BH1082" t="str">
            <v/>
          </cell>
        </row>
        <row r="1083">
          <cell r="AA1083">
            <v>2</v>
          </cell>
          <cell r="AR1083" t="b">
            <v>0</v>
          </cell>
          <cell r="BC1083" t="str">
            <v/>
          </cell>
          <cell r="BH1083" t="str">
            <v/>
          </cell>
        </row>
        <row r="1084">
          <cell r="AA1084">
            <v>2</v>
          </cell>
          <cell r="BC1084" t="str">
            <v/>
          </cell>
          <cell r="BH1084" t="str">
            <v/>
          </cell>
        </row>
        <row r="1085">
          <cell r="AA1085">
            <v>2</v>
          </cell>
          <cell r="AR1085" t="b">
            <v>0</v>
          </cell>
          <cell r="BC1085" t="str">
            <v/>
          </cell>
          <cell r="BH1085" t="str">
            <v/>
          </cell>
        </row>
        <row r="1086">
          <cell r="AA1086">
            <v>2</v>
          </cell>
          <cell r="AR1086" t="b">
            <v>0</v>
          </cell>
          <cell r="BC1086" t="str">
            <v/>
          </cell>
          <cell r="BH1086" t="str">
            <v/>
          </cell>
        </row>
        <row r="1087">
          <cell r="AA1087">
            <v>2</v>
          </cell>
          <cell r="BC1087" t="str">
            <v/>
          </cell>
          <cell r="BH1087" t="str">
            <v/>
          </cell>
        </row>
        <row r="1088">
          <cell r="AA1088">
            <v>2</v>
          </cell>
          <cell r="AR1088" t="b">
            <v>0</v>
          </cell>
          <cell r="BC1088" t="str">
            <v/>
          </cell>
          <cell r="BH1088" t="str">
            <v/>
          </cell>
        </row>
        <row r="1089">
          <cell r="AA1089">
            <v>2</v>
          </cell>
          <cell r="AR1089" t="b">
            <v>0</v>
          </cell>
          <cell r="BC1089" t="str">
            <v/>
          </cell>
          <cell r="BH1089" t="str">
            <v/>
          </cell>
        </row>
        <row r="1090">
          <cell r="AA1090">
            <v>2</v>
          </cell>
          <cell r="BC1090" t="str">
            <v/>
          </cell>
          <cell r="BH1090" t="str">
            <v/>
          </cell>
        </row>
        <row r="1091">
          <cell r="AA1091">
            <v>2</v>
          </cell>
          <cell r="AR1091" t="b">
            <v>0</v>
          </cell>
          <cell r="BC1091" t="str">
            <v/>
          </cell>
          <cell r="BH1091" t="str">
            <v/>
          </cell>
        </row>
        <row r="1092">
          <cell r="AA1092">
            <v>2</v>
          </cell>
          <cell r="AR1092" t="b">
            <v>0</v>
          </cell>
          <cell r="BC1092" t="str">
            <v/>
          </cell>
          <cell r="BH1092" t="str">
            <v/>
          </cell>
        </row>
        <row r="1093">
          <cell r="AA1093">
            <v>2</v>
          </cell>
          <cell r="BC1093" t="str">
            <v/>
          </cell>
          <cell r="BH1093" t="str">
            <v/>
          </cell>
        </row>
        <row r="1094">
          <cell r="AA1094">
            <v>2</v>
          </cell>
          <cell r="AR1094" t="b">
            <v>0</v>
          </cell>
          <cell r="BC1094" t="str">
            <v/>
          </cell>
          <cell r="BH1094" t="str">
            <v/>
          </cell>
        </row>
        <row r="1095">
          <cell r="AA1095">
            <v>2</v>
          </cell>
          <cell r="AR1095" t="b">
            <v>0</v>
          </cell>
          <cell r="BC1095" t="str">
            <v/>
          </cell>
          <cell r="BH1095" t="str">
            <v/>
          </cell>
        </row>
        <row r="1096">
          <cell r="AA1096">
            <v>2</v>
          </cell>
          <cell r="BC1096" t="str">
            <v/>
          </cell>
          <cell r="BH1096" t="str">
            <v/>
          </cell>
        </row>
        <row r="1097">
          <cell r="AA1097">
            <v>2</v>
          </cell>
          <cell r="AR1097" t="b">
            <v>0</v>
          </cell>
          <cell r="BC1097" t="str">
            <v/>
          </cell>
          <cell r="BH1097" t="str">
            <v/>
          </cell>
        </row>
        <row r="1098">
          <cell r="AA1098">
            <v>2</v>
          </cell>
          <cell r="AR1098" t="b">
            <v>0</v>
          </cell>
          <cell r="BC1098" t="str">
            <v/>
          </cell>
          <cell r="BH1098" t="str">
            <v/>
          </cell>
        </row>
        <row r="1099">
          <cell r="AA1099">
            <v>2</v>
          </cell>
          <cell r="BC1099" t="str">
            <v/>
          </cell>
          <cell r="BH1099" t="str">
            <v/>
          </cell>
        </row>
        <row r="1100">
          <cell r="AA1100">
            <v>2</v>
          </cell>
          <cell r="AR1100" t="b">
            <v>0</v>
          </cell>
          <cell r="BC1100" t="str">
            <v/>
          </cell>
          <cell r="BH1100" t="str">
            <v/>
          </cell>
        </row>
        <row r="1101">
          <cell r="AA1101">
            <v>2</v>
          </cell>
          <cell r="AR1101" t="b">
            <v>0</v>
          </cell>
          <cell r="BC1101" t="str">
            <v/>
          </cell>
          <cell r="BH1101" t="str">
            <v/>
          </cell>
        </row>
        <row r="1102">
          <cell r="AA1102">
            <v>2</v>
          </cell>
          <cell r="BC1102" t="str">
            <v/>
          </cell>
          <cell r="BH1102" t="str">
            <v/>
          </cell>
        </row>
        <row r="1103">
          <cell r="AA1103">
            <v>2</v>
          </cell>
          <cell r="AR1103" t="b">
            <v>0</v>
          </cell>
          <cell r="BC1103" t="str">
            <v/>
          </cell>
          <cell r="BH1103" t="str">
            <v/>
          </cell>
        </row>
        <row r="1104">
          <cell r="AA1104">
            <v>2</v>
          </cell>
          <cell r="AR1104" t="b">
            <v>0</v>
          </cell>
          <cell r="BC1104" t="str">
            <v/>
          </cell>
          <cell r="BH1104" t="str">
            <v/>
          </cell>
        </row>
        <row r="1105">
          <cell r="AA1105">
            <v>2</v>
          </cell>
          <cell r="BC1105" t="str">
            <v/>
          </cell>
          <cell r="BH1105" t="str">
            <v/>
          </cell>
        </row>
        <row r="1106">
          <cell r="AA1106">
            <v>2</v>
          </cell>
          <cell r="AR1106" t="b">
            <v>0</v>
          </cell>
          <cell r="BC1106" t="str">
            <v/>
          </cell>
          <cell r="BH1106" t="str">
            <v/>
          </cell>
        </row>
        <row r="1107">
          <cell r="AA1107">
            <v>2</v>
          </cell>
          <cell r="AR1107" t="b">
            <v>0</v>
          </cell>
          <cell r="BC1107" t="str">
            <v/>
          </cell>
          <cell r="BH1107" t="str">
            <v/>
          </cell>
        </row>
        <row r="1108">
          <cell r="AA1108">
            <v>2</v>
          </cell>
          <cell r="BC1108" t="str">
            <v/>
          </cell>
          <cell r="BH1108" t="str">
            <v/>
          </cell>
        </row>
        <row r="1109">
          <cell r="AA1109">
            <v>2</v>
          </cell>
          <cell r="AR1109" t="b">
            <v>0</v>
          </cell>
          <cell r="BC1109" t="str">
            <v/>
          </cell>
          <cell r="BH1109" t="str">
            <v/>
          </cell>
        </row>
        <row r="1110">
          <cell r="AA1110">
            <v>2</v>
          </cell>
          <cell r="AR1110" t="b">
            <v>0</v>
          </cell>
          <cell r="BC1110" t="str">
            <v/>
          </cell>
          <cell r="BH1110" t="str">
            <v/>
          </cell>
        </row>
        <row r="1111">
          <cell r="AA1111">
            <v>2</v>
          </cell>
          <cell r="BC1111" t="str">
            <v/>
          </cell>
          <cell r="BH1111" t="str">
            <v/>
          </cell>
        </row>
        <row r="1112">
          <cell r="BC1112" t="str">
            <v/>
          </cell>
          <cell r="BH1112" t="str">
            <v/>
          </cell>
        </row>
        <row r="1113">
          <cell r="BC1113" t="str">
            <v/>
          </cell>
          <cell r="BH1113" t="str">
            <v/>
          </cell>
        </row>
        <row r="1114">
          <cell r="AA1114">
            <v>2</v>
          </cell>
          <cell r="BC1114" t="str">
            <v/>
          </cell>
          <cell r="BH1114" t="str">
            <v/>
          </cell>
        </row>
        <row r="1115">
          <cell r="BC1115" t="str">
            <v/>
          </cell>
          <cell r="BH1115" t="str">
            <v/>
          </cell>
        </row>
        <row r="1116">
          <cell r="BC1116" t="str">
            <v/>
          </cell>
          <cell r="BH1116" t="str">
            <v/>
          </cell>
        </row>
        <row r="1117">
          <cell r="AA1117">
            <v>2</v>
          </cell>
          <cell r="BC1117" t="str">
            <v/>
          </cell>
          <cell r="BH1117" t="str">
            <v/>
          </cell>
        </row>
        <row r="1118">
          <cell r="AA1118">
            <v>2</v>
          </cell>
          <cell r="BC1118" t="str">
            <v/>
          </cell>
          <cell r="BH1118" t="str">
            <v/>
          </cell>
        </row>
        <row r="1119">
          <cell r="AA1119">
            <v>2</v>
          </cell>
          <cell r="BC1119" t="str">
            <v/>
          </cell>
          <cell r="BH1119" t="str">
            <v/>
          </cell>
        </row>
        <row r="1120">
          <cell r="AA1120">
            <v>2</v>
          </cell>
          <cell r="BC1120" t="str">
            <v/>
          </cell>
          <cell r="BH1120" t="str">
            <v/>
          </cell>
        </row>
        <row r="1121">
          <cell r="AA1121">
            <v>2</v>
          </cell>
          <cell r="BC1121" t="str">
            <v/>
          </cell>
          <cell r="BH1121" t="str">
            <v/>
          </cell>
        </row>
        <row r="1122">
          <cell r="AA1122">
            <v>2</v>
          </cell>
          <cell r="BC1122" t="str">
            <v/>
          </cell>
          <cell r="BH1122" t="str">
            <v/>
          </cell>
        </row>
        <row r="1123">
          <cell r="AA1123">
            <v>2</v>
          </cell>
          <cell r="BC1123" t="str">
            <v/>
          </cell>
          <cell r="BH1123" t="str">
            <v/>
          </cell>
        </row>
        <row r="1124">
          <cell r="BC1124" t="str">
            <v/>
          </cell>
          <cell r="BH1124" t="str">
            <v/>
          </cell>
        </row>
        <row r="1125">
          <cell r="BC1125" t="str">
            <v/>
          </cell>
          <cell r="BH1125" t="str">
            <v/>
          </cell>
        </row>
        <row r="1126">
          <cell r="AA1126">
            <v>2</v>
          </cell>
          <cell r="BC1126" t="str">
            <v/>
          </cell>
          <cell r="BH1126" t="str">
            <v/>
          </cell>
        </row>
        <row r="1127">
          <cell r="AA1127">
            <v>2</v>
          </cell>
          <cell r="BC1127" t="str">
            <v/>
          </cell>
          <cell r="BH1127" t="str">
            <v/>
          </cell>
        </row>
        <row r="1128">
          <cell r="AA1128">
            <v>2</v>
          </cell>
          <cell r="BC1128" t="str">
            <v/>
          </cell>
          <cell r="BH1128" t="str">
            <v/>
          </cell>
        </row>
        <row r="1129">
          <cell r="BC1129" t="str">
            <v/>
          </cell>
          <cell r="BH1129" t="str">
            <v/>
          </cell>
        </row>
        <row r="1130">
          <cell r="BC1130" t="str">
            <v/>
          </cell>
          <cell r="BH1130" t="str">
            <v/>
          </cell>
        </row>
        <row r="1131">
          <cell r="AA1131">
            <v>2</v>
          </cell>
          <cell r="BC1131" t="str">
            <v/>
          </cell>
          <cell r="BH1131" t="str">
            <v/>
          </cell>
        </row>
        <row r="1132">
          <cell r="AA1132">
            <v>2</v>
          </cell>
          <cell r="AR1132" t="b">
            <v>0</v>
          </cell>
          <cell r="BC1132" t="str">
            <v/>
          </cell>
          <cell r="BH1132" t="str">
            <v/>
          </cell>
        </row>
        <row r="1133">
          <cell r="AA1133">
            <v>2</v>
          </cell>
          <cell r="AR1133" t="b">
            <v>0</v>
          </cell>
          <cell r="BC1133" t="str">
            <v/>
          </cell>
          <cell r="BH1133" t="str">
            <v/>
          </cell>
        </row>
        <row r="1134">
          <cell r="AA1134">
            <v>2</v>
          </cell>
          <cell r="AR1134" t="b">
            <v>0</v>
          </cell>
          <cell r="BC1134" t="str">
            <v/>
          </cell>
          <cell r="BH1134" t="str">
            <v/>
          </cell>
        </row>
        <row r="1135">
          <cell r="AA1135">
            <v>2</v>
          </cell>
          <cell r="BC1135" t="str">
            <v/>
          </cell>
          <cell r="BH1135" t="str">
            <v/>
          </cell>
        </row>
        <row r="1136">
          <cell r="AA1136">
            <v>2</v>
          </cell>
          <cell r="BC1136" t="str">
            <v/>
          </cell>
          <cell r="BH1136" t="str">
            <v/>
          </cell>
        </row>
        <row r="1137">
          <cell r="AA1137">
            <v>2</v>
          </cell>
          <cell r="BC1137" t="str">
            <v/>
          </cell>
          <cell r="BH1137" t="str">
            <v/>
          </cell>
        </row>
        <row r="1138">
          <cell r="BC1138" t="str">
            <v/>
          </cell>
          <cell r="BH1138" t="str">
            <v/>
          </cell>
        </row>
        <row r="1139">
          <cell r="BC1139" t="str">
            <v/>
          </cell>
          <cell r="BH1139" t="str">
            <v/>
          </cell>
        </row>
        <row r="1140">
          <cell r="AA1140">
            <v>2</v>
          </cell>
          <cell r="AR1140" t="b">
            <v>0</v>
          </cell>
          <cell r="BC1140" t="str">
            <v/>
          </cell>
          <cell r="BH1140" t="str">
            <v/>
          </cell>
        </row>
        <row r="1141">
          <cell r="AA1141">
            <v>2</v>
          </cell>
          <cell r="AR1141" t="b">
            <v>0</v>
          </cell>
          <cell r="BC1141" t="str">
            <v/>
          </cell>
          <cell r="BH1141" t="str">
            <v/>
          </cell>
        </row>
        <row r="1142">
          <cell r="AA1142">
            <v>2</v>
          </cell>
          <cell r="BC1142" t="str">
            <v/>
          </cell>
          <cell r="BH1142" t="str">
            <v/>
          </cell>
        </row>
        <row r="1143">
          <cell r="AA1143">
            <v>2</v>
          </cell>
          <cell r="BC1143" t="str">
            <v/>
          </cell>
          <cell r="BH1143" t="str">
            <v/>
          </cell>
        </row>
        <row r="1144">
          <cell r="AA1144">
            <v>2</v>
          </cell>
          <cell r="BC1144" t="str">
            <v/>
          </cell>
          <cell r="BH1144" t="str">
            <v/>
          </cell>
        </row>
        <row r="1145">
          <cell r="AA1145">
            <v>2</v>
          </cell>
          <cell r="BC1145" t="str">
            <v/>
          </cell>
          <cell r="BH1145" t="str">
            <v/>
          </cell>
        </row>
        <row r="1146">
          <cell r="AA1146">
            <v>2</v>
          </cell>
          <cell r="AO1146" t="str">
            <v/>
          </cell>
          <cell r="AR1146" t="b">
            <v>0</v>
          </cell>
          <cell r="BC1146" t="str">
            <v/>
          </cell>
          <cell r="BH1146" t="str">
            <v/>
          </cell>
        </row>
        <row r="1147">
          <cell r="AA1147">
            <v>2</v>
          </cell>
          <cell r="AO1147" t="str">
            <v/>
          </cell>
          <cell r="AR1147" t="b">
            <v>0</v>
          </cell>
          <cell r="BC1147" t="str">
            <v/>
          </cell>
          <cell r="BH1147" t="str">
            <v/>
          </cell>
        </row>
        <row r="1148">
          <cell r="AA1148">
            <v>2</v>
          </cell>
          <cell r="AO1148" t="str">
            <v/>
          </cell>
          <cell r="AR1148" t="b">
            <v>0</v>
          </cell>
          <cell r="BC1148" t="str">
            <v/>
          </cell>
          <cell r="BH1148" t="str">
            <v/>
          </cell>
        </row>
        <row r="1149">
          <cell r="AA1149">
            <v>2</v>
          </cell>
          <cell r="BC1149" t="str">
            <v/>
          </cell>
          <cell r="BH1149" t="str">
            <v/>
          </cell>
        </row>
        <row r="1150">
          <cell r="AA1150">
            <v>2</v>
          </cell>
          <cell r="AO1150" t="str">
            <v/>
          </cell>
          <cell r="AR1150" t="b">
            <v>0</v>
          </cell>
          <cell r="BC1150" t="str">
            <v/>
          </cell>
          <cell r="BH1150" t="str">
            <v/>
          </cell>
        </row>
        <row r="1151">
          <cell r="AA1151">
            <v>2</v>
          </cell>
          <cell r="AO1151" t="str">
            <v/>
          </cell>
          <cell r="AR1151" t="b">
            <v>0</v>
          </cell>
          <cell r="BC1151" t="str">
            <v/>
          </cell>
          <cell r="BH1151" t="str">
            <v/>
          </cell>
        </row>
        <row r="1152">
          <cell r="AA1152">
            <v>2</v>
          </cell>
          <cell r="AO1152" t="str">
            <v/>
          </cell>
          <cell r="AR1152" t="b">
            <v>0</v>
          </cell>
          <cell r="BC1152" t="str">
            <v/>
          </cell>
          <cell r="BH1152" t="str">
            <v/>
          </cell>
        </row>
        <row r="1153">
          <cell r="BC1153" t="str">
            <v/>
          </cell>
          <cell r="BH1153" t="str">
            <v/>
          </cell>
        </row>
        <row r="1154">
          <cell r="AA1154">
            <v>2</v>
          </cell>
          <cell r="AR1154" t="b">
            <v>0</v>
          </cell>
          <cell r="BC1154" t="str">
            <v/>
          </cell>
          <cell r="BH1154" t="str">
            <v/>
          </cell>
        </row>
        <row r="1155">
          <cell r="AA1155">
            <v>2</v>
          </cell>
          <cell r="AR1155" t="b">
            <v>0</v>
          </cell>
          <cell r="BC1155" t="str">
            <v/>
          </cell>
          <cell r="BH1155" t="str">
            <v/>
          </cell>
        </row>
        <row r="1156">
          <cell r="AA1156">
            <v>2</v>
          </cell>
          <cell r="AR1156" t="b">
            <v>0</v>
          </cell>
          <cell r="BC1156" t="str">
            <v/>
          </cell>
          <cell r="BH1156" t="str">
            <v/>
          </cell>
        </row>
        <row r="1157">
          <cell r="AA1157">
            <v>2</v>
          </cell>
          <cell r="BC1157" t="str">
            <v/>
          </cell>
          <cell r="BH1157" t="str">
            <v/>
          </cell>
        </row>
        <row r="1158">
          <cell r="AA1158">
            <v>2</v>
          </cell>
          <cell r="AR1158" t="b">
            <v>0</v>
          </cell>
          <cell r="BC1158" t="str">
            <v/>
          </cell>
          <cell r="BH1158" t="str">
            <v/>
          </cell>
        </row>
        <row r="1159">
          <cell r="AA1159">
            <v>2</v>
          </cell>
          <cell r="BC1159" t="str">
            <v/>
          </cell>
          <cell r="BH1159" t="str">
            <v/>
          </cell>
        </row>
        <row r="1160">
          <cell r="AA1160">
            <v>2</v>
          </cell>
          <cell r="AR1160" t="b">
            <v>0</v>
          </cell>
          <cell r="BC1160" t="str">
            <v/>
          </cell>
          <cell r="BH1160" t="str">
            <v/>
          </cell>
        </row>
        <row r="1161">
          <cell r="AA1161">
            <v>2</v>
          </cell>
          <cell r="AR1161" t="b">
            <v>0</v>
          </cell>
          <cell r="BC1161" t="str">
            <v/>
          </cell>
          <cell r="BH1161" t="str">
            <v/>
          </cell>
        </row>
        <row r="1162">
          <cell r="AA1162">
            <v>2</v>
          </cell>
          <cell r="BC1162" t="str">
            <v/>
          </cell>
          <cell r="BH1162" t="str">
            <v/>
          </cell>
        </row>
        <row r="1163">
          <cell r="AA1163">
            <v>2</v>
          </cell>
          <cell r="BC1163" t="str">
            <v/>
          </cell>
          <cell r="BH1163" t="str">
            <v/>
          </cell>
        </row>
        <row r="1164">
          <cell r="AA1164">
            <v>2</v>
          </cell>
          <cell r="BC1164" t="str">
            <v/>
          </cell>
          <cell r="BH1164" t="str">
            <v/>
          </cell>
        </row>
        <row r="1165">
          <cell r="AA1165">
            <v>2</v>
          </cell>
          <cell r="BC1165" t="str">
            <v/>
          </cell>
          <cell r="BH1165" t="str">
            <v/>
          </cell>
        </row>
        <row r="1166">
          <cell r="AA1166">
            <v>2</v>
          </cell>
          <cell r="BC1166" t="str">
            <v/>
          </cell>
          <cell r="BH1166" t="str">
            <v/>
          </cell>
        </row>
        <row r="1167">
          <cell r="AA1167">
            <v>2</v>
          </cell>
          <cell r="BC1167" t="str">
            <v/>
          </cell>
          <cell r="BH1167" t="str">
            <v/>
          </cell>
        </row>
        <row r="1168">
          <cell r="AA1168">
            <v>2</v>
          </cell>
          <cell r="BC1168" t="str">
            <v/>
          </cell>
          <cell r="BH1168" t="str">
            <v/>
          </cell>
        </row>
        <row r="1169">
          <cell r="BC1169" t="str">
            <v/>
          </cell>
          <cell r="BH1169" t="str">
            <v/>
          </cell>
        </row>
        <row r="1170">
          <cell r="AA1170">
            <v>2</v>
          </cell>
          <cell r="BC1170" t="str">
            <v/>
          </cell>
          <cell r="BH1170" t="str">
            <v/>
          </cell>
        </row>
        <row r="1171">
          <cell r="AA1171">
            <v>2</v>
          </cell>
          <cell r="BC1171" t="str">
            <v/>
          </cell>
          <cell r="BH1171" t="str">
            <v/>
          </cell>
        </row>
        <row r="1172">
          <cell r="BC1172" t="str">
            <v/>
          </cell>
          <cell r="BH1172" t="str">
            <v/>
          </cell>
        </row>
        <row r="1173">
          <cell r="BC1173" t="str">
            <v/>
          </cell>
          <cell r="BH1173" t="str">
            <v/>
          </cell>
        </row>
        <row r="1174">
          <cell r="AA1174">
            <v>2</v>
          </cell>
          <cell r="AR1174" t="b">
            <v>0</v>
          </cell>
          <cell r="BC1174" t="str">
            <v/>
          </cell>
          <cell r="BH1174" t="str">
            <v/>
          </cell>
        </row>
        <row r="1175">
          <cell r="AA1175">
            <v>2</v>
          </cell>
          <cell r="AR1175" t="b">
            <v>0</v>
          </cell>
          <cell r="BC1175" t="str">
            <v/>
          </cell>
          <cell r="BH1175" t="str">
            <v/>
          </cell>
        </row>
        <row r="1176">
          <cell r="AA1176">
            <v>2</v>
          </cell>
          <cell r="BC1176" t="str">
            <v/>
          </cell>
          <cell r="BH1176" t="str">
            <v/>
          </cell>
        </row>
        <row r="1177">
          <cell r="AA1177">
            <v>2</v>
          </cell>
          <cell r="BC1177" t="str">
            <v/>
          </cell>
          <cell r="BH1177" t="str">
            <v/>
          </cell>
        </row>
        <row r="1178">
          <cell r="AA1178">
            <v>2</v>
          </cell>
          <cell r="BC1178" t="str">
            <v/>
          </cell>
          <cell r="BH1178" t="str">
            <v/>
          </cell>
        </row>
        <row r="1179">
          <cell r="AA1179">
            <v>2</v>
          </cell>
          <cell r="BC1179" t="str">
            <v/>
          </cell>
          <cell r="BH1179" t="str">
            <v/>
          </cell>
        </row>
        <row r="1180">
          <cell r="AA1180">
            <v>2</v>
          </cell>
          <cell r="BC1180" t="str">
            <v/>
          </cell>
          <cell r="BH1180" t="str">
            <v/>
          </cell>
        </row>
        <row r="1181">
          <cell r="AA1181">
            <v>2</v>
          </cell>
          <cell r="AR1181" t="b">
            <v>0</v>
          </cell>
          <cell r="BC1181" t="str">
            <v/>
          </cell>
          <cell r="BH1181" t="str">
            <v/>
          </cell>
        </row>
        <row r="1182">
          <cell r="AA1182">
            <v>2</v>
          </cell>
          <cell r="BC1182" t="str">
            <v/>
          </cell>
          <cell r="BH1182" t="str">
            <v/>
          </cell>
        </row>
        <row r="1183">
          <cell r="AA1183">
            <v>2</v>
          </cell>
          <cell r="BC1183" t="str">
            <v/>
          </cell>
          <cell r="BH1183" t="str">
            <v/>
          </cell>
        </row>
        <row r="1184">
          <cell r="AA1184">
            <v>2</v>
          </cell>
          <cell r="AR1184" t="b">
            <v>0</v>
          </cell>
          <cell r="BC1184" t="str">
            <v/>
          </cell>
          <cell r="BH1184" t="str">
            <v/>
          </cell>
        </row>
        <row r="1185">
          <cell r="AA1185">
            <v>2</v>
          </cell>
          <cell r="BC1185" t="str">
            <v/>
          </cell>
          <cell r="BH1185" t="str">
            <v/>
          </cell>
        </row>
        <row r="1186">
          <cell r="AA1186">
            <v>2</v>
          </cell>
          <cell r="AR1186" t="b">
            <v>0</v>
          </cell>
          <cell r="BC1186" t="str">
            <v/>
          </cell>
          <cell r="BH1186" t="str">
            <v/>
          </cell>
        </row>
        <row r="1187">
          <cell r="AA1187">
            <v>2</v>
          </cell>
          <cell r="AR1187" t="b">
            <v>0</v>
          </cell>
          <cell r="BC1187" t="str">
            <v/>
          </cell>
          <cell r="BH1187" t="str">
            <v/>
          </cell>
        </row>
        <row r="1188">
          <cell r="AA1188">
            <v>2</v>
          </cell>
          <cell r="BC1188" t="str">
            <v/>
          </cell>
          <cell r="BH1188" t="str">
            <v/>
          </cell>
        </row>
        <row r="1189">
          <cell r="AA1189">
            <v>2</v>
          </cell>
          <cell r="BC1189" t="str">
            <v/>
          </cell>
          <cell r="BH1189" t="str">
            <v/>
          </cell>
        </row>
        <row r="1190">
          <cell r="AA1190">
            <v>2</v>
          </cell>
          <cell r="AR1190" t="b">
            <v>0</v>
          </cell>
          <cell r="BC1190" t="str">
            <v/>
          </cell>
          <cell r="BH1190" t="str">
            <v/>
          </cell>
        </row>
        <row r="1191">
          <cell r="AA1191">
            <v>2</v>
          </cell>
          <cell r="AR1191" t="b">
            <v>0</v>
          </cell>
          <cell r="BC1191" t="str">
            <v/>
          </cell>
          <cell r="BH1191" t="str">
            <v/>
          </cell>
        </row>
        <row r="1192">
          <cell r="AA1192">
            <v>2</v>
          </cell>
          <cell r="BC1192" t="str">
            <v/>
          </cell>
          <cell r="BH1192" t="str">
            <v/>
          </cell>
        </row>
        <row r="1193">
          <cell r="AA1193">
            <v>2</v>
          </cell>
          <cell r="BC1193" t="str">
            <v/>
          </cell>
          <cell r="BH1193" t="str">
            <v/>
          </cell>
        </row>
        <row r="1194">
          <cell r="AA1194">
            <v>2</v>
          </cell>
          <cell r="BC1194" t="str">
            <v/>
          </cell>
          <cell r="BH1194" t="str">
            <v/>
          </cell>
        </row>
        <row r="1195">
          <cell r="AA1195">
            <v>2</v>
          </cell>
          <cell r="BC1195" t="str">
            <v/>
          </cell>
          <cell r="BH1195" t="str">
            <v/>
          </cell>
        </row>
        <row r="1196">
          <cell r="AA1196">
            <v>2</v>
          </cell>
          <cell r="BC1196" t="str">
            <v/>
          </cell>
          <cell r="BH1196" t="str">
            <v/>
          </cell>
        </row>
        <row r="1197">
          <cell r="AA1197">
            <v>2</v>
          </cell>
          <cell r="BC1197" t="str">
            <v/>
          </cell>
          <cell r="BH1197" t="str">
            <v/>
          </cell>
        </row>
        <row r="1198">
          <cell r="AA1198">
            <v>2</v>
          </cell>
          <cell r="BC1198" t="str">
            <v/>
          </cell>
          <cell r="BH1198" t="str">
            <v/>
          </cell>
        </row>
        <row r="1199">
          <cell r="BC1199" t="str">
            <v/>
          </cell>
          <cell r="BH1199" t="str">
            <v/>
          </cell>
        </row>
        <row r="1200">
          <cell r="BC1200" t="str">
            <v/>
          </cell>
          <cell r="BH1200" t="str">
            <v/>
          </cell>
        </row>
        <row r="1201">
          <cell r="AA1201">
            <v>2</v>
          </cell>
          <cell r="BC1201" t="str">
            <v/>
          </cell>
          <cell r="BH1201" t="str">
            <v/>
          </cell>
        </row>
        <row r="1202">
          <cell r="AA1202">
            <v>2</v>
          </cell>
          <cell r="BC1202" t="str">
            <v/>
          </cell>
          <cell r="BH1202" t="str">
            <v/>
          </cell>
        </row>
        <row r="1203">
          <cell r="AA1203">
            <v>2</v>
          </cell>
          <cell r="BC1203" t="str">
            <v/>
          </cell>
          <cell r="BH1203" t="str">
            <v/>
          </cell>
        </row>
        <row r="1204">
          <cell r="AA1204">
            <v>2</v>
          </cell>
          <cell r="BC1204" t="str">
            <v/>
          </cell>
          <cell r="BH1204" t="str">
            <v/>
          </cell>
        </row>
        <row r="1205">
          <cell r="BC1205" t="str">
            <v/>
          </cell>
          <cell r="BH1205" t="str">
            <v/>
          </cell>
        </row>
        <row r="1206">
          <cell r="BC1206" t="str">
            <v/>
          </cell>
          <cell r="BH1206" t="str">
            <v/>
          </cell>
        </row>
        <row r="1207">
          <cell r="AA1207">
            <v>2</v>
          </cell>
          <cell r="AR1207" t="b">
            <v>0</v>
          </cell>
          <cell r="BC1207" t="str">
            <v/>
          </cell>
          <cell r="BH1207" t="str">
            <v/>
          </cell>
        </row>
        <row r="1208">
          <cell r="AA1208">
            <v>2</v>
          </cell>
          <cell r="BC1208" t="str">
            <v/>
          </cell>
          <cell r="BH1208" t="str">
            <v/>
          </cell>
        </row>
        <row r="1209">
          <cell r="AA1209">
            <v>2</v>
          </cell>
          <cell r="BC1209" t="str">
            <v/>
          </cell>
          <cell r="BH1209" t="str">
            <v/>
          </cell>
        </row>
        <row r="1210">
          <cell r="AA1210">
            <v>2</v>
          </cell>
          <cell r="BC1210" t="str">
            <v/>
          </cell>
          <cell r="BH1210" t="str">
            <v/>
          </cell>
        </row>
        <row r="1211">
          <cell r="AA1211">
            <v>2</v>
          </cell>
          <cell r="BC1211" t="str">
            <v/>
          </cell>
          <cell r="BH1211" t="str">
            <v/>
          </cell>
        </row>
        <row r="1212">
          <cell r="BC1212" t="str">
            <v/>
          </cell>
          <cell r="BH1212" t="str">
            <v/>
          </cell>
        </row>
        <row r="1213">
          <cell r="BC1213" t="str">
            <v/>
          </cell>
          <cell r="BH1213" t="str">
            <v/>
          </cell>
        </row>
        <row r="1214">
          <cell r="AA1214">
            <v>2</v>
          </cell>
          <cell r="BC1214" t="str">
            <v/>
          </cell>
          <cell r="BH1214" t="str">
            <v/>
          </cell>
        </row>
        <row r="1215">
          <cell r="BC1215" t="str">
            <v/>
          </cell>
          <cell r="BH1215" t="str">
            <v/>
          </cell>
        </row>
        <row r="1216">
          <cell r="BC1216" t="str">
            <v/>
          </cell>
          <cell r="BH1216" t="str">
            <v/>
          </cell>
        </row>
        <row r="1217">
          <cell r="BC1217" t="str">
            <v/>
          </cell>
          <cell r="BH1217" t="str">
            <v/>
          </cell>
        </row>
        <row r="1218">
          <cell r="AA1218">
            <v>2</v>
          </cell>
          <cell r="BC1218" t="str">
            <v/>
          </cell>
          <cell r="BH1218" t="str">
            <v/>
          </cell>
        </row>
        <row r="1219">
          <cell r="AA1219">
            <v>2</v>
          </cell>
          <cell r="BC1219" t="str">
            <v/>
          </cell>
          <cell r="BH1219" t="str">
            <v/>
          </cell>
        </row>
        <row r="1220">
          <cell r="AA1220">
            <v>2</v>
          </cell>
          <cell r="BC1220" t="str">
            <v/>
          </cell>
          <cell r="BH1220" t="str">
            <v/>
          </cell>
        </row>
        <row r="1221">
          <cell r="BC1221" t="str">
            <v/>
          </cell>
          <cell r="BH1221" t="str">
            <v/>
          </cell>
        </row>
        <row r="1222">
          <cell r="BC1222" t="str">
            <v/>
          </cell>
          <cell r="BH1222" t="str">
            <v/>
          </cell>
        </row>
        <row r="1223">
          <cell r="BC1223" t="str">
            <v/>
          </cell>
          <cell r="BH1223" t="str">
            <v/>
          </cell>
        </row>
        <row r="1224">
          <cell r="BC1224" t="str">
            <v/>
          </cell>
          <cell r="BH1224" t="str">
            <v/>
          </cell>
        </row>
        <row r="1225">
          <cell r="AA1225">
            <v>2</v>
          </cell>
          <cell r="BC1225" t="str">
            <v/>
          </cell>
          <cell r="BH1225" t="str">
            <v/>
          </cell>
        </row>
        <row r="1226">
          <cell r="AA1226">
            <v>2</v>
          </cell>
          <cell r="BC1226" t="str">
            <v/>
          </cell>
          <cell r="BH1226" t="str">
            <v/>
          </cell>
        </row>
        <row r="1227">
          <cell r="AA1227">
            <v>2</v>
          </cell>
          <cell r="BC1227" t="str">
            <v/>
          </cell>
          <cell r="BH1227" t="str">
            <v/>
          </cell>
        </row>
        <row r="1228">
          <cell r="AA1228">
            <v>2</v>
          </cell>
          <cell r="BC1228" t="str">
            <v/>
          </cell>
          <cell r="BH1228" t="str">
            <v/>
          </cell>
        </row>
        <row r="1229">
          <cell r="BC1229" t="str">
            <v/>
          </cell>
          <cell r="BH1229" t="str">
            <v/>
          </cell>
        </row>
        <row r="1230">
          <cell r="BC1230" t="str">
            <v/>
          </cell>
          <cell r="BH1230" t="str">
            <v/>
          </cell>
        </row>
        <row r="1231">
          <cell r="AA1231">
            <v>2</v>
          </cell>
          <cell r="BC1231" t="str">
            <v/>
          </cell>
          <cell r="BH1231" t="str">
            <v/>
          </cell>
        </row>
        <row r="1232">
          <cell r="AA1232">
            <v>2</v>
          </cell>
          <cell r="AR1232" t="b">
            <v>0</v>
          </cell>
          <cell r="BC1232" t="str">
            <v/>
          </cell>
          <cell r="BH1232" t="str">
            <v/>
          </cell>
        </row>
        <row r="1233">
          <cell r="BC1233" t="str">
            <v/>
          </cell>
          <cell r="BH1233" t="str">
            <v/>
          </cell>
        </row>
        <row r="1234">
          <cell r="BC1234" t="str">
            <v/>
          </cell>
          <cell r="BH1234" t="str">
            <v/>
          </cell>
        </row>
        <row r="1235">
          <cell r="AA1235">
            <v>2</v>
          </cell>
          <cell r="AR1235" t="b">
            <v>0</v>
          </cell>
          <cell r="BC1235" t="str">
            <v/>
          </cell>
          <cell r="BH1235" t="str">
            <v/>
          </cell>
        </row>
        <row r="1236">
          <cell r="AA1236">
            <v>2</v>
          </cell>
          <cell r="BC1236" t="str">
            <v/>
          </cell>
          <cell r="BH1236" t="str">
            <v/>
          </cell>
        </row>
        <row r="1237">
          <cell r="AA1237">
            <v>2</v>
          </cell>
          <cell r="BC1237" t="str">
            <v/>
          </cell>
          <cell r="BH1237" t="str">
            <v/>
          </cell>
        </row>
        <row r="1238">
          <cell r="AA1238">
            <v>2</v>
          </cell>
          <cell r="BC1238" t="str">
            <v/>
          </cell>
          <cell r="BH1238" t="str">
            <v/>
          </cell>
        </row>
        <row r="1239">
          <cell r="AA1239">
            <v>2</v>
          </cell>
          <cell r="BC1239" t="str">
            <v/>
          </cell>
          <cell r="BH1239" t="str">
            <v/>
          </cell>
        </row>
        <row r="1240">
          <cell r="AA1240">
            <v>2</v>
          </cell>
          <cell r="BC1240" t="str">
            <v/>
          </cell>
          <cell r="BH1240" t="str">
            <v/>
          </cell>
        </row>
        <row r="1241">
          <cell r="BC1241" t="str">
            <v/>
          </cell>
          <cell r="BH1241" t="str">
            <v/>
          </cell>
        </row>
        <row r="1242">
          <cell r="BC1242" t="str">
            <v/>
          </cell>
          <cell r="BH1242" t="str">
            <v/>
          </cell>
        </row>
        <row r="1243">
          <cell r="AA1243">
            <v>2</v>
          </cell>
          <cell r="AR1243" t="b">
            <v>0</v>
          </cell>
          <cell r="BC1243" t="str">
            <v/>
          </cell>
          <cell r="BH1243" t="str">
            <v/>
          </cell>
        </row>
        <row r="1244">
          <cell r="AA1244">
            <v>2</v>
          </cell>
          <cell r="BC1244" t="str">
            <v/>
          </cell>
          <cell r="BH1244" t="str">
            <v/>
          </cell>
        </row>
        <row r="1245">
          <cell r="AA1245">
            <v>2</v>
          </cell>
          <cell r="BC1245" t="str">
            <v/>
          </cell>
          <cell r="BH1245" t="str">
            <v/>
          </cell>
        </row>
        <row r="1246">
          <cell r="AA1246">
            <v>2</v>
          </cell>
          <cell r="AR1246" t="b">
            <v>0</v>
          </cell>
          <cell r="BC1246" t="str">
            <v/>
          </cell>
          <cell r="BH1246" t="str">
            <v/>
          </cell>
        </row>
        <row r="1247">
          <cell r="AA1247">
            <v>2</v>
          </cell>
          <cell r="BC1247" t="str">
            <v/>
          </cell>
          <cell r="BH1247" t="str">
            <v/>
          </cell>
        </row>
        <row r="1248">
          <cell r="AA1248">
            <v>2</v>
          </cell>
          <cell r="BC1248" t="str">
            <v/>
          </cell>
          <cell r="BH1248" t="str">
            <v/>
          </cell>
        </row>
        <row r="1249">
          <cell r="AA1249">
            <v>2</v>
          </cell>
          <cell r="AR1249" t="b">
            <v>0</v>
          </cell>
          <cell r="BC1249" t="str">
            <v/>
          </cell>
          <cell r="BH1249" t="str">
            <v/>
          </cell>
        </row>
        <row r="1250">
          <cell r="AA1250">
            <v>2</v>
          </cell>
          <cell r="BC1250" t="str">
            <v/>
          </cell>
          <cell r="BH1250" t="str">
            <v/>
          </cell>
        </row>
        <row r="1251">
          <cell r="AA1251">
            <v>2</v>
          </cell>
          <cell r="BC1251" t="str">
            <v/>
          </cell>
          <cell r="BH1251" t="str">
            <v/>
          </cell>
        </row>
        <row r="1252">
          <cell r="AA1252">
            <v>2</v>
          </cell>
          <cell r="AR1252" t="b">
            <v>0</v>
          </cell>
          <cell r="BC1252" t="str">
            <v/>
          </cell>
          <cell r="BH1252" t="str">
            <v/>
          </cell>
        </row>
        <row r="1253">
          <cell r="AA1253">
            <v>2</v>
          </cell>
          <cell r="BC1253" t="str">
            <v/>
          </cell>
          <cell r="BH1253" t="str">
            <v/>
          </cell>
        </row>
        <row r="1254">
          <cell r="AA1254">
            <v>2</v>
          </cell>
          <cell r="BC1254" t="str">
            <v/>
          </cell>
          <cell r="BH1254" t="str">
            <v/>
          </cell>
        </row>
        <row r="1255">
          <cell r="AA1255">
            <v>2</v>
          </cell>
          <cell r="BC1255" t="str">
            <v/>
          </cell>
          <cell r="BH1255" t="str">
            <v/>
          </cell>
        </row>
        <row r="1256">
          <cell r="AA1256">
            <v>2</v>
          </cell>
          <cell r="BC1256" t="str">
            <v/>
          </cell>
          <cell r="BH1256" t="str">
            <v/>
          </cell>
        </row>
        <row r="1257">
          <cell r="AA1257">
            <v>2</v>
          </cell>
          <cell r="BC1257" t="str">
            <v/>
          </cell>
          <cell r="BH1257" t="str">
            <v/>
          </cell>
        </row>
        <row r="1258">
          <cell r="AA1258">
            <v>2</v>
          </cell>
          <cell r="BC1258" t="str">
            <v/>
          </cell>
          <cell r="BH1258" t="str">
            <v/>
          </cell>
        </row>
        <row r="1259">
          <cell r="AA1259">
            <v>2</v>
          </cell>
          <cell r="AR1259" t="b">
            <v>0</v>
          </cell>
          <cell r="BC1259" t="str">
            <v/>
          </cell>
          <cell r="BH1259" t="str">
            <v/>
          </cell>
        </row>
        <row r="1260">
          <cell r="AA1260">
            <v>2</v>
          </cell>
          <cell r="BC1260" t="str">
            <v/>
          </cell>
          <cell r="BH1260" t="str">
            <v/>
          </cell>
        </row>
        <row r="1261">
          <cell r="AA1261">
            <v>2</v>
          </cell>
          <cell r="BC1261" t="str">
            <v/>
          </cell>
          <cell r="BH1261" t="str">
            <v/>
          </cell>
        </row>
        <row r="1262">
          <cell r="BC1262" t="str">
            <v/>
          </cell>
          <cell r="BH1262" t="str">
            <v/>
          </cell>
        </row>
        <row r="1263">
          <cell r="BC1263" t="str">
            <v/>
          </cell>
          <cell r="BH1263" t="str">
            <v/>
          </cell>
        </row>
        <row r="1264">
          <cell r="AA1264">
            <v>2</v>
          </cell>
          <cell r="AR1264" t="b">
            <v>0</v>
          </cell>
          <cell r="BC1264" t="str">
            <v/>
          </cell>
          <cell r="BH1264" t="str">
            <v/>
          </cell>
        </row>
        <row r="1265">
          <cell r="AA1265">
            <v>2</v>
          </cell>
          <cell r="AR1265" t="b">
            <v>0</v>
          </cell>
          <cell r="BC1265" t="str">
            <v/>
          </cell>
          <cell r="BH1265" t="str">
            <v/>
          </cell>
        </row>
        <row r="1266">
          <cell r="AA1266">
            <v>2</v>
          </cell>
          <cell r="BC1266" t="str">
            <v/>
          </cell>
          <cell r="BH1266" t="str">
            <v/>
          </cell>
        </row>
        <row r="1267">
          <cell r="AA1267">
            <v>2</v>
          </cell>
          <cell r="AR1267" t="b">
            <v>0</v>
          </cell>
          <cell r="BC1267" t="str">
            <v/>
          </cell>
          <cell r="BH1267" t="str">
            <v/>
          </cell>
        </row>
        <row r="1268">
          <cell r="AA1268">
            <v>2</v>
          </cell>
          <cell r="BC1268" t="str">
            <v/>
          </cell>
          <cell r="BH1268" t="str">
            <v/>
          </cell>
        </row>
        <row r="1269">
          <cell r="AA1269">
            <v>2</v>
          </cell>
          <cell r="BC1269" t="str">
            <v/>
          </cell>
          <cell r="BH1269" t="str">
            <v/>
          </cell>
        </row>
        <row r="1270">
          <cell r="AA1270">
            <v>2</v>
          </cell>
          <cell r="BC1270" t="str">
            <v/>
          </cell>
          <cell r="BH1270" t="str">
            <v/>
          </cell>
        </row>
        <row r="1271">
          <cell r="AA1271">
            <v>2</v>
          </cell>
          <cell r="AR1271" t="b">
            <v>0</v>
          </cell>
          <cell r="BC1271" t="str">
            <v/>
          </cell>
          <cell r="BH1271" t="str">
            <v/>
          </cell>
        </row>
        <row r="1272">
          <cell r="BC1272" t="str">
            <v/>
          </cell>
          <cell r="BH1272" t="str">
            <v/>
          </cell>
        </row>
        <row r="1273">
          <cell r="BC1273" t="str">
            <v/>
          </cell>
          <cell r="BH1273" t="str">
            <v/>
          </cell>
        </row>
        <row r="1274">
          <cell r="AA1274">
            <v>2</v>
          </cell>
          <cell r="BC1274" t="str">
            <v/>
          </cell>
          <cell r="BH1274" t="str">
            <v/>
          </cell>
        </row>
        <row r="1275">
          <cell r="AA1275">
            <v>2</v>
          </cell>
          <cell r="BC1275" t="str">
            <v/>
          </cell>
          <cell r="BH1275" t="str">
            <v/>
          </cell>
        </row>
        <row r="1276">
          <cell r="BC1276" t="str">
            <v/>
          </cell>
          <cell r="BH1276" t="str">
            <v/>
          </cell>
        </row>
        <row r="1277">
          <cell r="BC1277" t="str">
            <v/>
          </cell>
          <cell r="BH1277" t="str">
            <v/>
          </cell>
        </row>
        <row r="1278">
          <cell r="AA1278">
            <v>2</v>
          </cell>
          <cell r="BC1278" t="str">
            <v/>
          </cell>
          <cell r="BH1278" t="str">
            <v/>
          </cell>
        </row>
        <row r="1279">
          <cell r="AA1279">
            <v>2</v>
          </cell>
          <cell r="BC1279" t="str">
            <v/>
          </cell>
          <cell r="BH1279" t="str">
            <v/>
          </cell>
        </row>
        <row r="1280">
          <cell r="AA1280">
            <v>2</v>
          </cell>
          <cell r="BC1280" t="str">
            <v/>
          </cell>
          <cell r="BH1280" t="str">
            <v/>
          </cell>
        </row>
        <row r="1281">
          <cell r="AA1281">
            <v>2</v>
          </cell>
          <cell r="AR1281" t="b">
            <v>0</v>
          </cell>
          <cell r="BC1281" t="str">
            <v/>
          </cell>
          <cell r="BH1281" t="str">
            <v/>
          </cell>
        </row>
        <row r="1282">
          <cell r="AA1282">
            <v>2</v>
          </cell>
          <cell r="BC1282" t="str">
            <v/>
          </cell>
          <cell r="BH1282" t="str">
            <v/>
          </cell>
        </row>
        <row r="1283">
          <cell r="AA1283">
            <v>2</v>
          </cell>
          <cell r="BC1283" t="str">
            <v/>
          </cell>
          <cell r="BH1283" t="str">
            <v/>
          </cell>
        </row>
        <row r="1284">
          <cell r="AA1284">
            <v>2</v>
          </cell>
          <cell r="BC1284" t="str">
            <v/>
          </cell>
          <cell r="BH1284" t="str">
            <v/>
          </cell>
        </row>
        <row r="1285">
          <cell r="AA1285">
            <v>2</v>
          </cell>
          <cell r="BC1285" t="str">
            <v/>
          </cell>
          <cell r="BH1285" t="str">
            <v/>
          </cell>
        </row>
        <row r="1286">
          <cell r="AA1286">
            <v>2</v>
          </cell>
          <cell r="BC1286" t="str">
            <v/>
          </cell>
          <cell r="BH1286" t="str">
            <v/>
          </cell>
        </row>
        <row r="1287">
          <cell r="AA1287">
            <v>2</v>
          </cell>
          <cell r="AR1287" t="b">
            <v>0</v>
          </cell>
          <cell r="BC1287" t="str">
            <v/>
          </cell>
          <cell r="BH1287" t="str">
            <v/>
          </cell>
        </row>
        <row r="1288">
          <cell r="AA1288">
            <v>2</v>
          </cell>
          <cell r="BC1288" t="str">
            <v/>
          </cell>
          <cell r="BH1288" t="str">
            <v/>
          </cell>
        </row>
        <row r="1289">
          <cell r="AA1289">
            <v>2</v>
          </cell>
          <cell r="BC1289" t="str">
            <v/>
          </cell>
          <cell r="BH1289" t="str">
            <v/>
          </cell>
        </row>
        <row r="1290">
          <cell r="AA1290">
            <v>2</v>
          </cell>
          <cell r="AR1290" t="b">
            <v>0</v>
          </cell>
          <cell r="BC1290" t="str">
            <v/>
          </cell>
          <cell r="BH1290" t="str">
            <v/>
          </cell>
        </row>
        <row r="1291">
          <cell r="AA1291">
            <v>2</v>
          </cell>
          <cell r="AR1291" t="b">
            <v>0</v>
          </cell>
          <cell r="BC1291" t="str">
            <v/>
          </cell>
          <cell r="BH1291" t="str">
            <v/>
          </cell>
        </row>
        <row r="1292">
          <cell r="AA1292">
            <v>2</v>
          </cell>
          <cell r="BC1292" t="str">
            <v/>
          </cell>
          <cell r="BH1292" t="str">
            <v/>
          </cell>
        </row>
        <row r="1293">
          <cell r="AA1293">
            <v>2</v>
          </cell>
          <cell r="BC1293" t="str">
            <v/>
          </cell>
          <cell r="BH1293" t="str">
            <v/>
          </cell>
        </row>
        <row r="1294">
          <cell r="AA1294">
            <v>2</v>
          </cell>
          <cell r="BC1294" t="str">
            <v/>
          </cell>
          <cell r="BH1294" t="str">
            <v/>
          </cell>
        </row>
        <row r="1295">
          <cell r="AA1295">
            <v>2</v>
          </cell>
          <cell r="AR1295" t="b">
            <v>0</v>
          </cell>
          <cell r="BC1295" t="str">
            <v/>
          </cell>
          <cell r="BH1295" t="str">
            <v/>
          </cell>
        </row>
        <row r="1296">
          <cell r="AA1296">
            <v>2</v>
          </cell>
          <cell r="BC1296" t="str">
            <v/>
          </cell>
          <cell r="BH1296" t="str">
            <v/>
          </cell>
        </row>
        <row r="1297">
          <cell r="AA1297">
            <v>2</v>
          </cell>
          <cell r="BC1297" t="str">
            <v/>
          </cell>
          <cell r="BH1297" t="str">
            <v/>
          </cell>
        </row>
        <row r="1298">
          <cell r="AA1298">
            <v>2</v>
          </cell>
          <cell r="BC1298" t="str">
            <v/>
          </cell>
          <cell r="BH1298" t="str">
            <v/>
          </cell>
        </row>
        <row r="1299">
          <cell r="AA1299">
            <v>2</v>
          </cell>
          <cell r="BC1299" t="str">
            <v/>
          </cell>
          <cell r="BH1299" t="str">
            <v/>
          </cell>
        </row>
        <row r="1300">
          <cell r="AA1300">
            <v>2</v>
          </cell>
          <cell r="BC1300" t="str">
            <v/>
          </cell>
          <cell r="BH1300" t="str">
            <v/>
          </cell>
        </row>
        <row r="1301">
          <cell r="BC1301" t="str">
            <v/>
          </cell>
          <cell r="BH1301" t="str">
            <v/>
          </cell>
        </row>
        <row r="1302">
          <cell r="AA1302">
            <v>2</v>
          </cell>
          <cell r="BC1302" t="str">
            <v/>
          </cell>
          <cell r="BH1302" t="str">
            <v/>
          </cell>
        </row>
        <row r="1303">
          <cell r="AA1303">
            <v>2</v>
          </cell>
          <cell r="AR1303" t="b">
            <v>0</v>
          </cell>
          <cell r="BC1303" t="str">
            <v/>
          </cell>
          <cell r="BH1303" t="str">
            <v/>
          </cell>
        </row>
        <row r="1304">
          <cell r="AA1304">
            <v>2</v>
          </cell>
          <cell r="AR1304" t="b">
            <v>0</v>
          </cell>
          <cell r="BC1304" t="str">
            <v/>
          </cell>
          <cell r="BH1304" t="str">
            <v/>
          </cell>
        </row>
        <row r="1305">
          <cell r="BC1305" t="str">
            <v/>
          </cell>
          <cell r="BH1305" t="str">
            <v/>
          </cell>
        </row>
        <row r="1306">
          <cell r="BC1306" t="str">
            <v/>
          </cell>
          <cell r="BH1306" t="str">
            <v/>
          </cell>
        </row>
        <row r="1307">
          <cell r="AA1307">
            <v>2</v>
          </cell>
          <cell r="AR1307" t="b">
            <v>0</v>
          </cell>
          <cell r="BC1307" t="str">
            <v/>
          </cell>
          <cell r="BH1307" t="str">
            <v/>
          </cell>
        </row>
        <row r="1308">
          <cell r="AA1308">
            <v>2</v>
          </cell>
          <cell r="BC1308" t="str">
            <v/>
          </cell>
          <cell r="BH1308" t="str">
            <v/>
          </cell>
        </row>
        <row r="1309">
          <cell r="AA1309">
            <v>2</v>
          </cell>
          <cell r="BC1309" t="str">
            <v/>
          </cell>
          <cell r="BH1309" t="str">
            <v/>
          </cell>
        </row>
        <row r="1310">
          <cell r="AA1310">
            <v>2</v>
          </cell>
          <cell r="BC1310" t="str">
            <v/>
          </cell>
          <cell r="BH1310" t="str">
            <v/>
          </cell>
        </row>
        <row r="1311">
          <cell r="BC1311" t="str">
            <v/>
          </cell>
          <cell r="BH1311" t="str">
            <v/>
          </cell>
        </row>
        <row r="1312">
          <cell r="BC1312" t="str">
            <v/>
          </cell>
          <cell r="BH1312" t="str">
            <v/>
          </cell>
        </row>
        <row r="1313">
          <cell r="AA1313">
            <v>0</v>
          </cell>
          <cell r="BC1313" t="str">
            <v/>
          </cell>
          <cell r="BH1313" t="str">
            <v/>
          </cell>
        </row>
        <row r="1314">
          <cell r="AA1314">
            <v>0</v>
          </cell>
          <cell r="AR1314" t="b">
            <v>0</v>
          </cell>
          <cell r="BC1314" t="str">
            <v/>
          </cell>
          <cell r="BH1314" t="str">
            <v/>
          </cell>
        </row>
        <row r="1315">
          <cell r="AA1315">
            <v>0</v>
          </cell>
          <cell r="AR1315" t="b">
            <v>0</v>
          </cell>
          <cell r="BC1315" t="str">
            <v/>
          </cell>
          <cell r="BH1315" t="str">
            <v/>
          </cell>
        </row>
        <row r="1316">
          <cell r="AA1316">
            <v>0</v>
          </cell>
          <cell r="AR1316" t="b">
            <v>0</v>
          </cell>
          <cell r="BC1316" t="str">
            <v/>
          </cell>
          <cell r="BH1316" t="str">
            <v/>
          </cell>
        </row>
        <row r="1317">
          <cell r="AA1317">
            <v>0</v>
          </cell>
          <cell r="BC1317" t="str">
            <v/>
          </cell>
          <cell r="BH1317" t="str">
            <v/>
          </cell>
        </row>
        <row r="1318">
          <cell r="AA1318">
            <v>0</v>
          </cell>
          <cell r="AR1318" t="b">
            <v>0</v>
          </cell>
          <cell r="BC1318" t="str">
            <v/>
          </cell>
          <cell r="BH1318" t="str">
            <v/>
          </cell>
        </row>
        <row r="1319">
          <cell r="AA1319">
            <v>0</v>
          </cell>
          <cell r="BC1319" t="str">
            <v/>
          </cell>
          <cell r="BH1319" t="str">
            <v/>
          </cell>
        </row>
        <row r="1320">
          <cell r="AA1320">
            <v>0</v>
          </cell>
          <cell r="AR1320" t="b">
            <v>0</v>
          </cell>
          <cell r="BC1320" t="str">
            <v/>
          </cell>
          <cell r="BH1320" t="str">
            <v/>
          </cell>
        </row>
        <row r="1321">
          <cell r="AA1321">
            <v>0</v>
          </cell>
          <cell r="BC1321" t="str">
            <v/>
          </cell>
          <cell r="BH1321" t="str">
            <v/>
          </cell>
        </row>
        <row r="1322">
          <cell r="AA1322">
            <v>0</v>
          </cell>
          <cell r="BC1322" t="str">
            <v/>
          </cell>
          <cell r="BH1322" t="str">
            <v/>
          </cell>
        </row>
        <row r="1323">
          <cell r="AA1323">
            <v>0</v>
          </cell>
          <cell r="AP1323">
            <v>1</v>
          </cell>
          <cell r="AR1323" t="b">
            <v>0</v>
          </cell>
          <cell r="BC1323" t="str">
            <v/>
          </cell>
          <cell r="BH1323" t="str">
            <v/>
          </cell>
        </row>
        <row r="1324">
          <cell r="AA1324">
            <v>0</v>
          </cell>
          <cell r="BC1324" t="str">
            <v/>
          </cell>
          <cell r="BH1324" t="str">
            <v/>
          </cell>
        </row>
        <row r="1325">
          <cell r="AA1325">
            <v>0</v>
          </cell>
          <cell r="AR1325" t="b">
            <v>0</v>
          </cell>
          <cell r="BC1325" t="str">
            <v/>
          </cell>
          <cell r="BH1325" t="str">
            <v/>
          </cell>
        </row>
        <row r="1326">
          <cell r="AA1326">
            <v>0</v>
          </cell>
          <cell r="BC1326" t="str">
            <v/>
          </cell>
          <cell r="BH1326" t="str">
            <v/>
          </cell>
        </row>
        <row r="1327">
          <cell r="AA1327">
            <v>0</v>
          </cell>
          <cell r="BC1327" t="str">
            <v/>
          </cell>
          <cell r="BH1327" t="str">
            <v/>
          </cell>
        </row>
        <row r="1328">
          <cell r="AA1328">
            <v>0</v>
          </cell>
          <cell r="AR1328" t="b">
            <v>0</v>
          </cell>
          <cell r="BC1328" t="str">
            <v/>
          </cell>
          <cell r="BH1328" t="str">
            <v/>
          </cell>
        </row>
        <row r="1329">
          <cell r="AA1329">
            <v>0</v>
          </cell>
          <cell r="AR1329" t="b">
            <v>0</v>
          </cell>
          <cell r="BC1329" t="str">
            <v/>
          </cell>
          <cell r="BH1329" t="str">
            <v/>
          </cell>
        </row>
        <row r="1330">
          <cell r="AA1330">
            <v>0</v>
          </cell>
          <cell r="AR1330" t="b">
            <v>0</v>
          </cell>
          <cell r="BC1330" t="str">
            <v/>
          </cell>
          <cell r="BH1330" t="str">
            <v/>
          </cell>
        </row>
        <row r="1331">
          <cell r="AA1331">
            <v>0</v>
          </cell>
          <cell r="AR1331" t="b">
            <v>0</v>
          </cell>
          <cell r="BC1331" t="str">
            <v/>
          </cell>
          <cell r="BH1331" t="str">
            <v/>
          </cell>
        </row>
        <row r="1332">
          <cell r="AA1332">
            <v>0</v>
          </cell>
          <cell r="BC1332" t="str">
            <v/>
          </cell>
          <cell r="BH1332" t="str">
            <v/>
          </cell>
        </row>
        <row r="1333">
          <cell r="AA1333">
            <v>0</v>
          </cell>
          <cell r="BC1333" t="str">
            <v/>
          </cell>
          <cell r="BH1333" t="str">
            <v/>
          </cell>
        </row>
        <row r="1334">
          <cell r="AA1334">
            <v>0</v>
          </cell>
          <cell r="AR1334" t="b">
            <v>0</v>
          </cell>
          <cell r="BC1334" t="str">
            <v/>
          </cell>
          <cell r="BH1334" t="str">
            <v/>
          </cell>
        </row>
        <row r="1335">
          <cell r="BC1335" t="str">
            <v/>
          </cell>
          <cell r="BH1335" t="str">
            <v/>
          </cell>
        </row>
        <row r="1336">
          <cell r="BC1336" t="str">
            <v/>
          </cell>
          <cell r="BH1336" t="str">
            <v/>
          </cell>
        </row>
        <row r="1337">
          <cell r="AA1337">
            <v>0</v>
          </cell>
          <cell r="BC1337" t="str">
            <v/>
          </cell>
          <cell r="BH1337" t="str">
            <v/>
          </cell>
        </row>
        <row r="1338">
          <cell r="AA1338">
            <v>0</v>
          </cell>
          <cell r="BC1338" t="str">
            <v/>
          </cell>
          <cell r="BH1338" t="str">
            <v/>
          </cell>
        </row>
        <row r="1339">
          <cell r="AA1339">
            <v>0</v>
          </cell>
          <cell r="BC1339" t="str">
            <v/>
          </cell>
          <cell r="BH1339" t="str">
            <v/>
          </cell>
        </row>
        <row r="1340">
          <cell r="AA1340">
            <v>0</v>
          </cell>
          <cell r="AR1340" t="b">
            <v>0</v>
          </cell>
          <cell r="BC1340" t="str">
            <v/>
          </cell>
          <cell r="BH1340" t="str">
            <v/>
          </cell>
        </row>
        <row r="1341">
          <cell r="AA1341">
            <v>0</v>
          </cell>
          <cell r="AR1341" t="b">
            <v>0</v>
          </cell>
          <cell r="BC1341" t="str">
            <v/>
          </cell>
          <cell r="BH1341" t="str">
            <v/>
          </cell>
        </row>
        <row r="1342">
          <cell r="AA1342">
            <v>0</v>
          </cell>
          <cell r="BC1342" t="str">
            <v/>
          </cell>
          <cell r="BH1342" t="str">
            <v/>
          </cell>
        </row>
        <row r="1343">
          <cell r="AA1343">
            <v>0</v>
          </cell>
          <cell r="BC1343" t="str">
            <v/>
          </cell>
          <cell r="BH1343" t="str">
            <v/>
          </cell>
        </row>
        <row r="1344">
          <cell r="BC1344" t="str">
            <v/>
          </cell>
          <cell r="BH1344" t="str">
            <v/>
          </cell>
        </row>
        <row r="1345">
          <cell r="BC1345" t="str">
            <v/>
          </cell>
          <cell r="BH1345" t="str">
            <v/>
          </cell>
        </row>
        <row r="1346">
          <cell r="AA1346">
            <v>0</v>
          </cell>
          <cell r="BC1346" t="str">
            <v/>
          </cell>
          <cell r="BH1346" t="str">
            <v/>
          </cell>
        </row>
        <row r="1347">
          <cell r="AA1347">
            <v>0</v>
          </cell>
          <cell r="BC1347" t="str">
            <v/>
          </cell>
          <cell r="BH1347" t="str">
            <v/>
          </cell>
        </row>
        <row r="1348">
          <cell r="AA1348">
            <v>0</v>
          </cell>
          <cell r="BC1348" t="str">
            <v/>
          </cell>
          <cell r="BH1348" t="str">
            <v/>
          </cell>
        </row>
        <row r="1349">
          <cell r="AA1349">
            <v>0</v>
          </cell>
          <cell r="AR1349" t="b">
            <v>0</v>
          </cell>
          <cell r="BC1349" t="str">
            <v/>
          </cell>
          <cell r="BH1349" t="str">
            <v/>
          </cell>
        </row>
        <row r="1350">
          <cell r="AA1350">
            <v>0</v>
          </cell>
          <cell r="BC1350" t="str">
            <v/>
          </cell>
          <cell r="BH1350" t="str">
            <v/>
          </cell>
        </row>
        <row r="1351">
          <cell r="AA1351">
            <v>0</v>
          </cell>
          <cell r="BC1351" t="str">
            <v/>
          </cell>
          <cell r="BH1351" t="str">
            <v/>
          </cell>
        </row>
        <row r="1352">
          <cell r="AA1352">
            <v>0</v>
          </cell>
          <cell r="BC1352" t="str">
            <v/>
          </cell>
          <cell r="BH1352" t="str">
            <v/>
          </cell>
        </row>
        <row r="1353">
          <cell r="AA1353">
            <v>0</v>
          </cell>
          <cell r="AR1353" t="b">
            <v>0</v>
          </cell>
          <cell r="BC1353" t="str">
            <v/>
          </cell>
          <cell r="BH1353" t="str">
            <v/>
          </cell>
        </row>
        <row r="1354">
          <cell r="AA1354">
            <v>0</v>
          </cell>
          <cell r="BC1354" t="str">
            <v/>
          </cell>
          <cell r="BH1354" t="str">
            <v/>
          </cell>
        </row>
        <row r="1355">
          <cell r="AA1355">
            <v>0</v>
          </cell>
          <cell r="BC1355" t="str">
            <v/>
          </cell>
          <cell r="BH1355" t="str">
            <v/>
          </cell>
        </row>
        <row r="1356">
          <cell r="AA1356">
            <v>0</v>
          </cell>
          <cell r="AR1356" t="b">
            <v>0</v>
          </cell>
          <cell r="BC1356" t="str">
            <v/>
          </cell>
          <cell r="BH1356" t="str">
            <v/>
          </cell>
        </row>
        <row r="1357">
          <cell r="AA1357">
            <v>0</v>
          </cell>
          <cell r="AR1357" t="b">
            <v>0</v>
          </cell>
          <cell r="BC1357" t="str">
            <v/>
          </cell>
          <cell r="BH1357" t="str">
            <v/>
          </cell>
        </row>
        <row r="1358">
          <cell r="BC1358" t="str">
            <v/>
          </cell>
          <cell r="BH1358" t="str">
            <v/>
          </cell>
        </row>
        <row r="1359">
          <cell r="BC1359" t="str">
            <v/>
          </cell>
          <cell r="BH1359" t="str">
            <v/>
          </cell>
        </row>
        <row r="1360">
          <cell r="AA1360">
            <v>0</v>
          </cell>
          <cell r="BC1360" t="str">
            <v/>
          </cell>
          <cell r="BH1360" t="str">
            <v/>
          </cell>
        </row>
        <row r="1361">
          <cell r="AA1361">
            <v>0</v>
          </cell>
          <cell r="AR1361" t="b">
            <v>0</v>
          </cell>
          <cell r="BC1361" t="str">
            <v/>
          </cell>
          <cell r="BH1361" t="str">
            <v/>
          </cell>
        </row>
        <row r="1362">
          <cell r="BC1362" t="str">
            <v/>
          </cell>
          <cell r="BH1362" t="str">
            <v/>
          </cell>
        </row>
        <row r="1363">
          <cell r="BC1363" t="str">
            <v/>
          </cell>
          <cell r="BH1363" t="str">
            <v/>
          </cell>
        </row>
        <row r="1364">
          <cell r="AA1364">
            <v>2</v>
          </cell>
          <cell r="AR1364" t="b">
            <v>0</v>
          </cell>
          <cell r="BC1364" t="str">
            <v/>
          </cell>
          <cell r="BH1364" t="str">
            <v/>
          </cell>
        </row>
        <row r="1365">
          <cell r="AA1365">
            <v>2</v>
          </cell>
          <cell r="BC1365" t="str">
            <v/>
          </cell>
          <cell r="BH1365" t="str">
            <v/>
          </cell>
        </row>
        <row r="1366">
          <cell r="AA1366">
            <v>2</v>
          </cell>
          <cell r="BC1366" t="str">
            <v/>
          </cell>
          <cell r="BH1366" t="str">
            <v/>
          </cell>
        </row>
        <row r="1367">
          <cell r="AA1367">
            <v>2</v>
          </cell>
          <cell r="AR1367" t="b">
            <v>0</v>
          </cell>
          <cell r="BC1367" t="str">
            <v/>
          </cell>
          <cell r="BH1367" t="str">
            <v/>
          </cell>
        </row>
        <row r="1368">
          <cell r="AA1368">
            <v>2</v>
          </cell>
          <cell r="AR1368" t="b">
            <v>0</v>
          </cell>
          <cell r="BC1368" t="str">
            <v/>
          </cell>
          <cell r="BH1368" t="str">
            <v/>
          </cell>
        </row>
        <row r="1369">
          <cell r="AA1369">
            <v>2</v>
          </cell>
          <cell r="AR1369" t="b">
            <v>0</v>
          </cell>
          <cell r="BC1369" t="str">
            <v/>
          </cell>
          <cell r="BH1369" t="str">
            <v/>
          </cell>
        </row>
        <row r="1370">
          <cell r="AA1370">
            <v>2</v>
          </cell>
          <cell r="AR1370" t="b">
            <v>0</v>
          </cell>
          <cell r="BC1370" t="str">
            <v/>
          </cell>
          <cell r="BH1370" t="str">
            <v/>
          </cell>
        </row>
        <row r="1371">
          <cell r="AA1371">
            <v>2</v>
          </cell>
          <cell r="BC1371" t="str">
            <v/>
          </cell>
          <cell r="BH1371" t="str">
            <v/>
          </cell>
        </row>
        <row r="1372">
          <cell r="AA1372">
            <v>2</v>
          </cell>
          <cell r="AR1372" t="b">
            <v>0</v>
          </cell>
          <cell r="BC1372" t="str">
            <v/>
          </cell>
          <cell r="BH1372" t="str">
            <v/>
          </cell>
        </row>
        <row r="1373">
          <cell r="AA1373">
            <v>2</v>
          </cell>
          <cell r="BC1373" t="str">
            <v/>
          </cell>
          <cell r="BH1373" t="str">
            <v/>
          </cell>
        </row>
        <row r="1374">
          <cell r="AA1374">
            <v>2</v>
          </cell>
          <cell r="BC1374" t="str">
            <v/>
          </cell>
          <cell r="BH1374" t="str">
            <v/>
          </cell>
        </row>
        <row r="1375">
          <cell r="AA1375">
            <v>2</v>
          </cell>
          <cell r="AR1375" t="b">
            <v>0</v>
          </cell>
          <cell r="BC1375" t="str">
            <v/>
          </cell>
          <cell r="BH1375" t="str">
            <v/>
          </cell>
        </row>
        <row r="1376">
          <cell r="AA1376">
            <v>2</v>
          </cell>
          <cell r="AR1376" t="b">
            <v>0</v>
          </cell>
          <cell r="BC1376" t="str">
            <v/>
          </cell>
          <cell r="BH1376" t="str">
            <v/>
          </cell>
        </row>
        <row r="1377">
          <cell r="AA1377">
            <v>2</v>
          </cell>
          <cell r="BC1377" t="str">
            <v/>
          </cell>
          <cell r="BH1377" t="str">
            <v/>
          </cell>
        </row>
        <row r="1378">
          <cell r="AA1378">
            <v>2</v>
          </cell>
          <cell r="BC1378" t="str">
            <v/>
          </cell>
          <cell r="BH1378" t="str">
            <v/>
          </cell>
        </row>
        <row r="1379">
          <cell r="AA1379">
            <v>2</v>
          </cell>
          <cell r="AR1379" t="b">
            <v>0</v>
          </cell>
          <cell r="BC1379" t="str">
            <v/>
          </cell>
          <cell r="BH1379" t="str">
            <v/>
          </cell>
        </row>
        <row r="1380">
          <cell r="AA1380">
            <v>2</v>
          </cell>
          <cell r="AR1380" t="b">
            <v>0</v>
          </cell>
          <cell r="BC1380" t="str">
            <v/>
          </cell>
          <cell r="BH1380" t="str">
            <v/>
          </cell>
        </row>
        <row r="1381">
          <cell r="AA1381">
            <v>2</v>
          </cell>
          <cell r="BC1381" t="str">
            <v/>
          </cell>
          <cell r="BH1381" t="str">
            <v/>
          </cell>
        </row>
        <row r="1382">
          <cell r="AA1382">
            <v>2</v>
          </cell>
          <cell r="BC1382" t="str">
            <v/>
          </cell>
          <cell r="BH1382" t="str">
            <v/>
          </cell>
        </row>
        <row r="1383">
          <cell r="BC1383" t="str">
            <v/>
          </cell>
          <cell r="BH1383" t="str">
            <v/>
          </cell>
        </row>
        <row r="1384">
          <cell r="AA1384">
            <v>2</v>
          </cell>
          <cell r="BC1384" t="str">
            <v/>
          </cell>
          <cell r="BH1384" t="str">
            <v/>
          </cell>
        </row>
        <row r="1385">
          <cell r="AA1385">
            <v>2</v>
          </cell>
          <cell r="AR1385" t="b">
            <v>0</v>
          </cell>
          <cell r="BC1385" t="str">
            <v/>
          </cell>
          <cell r="BH1385" t="str">
            <v/>
          </cell>
        </row>
        <row r="1386">
          <cell r="AA1386">
            <v>2</v>
          </cell>
          <cell r="AR1386" t="b">
            <v>0</v>
          </cell>
          <cell r="BC1386" t="str">
            <v/>
          </cell>
          <cell r="BH1386" t="str">
            <v/>
          </cell>
        </row>
        <row r="1387">
          <cell r="AA1387">
            <v>2</v>
          </cell>
          <cell r="BC1387" t="str">
            <v/>
          </cell>
          <cell r="BH1387" t="str">
            <v/>
          </cell>
        </row>
        <row r="1388">
          <cell r="AA1388">
            <v>2</v>
          </cell>
          <cell r="BC1388" t="str">
            <v/>
          </cell>
          <cell r="BH1388" t="str">
            <v/>
          </cell>
        </row>
        <row r="1389">
          <cell r="AA1389">
            <v>2</v>
          </cell>
          <cell r="BC1389" t="str">
            <v/>
          </cell>
          <cell r="BH1389" t="str">
            <v/>
          </cell>
        </row>
        <row r="1390">
          <cell r="AA1390">
            <v>2</v>
          </cell>
          <cell r="BC1390" t="str">
            <v/>
          </cell>
          <cell r="BH1390" t="str">
            <v/>
          </cell>
        </row>
        <row r="1391">
          <cell r="AA1391">
            <v>2</v>
          </cell>
          <cell r="BC1391" t="str">
            <v/>
          </cell>
          <cell r="BH1391" t="str">
            <v/>
          </cell>
        </row>
        <row r="1392">
          <cell r="BC1392" t="str">
            <v/>
          </cell>
          <cell r="BH1392" t="str">
            <v/>
          </cell>
        </row>
        <row r="1393">
          <cell r="AA1393">
            <v>2</v>
          </cell>
          <cell r="BC1393" t="str">
            <v/>
          </cell>
          <cell r="BH1393" t="str">
            <v/>
          </cell>
        </row>
        <row r="1394">
          <cell r="AA1394">
            <v>2</v>
          </cell>
          <cell r="BC1394" t="str">
            <v/>
          </cell>
          <cell r="BH1394" t="str">
            <v/>
          </cell>
        </row>
        <row r="1395">
          <cell r="AA1395">
            <v>2</v>
          </cell>
          <cell r="BC1395" t="str">
            <v/>
          </cell>
          <cell r="BH1395" t="str">
            <v/>
          </cell>
        </row>
        <row r="1396">
          <cell r="BC1396" t="str">
            <v/>
          </cell>
          <cell r="BH1396" t="str">
            <v/>
          </cell>
        </row>
        <row r="1397">
          <cell r="BC1397" t="str">
            <v/>
          </cell>
          <cell r="BH1397" t="str">
            <v/>
          </cell>
        </row>
        <row r="1398">
          <cell r="AA1398">
            <v>2</v>
          </cell>
          <cell r="BC1398" t="str">
            <v/>
          </cell>
          <cell r="BH1398" t="str">
            <v/>
          </cell>
        </row>
        <row r="1399">
          <cell r="BC1399" t="str">
            <v/>
          </cell>
          <cell r="BH1399" t="str">
            <v/>
          </cell>
        </row>
        <row r="1400">
          <cell r="BC1400" t="str">
            <v/>
          </cell>
          <cell r="BH1400" t="str">
            <v/>
          </cell>
        </row>
        <row r="1401">
          <cell r="AA1401">
            <v>2</v>
          </cell>
          <cell r="AR1401" t="b">
            <v>0</v>
          </cell>
          <cell r="BC1401" t="str">
            <v/>
          </cell>
          <cell r="BH1401" t="str">
            <v/>
          </cell>
        </row>
        <row r="1402">
          <cell r="BC1402" t="str">
            <v/>
          </cell>
          <cell r="BH1402" t="str">
            <v/>
          </cell>
        </row>
        <row r="1403">
          <cell r="BC1403" t="str">
            <v/>
          </cell>
          <cell r="BH1403" t="str">
            <v/>
          </cell>
        </row>
        <row r="1404">
          <cell r="AA1404">
            <v>2</v>
          </cell>
          <cell r="BC1404" t="str">
            <v/>
          </cell>
          <cell r="BH1404" t="str">
            <v/>
          </cell>
        </row>
        <row r="1405">
          <cell r="AA1405">
            <v>2</v>
          </cell>
          <cell r="BC1405" t="str">
            <v/>
          </cell>
          <cell r="BH1405" t="str">
            <v/>
          </cell>
        </row>
        <row r="1406">
          <cell r="AA1406">
            <v>2</v>
          </cell>
          <cell r="BC1406" t="str">
            <v/>
          </cell>
          <cell r="BH1406" t="str">
            <v/>
          </cell>
        </row>
        <row r="1407">
          <cell r="AA1407">
            <v>2</v>
          </cell>
          <cell r="AR1407" t="b">
            <v>0</v>
          </cell>
          <cell r="BC1407" t="str">
            <v/>
          </cell>
          <cell r="BH1407" t="str">
            <v/>
          </cell>
        </row>
        <row r="1408">
          <cell r="AA1408">
            <v>2</v>
          </cell>
          <cell r="AR1408" t="b">
            <v>0</v>
          </cell>
          <cell r="BC1408" t="str">
            <v/>
          </cell>
          <cell r="BH1408" t="str">
            <v/>
          </cell>
        </row>
        <row r="1409">
          <cell r="AA1409">
            <v>2</v>
          </cell>
          <cell r="BC1409" t="str">
            <v/>
          </cell>
          <cell r="BH1409" t="str">
            <v/>
          </cell>
        </row>
        <row r="1410">
          <cell r="AA1410">
            <v>2</v>
          </cell>
          <cell r="BC1410" t="str">
            <v/>
          </cell>
          <cell r="BH1410" t="str">
            <v/>
          </cell>
        </row>
        <row r="1411">
          <cell r="AA1411">
            <v>2</v>
          </cell>
          <cell r="BC1411" t="str">
            <v/>
          </cell>
          <cell r="BH1411" t="str">
            <v/>
          </cell>
        </row>
        <row r="1412">
          <cell r="AA1412">
            <v>2</v>
          </cell>
          <cell r="BC1412" t="str">
            <v/>
          </cell>
          <cell r="BH1412" t="str">
            <v/>
          </cell>
        </row>
        <row r="1413">
          <cell r="AA1413">
            <v>2</v>
          </cell>
          <cell r="BC1413" t="str">
            <v/>
          </cell>
          <cell r="BH1413" t="str">
            <v/>
          </cell>
        </row>
        <row r="1414">
          <cell r="AA1414">
            <v>2</v>
          </cell>
          <cell r="BC1414" t="str">
            <v/>
          </cell>
          <cell r="BH1414" t="str">
            <v/>
          </cell>
        </row>
        <row r="1415">
          <cell r="AA1415">
            <v>2</v>
          </cell>
          <cell r="AR1415" t="b">
            <v>0</v>
          </cell>
          <cell r="BC1415" t="str">
            <v/>
          </cell>
          <cell r="BH1415" t="str">
            <v/>
          </cell>
        </row>
        <row r="1416">
          <cell r="AA1416">
            <v>2</v>
          </cell>
          <cell r="BC1416" t="str">
            <v/>
          </cell>
          <cell r="BH1416" t="str">
            <v/>
          </cell>
        </row>
        <row r="1417">
          <cell r="AA1417">
            <v>2</v>
          </cell>
          <cell r="BC1417" t="str">
            <v/>
          </cell>
          <cell r="BH1417" t="str">
            <v/>
          </cell>
        </row>
        <row r="1418">
          <cell r="AA1418">
            <v>2</v>
          </cell>
          <cell r="AR1418" t="b">
            <v>0</v>
          </cell>
          <cell r="BC1418" t="str">
            <v/>
          </cell>
          <cell r="BH1418" t="str">
            <v/>
          </cell>
        </row>
        <row r="1419">
          <cell r="AA1419">
            <v>2</v>
          </cell>
          <cell r="BC1419" t="str">
            <v/>
          </cell>
          <cell r="BH1419" t="str">
            <v/>
          </cell>
        </row>
        <row r="1420">
          <cell r="AA1420">
            <v>2</v>
          </cell>
          <cell r="BC1420" t="str">
            <v/>
          </cell>
          <cell r="BH1420" t="str">
            <v/>
          </cell>
        </row>
        <row r="1421">
          <cell r="AA1421">
            <v>2</v>
          </cell>
          <cell r="BC1421" t="str">
            <v/>
          </cell>
          <cell r="BH1421" t="str">
            <v/>
          </cell>
        </row>
        <row r="1422">
          <cell r="AA1422">
            <v>2</v>
          </cell>
          <cell r="AR1422" t="b">
            <v>0</v>
          </cell>
          <cell r="BC1422" t="str">
            <v/>
          </cell>
          <cell r="BH1422" t="str">
            <v/>
          </cell>
        </row>
        <row r="1423">
          <cell r="AA1423">
            <v>2</v>
          </cell>
          <cell r="AR1423" t="b">
            <v>0</v>
          </cell>
          <cell r="BC1423" t="str">
            <v/>
          </cell>
          <cell r="BH1423" t="str">
            <v/>
          </cell>
        </row>
        <row r="1424">
          <cell r="AA1424">
            <v>2</v>
          </cell>
          <cell r="BC1424" t="str">
            <v/>
          </cell>
          <cell r="BH1424" t="str">
            <v/>
          </cell>
        </row>
        <row r="1425">
          <cell r="AA1425">
            <v>2</v>
          </cell>
          <cell r="BC1425" t="str">
            <v/>
          </cell>
          <cell r="BH1425" t="str">
            <v/>
          </cell>
        </row>
        <row r="1426">
          <cell r="AA1426">
            <v>2</v>
          </cell>
          <cell r="AR1426" t="b">
            <v>0</v>
          </cell>
          <cell r="BC1426" t="str">
            <v/>
          </cell>
          <cell r="BH1426" t="str">
            <v/>
          </cell>
        </row>
        <row r="1427">
          <cell r="AA1427">
            <v>2</v>
          </cell>
          <cell r="AR1427" t="b">
            <v>0</v>
          </cell>
          <cell r="BC1427" t="str">
            <v/>
          </cell>
          <cell r="BH1427" t="str">
            <v/>
          </cell>
        </row>
        <row r="1428">
          <cell r="AA1428">
            <v>2</v>
          </cell>
          <cell r="BC1428" t="str">
            <v/>
          </cell>
          <cell r="BH1428" t="str">
            <v/>
          </cell>
        </row>
        <row r="1429">
          <cell r="BC1429" t="str">
            <v/>
          </cell>
          <cell r="BH1429" t="str">
            <v/>
          </cell>
        </row>
        <row r="1430">
          <cell r="BC1430" t="str">
            <v/>
          </cell>
          <cell r="BH1430" t="str">
            <v/>
          </cell>
        </row>
        <row r="1431">
          <cell r="AA1431">
            <v>2</v>
          </cell>
          <cell r="BC1431" t="str">
            <v/>
          </cell>
          <cell r="BH1431" t="str">
            <v/>
          </cell>
        </row>
        <row r="1432">
          <cell r="AA1432">
            <v>2</v>
          </cell>
          <cell r="BC1432" t="str">
            <v/>
          </cell>
          <cell r="BH1432" t="str">
            <v/>
          </cell>
        </row>
        <row r="1433">
          <cell r="BC1433" t="str">
            <v/>
          </cell>
          <cell r="BH1433" t="str">
            <v/>
          </cell>
        </row>
        <row r="1434">
          <cell r="BC1434" t="str">
            <v/>
          </cell>
          <cell r="BH1434" t="str">
            <v/>
          </cell>
        </row>
        <row r="1435">
          <cell r="AA1435">
            <v>2</v>
          </cell>
          <cell r="BC1435" t="str">
            <v/>
          </cell>
          <cell r="BH1435" t="str">
            <v/>
          </cell>
        </row>
        <row r="1436">
          <cell r="AA1436">
            <v>2</v>
          </cell>
          <cell r="BC1436" t="str">
            <v/>
          </cell>
          <cell r="BH1436" t="str">
            <v/>
          </cell>
        </row>
        <row r="1437">
          <cell r="AA1437">
            <v>2</v>
          </cell>
          <cell r="AR1437" t="b">
            <v>0</v>
          </cell>
          <cell r="BC1437" t="str">
            <v/>
          </cell>
          <cell r="BH1437" t="str">
            <v/>
          </cell>
        </row>
        <row r="1438">
          <cell r="AA1438">
            <v>2</v>
          </cell>
          <cell r="AR1438" t="b">
            <v>0</v>
          </cell>
          <cell r="BC1438" t="str">
            <v/>
          </cell>
          <cell r="BH1438" t="str">
            <v/>
          </cell>
        </row>
        <row r="1439">
          <cell r="AA1439">
            <v>2</v>
          </cell>
          <cell r="BC1439" t="str">
            <v/>
          </cell>
          <cell r="BH1439" t="str">
            <v/>
          </cell>
        </row>
        <row r="1440">
          <cell r="AA1440">
            <v>2</v>
          </cell>
          <cell r="AR1440" t="b">
            <v>0</v>
          </cell>
          <cell r="BC1440" t="str">
            <v/>
          </cell>
          <cell r="BH1440" t="str">
            <v/>
          </cell>
        </row>
        <row r="1441">
          <cell r="AA1441">
            <v>2</v>
          </cell>
          <cell r="BC1441" t="str">
            <v/>
          </cell>
          <cell r="BH1441" t="str">
            <v/>
          </cell>
        </row>
        <row r="1442">
          <cell r="AA1442">
            <v>2</v>
          </cell>
          <cell r="AR1442" t="b">
            <v>0</v>
          </cell>
          <cell r="BC1442" t="str">
            <v/>
          </cell>
          <cell r="BH1442" t="str">
            <v/>
          </cell>
        </row>
        <row r="1443">
          <cell r="AA1443">
            <v>2</v>
          </cell>
          <cell r="BC1443" t="str">
            <v/>
          </cell>
          <cell r="BH1443" t="str">
            <v/>
          </cell>
        </row>
        <row r="1444">
          <cell r="AA1444">
            <v>2</v>
          </cell>
          <cell r="BC1444" t="str">
            <v/>
          </cell>
          <cell r="BH1444" t="str">
            <v/>
          </cell>
        </row>
        <row r="1445">
          <cell r="AA1445">
            <v>2</v>
          </cell>
          <cell r="BC1445" t="str">
            <v/>
          </cell>
          <cell r="BH1445" t="str">
            <v/>
          </cell>
        </row>
        <row r="1446">
          <cell r="AA1446">
            <v>2</v>
          </cell>
          <cell r="AR1446" t="b">
            <v>0</v>
          </cell>
          <cell r="BC1446" t="str">
            <v/>
          </cell>
          <cell r="BH1446" t="str">
            <v/>
          </cell>
        </row>
        <row r="1447">
          <cell r="AA1447">
            <v>2</v>
          </cell>
          <cell r="AR1447" t="b">
            <v>0</v>
          </cell>
          <cell r="BC1447" t="str">
            <v/>
          </cell>
          <cell r="BH1447" t="str">
            <v/>
          </cell>
        </row>
        <row r="1448">
          <cell r="AA1448">
            <v>2</v>
          </cell>
          <cell r="BC1448" t="str">
            <v/>
          </cell>
          <cell r="BH1448" t="str">
            <v/>
          </cell>
        </row>
        <row r="1449">
          <cell r="AA1449">
            <v>2</v>
          </cell>
          <cell r="BC1449" t="str">
            <v/>
          </cell>
          <cell r="BH1449" t="str">
            <v/>
          </cell>
        </row>
        <row r="1450">
          <cell r="AA1450">
            <v>2</v>
          </cell>
          <cell r="BC1450" t="str">
            <v/>
          </cell>
          <cell r="BH1450" t="str">
            <v/>
          </cell>
        </row>
        <row r="1451">
          <cell r="AA1451">
            <v>2</v>
          </cell>
          <cell r="BC1451" t="str">
            <v/>
          </cell>
          <cell r="BH1451" t="str">
            <v/>
          </cell>
        </row>
        <row r="1452">
          <cell r="AA1452">
            <v>2</v>
          </cell>
          <cell r="BC1452" t="str">
            <v/>
          </cell>
          <cell r="BH1452" t="str">
            <v/>
          </cell>
        </row>
        <row r="1453">
          <cell r="AA1453">
            <v>2</v>
          </cell>
          <cell r="BC1453" t="str">
            <v/>
          </cell>
          <cell r="BH1453" t="str">
            <v/>
          </cell>
        </row>
        <row r="1454">
          <cell r="AA1454">
            <v>2</v>
          </cell>
          <cell r="BC1454" t="str">
            <v/>
          </cell>
          <cell r="BH1454" t="str">
            <v/>
          </cell>
        </row>
        <row r="1455">
          <cell r="AA1455">
            <v>2</v>
          </cell>
          <cell r="AR1455" t="b">
            <v>0</v>
          </cell>
          <cell r="BC1455" t="str">
            <v/>
          </cell>
          <cell r="BH1455" t="str">
            <v/>
          </cell>
        </row>
        <row r="1456">
          <cell r="AA1456">
            <v>2</v>
          </cell>
          <cell r="BC1456" t="str">
            <v/>
          </cell>
          <cell r="BH1456" t="str">
            <v/>
          </cell>
        </row>
        <row r="1457">
          <cell r="AA1457">
            <v>2</v>
          </cell>
          <cell r="BC1457" t="str">
            <v/>
          </cell>
          <cell r="BH1457" t="str">
            <v/>
          </cell>
        </row>
        <row r="1458">
          <cell r="AA1458">
            <v>2</v>
          </cell>
          <cell r="BC1458" t="str">
            <v/>
          </cell>
          <cell r="BH1458" t="str">
            <v/>
          </cell>
        </row>
        <row r="1459">
          <cell r="AA1459">
            <v>2</v>
          </cell>
          <cell r="BC1459" t="str">
            <v/>
          </cell>
          <cell r="BH1459" t="str">
            <v/>
          </cell>
        </row>
        <row r="1460">
          <cell r="AA1460">
            <v>2</v>
          </cell>
          <cell r="BC1460" t="str">
            <v/>
          </cell>
          <cell r="BH1460" t="str">
            <v/>
          </cell>
        </row>
        <row r="1461">
          <cell r="BC1461" t="str">
            <v/>
          </cell>
          <cell r="BH1461" t="str">
            <v/>
          </cell>
        </row>
        <row r="1462">
          <cell r="BC1462" t="str">
            <v/>
          </cell>
          <cell r="BH1462" t="str">
            <v/>
          </cell>
        </row>
        <row r="1463">
          <cell r="AA1463">
            <v>2</v>
          </cell>
          <cell r="BC1463" t="str">
            <v/>
          </cell>
          <cell r="BH1463" t="str">
            <v/>
          </cell>
        </row>
        <row r="1464">
          <cell r="AA1464">
            <v>2</v>
          </cell>
          <cell r="BC1464" t="str">
            <v/>
          </cell>
          <cell r="BH1464" t="str">
            <v/>
          </cell>
        </row>
        <row r="1465">
          <cell r="AA1465">
            <v>2</v>
          </cell>
          <cell r="BC1465" t="str">
            <v/>
          </cell>
          <cell r="BH1465" t="str">
            <v/>
          </cell>
        </row>
        <row r="1466">
          <cell r="AA1466">
            <v>2</v>
          </cell>
          <cell r="BC1466" t="str">
            <v/>
          </cell>
          <cell r="BH1466" t="str">
            <v/>
          </cell>
        </row>
        <row r="1467">
          <cell r="AA1467">
            <v>2</v>
          </cell>
          <cell r="BC1467" t="str">
            <v/>
          </cell>
          <cell r="BH1467" t="str">
            <v/>
          </cell>
        </row>
        <row r="1468">
          <cell r="AA1468">
            <v>2</v>
          </cell>
          <cell r="BC1468" t="str">
            <v/>
          </cell>
          <cell r="BH1468" t="str">
            <v/>
          </cell>
        </row>
        <row r="1469">
          <cell r="AA1469">
            <v>2</v>
          </cell>
          <cell r="AR1469" t="b">
            <v>0</v>
          </cell>
          <cell r="BC1469" t="str">
            <v/>
          </cell>
          <cell r="BH1469" t="str">
            <v/>
          </cell>
        </row>
        <row r="1470">
          <cell r="AA1470">
            <v>2</v>
          </cell>
          <cell r="AR1470" t="b">
            <v>0</v>
          </cell>
          <cell r="BC1470" t="str">
            <v/>
          </cell>
          <cell r="BH1470" t="str">
            <v/>
          </cell>
        </row>
        <row r="1471">
          <cell r="AA1471">
            <v>2</v>
          </cell>
          <cell r="BC1471" t="str">
            <v/>
          </cell>
          <cell r="BH1471" t="str">
            <v/>
          </cell>
        </row>
        <row r="1472">
          <cell r="AA1472">
            <v>2</v>
          </cell>
          <cell r="BC1472" t="str">
            <v/>
          </cell>
          <cell r="BH1472" t="str">
            <v/>
          </cell>
        </row>
        <row r="1473">
          <cell r="AA1473">
            <v>2</v>
          </cell>
          <cell r="BC1473" t="str">
            <v/>
          </cell>
          <cell r="BH1473" t="str">
            <v/>
          </cell>
        </row>
        <row r="1474">
          <cell r="AA1474">
            <v>2</v>
          </cell>
          <cell r="BC1474" t="str">
            <v/>
          </cell>
          <cell r="BH1474" t="str">
            <v/>
          </cell>
        </row>
        <row r="1475">
          <cell r="AA1475">
            <v>2</v>
          </cell>
          <cell r="BC1475" t="str">
            <v/>
          </cell>
          <cell r="BH1475" t="str">
            <v/>
          </cell>
        </row>
        <row r="1476">
          <cell r="AA1476">
            <v>2</v>
          </cell>
          <cell r="BC1476" t="str">
            <v/>
          </cell>
          <cell r="BH1476" t="str">
            <v/>
          </cell>
        </row>
        <row r="1477">
          <cell r="BC1477" t="str">
            <v/>
          </cell>
          <cell r="BH1477" t="str">
            <v/>
          </cell>
        </row>
        <row r="1478">
          <cell r="BC1478" t="str">
            <v/>
          </cell>
          <cell r="BH1478" t="str">
            <v/>
          </cell>
        </row>
        <row r="1479">
          <cell r="AA1479">
            <v>2</v>
          </cell>
          <cell r="BC1479" t="str">
            <v/>
          </cell>
          <cell r="BH1479" t="str">
            <v/>
          </cell>
        </row>
        <row r="1480">
          <cell r="AA1480">
            <v>2</v>
          </cell>
          <cell r="BC1480" t="str">
            <v/>
          </cell>
          <cell r="BH1480" t="str">
            <v/>
          </cell>
        </row>
        <row r="1481">
          <cell r="AA1481">
            <v>2</v>
          </cell>
          <cell r="BC1481" t="str">
            <v/>
          </cell>
          <cell r="BH1481" t="str">
            <v/>
          </cell>
        </row>
        <row r="1482">
          <cell r="AA1482">
            <v>2</v>
          </cell>
          <cell r="BC1482" t="str">
            <v/>
          </cell>
          <cell r="BH1482" t="str">
            <v/>
          </cell>
        </row>
        <row r="1483">
          <cell r="BC1483" t="str">
            <v/>
          </cell>
          <cell r="BH1483" t="str">
            <v/>
          </cell>
        </row>
        <row r="1484">
          <cell r="BC1484" t="str">
            <v/>
          </cell>
          <cell r="BH1484" t="str">
            <v/>
          </cell>
        </row>
        <row r="1485">
          <cell r="AA1485">
            <v>2</v>
          </cell>
          <cell r="BC1485" t="str">
            <v/>
          </cell>
          <cell r="BH1485" t="str">
            <v/>
          </cell>
        </row>
        <row r="1486">
          <cell r="AA1486">
            <v>2</v>
          </cell>
          <cell r="BC1486" t="str">
            <v/>
          </cell>
          <cell r="BH1486" t="str">
            <v/>
          </cell>
        </row>
        <row r="1487">
          <cell r="AA1487">
            <v>2</v>
          </cell>
          <cell r="AR1487" t="b">
            <v>0</v>
          </cell>
          <cell r="BC1487" t="str">
            <v/>
          </cell>
          <cell r="BH1487" t="str">
            <v/>
          </cell>
        </row>
        <row r="1488">
          <cell r="AA1488">
            <v>2</v>
          </cell>
          <cell r="AR1488" t="b">
            <v>0</v>
          </cell>
          <cell r="BC1488" t="str">
            <v/>
          </cell>
          <cell r="BH1488" t="str">
            <v/>
          </cell>
        </row>
        <row r="1489">
          <cell r="AA1489">
            <v>2</v>
          </cell>
          <cell r="AR1489" t="b">
            <v>0</v>
          </cell>
          <cell r="BC1489" t="str">
            <v/>
          </cell>
          <cell r="BH1489" t="str">
            <v/>
          </cell>
        </row>
        <row r="1490">
          <cell r="AA1490">
            <v>2</v>
          </cell>
          <cell r="AR1490" t="b">
            <v>0</v>
          </cell>
          <cell r="BC1490" t="str">
            <v/>
          </cell>
          <cell r="BH1490" t="str">
            <v/>
          </cell>
        </row>
        <row r="1491">
          <cell r="AA1491">
            <v>2</v>
          </cell>
          <cell r="BC1491" t="str">
            <v/>
          </cell>
          <cell r="BH1491" t="str">
            <v/>
          </cell>
        </row>
        <row r="1492">
          <cell r="AA1492">
            <v>2</v>
          </cell>
          <cell r="AR1492" t="b">
            <v>0</v>
          </cell>
          <cell r="BC1492" t="str">
            <v/>
          </cell>
          <cell r="BH1492" t="str">
            <v/>
          </cell>
        </row>
        <row r="1493">
          <cell r="AA1493">
            <v>2</v>
          </cell>
          <cell r="BC1493" t="str">
            <v/>
          </cell>
          <cell r="BH1493" t="str">
            <v/>
          </cell>
        </row>
        <row r="1494">
          <cell r="AA1494">
            <v>2</v>
          </cell>
          <cell r="AQ1494">
            <v>0</v>
          </cell>
          <cell r="BC1494" t="str">
            <v/>
          </cell>
          <cell r="BH1494" t="str">
            <v/>
          </cell>
        </row>
        <row r="1495">
          <cell r="AA1495">
            <v>2</v>
          </cell>
          <cell r="BC1495" t="str">
            <v/>
          </cell>
          <cell r="BH1495" t="str">
            <v/>
          </cell>
        </row>
        <row r="1496">
          <cell r="AA1496">
            <v>2</v>
          </cell>
          <cell r="BC1496" t="str">
            <v/>
          </cell>
          <cell r="BH1496" t="str">
            <v/>
          </cell>
        </row>
        <row r="1497">
          <cell r="AA1497">
            <v>2</v>
          </cell>
          <cell r="BC1497" t="str">
            <v/>
          </cell>
          <cell r="BH1497" t="str">
            <v/>
          </cell>
        </row>
        <row r="1498">
          <cell r="AA1498">
            <v>2</v>
          </cell>
          <cell r="BC1498" t="str">
            <v/>
          </cell>
          <cell r="BH1498" t="str">
            <v/>
          </cell>
        </row>
        <row r="1499">
          <cell r="AA1499">
            <v>2</v>
          </cell>
          <cell r="BC1499" t="str">
            <v/>
          </cell>
          <cell r="BH1499" t="str">
            <v/>
          </cell>
        </row>
        <row r="1500">
          <cell r="AA1500">
            <v>2</v>
          </cell>
          <cell r="BC1500" t="str">
            <v/>
          </cell>
          <cell r="BH1500" t="str">
            <v/>
          </cell>
        </row>
        <row r="1501">
          <cell r="AA1501">
            <v>2</v>
          </cell>
          <cell r="BC1501" t="str">
            <v/>
          </cell>
          <cell r="BH1501" t="str">
            <v/>
          </cell>
        </row>
        <row r="1502">
          <cell r="AA1502">
            <v>2</v>
          </cell>
          <cell r="AR1502" t="b">
            <v>0</v>
          </cell>
          <cell r="BC1502" t="str">
            <v/>
          </cell>
          <cell r="BH1502" t="str">
            <v/>
          </cell>
        </row>
        <row r="1503">
          <cell r="AA1503">
            <v>2</v>
          </cell>
          <cell r="AR1503" t="b">
            <v>0</v>
          </cell>
          <cell r="BC1503" t="str">
            <v/>
          </cell>
          <cell r="BH1503" t="str">
            <v/>
          </cell>
        </row>
        <row r="1504">
          <cell r="AA1504">
            <v>2</v>
          </cell>
          <cell r="BC1504" t="str">
            <v/>
          </cell>
          <cell r="BH1504" t="str">
            <v/>
          </cell>
        </row>
        <row r="1505">
          <cell r="AA1505">
            <v>2</v>
          </cell>
          <cell r="BC1505" t="str">
            <v/>
          </cell>
          <cell r="BH1505" t="str">
            <v/>
          </cell>
        </row>
        <row r="1506">
          <cell r="AA1506">
            <v>2</v>
          </cell>
          <cell r="BC1506" t="str">
            <v/>
          </cell>
          <cell r="BH1506" t="str">
            <v/>
          </cell>
        </row>
        <row r="1507">
          <cell r="AA1507">
            <v>2</v>
          </cell>
          <cell r="BC1507" t="str">
            <v/>
          </cell>
          <cell r="BH1507" t="str">
            <v/>
          </cell>
        </row>
        <row r="1508">
          <cell r="AA1508">
            <v>2</v>
          </cell>
          <cell r="BC1508" t="str">
            <v/>
          </cell>
          <cell r="BH1508" t="str">
            <v/>
          </cell>
        </row>
        <row r="1509">
          <cell r="AA1509">
            <v>2</v>
          </cell>
          <cell r="AR1509" t="b">
            <v>0</v>
          </cell>
          <cell r="BC1509" t="str">
            <v/>
          </cell>
          <cell r="BH1509" t="str">
            <v/>
          </cell>
        </row>
        <row r="1510">
          <cell r="AA1510">
            <v>2</v>
          </cell>
          <cell r="BC1510" t="str">
            <v/>
          </cell>
          <cell r="BH1510" t="str">
            <v/>
          </cell>
        </row>
        <row r="1511">
          <cell r="AA1511">
            <v>2</v>
          </cell>
          <cell r="AR1511" t="b">
            <v>0</v>
          </cell>
          <cell r="BC1511" t="str">
            <v/>
          </cell>
          <cell r="BH1511" t="str">
            <v/>
          </cell>
        </row>
        <row r="1512">
          <cell r="AA1512">
            <v>2</v>
          </cell>
          <cell r="AR1512" t="b">
            <v>0</v>
          </cell>
          <cell r="BC1512" t="str">
            <v/>
          </cell>
          <cell r="BH1512" t="str">
            <v/>
          </cell>
        </row>
        <row r="1513">
          <cell r="AA1513">
            <v>2</v>
          </cell>
          <cell r="BC1513" t="str">
            <v/>
          </cell>
          <cell r="BH1513" t="str">
            <v/>
          </cell>
        </row>
        <row r="1514">
          <cell r="AA1514">
            <v>2</v>
          </cell>
          <cell r="AR1514" t="b">
            <v>0</v>
          </cell>
          <cell r="BC1514" t="str">
            <v/>
          </cell>
          <cell r="BH1514" t="str">
            <v/>
          </cell>
        </row>
        <row r="1515">
          <cell r="AA1515">
            <v>2</v>
          </cell>
          <cell r="BC1515" t="str">
            <v/>
          </cell>
          <cell r="BH1515" t="str">
            <v/>
          </cell>
        </row>
        <row r="1516">
          <cell r="AA1516">
            <v>2</v>
          </cell>
          <cell r="BC1516" t="str">
            <v/>
          </cell>
          <cell r="BH1516" t="str">
            <v/>
          </cell>
        </row>
        <row r="1517">
          <cell r="AA1517">
            <v>2</v>
          </cell>
          <cell r="BC1517" t="str">
            <v/>
          </cell>
          <cell r="BH1517" t="str">
            <v/>
          </cell>
        </row>
        <row r="1518">
          <cell r="AA1518">
            <v>2</v>
          </cell>
          <cell r="BC1518" t="str">
            <v/>
          </cell>
          <cell r="BH1518" t="str">
            <v/>
          </cell>
        </row>
        <row r="1519">
          <cell r="BC1519" t="str">
            <v/>
          </cell>
          <cell r="BH1519" t="str">
            <v/>
          </cell>
        </row>
        <row r="1520">
          <cell r="BC1520" t="str">
            <v/>
          </cell>
          <cell r="BH1520" t="str">
            <v/>
          </cell>
        </row>
        <row r="1521">
          <cell r="BC1521" t="str">
            <v/>
          </cell>
          <cell r="BH1521" t="str">
            <v/>
          </cell>
        </row>
        <row r="1522">
          <cell r="AA1522">
            <v>2</v>
          </cell>
          <cell r="AR1522" t="b">
            <v>0</v>
          </cell>
          <cell r="BC1522" t="str">
            <v/>
          </cell>
          <cell r="BH1522" t="str">
            <v/>
          </cell>
        </row>
        <row r="1523">
          <cell r="AA1523">
            <v>2</v>
          </cell>
          <cell r="BC1523" t="str">
            <v/>
          </cell>
          <cell r="BH1523" t="str">
            <v/>
          </cell>
        </row>
        <row r="1524">
          <cell r="AA1524">
            <v>2</v>
          </cell>
          <cell r="AR1524" t="b">
            <v>0</v>
          </cell>
          <cell r="BC1524" t="str">
            <v/>
          </cell>
          <cell r="BH1524" t="str">
            <v/>
          </cell>
        </row>
        <row r="1525">
          <cell r="AA1525">
            <v>2</v>
          </cell>
          <cell r="AP1525">
            <v>1</v>
          </cell>
          <cell r="BC1525" t="str">
            <v/>
          </cell>
          <cell r="BH1525" t="str">
            <v/>
          </cell>
        </row>
        <row r="1526">
          <cell r="AA1526">
            <v>2</v>
          </cell>
          <cell r="BC1526" t="str">
            <v/>
          </cell>
          <cell r="BH1526" t="str">
            <v/>
          </cell>
        </row>
        <row r="1527">
          <cell r="AA1527">
            <v>2</v>
          </cell>
          <cell r="AR1527" t="b">
            <v>0</v>
          </cell>
          <cell r="BC1527" t="str">
            <v/>
          </cell>
          <cell r="BH1527" t="str">
            <v/>
          </cell>
        </row>
        <row r="1528">
          <cell r="AA1528">
            <v>2</v>
          </cell>
          <cell r="AR1528" t="b">
            <v>0</v>
          </cell>
          <cell r="BC1528" t="str">
            <v/>
          </cell>
          <cell r="BH1528" t="str">
            <v/>
          </cell>
        </row>
        <row r="1529">
          <cell r="AA1529">
            <v>2</v>
          </cell>
          <cell r="AR1529" t="b">
            <v>0</v>
          </cell>
          <cell r="BC1529" t="str">
            <v/>
          </cell>
          <cell r="BH1529" t="str">
            <v/>
          </cell>
        </row>
        <row r="1530">
          <cell r="AA1530">
            <v>2</v>
          </cell>
          <cell r="BC1530" t="str">
            <v/>
          </cell>
          <cell r="BH1530" t="str">
            <v/>
          </cell>
        </row>
        <row r="1531">
          <cell r="AA1531">
            <v>2</v>
          </cell>
          <cell r="BC1531" t="str">
            <v/>
          </cell>
          <cell r="BH1531" t="str">
            <v/>
          </cell>
        </row>
        <row r="1532">
          <cell r="AA1532">
            <v>2</v>
          </cell>
          <cell r="AR1532" t="b">
            <v>0</v>
          </cell>
          <cell r="BC1532" t="str">
            <v/>
          </cell>
          <cell r="BH1532" t="str">
            <v/>
          </cell>
        </row>
        <row r="1533">
          <cell r="AA1533">
            <v>2</v>
          </cell>
          <cell r="AR1533" t="b">
            <v>0</v>
          </cell>
          <cell r="BC1533" t="str">
            <v/>
          </cell>
          <cell r="BH1533" t="str">
            <v/>
          </cell>
        </row>
        <row r="1534">
          <cell r="AA1534">
            <v>2</v>
          </cell>
          <cell r="AR1534" t="b">
            <v>0</v>
          </cell>
          <cell r="BC1534" t="str">
            <v/>
          </cell>
          <cell r="BH1534" t="str">
            <v/>
          </cell>
        </row>
        <row r="1535">
          <cell r="AA1535">
            <v>2</v>
          </cell>
          <cell r="AR1535" t="b">
            <v>0</v>
          </cell>
          <cell r="BC1535" t="str">
            <v/>
          </cell>
          <cell r="BH1535" t="str">
            <v/>
          </cell>
        </row>
        <row r="1536">
          <cell r="AA1536">
            <v>2</v>
          </cell>
          <cell r="AR1536" t="b">
            <v>0</v>
          </cell>
          <cell r="BC1536" t="str">
            <v/>
          </cell>
          <cell r="BH1536" t="str">
            <v/>
          </cell>
        </row>
        <row r="1537">
          <cell r="AA1537">
            <v>2</v>
          </cell>
          <cell r="BC1537" t="str">
            <v/>
          </cell>
          <cell r="BH1537" t="str">
            <v/>
          </cell>
        </row>
        <row r="1538">
          <cell r="AA1538">
            <v>2</v>
          </cell>
          <cell r="AO1538" t="str">
            <v/>
          </cell>
          <cell r="AR1538" t="b">
            <v>0</v>
          </cell>
          <cell r="BC1538" t="str">
            <v/>
          </cell>
          <cell r="BH1538" t="str">
            <v/>
          </cell>
        </row>
        <row r="1539">
          <cell r="AA1539">
            <v>2</v>
          </cell>
          <cell r="AO1539" t="str">
            <v/>
          </cell>
          <cell r="AR1539" t="b">
            <v>0</v>
          </cell>
          <cell r="BC1539" t="str">
            <v/>
          </cell>
          <cell r="BH1539" t="str">
            <v/>
          </cell>
        </row>
        <row r="1540">
          <cell r="AA1540">
            <v>2</v>
          </cell>
          <cell r="AO1540" t="str">
            <v/>
          </cell>
          <cell r="AR1540" t="b">
            <v>0</v>
          </cell>
          <cell r="BC1540" t="str">
            <v/>
          </cell>
          <cell r="BH1540" t="str">
            <v/>
          </cell>
        </row>
        <row r="1541">
          <cell r="AA1541">
            <v>2</v>
          </cell>
          <cell r="BC1541" t="str">
            <v/>
          </cell>
          <cell r="BH1541" t="str">
            <v/>
          </cell>
        </row>
        <row r="1542">
          <cell r="AA1542">
            <v>2</v>
          </cell>
          <cell r="AR1542" t="b">
            <v>0</v>
          </cell>
          <cell r="BC1542" t="str">
            <v/>
          </cell>
          <cell r="BH1542" t="str">
            <v/>
          </cell>
        </row>
        <row r="1543">
          <cell r="AA1543">
            <v>2</v>
          </cell>
          <cell r="BC1543" t="str">
            <v/>
          </cell>
          <cell r="BH1543" t="str">
            <v/>
          </cell>
        </row>
        <row r="1544">
          <cell r="AA1544">
            <v>2</v>
          </cell>
          <cell r="BC1544" t="str">
            <v/>
          </cell>
          <cell r="BH1544" t="str">
            <v/>
          </cell>
        </row>
        <row r="1545">
          <cell r="AA1545">
            <v>2</v>
          </cell>
          <cell r="BC1545" t="str">
            <v/>
          </cell>
          <cell r="BH1545" t="str">
            <v/>
          </cell>
        </row>
        <row r="1546">
          <cell r="AA1546">
            <v>2</v>
          </cell>
          <cell r="AR1546" t="b">
            <v>0</v>
          </cell>
          <cell r="BC1546" t="str">
            <v/>
          </cell>
          <cell r="BH1546" t="str">
            <v/>
          </cell>
        </row>
        <row r="1547">
          <cell r="AA1547">
            <v>2</v>
          </cell>
          <cell r="BC1547" t="str">
            <v/>
          </cell>
          <cell r="BH1547" t="str">
            <v/>
          </cell>
        </row>
        <row r="1548">
          <cell r="AA1548">
            <v>2</v>
          </cell>
          <cell r="AR1548" t="b">
            <v>0</v>
          </cell>
          <cell r="BC1548" t="str">
            <v/>
          </cell>
          <cell r="BH1548" t="str">
            <v/>
          </cell>
        </row>
        <row r="1549">
          <cell r="AA1549">
            <v>2</v>
          </cell>
          <cell r="BC1549" t="str">
            <v/>
          </cell>
          <cell r="BH1549" t="str">
            <v/>
          </cell>
        </row>
        <row r="1550">
          <cell r="AA1550">
            <v>2</v>
          </cell>
          <cell r="AR1550" t="b">
            <v>0</v>
          </cell>
          <cell r="BC1550" t="str">
            <v/>
          </cell>
          <cell r="BH1550" t="str">
            <v/>
          </cell>
        </row>
        <row r="1551">
          <cell r="AA1551">
            <v>2</v>
          </cell>
          <cell r="BC1551" t="str">
            <v/>
          </cell>
          <cell r="BH1551" t="str">
            <v/>
          </cell>
        </row>
        <row r="1552">
          <cell r="AA1552">
            <v>2</v>
          </cell>
          <cell r="AR1552" t="b">
            <v>0</v>
          </cell>
          <cell r="BC1552" t="str">
            <v/>
          </cell>
          <cell r="BH1552" t="str">
            <v/>
          </cell>
        </row>
        <row r="1553">
          <cell r="BC1553" t="str">
            <v/>
          </cell>
          <cell r="BH1553" t="str">
            <v/>
          </cell>
        </row>
        <row r="1554">
          <cell r="BC1554" t="str">
            <v/>
          </cell>
          <cell r="BH1554" t="str">
            <v/>
          </cell>
        </row>
        <row r="1555">
          <cell r="AA1555">
            <v>2</v>
          </cell>
          <cell r="BC1555" t="str">
            <v/>
          </cell>
          <cell r="BH1555" t="str">
            <v/>
          </cell>
        </row>
        <row r="1556">
          <cell r="BC1556" t="str">
            <v/>
          </cell>
          <cell r="BH1556" t="str">
            <v/>
          </cell>
        </row>
        <row r="1557">
          <cell r="BC1557" t="str">
            <v/>
          </cell>
          <cell r="BH1557" t="str">
            <v/>
          </cell>
        </row>
        <row r="1558">
          <cell r="AA1558">
            <v>2</v>
          </cell>
          <cell r="BC1558" t="str">
            <v/>
          </cell>
          <cell r="BH1558" t="str">
            <v/>
          </cell>
        </row>
        <row r="1559">
          <cell r="BC1559" t="str">
            <v/>
          </cell>
          <cell r="BH1559" t="str">
            <v/>
          </cell>
        </row>
        <row r="1560">
          <cell r="BC1560" t="str">
            <v/>
          </cell>
          <cell r="BH1560" t="str">
            <v/>
          </cell>
        </row>
        <row r="1561">
          <cell r="AA1561">
            <v>2</v>
          </cell>
          <cell r="BC1561" t="str">
            <v/>
          </cell>
          <cell r="BH1561" t="str">
            <v/>
          </cell>
        </row>
        <row r="1562">
          <cell r="AA1562">
            <v>2</v>
          </cell>
          <cell r="BC1562" t="str">
            <v/>
          </cell>
          <cell r="BH1562" t="str">
            <v/>
          </cell>
        </row>
        <row r="1563">
          <cell r="BC1563" t="str">
            <v/>
          </cell>
          <cell r="BH1563" t="str">
            <v/>
          </cell>
        </row>
        <row r="1564">
          <cell r="BC1564" t="str">
            <v/>
          </cell>
          <cell r="BH1564" t="str">
            <v/>
          </cell>
        </row>
        <row r="1565">
          <cell r="AA1565">
            <v>2</v>
          </cell>
          <cell r="BC1565" t="str">
            <v/>
          </cell>
          <cell r="BH1565" t="str">
            <v/>
          </cell>
        </row>
        <row r="1566">
          <cell r="AA1566">
            <v>2</v>
          </cell>
          <cell r="BC1566" t="str">
            <v/>
          </cell>
          <cell r="BH1566" t="str">
            <v/>
          </cell>
        </row>
        <row r="1567">
          <cell r="AA1567">
            <v>2</v>
          </cell>
          <cell r="BC1567" t="str">
            <v/>
          </cell>
          <cell r="BH1567" t="str">
            <v/>
          </cell>
        </row>
        <row r="1568">
          <cell r="AA1568">
            <v>2</v>
          </cell>
          <cell r="BC1568" t="str">
            <v/>
          </cell>
          <cell r="BH1568" t="str">
            <v/>
          </cell>
        </row>
        <row r="1569">
          <cell r="AA1569">
            <v>2</v>
          </cell>
          <cell r="BC1569" t="str">
            <v/>
          </cell>
          <cell r="BH1569" t="str">
            <v/>
          </cell>
        </row>
        <row r="1570">
          <cell r="AA1570">
            <v>2</v>
          </cell>
          <cell r="BC1570" t="str">
            <v/>
          </cell>
          <cell r="BH1570" t="str">
            <v/>
          </cell>
        </row>
        <row r="1571">
          <cell r="AA1571">
            <v>2</v>
          </cell>
          <cell r="BC1571" t="str">
            <v/>
          </cell>
          <cell r="BH1571" t="str">
            <v/>
          </cell>
        </row>
        <row r="1572">
          <cell r="AA1572">
            <v>2</v>
          </cell>
          <cell r="BC1572" t="str">
            <v/>
          </cell>
          <cell r="BH1572" t="str">
            <v/>
          </cell>
        </row>
        <row r="1573">
          <cell r="AA1573">
            <v>2</v>
          </cell>
          <cell r="BC1573" t="str">
            <v/>
          </cell>
          <cell r="BH1573" t="str">
            <v/>
          </cell>
        </row>
        <row r="1574">
          <cell r="BC1574" t="str">
            <v/>
          </cell>
          <cell r="BH1574" t="str">
            <v/>
          </cell>
        </row>
        <row r="1575">
          <cell r="BC1575" t="str">
            <v/>
          </cell>
          <cell r="BH1575" t="str">
            <v/>
          </cell>
        </row>
        <row r="1576">
          <cell r="AA1576">
            <v>2</v>
          </cell>
          <cell r="AR1576" t="b">
            <v>0</v>
          </cell>
          <cell r="BC1576" t="str">
            <v/>
          </cell>
          <cell r="BH1576" t="str">
            <v/>
          </cell>
        </row>
        <row r="1577">
          <cell r="AA1577">
            <v>2</v>
          </cell>
          <cell r="AR1577" t="b">
            <v>0</v>
          </cell>
          <cell r="BC1577" t="str">
            <v/>
          </cell>
          <cell r="BH1577" t="str">
            <v/>
          </cell>
        </row>
        <row r="1578">
          <cell r="AA1578">
            <v>2</v>
          </cell>
          <cell r="AR1578" t="b">
            <v>0</v>
          </cell>
          <cell r="BC1578" t="str">
            <v/>
          </cell>
          <cell r="BH1578" t="str">
            <v/>
          </cell>
        </row>
        <row r="1579">
          <cell r="AA1579">
            <v>2</v>
          </cell>
          <cell r="BC1579" t="str">
            <v/>
          </cell>
          <cell r="BH1579" t="str">
            <v/>
          </cell>
        </row>
        <row r="1580">
          <cell r="AA1580">
            <v>2</v>
          </cell>
          <cell r="AR1580" t="b">
            <v>0</v>
          </cell>
          <cell r="BC1580" t="str">
            <v/>
          </cell>
          <cell r="BH1580" t="str">
            <v/>
          </cell>
        </row>
        <row r="1581">
          <cell r="AA1581">
            <v>2</v>
          </cell>
          <cell r="AR1581" t="b">
            <v>0</v>
          </cell>
          <cell r="BC1581" t="str">
            <v/>
          </cell>
          <cell r="BH1581" t="str">
            <v/>
          </cell>
        </row>
        <row r="1582">
          <cell r="AA1582">
            <v>2</v>
          </cell>
          <cell r="AR1582" t="b">
            <v>0</v>
          </cell>
          <cell r="BC1582" t="str">
            <v/>
          </cell>
          <cell r="BH1582" t="str">
            <v/>
          </cell>
        </row>
        <row r="1583">
          <cell r="AA1583">
            <v>2</v>
          </cell>
          <cell r="AR1583" t="b">
            <v>0</v>
          </cell>
          <cell r="BC1583" t="str">
            <v/>
          </cell>
          <cell r="BH1583" t="str">
            <v/>
          </cell>
        </row>
        <row r="1584">
          <cell r="AA1584">
            <v>2</v>
          </cell>
          <cell r="AR1584" t="b">
            <v>0</v>
          </cell>
          <cell r="BC1584" t="str">
            <v/>
          </cell>
          <cell r="BH1584" t="str">
            <v/>
          </cell>
        </row>
        <row r="1585">
          <cell r="AA1585">
            <v>2</v>
          </cell>
          <cell r="AR1585" t="b">
            <v>0</v>
          </cell>
          <cell r="BC1585" t="str">
            <v/>
          </cell>
          <cell r="BH1585" t="str">
            <v/>
          </cell>
        </row>
        <row r="1586">
          <cell r="AA1586">
            <v>2</v>
          </cell>
          <cell r="AR1586" t="b">
            <v>0</v>
          </cell>
          <cell r="BC1586" t="str">
            <v/>
          </cell>
          <cell r="BH1586" t="str">
            <v/>
          </cell>
        </row>
        <row r="1587">
          <cell r="AA1587">
            <v>2</v>
          </cell>
          <cell r="BC1587" t="str">
            <v/>
          </cell>
          <cell r="BH1587" t="str">
            <v/>
          </cell>
        </row>
        <row r="1588">
          <cell r="AA1588">
            <v>2</v>
          </cell>
          <cell r="AR1588" t="b">
            <v>0</v>
          </cell>
          <cell r="BC1588" t="str">
            <v/>
          </cell>
          <cell r="BH1588" t="str">
            <v/>
          </cell>
        </row>
        <row r="1589">
          <cell r="AA1589">
            <v>2</v>
          </cell>
          <cell r="AR1589" t="b">
            <v>0</v>
          </cell>
          <cell r="BC1589" t="str">
            <v/>
          </cell>
          <cell r="BH1589" t="str">
            <v/>
          </cell>
        </row>
        <row r="1590">
          <cell r="AA1590">
            <v>2</v>
          </cell>
          <cell r="AR1590" t="b">
            <v>0</v>
          </cell>
          <cell r="BC1590" t="str">
            <v/>
          </cell>
          <cell r="BH1590" t="str">
            <v/>
          </cell>
        </row>
        <row r="1591">
          <cell r="AA1591">
            <v>2</v>
          </cell>
          <cell r="AO1591" t="str">
            <v>Select Vestige</v>
          </cell>
          <cell r="BC1591" t="str">
            <v/>
          </cell>
          <cell r="BH1591" t="str">
            <v/>
          </cell>
        </row>
        <row r="1592">
          <cell r="AA1592">
            <v>2</v>
          </cell>
          <cell r="AO1592" t="str">
            <v/>
          </cell>
          <cell r="AR1592" t="b">
            <v>0</v>
          </cell>
          <cell r="BC1592" t="str">
            <v/>
          </cell>
          <cell r="BH1592" t="str">
            <v/>
          </cell>
        </row>
        <row r="1593">
          <cell r="AA1593">
            <v>2</v>
          </cell>
          <cell r="AO1593" t="str">
            <v/>
          </cell>
          <cell r="AR1593" t="b">
            <v>0</v>
          </cell>
          <cell r="BC1593" t="str">
            <v/>
          </cell>
          <cell r="BH1593" t="str">
            <v/>
          </cell>
        </row>
        <row r="1594">
          <cell r="AA1594">
            <v>2</v>
          </cell>
          <cell r="AO1594" t="str">
            <v/>
          </cell>
          <cell r="AR1594" t="b">
            <v>0</v>
          </cell>
          <cell r="BC1594" t="str">
            <v/>
          </cell>
          <cell r="BH1594" t="str">
            <v/>
          </cell>
        </row>
        <row r="1595">
          <cell r="AA1595">
            <v>2</v>
          </cell>
          <cell r="BC1595" t="str">
            <v/>
          </cell>
          <cell r="BH1595" t="str">
            <v/>
          </cell>
        </row>
        <row r="1596">
          <cell r="AA1596">
            <v>2</v>
          </cell>
          <cell r="AR1596" t="b">
            <v>0</v>
          </cell>
          <cell r="BC1596" t="str">
            <v/>
          </cell>
          <cell r="BH1596" t="str">
            <v/>
          </cell>
        </row>
        <row r="1597">
          <cell r="AA1597">
            <v>2</v>
          </cell>
          <cell r="AR1597" t="b">
            <v>0</v>
          </cell>
          <cell r="BC1597" t="str">
            <v/>
          </cell>
          <cell r="BH1597" t="str">
            <v/>
          </cell>
        </row>
        <row r="1598">
          <cell r="AA1598">
            <v>2</v>
          </cell>
          <cell r="AR1598" t="b">
            <v>0</v>
          </cell>
          <cell r="BC1598" t="str">
            <v/>
          </cell>
          <cell r="BH1598" t="str">
            <v/>
          </cell>
        </row>
        <row r="1599">
          <cell r="AA1599">
            <v>2</v>
          </cell>
          <cell r="BC1599" t="str">
            <v/>
          </cell>
          <cell r="BH1599" t="str">
            <v/>
          </cell>
        </row>
        <row r="1600">
          <cell r="AA1600">
            <v>2</v>
          </cell>
          <cell r="AR1600" t="b">
            <v>0</v>
          </cell>
          <cell r="BC1600" t="str">
            <v/>
          </cell>
          <cell r="BH1600" t="str">
            <v/>
          </cell>
        </row>
        <row r="1601">
          <cell r="AA1601">
            <v>2</v>
          </cell>
          <cell r="AR1601" t="b">
            <v>0</v>
          </cell>
          <cell r="BC1601" t="str">
            <v/>
          </cell>
          <cell r="BH1601" t="str">
            <v/>
          </cell>
        </row>
        <row r="1602">
          <cell r="AA1602">
            <v>2</v>
          </cell>
          <cell r="AR1602" t="b">
            <v>0</v>
          </cell>
          <cell r="BC1602" t="str">
            <v/>
          </cell>
          <cell r="BH1602" t="str">
            <v/>
          </cell>
        </row>
        <row r="1603">
          <cell r="AA1603">
            <v>2</v>
          </cell>
          <cell r="AR1603" t="b">
            <v>0</v>
          </cell>
          <cell r="BC1603" t="str">
            <v/>
          </cell>
          <cell r="BH1603" t="str">
            <v/>
          </cell>
        </row>
        <row r="1604">
          <cell r="AA1604">
            <v>2</v>
          </cell>
          <cell r="AR1604" t="b">
            <v>0</v>
          </cell>
          <cell r="BC1604" t="str">
            <v/>
          </cell>
          <cell r="BH1604" t="str">
            <v/>
          </cell>
        </row>
        <row r="1605">
          <cell r="AA1605">
            <v>2</v>
          </cell>
          <cell r="AR1605" t="b">
            <v>0</v>
          </cell>
          <cell r="BC1605" t="str">
            <v/>
          </cell>
          <cell r="BH1605" t="str">
            <v/>
          </cell>
        </row>
        <row r="1606">
          <cell r="AA1606">
            <v>2</v>
          </cell>
          <cell r="AR1606" t="b">
            <v>0</v>
          </cell>
          <cell r="BC1606" t="str">
            <v/>
          </cell>
          <cell r="BH1606" t="str">
            <v/>
          </cell>
        </row>
        <row r="1607">
          <cell r="AA1607">
            <v>2</v>
          </cell>
          <cell r="AR1607" t="b">
            <v>0</v>
          </cell>
          <cell r="BC1607" t="str">
            <v/>
          </cell>
          <cell r="BH1607" t="str">
            <v/>
          </cell>
        </row>
        <row r="1608">
          <cell r="AA1608">
            <v>2</v>
          </cell>
          <cell r="AR1608" t="b">
            <v>0</v>
          </cell>
          <cell r="BC1608" t="str">
            <v/>
          </cell>
          <cell r="BH1608" t="str">
            <v/>
          </cell>
        </row>
        <row r="1609">
          <cell r="AA1609">
            <v>2</v>
          </cell>
          <cell r="AR1609" t="b">
            <v>0</v>
          </cell>
          <cell r="BC1609" t="str">
            <v/>
          </cell>
          <cell r="BH1609" t="str">
            <v/>
          </cell>
        </row>
        <row r="1610">
          <cell r="AA1610">
            <v>2</v>
          </cell>
          <cell r="BC1610" t="str">
            <v/>
          </cell>
          <cell r="BH1610" t="str">
            <v/>
          </cell>
        </row>
        <row r="1611">
          <cell r="AA1611">
            <v>2</v>
          </cell>
          <cell r="AR1611" t="b">
            <v>0</v>
          </cell>
          <cell r="BC1611" t="str">
            <v/>
          </cell>
          <cell r="BH1611" t="str">
            <v/>
          </cell>
        </row>
        <row r="1612">
          <cell r="AA1612">
            <v>2</v>
          </cell>
          <cell r="AR1612" t="b">
            <v>0</v>
          </cell>
          <cell r="BC1612" t="str">
            <v/>
          </cell>
          <cell r="BH1612" t="str">
            <v/>
          </cell>
        </row>
        <row r="1613">
          <cell r="AA1613">
            <v>2</v>
          </cell>
          <cell r="AR1613" t="b">
            <v>0</v>
          </cell>
          <cell r="BC1613" t="str">
            <v/>
          </cell>
          <cell r="BH1613" t="str">
            <v/>
          </cell>
        </row>
        <row r="1614">
          <cell r="BC1614" t="str">
            <v/>
          </cell>
          <cell r="BH1614" t="str">
            <v/>
          </cell>
        </row>
        <row r="1615">
          <cell r="AA1615">
            <v>2</v>
          </cell>
          <cell r="BC1615" t="str">
            <v/>
          </cell>
          <cell r="BH1615" t="str">
            <v/>
          </cell>
        </row>
        <row r="1616">
          <cell r="AA1616">
            <v>2</v>
          </cell>
          <cell r="BC1616" t="str">
            <v/>
          </cell>
          <cell r="BH1616" t="str">
            <v/>
          </cell>
        </row>
        <row r="1617">
          <cell r="AA1617">
            <v>2</v>
          </cell>
          <cell r="BC1617" t="str">
            <v/>
          </cell>
          <cell r="BH1617" t="str">
            <v/>
          </cell>
        </row>
        <row r="1618">
          <cell r="AA1618">
            <v>2</v>
          </cell>
          <cell r="BC1618" t="str">
            <v/>
          </cell>
          <cell r="BH1618" t="str">
            <v/>
          </cell>
        </row>
        <row r="1619">
          <cell r="AA1619">
            <v>2</v>
          </cell>
          <cell r="BC1619" t="str">
            <v/>
          </cell>
          <cell r="BH1619" t="str">
            <v/>
          </cell>
        </row>
        <row r="1620">
          <cell r="AA1620">
            <v>2</v>
          </cell>
          <cell r="BC1620" t="str">
            <v/>
          </cell>
          <cell r="BH1620" t="str">
            <v/>
          </cell>
        </row>
        <row r="1621">
          <cell r="AA1621">
            <v>2</v>
          </cell>
          <cell r="BC1621" t="str">
            <v/>
          </cell>
          <cell r="BH1621" t="str">
            <v/>
          </cell>
        </row>
        <row r="1622">
          <cell r="AA1622">
            <v>2</v>
          </cell>
          <cell r="BC1622" t="str">
            <v/>
          </cell>
          <cell r="BH1622" t="str">
            <v/>
          </cell>
        </row>
        <row r="1623">
          <cell r="AA1623">
            <v>2</v>
          </cell>
          <cell r="BC1623" t="str">
            <v/>
          </cell>
          <cell r="BH1623" t="str">
            <v/>
          </cell>
        </row>
        <row r="1624">
          <cell r="AA1624">
            <v>2</v>
          </cell>
          <cell r="BC1624" t="str">
            <v/>
          </cell>
          <cell r="BH1624" t="str">
            <v/>
          </cell>
        </row>
        <row r="1625">
          <cell r="AA1625">
            <v>2</v>
          </cell>
          <cell r="BC1625" t="str">
            <v/>
          </cell>
          <cell r="BH1625" t="str">
            <v/>
          </cell>
        </row>
        <row r="1626">
          <cell r="AA1626">
            <v>2</v>
          </cell>
          <cell r="BC1626" t="str">
            <v/>
          </cell>
          <cell r="BH1626" t="str">
            <v/>
          </cell>
        </row>
        <row r="1627">
          <cell r="AA1627">
            <v>2</v>
          </cell>
          <cell r="BC1627" t="str">
            <v/>
          </cell>
          <cell r="BH1627" t="str">
            <v/>
          </cell>
        </row>
        <row r="1628">
          <cell r="AA1628">
            <v>2</v>
          </cell>
          <cell r="BC1628" t="str">
            <v/>
          </cell>
          <cell r="BH1628" t="str">
            <v/>
          </cell>
        </row>
        <row r="1629">
          <cell r="AA1629">
            <v>2</v>
          </cell>
          <cell r="BC1629" t="str">
            <v/>
          </cell>
          <cell r="BH1629" t="str">
            <v/>
          </cell>
        </row>
        <row r="1630">
          <cell r="AA1630">
            <v>2</v>
          </cell>
          <cell r="BC1630" t="str">
            <v/>
          </cell>
          <cell r="BH1630" t="str">
            <v/>
          </cell>
        </row>
        <row r="1631">
          <cell r="AA1631">
            <v>2</v>
          </cell>
          <cell r="BC1631" t="str">
            <v/>
          </cell>
          <cell r="BH1631" t="str">
            <v/>
          </cell>
        </row>
        <row r="1632">
          <cell r="AA1632">
            <v>2</v>
          </cell>
          <cell r="BC1632" t="str">
            <v/>
          </cell>
          <cell r="BH1632" t="str">
            <v/>
          </cell>
        </row>
        <row r="1633">
          <cell r="AA1633">
            <v>2</v>
          </cell>
          <cell r="BC1633" t="str">
            <v/>
          </cell>
          <cell r="BH1633" t="str">
            <v/>
          </cell>
        </row>
        <row r="1634">
          <cell r="AA1634">
            <v>2</v>
          </cell>
          <cell r="BC1634" t="str">
            <v/>
          </cell>
          <cell r="BH1634" t="str">
            <v/>
          </cell>
        </row>
        <row r="1635">
          <cell r="AA1635">
            <v>2</v>
          </cell>
          <cell r="BC1635" t="str">
            <v/>
          </cell>
          <cell r="BH1635" t="str">
            <v/>
          </cell>
        </row>
        <row r="1636">
          <cell r="AA1636">
            <v>2</v>
          </cell>
          <cell r="BC1636" t="str">
            <v/>
          </cell>
          <cell r="BH1636" t="str">
            <v/>
          </cell>
        </row>
        <row r="1637">
          <cell r="AA1637">
            <v>2</v>
          </cell>
          <cell r="BC1637" t="str">
            <v/>
          </cell>
          <cell r="BH1637" t="str">
            <v/>
          </cell>
        </row>
        <row r="1638">
          <cell r="AA1638">
            <v>2</v>
          </cell>
          <cell r="BC1638" t="str">
            <v/>
          </cell>
          <cell r="BH1638" t="str">
            <v/>
          </cell>
        </row>
        <row r="1639">
          <cell r="AA1639">
            <v>2</v>
          </cell>
          <cell r="BC1639" t="str">
            <v/>
          </cell>
          <cell r="BH1639" t="str">
            <v/>
          </cell>
        </row>
        <row r="1640">
          <cell r="AA1640">
            <v>2</v>
          </cell>
          <cell r="BC1640" t="str">
            <v/>
          </cell>
          <cell r="BH1640" t="str">
            <v/>
          </cell>
        </row>
        <row r="1641">
          <cell r="AA1641">
            <v>2</v>
          </cell>
          <cell r="BC1641" t="str">
            <v/>
          </cell>
          <cell r="BH1641" t="str">
            <v/>
          </cell>
        </row>
        <row r="1642">
          <cell r="AA1642">
            <v>2</v>
          </cell>
          <cell r="BC1642" t="str">
            <v/>
          </cell>
          <cell r="BH1642" t="str">
            <v/>
          </cell>
        </row>
        <row r="1643">
          <cell r="AA1643">
            <v>2</v>
          </cell>
          <cell r="BC1643" t="str">
            <v/>
          </cell>
          <cell r="BH1643" t="str">
            <v/>
          </cell>
        </row>
        <row r="1644">
          <cell r="AA1644">
            <v>2</v>
          </cell>
          <cell r="BC1644" t="str">
            <v/>
          </cell>
          <cell r="BH1644" t="str">
            <v/>
          </cell>
        </row>
        <row r="1645">
          <cell r="AA1645">
            <v>2</v>
          </cell>
          <cell r="BC1645" t="str">
            <v/>
          </cell>
          <cell r="BH1645" t="str">
            <v/>
          </cell>
        </row>
        <row r="1646">
          <cell r="AA1646">
            <v>2</v>
          </cell>
          <cell r="BC1646" t="str">
            <v/>
          </cell>
          <cell r="BH1646" t="str">
            <v/>
          </cell>
        </row>
        <row r="1647">
          <cell r="AA1647">
            <v>2</v>
          </cell>
          <cell r="BC1647" t="str">
            <v/>
          </cell>
          <cell r="BH1647" t="str">
            <v/>
          </cell>
        </row>
        <row r="1648">
          <cell r="AA1648">
            <v>2</v>
          </cell>
          <cell r="BC1648" t="str">
            <v/>
          </cell>
          <cell r="BH1648" t="str">
            <v/>
          </cell>
        </row>
        <row r="1649">
          <cell r="AA1649">
            <v>2</v>
          </cell>
          <cell r="BC1649" t="str">
            <v/>
          </cell>
          <cell r="BH1649" t="str">
            <v/>
          </cell>
        </row>
        <row r="1650">
          <cell r="AA1650">
            <v>2</v>
          </cell>
          <cell r="BC1650" t="str">
            <v/>
          </cell>
          <cell r="BH1650" t="str">
            <v/>
          </cell>
        </row>
        <row r="1651">
          <cell r="AA1651">
            <v>2</v>
          </cell>
          <cell r="BC1651" t="str">
            <v/>
          </cell>
          <cell r="BH1651" t="str">
            <v/>
          </cell>
        </row>
        <row r="1652">
          <cell r="AA1652">
            <v>2</v>
          </cell>
          <cell r="BC1652" t="str">
            <v/>
          </cell>
          <cell r="BH1652" t="str">
            <v/>
          </cell>
        </row>
        <row r="1653">
          <cell r="AA1653">
            <v>2</v>
          </cell>
          <cell r="BC1653" t="str">
            <v/>
          </cell>
          <cell r="BH1653" t="str">
            <v/>
          </cell>
        </row>
        <row r="1654">
          <cell r="AA1654">
            <v>2</v>
          </cell>
          <cell r="BC1654" t="str">
            <v/>
          </cell>
          <cell r="BH1654" t="str">
            <v/>
          </cell>
        </row>
        <row r="1655">
          <cell r="AA1655">
            <v>2</v>
          </cell>
          <cell r="BC1655" t="str">
            <v/>
          </cell>
          <cell r="BH1655" t="str">
            <v/>
          </cell>
        </row>
        <row r="1656">
          <cell r="AA1656">
            <v>2</v>
          </cell>
          <cell r="BC1656" t="str">
            <v/>
          </cell>
          <cell r="BH1656" t="str">
            <v/>
          </cell>
        </row>
        <row r="1657">
          <cell r="AA1657">
            <v>2</v>
          </cell>
          <cell r="BC1657" t="str">
            <v/>
          </cell>
          <cell r="BH1657" t="str">
            <v/>
          </cell>
        </row>
        <row r="1658">
          <cell r="BC1658" t="str">
            <v/>
          </cell>
          <cell r="BH1658" t="str">
            <v/>
          </cell>
        </row>
        <row r="1659">
          <cell r="AA1659">
            <v>2</v>
          </cell>
          <cell r="BC1659" t="str">
            <v/>
          </cell>
          <cell r="BH1659" t="str">
            <v/>
          </cell>
        </row>
        <row r="1660">
          <cell r="AA1660">
            <v>2</v>
          </cell>
          <cell r="AR1660" t="b">
            <v>0</v>
          </cell>
          <cell r="BC1660" t="str">
            <v/>
          </cell>
          <cell r="BH1660" t="str">
            <v/>
          </cell>
        </row>
        <row r="1661">
          <cell r="AA1661">
            <v>2</v>
          </cell>
          <cell r="BC1661" t="str">
            <v/>
          </cell>
          <cell r="BH1661" t="str">
            <v/>
          </cell>
        </row>
        <row r="1662">
          <cell r="AA1662">
            <v>2</v>
          </cell>
          <cell r="AP1662">
            <v>1</v>
          </cell>
          <cell r="AR1662" t="b">
            <v>0</v>
          </cell>
          <cell r="BC1662" t="str">
            <v/>
          </cell>
          <cell r="BH1662" t="str">
            <v/>
          </cell>
        </row>
        <row r="1663">
          <cell r="AA1663">
            <v>2</v>
          </cell>
          <cell r="AP1663">
            <v>1</v>
          </cell>
          <cell r="AR1663" t="b">
            <v>0</v>
          </cell>
          <cell r="BC1663" t="str">
            <v/>
          </cell>
          <cell r="BH1663" t="str">
            <v/>
          </cell>
        </row>
        <row r="1664">
          <cell r="AA1664">
            <v>2</v>
          </cell>
          <cell r="AP1664">
            <v>1</v>
          </cell>
          <cell r="AR1664" t="b">
            <v>0</v>
          </cell>
          <cell r="BC1664" t="str">
            <v/>
          </cell>
          <cell r="BH1664" t="str">
            <v/>
          </cell>
        </row>
        <row r="1665">
          <cell r="AA1665">
            <v>2</v>
          </cell>
          <cell r="AR1665" t="b">
            <v>0</v>
          </cell>
          <cell r="BC1665" t="str">
            <v/>
          </cell>
          <cell r="BH1665" t="str">
            <v/>
          </cell>
        </row>
        <row r="1666">
          <cell r="AA1666">
            <v>2</v>
          </cell>
          <cell r="AR1666" t="b">
            <v>0</v>
          </cell>
          <cell r="BC1666" t="str">
            <v/>
          </cell>
          <cell r="BH1666" t="str">
            <v/>
          </cell>
        </row>
        <row r="1667">
          <cell r="AA1667">
            <v>2</v>
          </cell>
          <cell r="AR1667" t="b">
            <v>0</v>
          </cell>
          <cell r="BC1667" t="str">
            <v/>
          </cell>
          <cell r="BH1667" t="str">
            <v/>
          </cell>
        </row>
        <row r="1668">
          <cell r="AA1668">
            <v>2</v>
          </cell>
          <cell r="AR1668" t="b">
            <v>0</v>
          </cell>
          <cell r="BC1668" t="str">
            <v/>
          </cell>
          <cell r="BH1668" t="str">
            <v/>
          </cell>
        </row>
        <row r="1669">
          <cell r="AA1669">
            <v>2</v>
          </cell>
          <cell r="AR1669" t="b">
            <v>0</v>
          </cell>
          <cell r="BC1669" t="str">
            <v/>
          </cell>
          <cell r="BH1669" t="str">
            <v/>
          </cell>
        </row>
        <row r="1670">
          <cell r="AA1670">
            <v>2</v>
          </cell>
          <cell r="BC1670" t="str">
            <v/>
          </cell>
          <cell r="BH1670" t="str">
            <v/>
          </cell>
        </row>
        <row r="1671">
          <cell r="AA1671">
            <v>2</v>
          </cell>
          <cell r="BC1671" t="str">
            <v/>
          </cell>
          <cell r="BH1671" t="str">
            <v/>
          </cell>
        </row>
        <row r="1672">
          <cell r="AA1672">
            <v>2</v>
          </cell>
          <cell r="AR1672" t="b">
            <v>0</v>
          </cell>
          <cell r="BC1672" t="str">
            <v/>
          </cell>
          <cell r="BH1672" t="str">
            <v/>
          </cell>
        </row>
        <row r="1673">
          <cell r="AA1673">
            <v>2</v>
          </cell>
          <cell r="AR1673" t="b">
            <v>0</v>
          </cell>
          <cell r="BC1673" t="str">
            <v/>
          </cell>
          <cell r="BH1673" t="str">
            <v/>
          </cell>
        </row>
        <row r="1674">
          <cell r="AA1674">
            <v>2</v>
          </cell>
          <cell r="AR1674" t="b">
            <v>0</v>
          </cell>
          <cell r="BC1674" t="str">
            <v/>
          </cell>
          <cell r="BH1674" t="str">
            <v/>
          </cell>
        </row>
        <row r="1675">
          <cell r="AA1675">
            <v>2</v>
          </cell>
          <cell r="AR1675" t="b">
            <v>0</v>
          </cell>
          <cell r="BC1675" t="str">
            <v/>
          </cell>
          <cell r="BH1675" t="str">
            <v/>
          </cell>
        </row>
        <row r="1676">
          <cell r="AA1676">
            <v>2</v>
          </cell>
          <cell r="AR1676" t="b">
            <v>0</v>
          </cell>
          <cell r="BC1676" t="str">
            <v/>
          </cell>
          <cell r="BH1676" t="str">
            <v/>
          </cell>
        </row>
        <row r="1677">
          <cell r="AA1677">
            <v>2</v>
          </cell>
          <cell r="AR1677" t="b">
            <v>0</v>
          </cell>
          <cell r="BC1677" t="str">
            <v/>
          </cell>
          <cell r="BH1677" t="str">
            <v/>
          </cell>
        </row>
        <row r="1678">
          <cell r="AA1678">
            <v>2</v>
          </cell>
          <cell r="AR1678" t="b">
            <v>0</v>
          </cell>
          <cell r="BC1678" t="str">
            <v/>
          </cell>
          <cell r="BH1678" t="str">
            <v/>
          </cell>
        </row>
        <row r="1679">
          <cell r="AA1679">
            <v>2</v>
          </cell>
          <cell r="AR1679" t="b">
            <v>0</v>
          </cell>
          <cell r="BC1679" t="str">
            <v/>
          </cell>
          <cell r="BH1679" t="str">
            <v/>
          </cell>
        </row>
        <row r="1680">
          <cell r="AA1680">
            <v>2</v>
          </cell>
          <cell r="AR1680" t="b">
            <v>0</v>
          </cell>
          <cell r="BC1680" t="str">
            <v/>
          </cell>
          <cell r="BH1680" t="str">
            <v/>
          </cell>
        </row>
        <row r="1681">
          <cell r="AA1681">
            <v>2</v>
          </cell>
          <cell r="BC1681" t="str">
            <v/>
          </cell>
          <cell r="BH1681" t="str">
            <v/>
          </cell>
        </row>
        <row r="1682">
          <cell r="AA1682">
            <v>2</v>
          </cell>
          <cell r="AR1682" t="b">
            <v>0</v>
          </cell>
          <cell r="BC1682" t="str">
            <v/>
          </cell>
          <cell r="BH1682" t="str">
            <v/>
          </cell>
        </row>
        <row r="1683">
          <cell r="AA1683">
            <v>2</v>
          </cell>
          <cell r="AR1683" t="b">
            <v>0</v>
          </cell>
          <cell r="BC1683" t="str">
            <v/>
          </cell>
          <cell r="BH1683" t="str">
            <v/>
          </cell>
        </row>
        <row r="1684">
          <cell r="AA1684">
            <v>2</v>
          </cell>
          <cell r="AR1684" t="b">
            <v>0</v>
          </cell>
          <cell r="BC1684" t="str">
            <v/>
          </cell>
          <cell r="BH1684" t="str">
            <v/>
          </cell>
        </row>
        <row r="1685">
          <cell r="AA1685">
            <v>2</v>
          </cell>
          <cell r="BC1685" t="str">
            <v/>
          </cell>
          <cell r="BH1685" t="str">
            <v/>
          </cell>
        </row>
        <row r="1686">
          <cell r="AA1686">
            <v>2</v>
          </cell>
          <cell r="BC1686" t="str">
            <v/>
          </cell>
          <cell r="BH1686" t="str">
            <v/>
          </cell>
        </row>
        <row r="1687">
          <cell r="AA1687">
            <v>2</v>
          </cell>
          <cell r="AP1687">
            <v>1</v>
          </cell>
          <cell r="AR1687" t="b">
            <v>0</v>
          </cell>
          <cell r="BC1687" t="str">
            <v/>
          </cell>
          <cell r="BH1687" t="str">
            <v/>
          </cell>
        </row>
        <row r="1688">
          <cell r="AA1688">
            <v>2</v>
          </cell>
          <cell r="AP1688">
            <v>1</v>
          </cell>
          <cell r="AR1688" t="b">
            <v>0</v>
          </cell>
          <cell r="BC1688" t="str">
            <v/>
          </cell>
          <cell r="BH1688" t="str">
            <v/>
          </cell>
        </row>
        <row r="1689">
          <cell r="AA1689">
            <v>2</v>
          </cell>
          <cell r="AP1689">
            <v>1</v>
          </cell>
          <cell r="AR1689" t="b">
            <v>0</v>
          </cell>
          <cell r="BC1689" t="str">
            <v/>
          </cell>
          <cell r="BH1689" t="str">
            <v/>
          </cell>
        </row>
        <row r="1690">
          <cell r="AA1690">
            <v>2</v>
          </cell>
          <cell r="AR1690" t="b">
            <v>0</v>
          </cell>
          <cell r="BC1690" t="str">
            <v/>
          </cell>
          <cell r="BH1690" t="str">
            <v/>
          </cell>
        </row>
        <row r="1691">
          <cell r="AA1691">
            <v>2</v>
          </cell>
          <cell r="BC1691" t="str">
            <v/>
          </cell>
          <cell r="BH1691" t="str">
            <v/>
          </cell>
        </row>
        <row r="1692">
          <cell r="AA1692">
            <v>2</v>
          </cell>
          <cell r="BC1692" t="str">
            <v/>
          </cell>
          <cell r="BH1692" t="str">
            <v/>
          </cell>
        </row>
        <row r="1693">
          <cell r="AA1693">
            <v>2</v>
          </cell>
          <cell r="BC1693" t="str">
            <v/>
          </cell>
          <cell r="BH1693" t="str">
            <v/>
          </cell>
        </row>
        <row r="1694">
          <cell r="AA1694">
            <v>2</v>
          </cell>
          <cell r="AR1694" t="b">
            <v>0</v>
          </cell>
          <cell r="BC1694" t="str">
            <v/>
          </cell>
          <cell r="BH1694" t="str">
            <v/>
          </cell>
        </row>
        <row r="1695">
          <cell r="AA1695">
            <v>2</v>
          </cell>
          <cell r="AR1695" t="b">
            <v>0</v>
          </cell>
          <cell r="BC1695" t="str">
            <v/>
          </cell>
          <cell r="BH1695" t="str">
            <v/>
          </cell>
        </row>
        <row r="1696">
          <cell r="AA1696">
            <v>2</v>
          </cell>
          <cell r="AR1696" t="b">
            <v>0</v>
          </cell>
          <cell r="BC1696" t="str">
            <v/>
          </cell>
          <cell r="BH1696" t="str">
            <v/>
          </cell>
        </row>
        <row r="1697">
          <cell r="AA1697">
            <v>2</v>
          </cell>
          <cell r="AR1697" t="b">
            <v>0</v>
          </cell>
          <cell r="BC1697" t="str">
            <v/>
          </cell>
          <cell r="BH1697" t="str">
            <v/>
          </cell>
        </row>
        <row r="1698">
          <cell r="AA1698">
            <v>2</v>
          </cell>
          <cell r="AR1698" t="b">
            <v>0</v>
          </cell>
          <cell r="BC1698" t="str">
            <v/>
          </cell>
          <cell r="BH1698" t="str">
            <v/>
          </cell>
        </row>
        <row r="1699">
          <cell r="AA1699">
            <v>2</v>
          </cell>
          <cell r="AR1699" t="b">
            <v>0</v>
          </cell>
          <cell r="BC1699" t="str">
            <v/>
          </cell>
          <cell r="BH1699" t="str">
            <v/>
          </cell>
        </row>
        <row r="1700">
          <cell r="AA1700">
            <v>2</v>
          </cell>
          <cell r="AR1700" t="b">
            <v>0</v>
          </cell>
          <cell r="BC1700" t="str">
            <v/>
          </cell>
          <cell r="BH1700" t="str">
            <v/>
          </cell>
        </row>
        <row r="1701">
          <cell r="AA1701">
            <v>2</v>
          </cell>
          <cell r="AR1701" t="b">
            <v>0</v>
          </cell>
          <cell r="BC1701" t="str">
            <v/>
          </cell>
          <cell r="BH1701" t="str">
            <v/>
          </cell>
        </row>
        <row r="1702">
          <cell r="AA1702">
            <v>2</v>
          </cell>
          <cell r="AR1702" t="b">
            <v>0</v>
          </cell>
          <cell r="BC1702" t="str">
            <v/>
          </cell>
          <cell r="BH1702" t="str">
            <v/>
          </cell>
        </row>
        <row r="1703">
          <cell r="AA1703">
            <v>2</v>
          </cell>
          <cell r="AR1703" t="b">
            <v>0</v>
          </cell>
          <cell r="BC1703" t="str">
            <v/>
          </cell>
          <cell r="BH1703" t="str">
            <v/>
          </cell>
        </row>
        <row r="1704">
          <cell r="AA1704">
            <v>2</v>
          </cell>
          <cell r="AR1704" t="b">
            <v>0</v>
          </cell>
          <cell r="BC1704" t="str">
            <v/>
          </cell>
          <cell r="BH1704" t="str">
            <v/>
          </cell>
        </row>
        <row r="1705">
          <cell r="AA1705">
            <v>2</v>
          </cell>
          <cell r="AR1705" t="b">
            <v>0</v>
          </cell>
          <cell r="BC1705" t="str">
            <v/>
          </cell>
          <cell r="BH1705" t="str">
            <v/>
          </cell>
        </row>
        <row r="1706">
          <cell r="AA1706">
            <v>2</v>
          </cell>
          <cell r="AR1706" t="b">
            <v>0</v>
          </cell>
          <cell r="BC1706" t="str">
            <v/>
          </cell>
          <cell r="BH1706" t="str">
            <v/>
          </cell>
        </row>
        <row r="1707">
          <cell r="AA1707">
            <v>2</v>
          </cell>
          <cell r="AR1707" t="b">
            <v>0</v>
          </cell>
          <cell r="BC1707" t="str">
            <v/>
          </cell>
          <cell r="BH1707" t="str">
            <v/>
          </cell>
        </row>
        <row r="1708">
          <cell r="AA1708">
            <v>2</v>
          </cell>
          <cell r="AR1708" t="b">
            <v>0</v>
          </cell>
          <cell r="BC1708" t="str">
            <v/>
          </cell>
          <cell r="BH1708" t="str">
            <v/>
          </cell>
        </row>
        <row r="1709">
          <cell r="AA1709">
            <v>2</v>
          </cell>
          <cell r="BC1709" t="str">
            <v/>
          </cell>
          <cell r="BH1709" t="str">
            <v/>
          </cell>
        </row>
        <row r="1710">
          <cell r="AA1710">
            <v>2</v>
          </cell>
          <cell r="AR1710" t="b">
            <v>0</v>
          </cell>
          <cell r="BC1710" t="str">
            <v/>
          </cell>
          <cell r="BH1710" t="str">
            <v/>
          </cell>
        </row>
        <row r="1711">
          <cell r="AA1711">
            <v>2</v>
          </cell>
          <cell r="AR1711" t="b">
            <v>0</v>
          </cell>
          <cell r="BC1711" t="str">
            <v/>
          </cell>
          <cell r="BH1711" t="str">
            <v/>
          </cell>
        </row>
        <row r="1712">
          <cell r="AA1712">
            <v>2</v>
          </cell>
          <cell r="AR1712" t="b">
            <v>0</v>
          </cell>
          <cell r="BC1712" t="str">
            <v/>
          </cell>
          <cell r="BH1712" t="str">
            <v/>
          </cell>
        </row>
        <row r="1713">
          <cell r="AA1713">
            <v>2</v>
          </cell>
          <cell r="AR1713" t="b">
            <v>0</v>
          </cell>
          <cell r="BC1713" t="str">
            <v/>
          </cell>
          <cell r="BH1713" t="str">
            <v/>
          </cell>
        </row>
        <row r="1714">
          <cell r="AA1714">
            <v>2</v>
          </cell>
          <cell r="AR1714" t="b">
            <v>0</v>
          </cell>
          <cell r="BC1714" t="str">
            <v/>
          </cell>
          <cell r="BH1714" t="str">
            <v/>
          </cell>
        </row>
        <row r="1715">
          <cell r="AA1715">
            <v>2</v>
          </cell>
          <cell r="AR1715" t="b">
            <v>0</v>
          </cell>
          <cell r="BC1715" t="str">
            <v/>
          </cell>
          <cell r="BH1715" t="str">
            <v/>
          </cell>
        </row>
        <row r="1716">
          <cell r="AA1716">
            <v>2</v>
          </cell>
          <cell r="AR1716" t="b">
            <v>0</v>
          </cell>
          <cell r="BC1716" t="str">
            <v/>
          </cell>
          <cell r="BH1716" t="str">
            <v/>
          </cell>
        </row>
        <row r="1717">
          <cell r="AA1717">
            <v>2</v>
          </cell>
          <cell r="AR1717" t="b">
            <v>0</v>
          </cell>
          <cell r="BC1717" t="str">
            <v/>
          </cell>
          <cell r="BH1717" t="str">
            <v/>
          </cell>
        </row>
        <row r="1718">
          <cell r="AA1718">
            <v>2</v>
          </cell>
          <cell r="AR1718" t="b">
            <v>0</v>
          </cell>
          <cell r="BC1718" t="str">
            <v/>
          </cell>
          <cell r="BH1718" t="str">
            <v/>
          </cell>
        </row>
        <row r="1719">
          <cell r="AA1719">
            <v>2</v>
          </cell>
          <cell r="AR1719" t="b">
            <v>0</v>
          </cell>
          <cell r="BC1719" t="str">
            <v/>
          </cell>
          <cell r="BH1719" t="str">
            <v/>
          </cell>
        </row>
        <row r="1720">
          <cell r="AA1720">
            <v>2</v>
          </cell>
          <cell r="AR1720" t="b">
            <v>0</v>
          </cell>
          <cell r="BC1720" t="str">
            <v/>
          </cell>
          <cell r="BH1720" t="str">
            <v/>
          </cell>
        </row>
        <row r="1721">
          <cell r="AA1721">
            <v>2</v>
          </cell>
          <cell r="BC1721" t="str">
            <v/>
          </cell>
          <cell r="BH1721" t="str">
            <v/>
          </cell>
        </row>
        <row r="1722">
          <cell r="AA1722">
            <v>2</v>
          </cell>
          <cell r="BC1722" t="str">
            <v/>
          </cell>
          <cell r="BH1722" t="str">
            <v/>
          </cell>
        </row>
        <row r="1723">
          <cell r="AA1723">
            <v>2</v>
          </cell>
          <cell r="BC1723" t="str">
            <v/>
          </cell>
          <cell r="BH1723" t="str">
            <v/>
          </cell>
        </row>
        <row r="1724">
          <cell r="BC1724" t="str">
            <v/>
          </cell>
          <cell r="BH1724" t="str">
            <v/>
          </cell>
        </row>
        <row r="1725">
          <cell r="BC1725" t="str">
            <v/>
          </cell>
          <cell r="BH1725" t="str">
            <v/>
          </cell>
        </row>
        <row r="1726">
          <cell r="AA1726">
            <v>2</v>
          </cell>
          <cell r="BC1726" t="str">
            <v/>
          </cell>
          <cell r="BH1726" t="str">
            <v/>
          </cell>
        </row>
        <row r="1727">
          <cell r="AA1727">
            <v>2</v>
          </cell>
          <cell r="AR1727" t="b">
            <v>0</v>
          </cell>
          <cell r="BC1727" t="str">
            <v/>
          </cell>
          <cell r="BH1727" t="str">
            <v/>
          </cell>
        </row>
        <row r="1728">
          <cell r="AA1728">
            <v>2</v>
          </cell>
          <cell r="BC1728" t="str">
            <v/>
          </cell>
          <cell r="BH1728" t="str">
            <v/>
          </cell>
        </row>
        <row r="1729">
          <cell r="AA1729">
            <v>2</v>
          </cell>
          <cell r="BC1729" t="str">
            <v/>
          </cell>
          <cell r="BH1729" t="str">
            <v/>
          </cell>
        </row>
        <row r="1730">
          <cell r="AA1730">
            <v>2</v>
          </cell>
          <cell r="AR1730" t="b">
            <v>0</v>
          </cell>
          <cell r="BC1730" t="str">
            <v/>
          </cell>
          <cell r="BH1730" t="str">
            <v/>
          </cell>
        </row>
        <row r="1731">
          <cell r="BC1731" t="str">
            <v/>
          </cell>
          <cell r="BH1731" t="str">
            <v/>
          </cell>
        </row>
        <row r="1732">
          <cell r="AA1732">
            <v>2</v>
          </cell>
          <cell r="BC1732" t="str">
            <v/>
          </cell>
          <cell r="BH1732" t="str">
            <v/>
          </cell>
        </row>
        <row r="1733">
          <cell r="AA1733">
            <v>2</v>
          </cell>
          <cell r="BC1733" t="str">
            <v/>
          </cell>
          <cell r="BH1733" t="str">
            <v/>
          </cell>
        </row>
        <row r="1734">
          <cell r="BC1734" t="str">
            <v/>
          </cell>
          <cell r="BH1734" t="str">
            <v/>
          </cell>
        </row>
        <row r="1735">
          <cell r="AA1735">
            <v>2</v>
          </cell>
          <cell r="BC1735" t="str">
            <v/>
          </cell>
          <cell r="BH1735" t="str">
            <v/>
          </cell>
        </row>
        <row r="1736">
          <cell r="AA1736">
            <v>2</v>
          </cell>
          <cell r="BC1736" t="str">
            <v/>
          </cell>
          <cell r="BH1736" t="str">
            <v/>
          </cell>
        </row>
        <row r="1737">
          <cell r="BC1737" t="str">
            <v/>
          </cell>
          <cell r="BH1737" t="str">
            <v/>
          </cell>
        </row>
        <row r="1738">
          <cell r="BC1738" t="str">
            <v/>
          </cell>
          <cell r="BH1738" t="str">
            <v/>
          </cell>
        </row>
        <row r="1739">
          <cell r="AA1739">
            <v>2</v>
          </cell>
          <cell r="BC1739" t="str">
            <v/>
          </cell>
          <cell r="BH1739" t="str">
            <v/>
          </cell>
        </row>
        <row r="1740">
          <cell r="AA1740">
            <v>2</v>
          </cell>
          <cell r="AR1740" t="b">
            <v>0</v>
          </cell>
          <cell r="BC1740" t="str">
            <v/>
          </cell>
          <cell r="BH1740" t="str">
            <v/>
          </cell>
        </row>
        <row r="1741">
          <cell r="AA1741">
            <v>2</v>
          </cell>
          <cell r="AR1741" t="b">
            <v>0</v>
          </cell>
          <cell r="BC1741" t="str">
            <v/>
          </cell>
          <cell r="BH1741" t="str">
            <v/>
          </cell>
        </row>
        <row r="1742">
          <cell r="AA1742">
            <v>2</v>
          </cell>
          <cell r="BC1742" t="str">
            <v/>
          </cell>
          <cell r="BH1742" t="str">
            <v/>
          </cell>
        </row>
        <row r="1743">
          <cell r="AA1743">
            <v>2</v>
          </cell>
          <cell r="AR1743" t="b">
            <v>0</v>
          </cell>
          <cell r="BC1743" t="str">
            <v/>
          </cell>
          <cell r="BH1743" t="str">
            <v/>
          </cell>
        </row>
        <row r="1744">
          <cell r="AA1744">
            <v>2</v>
          </cell>
          <cell r="AR1744" t="b">
            <v>0</v>
          </cell>
          <cell r="BC1744" t="str">
            <v/>
          </cell>
          <cell r="BH1744" t="str">
            <v/>
          </cell>
        </row>
        <row r="1745">
          <cell r="AA1745">
            <v>2</v>
          </cell>
          <cell r="BC1745" t="str">
            <v/>
          </cell>
          <cell r="BH1745" t="str">
            <v/>
          </cell>
        </row>
        <row r="1746">
          <cell r="AA1746">
            <v>2</v>
          </cell>
          <cell r="BC1746" t="str">
            <v/>
          </cell>
          <cell r="BH1746" t="str">
            <v/>
          </cell>
        </row>
        <row r="1747">
          <cell r="AA1747">
            <v>2</v>
          </cell>
          <cell r="AR1747" t="b">
            <v>0</v>
          </cell>
          <cell r="BC1747" t="str">
            <v/>
          </cell>
          <cell r="BH1747" t="str">
            <v/>
          </cell>
        </row>
        <row r="1748">
          <cell r="AA1748">
            <v>2</v>
          </cell>
          <cell r="AR1748" t="b">
            <v>0</v>
          </cell>
          <cell r="BC1748" t="str">
            <v/>
          </cell>
          <cell r="BH1748" t="str">
            <v/>
          </cell>
        </row>
        <row r="1749">
          <cell r="AA1749">
            <v>2</v>
          </cell>
          <cell r="BC1749" t="str">
            <v/>
          </cell>
          <cell r="BH1749" t="str">
            <v/>
          </cell>
        </row>
        <row r="1750">
          <cell r="AA1750">
            <v>2</v>
          </cell>
          <cell r="BC1750" t="str">
            <v/>
          </cell>
          <cell r="BH1750" t="str">
            <v/>
          </cell>
        </row>
        <row r="1751">
          <cell r="AA1751">
            <v>2</v>
          </cell>
          <cell r="BC1751" t="str">
            <v/>
          </cell>
          <cell r="BH1751" t="str">
            <v/>
          </cell>
        </row>
        <row r="1752">
          <cell r="AA1752">
            <v>2</v>
          </cell>
          <cell r="AR1752" t="b">
            <v>0</v>
          </cell>
          <cell r="BC1752" t="str">
            <v/>
          </cell>
          <cell r="BH1752" t="str">
            <v/>
          </cell>
        </row>
        <row r="1753">
          <cell r="BC1753" t="str">
            <v/>
          </cell>
          <cell r="BH1753" t="str">
            <v/>
          </cell>
        </row>
        <row r="1754">
          <cell r="BC1754" t="str">
            <v/>
          </cell>
          <cell r="BH1754" t="str">
            <v/>
          </cell>
        </row>
        <row r="1755">
          <cell r="AA1755">
            <v>2</v>
          </cell>
          <cell r="BC1755" t="str">
            <v/>
          </cell>
          <cell r="BH1755" t="str">
            <v/>
          </cell>
        </row>
        <row r="1756">
          <cell r="AA1756">
            <v>2</v>
          </cell>
          <cell r="BC1756" t="str">
            <v/>
          </cell>
          <cell r="BH1756" t="str">
            <v/>
          </cell>
        </row>
        <row r="1757">
          <cell r="AA1757">
            <v>2</v>
          </cell>
          <cell r="BC1757" t="str">
            <v/>
          </cell>
          <cell r="BH1757" t="str">
            <v/>
          </cell>
        </row>
        <row r="1758">
          <cell r="BC1758" t="str">
            <v/>
          </cell>
          <cell r="BH1758" t="str">
            <v/>
          </cell>
        </row>
        <row r="1759">
          <cell r="BC1759" t="str">
            <v/>
          </cell>
          <cell r="BH1759" t="str">
            <v/>
          </cell>
        </row>
        <row r="1760">
          <cell r="BC1760" t="str">
            <v/>
          </cell>
          <cell r="BH1760" t="str">
            <v/>
          </cell>
        </row>
        <row r="1761">
          <cell r="AA1761">
            <v>2</v>
          </cell>
          <cell r="AR1761" t="b">
            <v>0</v>
          </cell>
          <cell r="BC1761" t="str">
            <v/>
          </cell>
          <cell r="BH1761" t="str">
            <v/>
          </cell>
        </row>
        <row r="1762">
          <cell r="AA1762">
            <v>2</v>
          </cell>
          <cell r="BC1762" t="str">
            <v/>
          </cell>
          <cell r="BH1762" t="str">
            <v/>
          </cell>
        </row>
        <row r="1763">
          <cell r="BC1763" t="str">
            <v/>
          </cell>
          <cell r="BH1763" t="str">
            <v/>
          </cell>
        </row>
        <row r="1764">
          <cell r="BC1764" t="str">
            <v/>
          </cell>
          <cell r="BH1764" t="str">
            <v/>
          </cell>
        </row>
        <row r="1765">
          <cell r="AA1765">
            <v>2</v>
          </cell>
          <cell r="AR1765" t="b">
            <v>0</v>
          </cell>
          <cell r="BC1765" t="str">
            <v/>
          </cell>
          <cell r="BH1765" t="str">
            <v/>
          </cell>
        </row>
        <row r="1766">
          <cell r="AA1766">
            <v>2</v>
          </cell>
          <cell r="AR1766" t="b">
            <v>0</v>
          </cell>
          <cell r="BC1766" t="str">
            <v/>
          </cell>
          <cell r="BH1766" t="str">
            <v/>
          </cell>
        </row>
        <row r="1767">
          <cell r="AA1767">
            <v>2</v>
          </cell>
          <cell r="BC1767" t="str">
            <v/>
          </cell>
          <cell r="BH1767" t="str">
            <v/>
          </cell>
        </row>
        <row r="1768">
          <cell r="AA1768">
            <v>2</v>
          </cell>
          <cell r="BC1768" t="str">
            <v/>
          </cell>
          <cell r="BH1768" t="str">
            <v/>
          </cell>
        </row>
        <row r="1769">
          <cell r="AA1769">
            <v>2</v>
          </cell>
          <cell r="BC1769" t="str">
            <v/>
          </cell>
          <cell r="BH1769" t="str">
            <v/>
          </cell>
        </row>
        <row r="1770">
          <cell r="AA1770">
            <v>2</v>
          </cell>
          <cell r="BC1770" t="str">
            <v/>
          </cell>
          <cell r="BH1770" t="str">
            <v/>
          </cell>
        </row>
        <row r="1771">
          <cell r="AA1771">
            <v>2</v>
          </cell>
          <cell r="AR1771" t="b">
            <v>0</v>
          </cell>
          <cell r="BC1771" t="str">
            <v/>
          </cell>
          <cell r="BH1771" t="str">
            <v/>
          </cell>
        </row>
        <row r="1772">
          <cell r="AA1772">
            <v>2</v>
          </cell>
          <cell r="AR1772" t="b">
            <v>0</v>
          </cell>
          <cell r="BC1772" t="str">
            <v/>
          </cell>
          <cell r="BH1772" t="str">
            <v/>
          </cell>
        </row>
        <row r="1773">
          <cell r="AA1773">
            <v>2</v>
          </cell>
          <cell r="AR1773" t="b">
            <v>0</v>
          </cell>
          <cell r="BC1773" t="str">
            <v/>
          </cell>
          <cell r="BH1773" t="str">
            <v/>
          </cell>
        </row>
        <row r="1774">
          <cell r="AA1774">
            <v>2</v>
          </cell>
          <cell r="BC1774" t="str">
            <v/>
          </cell>
          <cell r="BH1774" t="str">
            <v/>
          </cell>
        </row>
        <row r="1775">
          <cell r="AA1775">
            <v>2</v>
          </cell>
          <cell r="AR1775" t="b">
            <v>0</v>
          </cell>
          <cell r="BC1775" t="str">
            <v/>
          </cell>
          <cell r="BH1775" t="str">
            <v/>
          </cell>
        </row>
        <row r="1776">
          <cell r="AA1776">
            <v>2</v>
          </cell>
          <cell r="AR1776" t="b">
            <v>0</v>
          </cell>
          <cell r="BC1776" t="str">
            <v/>
          </cell>
          <cell r="BH1776" t="str">
            <v/>
          </cell>
        </row>
        <row r="1777">
          <cell r="AA1777">
            <v>2</v>
          </cell>
          <cell r="AR1777" t="b">
            <v>0</v>
          </cell>
          <cell r="BC1777" t="str">
            <v/>
          </cell>
          <cell r="BH1777" t="str">
            <v/>
          </cell>
        </row>
        <row r="1778">
          <cell r="AA1778">
            <v>2</v>
          </cell>
          <cell r="BC1778" t="str">
            <v/>
          </cell>
          <cell r="BH1778" t="str">
            <v/>
          </cell>
        </row>
        <row r="1779">
          <cell r="AA1779">
            <v>2</v>
          </cell>
          <cell r="BC1779" t="str">
            <v/>
          </cell>
          <cell r="BH1779" t="str">
            <v/>
          </cell>
        </row>
        <row r="1780">
          <cell r="AA1780">
            <v>2</v>
          </cell>
          <cell r="BC1780" t="str">
            <v/>
          </cell>
          <cell r="BH1780" t="str">
            <v/>
          </cell>
        </row>
        <row r="1781">
          <cell r="AA1781">
            <v>2</v>
          </cell>
          <cell r="BC1781" t="str">
            <v/>
          </cell>
          <cell r="BH1781" t="str">
            <v/>
          </cell>
        </row>
        <row r="1782">
          <cell r="AA1782">
            <v>2</v>
          </cell>
          <cell r="BC1782" t="str">
            <v/>
          </cell>
          <cell r="BH1782" t="str">
            <v/>
          </cell>
        </row>
        <row r="1783">
          <cell r="AA1783">
            <v>2</v>
          </cell>
          <cell r="BC1783" t="str">
            <v/>
          </cell>
          <cell r="BH1783" t="str">
            <v/>
          </cell>
        </row>
        <row r="1784">
          <cell r="AA1784">
            <v>2</v>
          </cell>
          <cell r="AR1784" t="b">
            <v>0</v>
          </cell>
          <cell r="BC1784" t="str">
            <v/>
          </cell>
          <cell r="BH1784" t="str">
            <v/>
          </cell>
        </row>
        <row r="1785">
          <cell r="AA1785">
            <v>2</v>
          </cell>
          <cell r="BC1785" t="str">
            <v/>
          </cell>
          <cell r="BH1785" t="str">
            <v/>
          </cell>
        </row>
        <row r="1786">
          <cell r="AA1786">
            <v>2</v>
          </cell>
          <cell r="BC1786" t="str">
            <v/>
          </cell>
          <cell r="BH1786" t="str">
            <v/>
          </cell>
        </row>
        <row r="1787">
          <cell r="BC1787" t="str">
            <v/>
          </cell>
          <cell r="BH1787" t="str">
            <v/>
          </cell>
        </row>
        <row r="1788">
          <cell r="BC1788" t="str">
            <v/>
          </cell>
          <cell r="BH1788" t="str">
            <v/>
          </cell>
        </row>
        <row r="1789">
          <cell r="AA1789">
            <v>2</v>
          </cell>
          <cell r="BC1789" t="str">
            <v/>
          </cell>
          <cell r="BH1789" t="str">
            <v/>
          </cell>
        </row>
        <row r="1790">
          <cell r="AA1790">
            <v>2</v>
          </cell>
          <cell r="AR1790" t="b">
            <v>0</v>
          </cell>
          <cell r="BC1790" t="str">
            <v/>
          </cell>
          <cell r="BH1790" t="str">
            <v/>
          </cell>
        </row>
        <row r="1791">
          <cell r="AA1791">
            <v>2</v>
          </cell>
          <cell r="AR1791" t="b">
            <v>0</v>
          </cell>
          <cell r="BC1791" t="str">
            <v/>
          </cell>
          <cell r="BH1791" t="str">
            <v/>
          </cell>
        </row>
        <row r="1792">
          <cell r="AA1792">
            <v>2</v>
          </cell>
          <cell r="AR1792" t="b">
            <v>0</v>
          </cell>
          <cell r="BC1792" t="str">
            <v/>
          </cell>
          <cell r="BH1792" t="str">
            <v/>
          </cell>
        </row>
        <row r="1793">
          <cell r="AA1793">
            <v>2</v>
          </cell>
          <cell r="BC1793" t="str">
            <v/>
          </cell>
          <cell r="BH1793" t="str">
            <v/>
          </cell>
        </row>
        <row r="1794">
          <cell r="AA1794">
            <v>2</v>
          </cell>
          <cell r="AR1794" t="b">
            <v>0</v>
          </cell>
          <cell r="BC1794" t="str">
            <v/>
          </cell>
          <cell r="BH1794" t="str">
            <v/>
          </cell>
        </row>
        <row r="1795">
          <cell r="AA1795">
            <v>2</v>
          </cell>
          <cell r="AR1795" t="b">
            <v>0</v>
          </cell>
          <cell r="BC1795" t="str">
            <v/>
          </cell>
          <cell r="BH1795" t="str">
            <v/>
          </cell>
        </row>
        <row r="1796">
          <cell r="AA1796">
            <v>2</v>
          </cell>
          <cell r="AR1796" t="b">
            <v>0</v>
          </cell>
          <cell r="BC1796" t="str">
            <v/>
          </cell>
          <cell r="BH1796" t="str">
            <v/>
          </cell>
        </row>
        <row r="1797">
          <cell r="BC1797" t="str">
            <v/>
          </cell>
          <cell r="BH1797" t="str">
            <v/>
          </cell>
        </row>
        <row r="1798">
          <cell r="BC1798" t="str">
            <v/>
          </cell>
          <cell r="BH1798" t="str">
            <v/>
          </cell>
        </row>
        <row r="1799">
          <cell r="AA1799">
            <v>2</v>
          </cell>
          <cell r="BC1799" t="str">
            <v/>
          </cell>
          <cell r="BH1799" t="str">
            <v/>
          </cell>
        </row>
        <row r="1800">
          <cell r="AA1800">
            <v>2</v>
          </cell>
          <cell r="AR1800" t="b">
            <v>0</v>
          </cell>
          <cell r="BC1800" t="str">
            <v/>
          </cell>
          <cell r="BH1800" t="str">
            <v/>
          </cell>
        </row>
        <row r="1801">
          <cell r="AA1801">
            <v>2</v>
          </cell>
          <cell r="BC1801" t="str">
            <v/>
          </cell>
          <cell r="BH1801" t="str">
            <v/>
          </cell>
        </row>
        <row r="1802">
          <cell r="AA1802">
            <v>2</v>
          </cell>
          <cell r="BC1802" t="str">
            <v/>
          </cell>
          <cell r="BH1802" t="str">
            <v/>
          </cell>
        </row>
        <row r="1803">
          <cell r="AA1803">
            <v>2</v>
          </cell>
          <cell r="BC1803" t="str">
            <v/>
          </cell>
          <cell r="BH1803" t="str">
            <v/>
          </cell>
        </row>
        <row r="1804">
          <cell r="AA1804">
            <v>2</v>
          </cell>
          <cell r="BC1804" t="str">
            <v/>
          </cell>
          <cell r="BH1804" t="str">
            <v/>
          </cell>
        </row>
        <row r="1805">
          <cell r="AA1805">
            <v>2</v>
          </cell>
          <cell r="BC1805" t="str">
            <v/>
          </cell>
          <cell r="BH1805" t="str">
            <v/>
          </cell>
        </row>
        <row r="1806">
          <cell r="AA1806">
            <v>2</v>
          </cell>
          <cell r="BC1806" t="str">
            <v/>
          </cell>
          <cell r="BH1806" t="str">
            <v/>
          </cell>
        </row>
        <row r="1807">
          <cell r="AA1807">
            <v>2</v>
          </cell>
          <cell r="AR1807" t="b">
            <v>0</v>
          </cell>
          <cell r="BC1807" t="str">
            <v/>
          </cell>
          <cell r="BH1807" t="str">
            <v/>
          </cell>
        </row>
        <row r="1808">
          <cell r="AA1808">
            <v>2</v>
          </cell>
          <cell r="BC1808" t="str">
            <v/>
          </cell>
          <cell r="BH1808" t="str">
            <v/>
          </cell>
        </row>
        <row r="1809">
          <cell r="AA1809">
            <v>2</v>
          </cell>
          <cell r="BC1809" t="str">
            <v/>
          </cell>
          <cell r="BH1809" t="str">
            <v/>
          </cell>
        </row>
        <row r="1810">
          <cell r="BC1810" t="str">
            <v/>
          </cell>
          <cell r="BH1810" t="str">
            <v/>
          </cell>
        </row>
        <row r="1811">
          <cell r="AA1811">
            <v>2</v>
          </cell>
          <cell r="AR1811" t="b">
            <v>0</v>
          </cell>
          <cell r="BC1811" t="str">
            <v/>
          </cell>
          <cell r="BH1811" t="str">
            <v/>
          </cell>
        </row>
        <row r="1812">
          <cell r="AA1812">
            <v>2</v>
          </cell>
          <cell r="BC1812" t="str">
            <v/>
          </cell>
          <cell r="BH1812" t="str">
            <v/>
          </cell>
        </row>
        <row r="1813">
          <cell r="AA1813">
            <v>2</v>
          </cell>
          <cell r="BC1813" t="str">
            <v/>
          </cell>
          <cell r="BH1813" t="str">
            <v/>
          </cell>
        </row>
        <row r="1814">
          <cell r="AA1814">
            <v>2</v>
          </cell>
          <cell r="BC1814" t="str">
            <v/>
          </cell>
          <cell r="BH1814" t="str">
            <v/>
          </cell>
        </row>
        <row r="1815">
          <cell r="AA1815">
            <v>2</v>
          </cell>
          <cell r="BC1815" t="str">
            <v/>
          </cell>
          <cell r="BH1815" t="str">
            <v/>
          </cell>
        </row>
        <row r="1816">
          <cell r="AA1816">
            <v>2</v>
          </cell>
          <cell r="BC1816" t="str">
            <v/>
          </cell>
          <cell r="BH1816" t="str">
            <v/>
          </cell>
        </row>
        <row r="1817">
          <cell r="BC1817" t="str">
            <v/>
          </cell>
          <cell r="BH1817" t="str">
            <v/>
          </cell>
        </row>
        <row r="1818">
          <cell r="BC1818" t="str">
            <v/>
          </cell>
          <cell r="BH1818" t="str">
            <v/>
          </cell>
        </row>
        <row r="1819">
          <cell r="BC1819" t="str">
            <v/>
          </cell>
          <cell r="BH1819" t="str">
            <v/>
          </cell>
        </row>
        <row r="1820">
          <cell r="AA1820">
            <v>2</v>
          </cell>
          <cell r="AR1820" t="b">
            <v>0</v>
          </cell>
          <cell r="BC1820" t="str">
            <v/>
          </cell>
          <cell r="BH1820" t="str">
            <v/>
          </cell>
        </row>
        <row r="1821">
          <cell r="AA1821">
            <v>2</v>
          </cell>
          <cell r="BC1821" t="str">
            <v/>
          </cell>
          <cell r="BH1821" t="str">
            <v/>
          </cell>
        </row>
        <row r="1822">
          <cell r="AA1822">
            <v>2</v>
          </cell>
          <cell r="BC1822" t="str">
            <v/>
          </cell>
          <cell r="BH1822" t="str">
            <v/>
          </cell>
        </row>
        <row r="1823">
          <cell r="AA1823">
            <v>2</v>
          </cell>
          <cell r="AR1823" t="b">
            <v>0</v>
          </cell>
          <cell r="BC1823" t="str">
            <v/>
          </cell>
          <cell r="BH1823" t="str">
            <v/>
          </cell>
        </row>
        <row r="1824">
          <cell r="AA1824">
            <v>2</v>
          </cell>
          <cell r="BC1824" t="str">
            <v/>
          </cell>
          <cell r="BH1824" t="str">
            <v/>
          </cell>
        </row>
        <row r="1825">
          <cell r="AA1825">
            <v>2</v>
          </cell>
          <cell r="AR1825" t="b">
            <v>0</v>
          </cell>
          <cell r="BC1825" t="str">
            <v/>
          </cell>
          <cell r="BH1825" t="str">
            <v/>
          </cell>
        </row>
        <row r="1826">
          <cell r="AA1826">
            <v>2</v>
          </cell>
          <cell r="AR1826" t="b">
            <v>0</v>
          </cell>
          <cell r="BC1826" t="str">
            <v/>
          </cell>
          <cell r="BH1826" t="str">
            <v/>
          </cell>
        </row>
        <row r="1827">
          <cell r="AA1827">
            <v>2</v>
          </cell>
          <cell r="AR1827" t="b">
            <v>0</v>
          </cell>
          <cell r="BC1827" t="str">
            <v/>
          </cell>
          <cell r="BH1827" t="str">
            <v/>
          </cell>
        </row>
        <row r="1828">
          <cell r="AA1828">
            <v>2</v>
          </cell>
          <cell r="BC1828" t="str">
            <v/>
          </cell>
          <cell r="BH1828" t="str">
            <v/>
          </cell>
        </row>
        <row r="1829">
          <cell r="AA1829">
            <v>2</v>
          </cell>
          <cell r="BC1829" t="str">
            <v/>
          </cell>
          <cell r="BH1829" t="str">
            <v/>
          </cell>
        </row>
        <row r="1830">
          <cell r="AA1830">
            <v>2</v>
          </cell>
          <cell r="AR1830" t="b">
            <v>0</v>
          </cell>
          <cell r="BC1830" t="str">
            <v/>
          </cell>
          <cell r="BH1830" t="str">
            <v/>
          </cell>
        </row>
        <row r="1831">
          <cell r="AA1831">
            <v>2</v>
          </cell>
          <cell r="BC1831" t="str">
            <v/>
          </cell>
          <cell r="BH1831" t="str">
            <v/>
          </cell>
        </row>
        <row r="1832">
          <cell r="AA1832">
            <v>2</v>
          </cell>
          <cell r="AR1832" t="b">
            <v>0</v>
          </cell>
          <cell r="BC1832" t="str">
            <v/>
          </cell>
          <cell r="BH1832" t="str">
            <v/>
          </cell>
        </row>
        <row r="1833">
          <cell r="AA1833">
            <v>2</v>
          </cell>
          <cell r="AR1833" t="b">
            <v>0</v>
          </cell>
          <cell r="BC1833" t="str">
            <v/>
          </cell>
          <cell r="BH1833" t="str">
            <v/>
          </cell>
        </row>
        <row r="1834">
          <cell r="AA1834">
            <v>2</v>
          </cell>
          <cell r="AR1834" t="b">
            <v>0</v>
          </cell>
          <cell r="BC1834" t="str">
            <v/>
          </cell>
          <cell r="BH1834" t="str">
            <v/>
          </cell>
        </row>
        <row r="1835">
          <cell r="AA1835">
            <v>2</v>
          </cell>
          <cell r="BC1835" t="str">
            <v/>
          </cell>
          <cell r="BH1835" t="str">
            <v/>
          </cell>
        </row>
        <row r="1836">
          <cell r="AA1836">
            <v>2</v>
          </cell>
          <cell r="AR1836" t="b">
            <v>0</v>
          </cell>
          <cell r="BC1836" t="str">
            <v/>
          </cell>
          <cell r="BH1836" t="str">
            <v/>
          </cell>
        </row>
        <row r="1837">
          <cell r="AA1837">
            <v>2</v>
          </cell>
          <cell r="AR1837" t="b">
            <v>0</v>
          </cell>
          <cell r="BC1837" t="str">
            <v/>
          </cell>
          <cell r="BH1837" t="str">
            <v/>
          </cell>
        </row>
        <row r="1838">
          <cell r="AA1838">
            <v>2</v>
          </cell>
          <cell r="BC1838" t="str">
            <v/>
          </cell>
          <cell r="BH1838" t="str">
            <v/>
          </cell>
        </row>
        <row r="1839">
          <cell r="AA1839">
            <v>2</v>
          </cell>
          <cell r="AR1839" t="b">
            <v>0</v>
          </cell>
          <cell r="BC1839" t="str">
            <v/>
          </cell>
          <cell r="BH1839" t="str">
            <v/>
          </cell>
        </row>
        <row r="1840">
          <cell r="AA1840">
            <v>2</v>
          </cell>
          <cell r="AR1840" t="b">
            <v>0</v>
          </cell>
          <cell r="BC1840" t="str">
            <v/>
          </cell>
          <cell r="BH1840" t="str">
            <v/>
          </cell>
        </row>
        <row r="1841">
          <cell r="AA1841">
            <v>2</v>
          </cell>
          <cell r="AR1841" t="b">
            <v>0</v>
          </cell>
          <cell r="BC1841" t="str">
            <v/>
          </cell>
          <cell r="BH1841" t="str">
            <v/>
          </cell>
        </row>
        <row r="1842">
          <cell r="AA1842">
            <v>2</v>
          </cell>
          <cell r="BC1842" t="str">
            <v/>
          </cell>
          <cell r="BH1842" t="str">
            <v/>
          </cell>
        </row>
        <row r="1843">
          <cell r="AA1843">
            <v>2</v>
          </cell>
          <cell r="AR1843" t="b">
            <v>0</v>
          </cell>
          <cell r="BC1843" t="str">
            <v/>
          </cell>
          <cell r="BH1843" t="str">
            <v/>
          </cell>
        </row>
        <row r="1844">
          <cell r="AA1844">
            <v>2</v>
          </cell>
          <cell r="BC1844" t="str">
            <v/>
          </cell>
          <cell r="BH1844" t="str">
            <v/>
          </cell>
        </row>
        <row r="1845">
          <cell r="AA1845">
            <v>2</v>
          </cell>
          <cell r="AO1845" t="str">
            <v/>
          </cell>
          <cell r="BC1845" t="str">
            <v/>
          </cell>
          <cell r="BH1845" t="str">
            <v/>
          </cell>
        </row>
        <row r="1846">
          <cell r="AA1846">
            <v>2</v>
          </cell>
          <cell r="AO1846" t="str">
            <v/>
          </cell>
          <cell r="AR1846" t="b">
            <v>0</v>
          </cell>
          <cell r="BC1846" t="str">
            <v/>
          </cell>
          <cell r="BH1846" t="str">
            <v/>
          </cell>
        </row>
        <row r="1847">
          <cell r="AA1847">
            <v>2</v>
          </cell>
          <cell r="AO1847" t="str">
            <v/>
          </cell>
          <cell r="AR1847" t="b">
            <v>0</v>
          </cell>
          <cell r="BC1847" t="str">
            <v/>
          </cell>
          <cell r="BH1847" t="str">
            <v/>
          </cell>
        </row>
        <row r="1848">
          <cell r="AA1848">
            <v>2</v>
          </cell>
          <cell r="AO1848" t="str">
            <v/>
          </cell>
          <cell r="AR1848" t="b">
            <v>0</v>
          </cell>
          <cell r="BC1848" t="str">
            <v/>
          </cell>
          <cell r="BH1848" t="str">
            <v/>
          </cell>
        </row>
        <row r="1849">
          <cell r="AA1849">
            <v>2</v>
          </cell>
          <cell r="BC1849" t="str">
            <v/>
          </cell>
          <cell r="BH1849" t="str">
            <v/>
          </cell>
        </row>
        <row r="1850">
          <cell r="AA1850">
            <v>2</v>
          </cell>
          <cell r="AR1850" t="b">
            <v>0</v>
          </cell>
          <cell r="BC1850" t="str">
            <v/>
          </cell>
          <cell r="BH1850" t="str">
            <v/>
          </cell>
        </row>
        <row r="1851">
          <cell r="AA1851">
            <v>2</v>
          </cell>
          <cell r="BC1851" t="str">
            <v/>
          </cell>
          <cell r="BH1851" t="str">
            <v/>
          </cell>
        </row>
        <row r="1852">
          <cell r="AA1852">
            <v>2</v>
          </cell>
          <cell r="AR1852" t="b">
            <v>0</v>
          </cell>
          <cell r="BC1852" t="str">
            <v/>
          </cell>
          <cell r="BH1852" t="str">
            <v/>
          </cell>
        </row>
        <row r="1853">
          <cell r="AA1853">
            <v>2</v>
          </cell>
          <cell r="AR1853" t="b">
            <v>0</v>
          </cell>
          <cell r="BC1853" t="str">
            <v/>
          </cell>
          <cell r="BH1853" t="str">
            <v/>
          </cell>
        </row>
        <row r="1854">
          <cell r="AA1854">
            <v>2</v>
          </cell>
          <cell r="AR1854" t="b">
            <v>0</v>
          </cell>
          <cell r="BC1854" t="str">
            <v/>
          </cell>
          <cell r="BH1854" t="str">
            <v/>
          </cell>
        </row>
        <row r="1855">
          <cell r="AA1855">
            <v>2</v>
          </cell>
          <cell r="BC1855" t="str">
            <v/>
          </cell>
          <cell r="BH1855" t="str">
            <v/>
          </cell>
        </row>
        <row r="1856">
          <cell r="AA1856">
            <v>2</v>
          </cell>
          <cell r="BC1856" t="str">
            <v/>
          </cell>
          <cell r="BH1856" t="str">
            <v/>
          </cell>
        </row>
        <row r="1857">
          <cell r="AA1857">
            <v>2</v>
          </cell>
          <cell r="BC1857" t="str">
            <v/>
          </cell>
          <cell r="BH1857" t="str">
            <v/>
          </cell>
        </row>
        <row r="1858">
          <cell r="AA1858">
            <v>2</v>
          </cell>
          <cell r="AR1858" t="b">
            <v>0</v>
          </cell>
          <cell r="BC1858" t="str">
            <v/>
          </cell>
          <cell r="BH1858" t="str">
            <v/>
          </cell>
        </row>
        <row r="1859">
          <cell r="AA1859">
            <v>2</v>
          </cell>
          <cell r="BC1859" t="str">
            <v/>
          </cell>
          <cell r="BH1859" t="str">
            <v/>
          </cell>
        </row>
        <row r="1860">
          <cell r="AA1860">
            <v>2</v>
          </cell>
          <cell r="AR1860" t="b">
            <v>0</v>
          </cell>
          <cell r="BC1860" t="str">
            <v/>
          </cell>
          <cell r="BH1860" t="str">
            <v/>
          </cell>
        </row>
        <row r="1861">
          <cell r="AA1861">
            <v>2</v>
          </cell>
          <cell r="BC1861" t="str">
            <v/>
          </cell>
          <cell r="BH1861" t="str">
            <v/>
          </cell>
        </row>
        <row r="1862">
          <cell r="AA1862">
            <v>2</v>
          </cell>
          <cell r="AR1862" t="b">
            <v>0</v>
          </cell>
          <cell r="BC1862" t="str">
            <v/>
          </cell>
          <cell r="BH1862" t="str">
            <v/>
          </cell>
        </row>
        <row r="1863">
          <cell r="AA1863">
            <v>2</v>
          </cell>
          <cell r="AR1863" t="b">
            <v>0</v>
          </cell>
          <cell r="BC1863" t="str">
            <v/>
          </cell>
          <cell r="BH1863" t="str">
            <v/>
          </cell>
        </row>
        <row r="1864">
          <cell r="AA1864">
            <v>2</v>
          </cell>
          <cell r="AR1864" t="b">
            <v>0</v>
          </cell>
          <cell r="BC1864" t="str">
            <v/>
          </cell>
          <cell r="BH1864" t="str">
            <v/>
          </cell>
        </row>
        <row r="1865">
          <cell r="AA1865">
            <v>2</v>
          </cell>
          <cell r="AR1865" t="b">
            <v>0</v>
          </cell>
          <cell r="BC1865" t="str">
            <v/>
          </cell>
          <cell r="BH1865" t="str">
            <v/>
          </cell>
        </row>
        <row r="1866">
          <cell r="AA1866">
            <v>2</v>
          </cell>
          <cell r="AR1866" t="b">
            <v>0</v>
          </cell>
          <cell r="BC1866" t="str">
            <v/>
          </cell>
          <cell r="BH1866" t="str">
            <v/>
          </cell>
        </row>
        <row r="1867">
          <cell r="AA1867">
            <v>2</v>
          </cell>
          <cell r="BC1867" t="str">
            <v/>
          </cell>
          <cell r="BH1867" t="str">
            <v/>
          </cell>
        </row>
        <row r="1868">
          <cell r="AA1868">
            <v>2</v>
          </cell>
          <cell r="BC1868" t="str">
            <v/>
          </cell>
          <cell r="BH1868" t="str">
            <v/>
          </cell>
        </row>
        <row r="1869">
          <cell r="AA1869">
            <v>2</v>
          </cell>
          <cell r="AR1869" t="b">
            <v>0</v>
          </cell>
          <cell r="BC1869" t="str">
            <v/>
          </cell>
          <cell r="BH1869" t="str">
            <v/>
          </cell>
        </row>
        <row r="1870">
          <cell r="AA1870">
            <v>2</v>
          </cell>
          <cell r="BC1870" t="str">
            <v/>
          </cell>
          <cell r="BH1870" t="str">
            <v/>
          </cell>
        </row>
        <row r="1871">
          <cell r="AA1871">
            <v>2</v>
          </cell>
          <cell r="BC1871" t="str">
            <v/>
          </cell>
          <cell r="BH1871" t="str">
            <v/>
          </cell>
        </row>
        <row r="1872">
          <cell r="AA1872">
            <v>2</v>
          </cell>
          <cell r="BC1872" t="str">
            <v/>
          </cell>
          <cell r="BH1872" t="str">
            <v/>
          </cell>
        </row>
        <row r="1873">
          <cell r="BC1873" t="str">
            <v/>
          </cell>
          <cell r="BH1873" t="str">
            <v/>
          </cell>
        </row>
        <row r="1874">
          <cell r="BC1874" t="str">
            <v/>
          </cell>
          <cell r="BH1874" t="str">
            <v/>
          </cell>
        </row>
        <row r="1875">
          <cell r="AA1875">
            <v>2</v>
          </cell>
          <cell r="BC1875" t="str">
            <v/>
          </cell>
          <cell r="BH1875" t="str">
            <v/>
          </cell>
        </row>
        <row r="1876">
          <cell r="AA1876">
            <v>2</v>
          </cell>
          <cell r="BC1876" t="str">
            <v/>
          </cell>
          <cell r="BH1876" t="str">
            <v/>
          </cell>
        </row>
        <row r="1877">
          <cell r="AA1877">
            <v>2</v>
          </cell>
          <cell r="BC1877" t="str">
            <v/>
          </cell>
          <cell r="BH1877" t="str">
            <v/>
          </cell>
        </row>
        <row r="1878">
          <cell r="AA1878">
            <v>2</v>
          </cell>
          <cell r="BC1878" t="str">
            <v/>
          </cell>
          <cell r="BH1878" t="str">
            <v/>
          </cell>
        </row>
        <row r="1879">
          <cell r="AA1879">
            <v>2</v>
          </cell>
          <cell r="BC1879" t="str">
            <v/>
          </cell>
          <cell r="BH1879" t="str">
            <v/>
          </cell>
        </row>
        <row r="1880">
          <cell r="AA1880">
            <v>2</v>
          </cell>
          <cell r="BC1880" t="str">
            <v/>
          </cell>
          <cell r="BH1880" t="str">
            <v/>
          </cell>
        </row>
        <row r="1881">
          <cell r="AA1881">
            <v>2</v>
          </cell>
          <cell r="BC1881" t="str">
            <v/>
          </cell>
          <cell r="BH1881" t="str">
            <v/>
          </cell>
        </row>
        <row r="1882">
          <cell r="AA1882">
            <v>2</v>
          </cell>
          <cell r="BC1882" t="str">
            <v/>
          </cell>
          <cell r="BH1882" t="str">
            <v/>
          </cell>
        </row>
        <row r="1883">
          <cell r="AA1883">
            <v>2</v>
          </cell>
          <cell r="AR1883" t="b">
            <v>0</v>
          </cell>
          <cell r="BC1883" t="str">
            <v/>
          </cell>
          <cell r="BH1883" t="str">
            <v/>
          </cell>
        </row>
        <row r="1884">
          <cell r="AA1884">
            <v>2</v>
          </cell>
          <cell r="BC1884" t="str">
            <v/>
          </cell>
          <cell r="BH1884" t="str">
            <v/>
          </cell>
        </row>
        <row r="1885">
          <cell r="AA1885">
            <v>2</v>
          </cell>
          <cell r="BC1885" t="str">
            <v/>
          </cell>
          <cell r="BH1885" t="str">
            <v/>
          </cell>
        </row>
        <row r="1886">
          <cell r="AA1886">
            <v>2</v>
          </cell>
          <cell r="BC1886" t="str">
            <v/>
          </cell>
          <cell r="BH1886" t="str">
            <v/>
          </cell>
        </row>
        <row r="1887">
          <cell r="AA1887">
            <v>2</v>
          </cell>
          <cell r="BC1887" t="str">
            <v/>
          </cell>
          <cell r="BH1887" t="str">
            <v/>
          </cell>
        </row>
        <row r="1888">
          <cell r="BC1888" t="str">
            <v/>
          </cell>
          <cell r="BH1888" t="str">
            <v/>
          </cell>
        </row>
        <row r="1889">
          <cell r="BC1889" t="str">
            <v/>
          </cell>
          <cell r="BH1889" t="str">
            <v/>
          </cell>
        </row>
        <row r="1890">
          <cell r="AA1890">
            <v>2</v>
          </cell>
          <cell r="BC1890" t="str">
            <v/>
          </cell>
          <cell r="BH1890" t="str">
            <v/>
          </cell>
        </row>
        <row r="1891">
          <cell r="AA1891">
            <v>2</v>
          </cell>
          <cell r="AR1891" t="b">
            <v>0</v>
          </cell>
          <cell r="BC1891" t="str">
            <v/>
          </cell>
          <cell r="BH1891" t="str">
            <v/>
          </cell>
        </row>
        <row r="1892">
          <cell r="AA1892">
            <v>2</v>
          </cell>
          <cell r="BC1892" t="str">
            <v/>
          </cell>
          <cell r="BH1892" t="str">
            <v/>
          </cell>
        </row>
        <row r="1893">
          <cell r="AA1893">
            <v>2</v>
          </cell>
          <cell r="AR1893" t="b">
            <v>0</v>
          </cell>
          <cell r="BC1893" t="str">
            <v/>
          </cell>
          <cell r="BH1893" t="str">
            <v/>
          </cell>
        </row>
        <row r="1894">
          <cell r="AA1894">
            <v>2</v>
          </cell>
          <cell r="BC1894" t="str">
            <v/>
          </cell>
          <cell r="BH1894" t="str">
            <v/>
          </cell>
        </row>
        <row r="1895">
          <cell r="AA1895">
            <v>2</v>
          </cell>
          <cell r="AR1895" t="b">
            <v>0</v>
          </cell>
          <cell r="BC1895" t="str">
            <v/>
          </cell>
          <cell r="BH1895" t="str">
            <v/>
          </cell>
        </row>
        <row r="1896">
          <cell r="AA1896">
            <v>2</v>
          </cell>
          <cell r="BC1896" t="str">
            <v/>
          </cell>
          <cell r="BH1896" t="str">
            <v/>
          </cell>
        </row>
        <row r="1897">
          <cell r="AA1897">
            <v>2</v>
          </cell>
          <cell r="BC1897" t="str">
            <v/>
          </cell>
          <cell r="BH1897" t="str">
            <v/>
          </cell>
        </row>
        <row r="1898">
          <cell r="BC1898" t="str">
            <v/>
          </cell>
          <cell r="BH1898" t="str">
            <v/>
          </cell>
        </row>
        <row r="1899">
          <cell r="BC1899" t="str">
            <v/>
          </cell>
          <cell r="BH1899" t="str">
            <v/>
          </cell>
        </row>
        <row r="1900">
          <cell r="AA1900">
            <v>0</v>
          </cell>
          <cell r="BC1900" t="str">
            <v/>
          </cell>
          <cell r="BH1900" t="str">
            <v/>
          </cell>
        </row>
        <row r="1901">
          <cell r="AA1901">
            <v>0</v>
          </cell>
          <cell r="BC1901" t="str">
            <v/>
          </cell>
          <cell r="BH1901" t="str">
            <v/>
          </cell>
        </row>
        <row r="1902">
          <cell r="AA1902">
            <v>0</v>
          </cell>
          <cell r="BC1902" t="str">
            <v/>
          </cell>
          <cell r="BH1902" t="str">
            <v/>
          </cell>
        </row>
        <row r="1903">
          <cell r="AA1903">
            <v>0</v>
          </cell>
          <cell r="AR1903" t="b">
            <v>0</v>
          </cell>
          <cell r="BC1903" t="str">
            <v/>
          </cell>
          <cell r="BH1903" t="str">
            <v/>
          </cell>
        </row>
        <row r="1904">
          <cell r="AA1904">
            <v>0</v>
          </cell>
          <cell r="AR1904" t="b">
            <v>0</v>
          </cell>
          <cell r="BC1904" t="str">
            <v/>
          </cell>
          <cell r="BH1904" t="str">
            <v/>
          </cell>
        </row>
        <row r="1905">
          <cell r="AA1905">
            <v>0</v>
          </cell>
          <cell r="AR1905" t="b">
            <v>0</v>
          </cell>
          <cell r="BC1905" t="str">
            <v/>
          </cell>
          <cell r="BH1905" t="str">
            <v/>
          </cell>
        </row>
        <row r="1906">
          <cell r="AA1906">
            <v>0</v>
          </cell>
          <cell r="BC1906" t="str">
            <v/>
          </cell>
          <cell r="BH1906" t="str">
            <v/>
          </cell>
        </row>
        <row r="1907">
          <cell r="AA1907">
            <v>0</v>
          </cell>
          <cell r="BC1907" t="str">
            <v/>
          </cell>
          <cell r="BH1907" t="str">
            <v/>
          </cell>
        </row>
        <row r="1908">
          <cell r="AA1908">
            <v>0</v>
          </cell>
          <cell r="BC1908" t="str">
            <v/>
          </cell>
          <cell r="BH1908" t="str">
            <v/>
          </cell>
        </row>
        <row r="1909">
          <cell r="AA1909">
            <v>0</v>
          </cell>
          <cell r="BC1909" t="str">
            <v/>
          </cell>
          <cell r="BH1909" t="str">
            <v/>
          </cell>
        </row>
        <row r="1910">
          <cell r="AA1910">
            <v>0</v>
          </cell>
          <cell r="AR1910" t="b">
            <v>0</v>
          </cell>
          <cell r="BC1910" t="str">
            <v/>
          </cell>
          <cell r="BH1910" t="str">
            <v/>
          </cell>
        </row>
        <row r="1911">
          <cell r="AA1911">
            <v>0</v>
          </cell>
          <cell r="AR1911" t="b">
            <v>0</v>
          </cell>
          <cell r="BC1911" t="str">
            <v/>
          </cell>
          <cell r="BH1911" t="str">
            <v/>
          </cell>
        </row>
        <row r="1912">
          <cell r="AA1912">
            <v>0</v>
          </cell>
          <cell r="AR1912" t="b">
            <v>0</v>
          </cell>
          <cell r="BC1912" t="str">
            <v/>
          </cell>
          <cell r="BH1912" t="str">
            <v/>
          </cell>
        </row>
        <row r="1913">
          <cell r="AA1913">
            <v>0</v>
          </cell>
          <cell r="BC1913" t="str">
            <v/>
          </cell>
          <cell r="BH1913" t="str">
            <v/>
          </cell>
        </row>
        <row r="1914">
          <cell r="AA1914">
            <v>0</v>
          </cell>
          <cell r="AR1914" t="b">
            <v>0</v>
          </cell>
          <cell r="BC1914" t="str">
            <v/>
          </cell>
          <cell r="BH1914" t="str">
            <v/>
          </cell>
        </row>
        <row r="1915">
          <cell r="AA1915">
            <v>0</v>
          </cell>
          <cell r="AR1915" t="b">
            <v>0</v>
          </cell>
          <cell r="BC1915" t="str">
            <v/>
          </cell>
          <cell r="BH1915" t="str">
            <v/>
          </cell>
        </row>
        <row r="1916">
          <cell r="AA1916">
            <v>0</v>
          </cell>
          <cell r="BC1916" t="str">
            <v/>
          </cell>
          <cell r="BH1916" t="str">
            <v/>
          </cell>
        </row>
        <row r="1917">
          <cell r="AA1917">
            <v>0</v>
          </cell>
          <cell r="BC1917" t="str">
            <v/>
          </cell>
          <cell r="BH1917" t="str">
            <v/>
          </cell>
        </row>
        <row r="1918">
          <cell r="BC1918" t="str">
            <v/>
          </cell>
          <cell r="BH1918" t="str">
            <v/>
          </cell>
        </row>
        <row r="1919">
          <cell r="BC1919" t="str">
            <v/>
          </cell>
          <cell r="BH1919" t="str">
            <v/>
          </cell>
        </row>
        <row r="1920">
          <cell r="AA1920">
            <v>0</v>
          </cell>
          <cell r="AR1920" t="b">
            <v>0</v>
          </cell>
          <cell r="BC1920" t="str">
            <v/>
          </cell>
          <cell r="BH1920" t="str">
            <v/>
          </cell>
        </row>
        <row r="1921">
          <cell r="AA1921">
            <v>0</v>
          </cell>
          <cell r="AR1921" t="b">
            <v>0</v>
          </cell>
          <cell r="BC1921" t="str">
            <v/>
          </cell>
          <cell r="BH1921" t="str">
            <v/>
          </cell>
        </row>
        <row r="1922">
          <cell r="AA1922">
            <v>0</v>
          </cell>
          <cell r="AR1922" t="b">
            <v>0</v>
          </cell>
          <cell r="BC1922" t="str">
            <v/>
          </cell>
          <cell r="BH1922" t="str">
            <v/>
          </cell>
        </row>
        <row r="1923">
          <cell r="AA1923">
            <v>0</v>
          </cell>
          <cell r="AR1923" t="b">
            <v>0</v>
          </cell>
          <cell r="BC1923" t="str">
            <v/>
          </cell>
          <cell r="BH1923" t="str">
            <v/>
          </cell>
        </row>
        <row r="1924">
          <cell r="AA1924">
            <v>0</v>
          </cell>
          <cell r="AR1924" t="b">
            <v>0</v>
          </cell>
          <cell r="BC1924" t="str">
            <v/>
          </cell>
          <cell r="BH1924" t="str">
            <v/>
          </cell>
        </row>
        <row r="1925">
          <cell r="BC1925" t="str">
            <v/>
          </cell>
          <cell r="BH1925" t="str">
            <v/>
          </cell>
        </row>
        <row r="1926">
          <cell r="AA1926">
            <v>0</v>
          </cell>
          <cell r="AR1926" t="b">
            <v>0</v>
          </cell>
          <cell r="BC1926" t="str">
            <v/>
          </cell>
          <cell r="BH1926" t="str">
            <v/>
          </cell>
        </row>
        <row r="1927">
          <cell r="AA1927">
            <v>0</v>
          </cell>
          <cell r="BC1927" t="str">
            <v/>
          </cell>
          <cell r="BH1927" t="str">
            <v/>
          </cell>
        </row>
        <row r="1928">
          <cell r="AA1928">
            <v>0</v>
          </cell>
          <cell r="BC1928" t="str">
            <v/>
          </cell>
          <cell r="BH1928" t="str">
            <v/>
          </cell>
        </row>
        <row r="1929">
          <cell r="AA1929">
            <v>0</v>
          </cell>
          <cell r="AR1929" t="b">
            <v>0</v>
          </cell>
          <cell r="BC1929" t="str">
            <v/>
          </cell>
          <cell r="BH1929" t="str">
            <v/>
          </cell>
        </row>
        <row r="1930">
          <cell r="AA1930">
            <v>0</v>
          </cell>
          <cell r="BC1930" t="str">
            <v/>
          </cell>
          <cell r="BH1930" t="str">
            <v/>
          </cell>
        </row>
        <row r="1931">
          <cell r="AA1931">
            <v>0</v>
          </cell>
          <cell r="AR1931" t="b">
            <v>0</v>
          </cell>
          <cell r="BC1931" t="str">
            <v/>
          </cell>
          <cell r="BH1931" t="str">
            <v/>
          </cell>
        </row>
        <row r="1932">
          <cell r="BC1932" t="str">
            <v/>
          </cell>
          <cell r="BH1932" t="str">
            <v/>
          </cell>
        </row>
        <row r="1933">
          <cell r="BC1933" t="str">
            <v/>
          </cell>
          <cell r="BH1933" t="str">
            <v/>
          </cell>
        </row>
        <row r="1934">
          <cell r="AA1934">
            <v>2</v>
          </cell>
          <cell r="BC1934" t="str">
            <v/>
          </cell>
          <cell r="BH1934" t="str">
            <v/>
          </cell>
        </row>
        <row r="1935">
          <cell r="AA1935">
            <v>2</v>
          </cell>
          <cell r="AR1935" t="b">
            <v>0</v>
          </cell>
          <cell r="BC1935" t="str">
            <v/>
          </cell>
          <cell r="BH1935" t="str">
            <v/>
          </cell>
        </row>
        <row r="1936">
          <cell r="AA1936">
            <v>2</v>
          </cell>
          <cell r="BC1936" t="str">
            <v/>
          </cell>
          <cell r="BH1936" t="str">
            <v/>
          </cell>
        </row>
        <row r="1937">
          <cell r="AA1937">
            <v>2</v>
          </cell>
          <cell r="AR1937" t="b">
            <v>0</v>
          </cell>
          <cell r="BC1937" t="str">
            <v/>
          </cell>
          <cell r="BH1937" t="str">
            <v/>
          </cell>
        </row>
        <row r="1938">
          <cell r="AA1938">
            <v>2</v>
          </cell>
          <cell r="BC1938" t="str">
            <v/>
          </cell>
          <cell r="BH1938" t="str">
            <v/>
          </cell>
        </row>
        <row r="1939">
          <cell r="AA1939">
            <v>2</v>
          </cell>
          <cell r="AR1939" t="b">
            <v>0</v>
          </cell>
          <cell r="BC1939" t="str">
            <v/>
          </cell>
          <cell r="BH1939" t="str">
            <v/>
          </cell>
        </row>
        <row r="1940">
          <cell r="AA1940">
            <v>2</v>
          </cell>
          <cell r="AR1940" t="b">
            <v>0</v>
          </cell>
          <cell r="BC1940" t="str">
            <v/>
          </cell>
          <cell r="BH1940" t="str">
            <v/>
          </cell>
        </row>
        <row r="1941">
          <cell r="AA1941">
            <v>2</v>
          </cell>
          <cell r="BC1941" t="str">
            <v/>
          </cell>
          <cell r="BH1941" t="str">
            <v/>
          </cell>
        </row>
        <row r="1942">
          <cell r="AA1942">
            <v>2</v>
          </cell>
          <cell r="AP1942">
            <v>1</v>
          </cell>
          <cell r="AR1942" t="b">
            <v>0</v>
          </cell>
          <cell r="BC1942" t="str">
            <v/>
          </cell>
          <cell r="BH1942" t="str">
            <v/>
          </cell>
        </row>
        <row r="1943">
          <cell r="AA1943">
            <v>2</v>
          </cell>
          <cell r="AR1943" t="b">
            <v>0</v>
          </cell>
          <cell r="BC1943" t="str">
            <v/>
          </cell>
          <cell r="BH1943" t="str">
            <v/>
          </cell>
        </row>
        <row r="1944">
          <cell r="AA1944">
            <v>2</v>
          </cell>
          <cell r="BC1944" t="str">
            <v/>
          </cell>
          <cell r="BH1944" t="str">
            <v/>
          </cell>
        </row>
        <row r="1945">
          <cell r="AA1945">
            <v>2</v>
          </cell>
          <cell r="BC1945" t="str">
            <v/>
          </cell>
          <cell r="BH1945" t="str">
            <v/>
          </cell>
        </row>
        <row r="1946">
          <cell r="AA1946">
            <v>2</v>
          </cell>
          <cell r="BC1946" t="str">
            <v/>
          </cell>
          <cell r="BH1946" t="str">
            <v/>
          </cell>
        </row>
        <row r="1947">
          <cell r="AA1947">
            <v>2</v>
          </cell>
          <cell r="BC1947" t="str">
            <v/>
          </cell>
          <cell r="BH1947" t="str">
            <v/>
          </cell>
        </row>
        <row r="1948">
          <cell r="AA1948">
            <v>2</v>
          </cell>
          <cell r="AR1948" t="b">
            <v>0</v>
          </cell>
          <cell r="BC1948" t="str">
            <v/>
          </cell>
          <cell r="BH1948" t="str">
            <v/>
          </cell>
        </row>
        <row r="1949">
          <cell r="AA1949">
            <v>2</v>
          </cell>
          <cell r="BC1949" t="str">
            <v/>
          </cell>
          <cell r="BH1949" t="str">
            <v/>
          </cell>
        </row>
        <row r="1950">
          <cell r="AA1950">
            <v>2</v>
          </cell>
          <cell r="BC1950" t="str">
            <v/>
          </cell>
          <cell r="BH1950" t="str">
            <v/>
          </cell>
        </row>
        <row r="1951">
          <cell r="AA1951">
            <v>2</v>
          </cell>
          <cell r="AR1951" t="b">
            <v>0</v>
          </cell>
          <cell r="BC1951" t="str">
            <v/>
          </cell>
          <cell r="BH1951" t="str">
            <v/>
          </cell>
        </row>
        <row r="1952">
          <cell r="AA1952">
            <v>2</v>
          </cell>
          <cell r="BC1952" t="str">
            <v/>
          </cell>
          <cell r="BH1952" t="str">
            <v/>
          </cell>
        </row>
        <row r="1953">
          <cell r="AA1953">
            <v>2</v>
          </cell>
          <cell r="BC1953" t="str">
            <v/>
          </cell>
          <cell r="BH1953" t="str">
            <v/>
          </cell>
        </row>
        <row r="1954">
          <cell r="AA1954">
            <v>2</v>
          </cell>
          <cell r="BC1954" t="str">
            <v/>
          </cell>
          <cell r="BH1954" t="str">
            <v/>
          </cell>
        </row>
        <row r="1955">
          <cell r="AA1955">
            <v>2</v>
          </cell>
          <cell r="BC1955" t="str">
            <v/>
          </cell>
          <cell r="BH1955" t="str">
            <v/>
          </cell>
        </row>
        <row r="1956">
          <cell r="AA1956">
            <v>2</v>
          </cell>
          <cell r="BC1956" t="str">
            <v/>
          </cell>
          <cell r="BH1956" t="str">
            <v/>
          </cell>
        </row>
        <row r="1957">
          <cell r="AA1957">
            <v>2</v>
          </cell>
          <cell r="AR1957" t="b">
            <v>0</v>
          </cell>
          <cell r="BC1957" t="str">
            <v/>
          </cell>
          <cell r="BH1957" t="str">
            <v/>
          </cell>
        </row>
        <row r="1958">
          <cell r="AA1958">
            <v>2</v>
          </cell>
          <cell r="BC1958" t="str">
            <v/>
          </cell>
          <cell r="BH1958" t="str">
            <v/>
          </cell>
        </row>
        <row r="1959">
          <cell r="AA1959">
            <v>2</v>
          </cell>
          <cell r="BC1959" t="str">
            <v/>
          </cell>
          <cell r="BH1959" t="str">
            <v/>
          </cell>
        </row>
        <row r="1960">
          <cell r="AA1960">
            <v>2</v>
          </cell>
          <cell r="AR1960" t="b">
            <v>0</v>
          </cell>
          <cell r="BC1960" t="str">
            <v/>
          </cell>
          <cell r="BH1960" t="str">
            <v/>
          </cell>
        </row>
        <row r="1961">
          <cell r="AA1961">
            <v>2</v>
          </cell>
          <cell r="BC1961" t="str">
            <v/>
          </cell>
          <cell r="BH1961" t="str">
            <v/>
          </cell>
        </row>
        <row r="1962">
          <cell r="AA1962">
            <v>2</v>
          </cell>
          <cell r="BC1962" t="str">
            <v/>
          </cell>
          <cell r="BH1962" t="str">
            <v/>
          </cell>
        </row>
        <row r="1963">
          <cell r="AA1963">
            <v>2</v>
          </cell>
          <cell r="BC1963" t="str">
            <v/>
          </cell>
          <cell r="BH1963" t="str">
            <v/>
          </cell>
        </row>
        <row r="1964">
          <cell r="AA1964">
            <v>2</v>
          </cell>
          <cell r="BC1964" t="str">
            <v/>
          </cell>
          <cell r="BH1964" t="str">
            <v/>
          </cell>
        </row>
        <row r="1965">
          <cell r="AA1965">
            <v>2</v>
          </cell>
          <cell r="BC1965" t="str">
            <v/>
          </cell>
          <cell r="BH1965" t="str">
            <v/>
          </cell>
        </row>
        <row r="1966">
          <cell r="AA1966">
            <v>2</v>
          </cell>
          <cell r="BC1966" t="str">
            <v/>
          </cell>
          <cell r="BH1966" t="str">
            <v/>
          </cell>
        </row>
        <row r="1967">
          <cell r="AA1967">
            <v>2</v>
          </cell>
          <cell r="BC1967" t="str">
            <v/>
          </cell>
          <cell r="BH1967" t="str">
            <v/>
          </cell>
        </row>
        <row r="1968">
          <cell r="AA1968">
            <v>2</v>
          </cell>
          <cell r="AR1968" t="b">
            <v>0</v>
          </cell>
          <cell r="BC1968" t="str">
            <v/>
          </cell>
          <cell r="BH1968" t="str">
            <v/>
          </cell>
        </row>
        <row r="1969">
          <cell r="AA1969">
            <v>2</v>
          </cell>
          <cell r="AR1969" t="b">
            <v>0</v>
          </cell>
          <cell r="BC1969" t="str">
            <v/>
          </cell>
          <cell r="BH1969" t="str">
            <v/>
          </cell>
        </row>
        <row r="1970">
          <cell r="AA1970">
            <v>2</v>
          </cell>
          <cell r="BC1970" t="str">
            <v/>
          </cell>
          <cell r="BH1970" t="str">
            <v/>
          </cell>
        </row>
        <row r="1971">
          <cell r="AA1971">
            <v>2</v>
          </cell>
          <cell r="BC1971" t="str">
            <v/>
          </cell>
          <cell r="BH1971" t="str">
            <v/>
          </cell>
        </row>
        <row r="1972">
          <cell r="AA1972">
            <v>2</v>
          </cell>
          <cell r="AR1972" t="b">
            <v>0</v>
          </cell>
          <cell r="BC1972" t="str">
            <v/>
          </cell>
          <cell r="BH1972" t="str">
            <v/>
          </cell>
        </row>
        <row r="1973">
          <cell r="AA1973">
            <v>2</v>
          </cell>
          <cell r="BC1973" t="str">
            <v/>
          </cell>
          <cell r="BH1973" t="str">
            <v/>
          </cell>
        </row>
        <row r="1974">
          <cell r="AA1974">
            <v>2</v>
          </cell>
          <cell r="AR1974" t="b">
            <v>0</v>
          </cell>
          <cell r="BC1974" t="str">
            <v/>
          </cell>
          <cell r="BH1974" t="str">
            <v/>
          </cell>
        </row>
        <row r="1975">
          <cell r="AA1975">
            <v>2</v>
          </cell>
          <cell r="AR1975" t="b">
            <v>0</v>
          </cell>
          <cell r="BC1975" t="str">
            <v/>
          </cell>
          <cell r="BH1975" t="str">
            <v/>
          </cell>
        </row>
        <row r="1976">
          <cell r="AA1976">
            <v>2</v>
          </cell>
          <cell r="AR1976" t="b">
            <v>0</v>
          </cell>
          <cell r="BC1976" t="str">
            <v/>
          </cell>
          <cell r="BH1976" t="str">
            <v/>
          </cell>
        </row>
        <row r="1977">
          <cell r="AA1977">
            <v>2</v>
          </cell>
          <cell r="AR1977" t="b">
            <v>0</v>
          </cell>
          <cell r="BC1977" t="str">
            <v/>
          </cell>
          <cell r="BH1977" t="str">
            <v/>
          </cell>
        </row>
        <row r="1978">
          <cell r="AA1978">
            <v>2</v>
          </cell>
          <cell r="BC1978" t="str">
            <v/>
          </cell>
          <cell r="BH1978" t="str">
            <v/>
          </cell>
        </row>
        <row r="1979">
          <cell r="AA1979">
            <v>2</v>
          </cell>
          <cell r="BC1979" t="str">
            <v/>
          </cell>
          <cell r="BH1979" t="str">
            <v/>
          </cell>
        </row>
        <row r="1980">
          <cell r="AA1980">
            <v>2</v>
          </cell>
          <cell r="BC1980" t="str">
            <v/>
          </cell>
          <cell r="BH1980" t="str">
            <v/>
          </cell>
        </row>
        <row r="1981">
          <cell r="AA1981">
            <v>2</v>
          </cell>
          <cell r="BC1981" t="str">
            <v/>
          </cell>
          <cell r="BH1981" t="str">
            <v/>
          </cell>
        </row>
        <row r="1982">
          <cell r="AA1982">
            <v>2</v>
          </cell>
          <cell r="BC1982" t="str">
            <v/>
          </cell>
          <cell r="BH1982" t="str">
            <v/>
          </cell>
        </row>
        <row r="1983">
          <cell r="AA1983">
            <v>2</v>
          </cell>
          <cell r="BC1983" t="str">
            <v/>
          </cell>
          <cell r="BH1983" t="str">
            <v/>
          </cell>
        </row>
        <row r="1984">
          <cell r="AA1984">
            <v>2</v>
          </cell>
          <cell r="BC1984" t="str">
            <v/>
          </cell>
          <cell r="BH1984" t="str">
            <v/>
          </cell>
        </row>
        <row r="1985">
          <cell r="AA1985">
            <v>2</v>
          </cell>
          <cell r="BC1985" t="str">
            <v/>
          </cell>
          <cell r="BH1985" t="str">
            <v/>
          </cell>
        </row>
        <row r="1986">
          <cell r="AA1986">
            <v>2</v>
          </cell>
          <cell r="BC1986" t="str">
            <v/>
          </cell>
          <cell r="BH1986" t="str">
            <v/>
          </cell>
        </row>
        <row r="1987">
          <cell r="AA1987">
            <v>2</v>
          </cell>
          <cell r="BC1987" t="str">
            <v/>
          </cell>
          <cell r="BH1987" t="str">
            <v/>
          </cell>
        </row>
        <row r="1988">
          <cell r="AA1988">
            <v>2</v>
          </cell>
          <cell r="BC1988" t="str">
            <v/>
          </cell>
          <cell r="BH1988" t="str">
            <v/>
          </cell>
        </row>
        <row r="1989">
          <cell r="AA1989">
            <v>2</v>
          </cell>
          <cell r="BC1989" t="str">
            <v/>
          </cell>
          <cell r="BH1989" t="str">
            <v/>
          </cell>
        </row>
        <row r="1990">
          <cell r="AA1990">
            <v>2</v>
          </cell>
          <cell r="AR1990" t="b">
            <v>0</v>
          </cell>
          <cell r="BC1990" t="str">
            <v/>
          </cell>
          <cell r="BH1990" t="str">
            <v/>
          </cell>
        </row>
        <row r="1991">
          <cell r="AA1991">
            <v>2</v>
          </cell>
          <cell r="BC1991" t="str">
            <v/>
          </cell>
          <cell r="BH1991" t="str">
            <v/>
          </cell>
        </row>
        <row r="1992">
          <cell r="AA1992">
            <v>2</v>
          </cell>
          <cell r="BC1992" t="str">
            <v/>
          </cell>
          <cell r="BH1992" t="str">
            <v/>
          </cell>
        </row>
        <row r="1993">
          <cell r="AA1993">
            <v>2</v>
          </cell>
          <cell r="BC1993" t="str">
            <v/>
          </cell>
          <cell r="BH1993" t="str">
            <v/>
          </cell>
        </row>
        <row r="1994">
          <cell r="BC1994" t="str">
            <v/>
          </cell>
          <cell r="BH1994" t="str">
            <v/>
          </cell>
        </row>
        <row r="1995">
          <cell r="BC1995" t="str">
            <v/>
          </cell>
          <cell r="BH1995" t="str">
            <v/>
          </cell>
        </row>
        <row r="1996">
          <cell r="AA1996">
            <v>2</v>
          </cell>
          <cell r="AR1996" t="b">
            <v>0</v>
          </cell>
          <cell r="BC1996" t="str">
            <v/>
          </cell>
          <cell r="BH1996" t="str">
            <v/>
          </cell>
        </row>
        <row r="1997">
          <cell r="AA1997">
            <v>2</v>
          </cell>
          <cell r="AR1997" t="b">
            <v>0</v>
          </cell>
          <cell r="BC1997" t="str">
            <v/>
          </cell>
          <cell r="BH1997" t="str">
            <v/>
          </cell>
        </row>
        <row r="1998">
          <cell r="AA1998">
            <v>2</v>
          </cell>
          <cell r="BC1998" t="str">
            <v/>
          </cell>
          <cell r="BH1998" t="str">
            <v/>
          </cell>
        </row>
        <row r="1999">
          <cell r="AA1999">
            <v>2</v>
          </cell>
          <cell r="BC1999" t="str">
            <v/>
          </cell>
          <cell r="BH1999" t="str">
            <v/>
          </cell>
        </row>
        <row r="2000">
          <cell r="AA2000">
            <v>2</v>
          </cell>
          <cell r="BC2000" t="str">
            <v/>
          </cell>
          <cell r="BH2000" t="str">
            <v/>
          </cell>
        </row>
        <row r="2001">
          <cell r="AA2001">
            <v>2</v>
          </cell>
          <cell r="BC2001" t="str">
            <v/>
          </cell>
          <cell r="BH2001" t="str">
            <v/>
          </cell>
        </row>
        <row r="2002">
          <cell r="AA2002">
            <v>2</v>
          </cell>
          <cell r="BC2002" t="str">
            <v/>
          </cell>
          <cell r="BH2002" t="str">
            <v/>
          </cell>
        </row>
        <row r="2003">
          <cell r="AA2003">
            <v>2</v>
          </cell>
          <cell r="AR2003" t="b">
            <v>0</v>
          </cell>
          <cell r="BC2003" t="str">
            <v/>
          </cell>
          <cell r="BH2003" t="str">
            <v/>
          </cell>
        </row>
        <row r="2004">
          <cell r="AA2004">
            <v>2</v>
          </cell>
          <cell r="AR2004" t="b">
            <v>0</v>
          </cell>
          <cell r="BC2004" t="str">
            <v/>
          </cell>
          <cell r="BH2004" t="str">
            <v/>
          </cell>
        </row>
        <row r="2005">
          <cell r="AA2005">
            <v>2</v>
          </cell>
          <cell r="BC2005" t="str">
            <v/>
          </cell>
          <cell r="BH2005" t="str">
            <v/>
          </cell>
        </row>
        <row r="2006">
          <cell r="AA2006">
            <v>2</v>
          </cell>
          <cell r="AR2006" t="b">
            <v>0</v>
          </cell>
          <cell r="BC2006" t="str">
            <v/>
          </cell>
          <cell r="BH2006" t="str">
            <v/>
          </cell>
        </row>
        <row r="2007">
          <cell r="AA2007">
            <v>2</v>
          </cell>
          <cell r="AR2007" t="b">
            <v>0</v>
          </cell>
          <cell r="BC2007" t="str">
            <v/>
          </cell>
          <cell r="BH2007" t="str">
            <v/>
          </cell>
        </row>
        <row r="2008">
          <cell r="AA2008">
            <v>2</v>
          </cell>
          <cell r="AR2008" t="b">
            <v>0</v>
          </cell>
          <cell r="BC2008" t="str">
            <v/>
          </cell>
          <cell r="BH2008" t="str">
            <v/>
          </cell>
        </row>
        <row r="2009">
          <cell r="AA2009">
            <v>2</v>
          </cell>
          <cell r="AR2009" t="b">
            <v>0</v>
          </cell>
          <cell r="BC2009" t="str">
            <v/>
          </cell>
          <cell r="BH2009" t="str">
            <v/>
          </cell>
        </row>
        <row r="2010">
          <cell r="AA2010">
            <v>2</v>
          </cell>
          <cell r="BC2010" t="str">
            <v/>
          </cell>
          <cell r="BH2010" t="str">
            <v/>
          </cell>
        </row>
        <row r="2011">
          <cell r="AA2011">
            <v>2</v>
          </cell>
          <cell r="BC2011" t="str">
            <v/>
          </cell>
          <cell r="BH2011" t="str">
            <v/>
          </cell>
        </row>
        <row r="2012">
          <cell r="AA2012">
            <v>2</v>
          </cell>
          <cell r="BC2012" t="str">
            <v/>
          </cell>
          <cell r="BH2012" t="str">
            <v/>
          </cell>
        </row>
        <row r="2013">
          <cell r="BC2013" t="str">
            <v/>
          </cell>
          <cell r="BH2013" t="str">
            <v/>
          </cell>
        </row>
        <row r="2014">
          <cell r="BC2014" t="str">
            <v/>
          </cell>
          <cell r="BH2014" t="str">
            <v/>
          </cell>
        </row>
        <row r="2015">
          <cell r="AA2015">
            <v>2</v>
          </cell>
          <cell r="AR2015" t="b">
            <v>0</v>
          </cell>
          <cell r="BC2015" t="str">
            <v/>
          </cell>
          <cell r="BH2015" t="str">
            <v/>
          </cell>
        </row>
        <row r="2016">
          <cell r="BC2016" t="str">
            <v/>
          </cell>
          <cell r="BH2016" t="str">
            <v/>
          </cell>
        </row>
        <row r="2017">
          <cell r="BC2017" t="str">
            <v/>
          </cell>
          <cell r="BH2017" t="str">
            <v/>
          </cell>
        </row>
        <row r="2018">
          <cell r="AA2018">
            <v>2</v>
          </cell>
          <cell r="BC2018" t="str">
            <v/>
          </cell>
          <cell r="BH2018" t="str">
            <v/>
          </cell>
        </row>
        <row r="2019">
          <cell r="AA2019">
            <v>2</v>
          </cell>
          <cell r="AR2019" t="b">
            <v>0</v>
          </cell>
          <cell r="BC2019" t="str">
            <v/>
          </cell>
          <cell r="BH2019" t="str">
            <v/>
          </cell>
        </row>
        <row r="2020">
          <cell r="AA2020">
            <v>2</v>
          </cell>
          <cell r="AR2020" t="b">
            <v>0</v>
          </cell>
          <cell r="BC2020" t="str">
            <v/>
          </cell>
          <cell r="BH2020" t="str">
            <v/>
          </cell>
        </row>
        <row r="2021">
          <cell r="AA2021">
            <v>2</v>
          </cell>
          <cell r="AR2021" t="b">
            <v>0</v>
          </cell>
          <cell r="BC2021" t="str">
            <v/>
          </cell>
          <cell r="BH2021" t="str">
            <v/>
          </cell>
        </row>
        <row r="2022">
          <cell r="AA2022">
            <v>2</v>
          </cell>
          <cell r="BC2022" t="str">
            <v/>
          </cell>
          <cell r="BH2022" t="str">
            <v/>
          </cell>
        </row>
        <row r="2023">
          <cell r="AA2023">
            <v>2</v>
          </cell>
          <cell r="AR2023" t="b">
            <v>0</v>
          </cell>
          <cell r="BC2023" t="str">
            <v/>
          </cell>
          <cell r="BH2023" t="str">
            <v/>
          </cell>
        </row>
        <row r="2024">
          <cell r="AA2024">
            <v>2</v>
          </cell>
          <cell r="AR2024" t="b">
            <v>0</v>
          </cell>
          <cell r="BC2024" t="str">
            <v/>
          </cell>
          <cell r="BH2024" t="str">
            <v/>
          </cell>
        </row>
        <row r="2025">
          <cell r="AA2025">
            <v>2</v>
          </cell>
          <cell r="AR2025" t="b">
            <v>0</v>
          </cell>
          <cell r="BC2025" t="str">
            <v/>
          </cell>
          <cell r="BH2025" t="str">
            <v/>
          </cell>
        </row>
        <row r="2026">
          <cell r="AA2026">
            <v>2</v>
          </cell>
          <cell r="BC2026" t="str">
            <v/>
          </cell>
          <cell r="BH2026" t="str">
            <v/>
          </cell>
        </row>
        <row r="2027">
          <cell r="AA2027">
            <v>2</v>
          </cell>
          <cell r="AR2027" t="b">
            <v>0</v>
          </cell>
          <cell r="BC2027" t="str">
            <v/>
          </cell>
          <cell r="BH2027" t="str">
            <v/>
          </cell>
        </row>
        <row r="2028">
          <cell r="AA2028">
            <v>2</v>
          </cell>
          <cell r="AR2028" t="b">
            <v>0</v>
          </cell>
          <cell r="BC2028" t="str">
            <v/>
          </cell>
          <cell r="BH2028" t="str">
            <v/>
          </cell>
        </row>
        <row r="2029">
          <cell r="AA2029">
            <v>2</v>
          </cell>
          <cell r="AR2029" t="b">
            <v>0</v>
          </cell>
          <cell r="BC2029" t="str">
            <v/>
          </cell>
          <cell r="BH2029" t="str">
            <v/>
          </cell>
        </row>
        <row r="2030">
          <cell r="AA2030">
            <v>2</v>
          </cell>
          <cell r="AR2030" t="b">
            <v>0</v>
          </cell>
          <cell r="BC2030" t="str">
            <v/>
          </cell>
          <cell r="BH2030" t="str">
            <v/>
          </cell>
        </row>
        <row r="2031">
          <cell r="AA2031">
            <v>2</v>
          </cell>
          <cell r="AR2031" t="b">
            <v>0</v>
          </cell>
          <cell r="BC2031" t="str">
            <v/>
          </cell>
          <cell r="BH2031" t="str">
            <v/>
          </cell>
        </row>
        <row r="2032">
          <cell r="AA2032">
            <v>2</v>
          </cell>
          <cell r="BC2032" t="str">
            <v/>
          </cell>
          <cell r="BH2032" t="str">
            <v/>
          </cell>
        </row>
        <row r="2033">
          <cell r="AA2033">
            <v>2</v>
          </cell>
          <cell r="AR2033" t="b">
            <v>0</v>
          </cell>
          <cell r="BC2033" t="str">
            <v/>
          </cell>
          <cell r="BH2033" t="str">
            <v/>
          </cell>
        </row>
        <row r="2034">
          <cell r="AA2034">
            <v>2</v>
          </cell>
          <cell r="AR2034" t="b">
            <v>0</v>
          </cell>
          <cell r="BC2034" t="str">
            <v/>
          </cell>
          <cell r="BH2034" t="str">
            <v/>
          </cell>
        </row>
        <row r="2035">
          <cell r="AA2035">
            <v>2</v>
          </cell>
          <cell r="AR2035" t="b">
            <v>0</v>
          </cell>
          <cell r="BC2035" t="str">
            <v/>
          </cell>
          <cell r="BH2035" t="str">
            <v/>
          </cell>
        </row>
        <row r="2036">
          <cell r="AA2036">
            <v>2</v>
          </cell>
          <cell r="AR2036" t="b">
            <v>0</v>
          </cell>
          <cell r="BC2036" t="str">
            <v/>
          </cell>
          <cell r="BH2036" t="str">
            <v/>
          </cell>
        </row>
        <row r="2037">
          <cell r="BC2037" t="str">
            <v/>
          </cell>
          <cell r="BH2037" t="str">
            <v/>
          </cell>
        </row>
        <row r="2038">
          <cell r="BC2038" t="str">
            <v/>
          </cell>
          <cell r="BH2038" t="str">
            <v/>
          </cell>
        </row>
        <row r="2039">
          <cell r="AA2039">
            <v>2</v>
          </cell>
          <cell r="AR2039" t="b">
            <v>0</v>
          </cell>
          <cell r="BC2039" t="str">
            <v/>
          </cell>
          <cell r="BH2039" t="str">
            <v/>
          </cell>
        </row>
        <row r="2040">
          <cell r="AA2040">
            <v>2</v>
          </cell>
          <cell r="BC2040" t="str">
            <v/>
          </cell>
          <cell r="BH2040" t="str">
            <v/>
          </cell>
        </row>
        <row r="2041">
          <cell r="AA2041">
            <v>2</v>
          </cell>
          <cell r="BC2041" t="str">
            <v/>
          </cell>
          <cell r="BH2041" t="str">
            <v/>
          </cell>
        </row>
        <row r="2042">
          <cell r="AA2042">
            <v>2</v>
          </cell>
          <cell r="AR2042" t="b">
            <v>0</v>
          </cell>
          <cell r="BC2042" t="str">
            <v/>
          </cell>
          <cell r="BH2042" t="str">
            <v/>
          </cell>
        </row>
        <row r="2043">
          <cell r="AA2043">
            <v>2</v>
          </cell>
          <cell r="AR2043" t="b">
            <v>0</v>
          </cell>
          <cell r="BC2043" t="str">
            <v/>
          </cell>
          <cell r="BH2043" t="str">
            <v/>
          </cell>
        </row>
        <row r="2044">
          <cell r="BC2044" t="str">
            <v/>
          </cell>
          <cell r="BH2044" t="str">
            <v/>
          </cell>
        </row>
        <row r="2045">
          <cell r="AQ2045">
            <v>0</v>
          </cell>
          <cell r="BC2045" t="str">
            <v/>
          </cell>
          <cell r="BH2045" t="str">
            <v/>
          </cell>
        </row>
        <row r="2046">
          <cell r="AA2046">
            <v>2</v>
          </cell>
          <cell r="AR2046" t="b">
            <v>0</v>
          </cell>
          <cell r="BC2046" t="str">
            <v/>
          </cell>
          <cell r="BH2046" t="str">
            <v/>
          </cell>
        </row>
        <row r="2047">
          <cell r="AA2047">
            <v>2</v>
          </cell>
          <cell r="AR2047" t="b">
            <v>0</v>
          </cell>
          <cell r="BC2047" t="str">
            <v/>
          </cell>
          <cell r="BH2047" t="str">
            <v/>
          </cell>
        </row>
        <row r="2048">
          <cell r="AA2048">
            <v>2</v>
          </cell>
          <cell r="BC2048" t="str">
            <v/>
          </cell>
          <cell r="BH2048" t="str">
            <v/>
          </cell>
        </row>
        <row r="2049">
          <cell r="AA2049">
            <v>2</v>
          </cell>
          <cell r="BC2049" t="str">
            <v/>
          </cell>
          <cell r="BH2049" t="str">
            <v/>
          </cell>
        </row>
        <row r="2050">
          <cell r="AA2050">
            <v>2</v>
          </cell>
          <cell r="AR2050" t="b">
            <v>0</v>
          </cell>
          <cell r="BC2050" t="str">
            <v/>
          </cell>
          <cell r="BH2050" t="str">
            <v/>
          </cell>
        </row>
        <row r="2051">
          <cell r="AA2051">
            <v>2</v>
          </cell>
          <cell r="BC2051" t="str">
            <v/>
          </cell>
          <cell r="BH2051" t="str">
            <v/>
          </cell>
        </row>
        <row r="2052">
          <cell r="AA2052">
            <v>2</v>
          </cell>
          <cell r="BC2052" t="str">
            <v/>
          </cell>
          <cell r="BH2052" t="str">
            <v/>
          </cell>
        </row>
        <row r="2053">
          <cell r="AA2053">
            <v>2</v>
          </cell>
          <cell r="BC2053" t="str">
            <v/>
          </cell>
          <cell r="BH2053" t="str">
            <v/>
          </cell>
        </row>
        <row r="2054">
          <cell r="AA2054">
            <v>2</v>
          </cell>
          <cell r="AR2054" t="b">
            <v>0</v>
          </cell>
          <cell r="BC2054" t="str">
            <v/>
          </cell>
          <cell r="BH2054" t="str">
            <v/>
          </cell>
        </row>
        <row r="2055">
          <cell r="AA2055">
            <v>2</v>
          </cell>
          <cell r="AR2055" t="b">
            <v>0</v>
          </cell>
          <cell r="BC2055" t="str">
            <v/>
          </cell>
          <cell r="BH2055" t="str">
            <v/>
          </cell>
        </row>
        <row r="2056">
          <cell r="AA2056">
            <v>2</v>
          </cell>
          <cell r="BC2056" t="str">
            <v/>
          </cell>
          <cell r="BH2056" t="str">
            <v/>
          </cell>
        </row>
        <row r="2057">
          <cell r="AA2057">
            <v>2</v>
          </cell>
          <cell r="BC2057" t="str">
            <v/>
          </cell>
          <cell r="BH2057" t="str">
            <v/>
          </cell>
        </row>
        <row r="2058">
          <cell r="AA2058">
            <v>2</v>
          </cell>
          <cell r="BC2058" t="str">
            <v/>
          </cell>
          <cell r="BH2058" t="str">
            <v/>
          </cell>
        </row>
        <row r="2059">
          <cell r="AA2059">
            <v>2</v>
          </cell>
          <cell r="AR2059" t="b">
            <v>0</v>
          </cell>
          <cell r="BC2059" t="str">
            <v/>
          </cell>
          <cell r="BH2059" t="str">
            <v/>
          </cell>
        </row>
        <row r="2060">
          <cell r="AA2060">
            <v>2</v>
          </cell>
          <cell r="BC2060" t="str">
            <v/>
          </cell>
          <cell r="BH2060" t="str">
            <v/>
          </cell>
        </row>
        <row r="2061">
          <cell r="AA2061">
            <v>2</v>
          </cell>
          <cell r="AR2061" t="b">
            <v>0</v>
          </cell>
          <cell r="BC2061" t="str">
            <v/>
          </cell>
          <cell r="BH2061" t="str">
            <v/>
          </cell>
        </row>
        <row r="2062">
          <cell r="AA2062">
            <v>2</v>
          </cell>
          <cell r="AR2062" t="b">
            <v>0</v>
          </cell>
          <cell r="BC2062" t="str">
            <v/>
          </cell>
          <cell r="BH2062" t="str">
            <v/>
          </cell>
        </row>
        <row r="2063">
          <cell r="AA2063">
            <v>2</v>
          </cell>
          <cell r="BC2063" t="str">
            <v/>
          </cell>
          <cell r="BH2063" t="str">
            <v/>
          </cell>
        </row>
        <row r="2064">
          <cell r="AA2064">
            <v>2</v>
          </cell>
          <cell r="AR2064" t="b">
            <v>0</v>
          </cell>
          <cell r="BC2064" t="str">
            <v/>
          </cell>
          <cell r="BH2064" t="str">
            <v/>
          </cell>
        </row>
        <row r="2065">
          <cell r="AA2065">
            <v>2</v>
          </cell>
          <cell r="AR2065" t="b">
            <v>0</v>
          </cell>
          <cell r="BC2065" t="str">
            <v/>
          </cell>
          <cell r="BH2065" t="str">
            <v/>
          </cell>
        </row>
        <row r="2066">
          <cell r="AA2066">
            <v>2</v>
          </cell>
          <cell r="AR2066" t="b">
            <v>0</v>
          </cell>
          <cell r="BC2066" t="str">
            <v/>
          </cell>
          <cell r="BH2066" t="str">
            <v/>
          </cell>
        </row>
        <row r="2067">
          <cell r="AA2067">
            <v>2</v>
          </cell>
          <cell r="AR2067" t="b">
            <v>0</v>
          </cell>
          <cell r="BC2067" t="str">
            <v/>
          </cell>
          <cell r="BH2067" t="str">
            <v/>
          </cell>
        </row>
        <row r="2068">
          <cell r="AA2068">
            <v>2</v>
          </cell>
          <cell r="BC2068" t="str">
            <v/>
          </cell>
          <cell r="BH2068" t="str">
            <v/>
          </cell>
        </row>
        <row r="2069">
          <cell r="AA2069">
            <v>2</v>
          </cell>
          <cell r="BC2069" t="str">
            <v/>
          </cell>
          <cell r="BH2069" t="str">
            <v/>
          </cell>
        </row>
        <row r="2070">
          <cell r="AA2070">
            <v>2</v>
          </cell>
          <cell r="AR2070" t="b">
            <v>0</v>
          </cell>
          <cell r="BC2070" t="str">
            <v/>
          </cell>
          <cell r="BH2070" t="str">
            <v/>
          </cell>
        </row>
        <row r="2071">
          <cell r="AA2071">
            <v>2</v>
          </cell>
          <cell r="BC2071" t="str">
            <v/>
          </cell>
          <cell r="BH2071" t="str">
            <v/>
          </cell>
        </row>
        <row r="2072">
          <cell r="AA2072">
            <v>2</v>
          </cell>
          <cell r="BC2072" t="str">
            <v/>
          </cell>
          <cell r="BH2072" t="str">
            <v/>
          </cell>
        </row>
        <row r="2073">
          <cell r="AA2073">
            <v>2</v>
          </cell>
          <cell r="BC2073" t="str">
            <v/>
          </cell>
          <cell r="BH2073" t="str">
            <v/>
          </cell>
        </row>
        <row r="2074">
          <cell r="AA2074">
            <v>2</v>
          </cell>
          <cell r="AR2074" t="b">
            <v>0</v>
          </cell>
          <cell r="BC2074" t="str">
            <v/>
          </cell>
          <cell r="BH2074" t="str">
            <v/>
          </cell>
        </row>
        <row r="2075">
          <cell r="AA2075">
            <v>2</v>
          </cell>
          <cell r="BC2075" t="str">
            <v/>
          </cell>
          <cell r="BH2075" t="str">
            <v/>
          </cell>
        </row>
        <row r="2076">
          <cell r="AA2076">
            <v>2</v>
          </cell>
          <cell r="AR2076" t="b">
            <v>0</v>
          </cell>
          <cell r="BC2076" t="str">
            <v/>
          </cell>
          <cell r="BH2076" t="str">
            <v/>
          </cell>
        </row>
        <row r="2077">
          <cell r="AA2077">
            <v>2</v>
          </cell>
          <cell r="AR2077" t="b">
            <v>0</v>
          </cell>
          <cell r="BC2077" t="str">
            <v/>
          </cell>
          <cell r="BH2077" t="str">
            <v/>
          </cell>
        </row>
        <row r="2078">
          <cell r="AA2078">
            <v>2</v>
          </cell>
          <cell r="AR2078" t="b">
            <v>0</v>
          </cell>
          <cell r="BC2078" t="str">
            <v/>
          </cell>
          <cell r="BH2078" t="str">
            <v/>
          </cell>
        </row>
        <row r="2079">
          <cell r="AA2079">
            <v>2</v>
          </cell>
          <cell r="AR2079" t="b">
            <v>0</v>
          </cell>
          <cell r="BC2079" t="str">
            <v/>
          </cell>
          <cell r="BH2079" t="str">
            <v/>
          </cell>
        </row>
        <row r="2080">
          <cell r="AA2080">
            <v>2</v>
          </cell>
          <cell r="AR2080" t="b">
            <v>0</v>
          </cell>
          <cell r="BC2080" t="str">
            <v/>
          </cell>
          <cell r="BH2080" t="str">
            <v/>
          </cell>
        </row>
        <row r="2081">
          <cell r="AA2081">
            <v>2</v>
          </cell>
          <cell r="AR2081" t="b">
            <v>0</v>
          </cell>
          <cell r="BC2081" t="str">
            <v/>
          </cell>
          <cell r="BH2081" t="str">
            <v/>
          </cell>
        </row>
        <row r="2082">
          <cell r="AA2082">
            <v>2</v>
          </cell>
          <cell r="AR2082" t="b">
            <v>0</v>
          </cell>
          <cell r="BC2082" t="str">
            <v/>
          </cell>
          <cell r="BH2082" t="str">
            <v/>
          </cell>
        </row>
        <row r="2083">
          <cell r="AA2083">
            <v>2</v>
          </cell>
          <cell r="AR2083" t="b">
            <v>0</v>
          </cell>
          <cell r="BC2083" t="str">
            <v/>
          </cell>
          <cell r="BH2083" t="str">
            <v/>
          </cell>
        </row>
        <row r="2084">
          <cell r="AA2084">
            <v>2</v>
          </cell>
          <cell r="AR2084" t="b">
            <v>0</v>
          </cell>
          <cell r="BC2084" t="str">
            <v/>
          </cell>
          <cell r="BH2084" t="str">
            <v/>
          </cell>
        </row>
        <row r="2085">
          <cell r="AA2085">
            <v>2</v>
          </cell>
          <cell r="BC2085" t="str">
            <v/>
          </cell>
          <cell r="BH2085" t="str">
            <v/>
          </cell>
        </row>
        <row r="2086">
          <cell r="AA2086">
            <v>2</v>
          </cell>
          <cell r="AR2086" t="b">
            <v>0</v>
          </cell>
          <cell r="BC2086" t="str">
            <v/>
          </cell>
          <cell r="BH2086" t="str">
            <v/>
          </cell>
        </row>
        <row r="2087">
          <cell r="AA2087">
            <v>2</v>
          </cell>
          <cell r="AR2087" t="b">
            <v>0</v>
          </cell>
          <cell r="BC2087" t="str">
            <v/>
          </cell>
          <cell r="BH2087" t="str">
            <v/>
          </cell>
        </row>
        <row r="2088">
          <cell r="AA2088">
            <v>2</v>
          </cell>
          <cell r="AR2088" t="b">
            <v>0</v>
          </cell>
          <cell r="BC2088" t="str">
            <v/>
          </cell>
          <cell r="BH2088" t="str">
            <v/>
          </cell>
        </row>
        <row r="2089">
          <cell r="AA2089">
            <v>2</v>
          </cell>
          <cell r="AR2089" t="b">
            <v>0</v>
          </cell>
          <cell r="BC2089" t="str">
            <v/>
          </cell>
          <cell r="BH2089" t="str">
            <v/>
          </cell>
        </row>
        <row r="2090">
          <cell r="AA2090">
            <v>2</v>
          </cell>
          <cell r="BC2090" t="str">
            <v/>
          </cell>
          <cell r="BH2090" t="str">
            <v/>
          </cell>
        </row>
        <row r="2091">
          <cell r="AA2091">
            <v>2</v>
          </cell>
          <cell r="BC2091" t="str">
            <v/>
          </cell>
          <cell r="BH2091" t="str">
            <v/>
          </cell>
        </row>
        <row r="2092">
          <cell r="AA2092">
            <v>2</v>
          </cell>
          <cell r="AR2092" t="b">
            <v>0</v>
          </cell>
          <cell r="BC2092" t="str">
            <v/>
          </cell>
          <cell r="BH2092" t="str">
            <v/>
          </cell>
        </row>
        <row r="2093">
          <cell r="AA2093">
            <v>2</v>
          </cell>
          <cell r="BC2093" t="str">
            <v/>
          </cell>
          <cell r="BH2093" t="str">
            <v/>
          </cell>
        </row>
        <row r="2094">
          <cell r="AA2094">
            <v>2</v>
          </cell>
          <cell r="AR2094" t="b">
            <v>0</v>
          </cell>
          <cell r="BC2094" t="str">
            <v/>
          </cell>
          <cell r="BH2094" t="str">
            <v/>
          </cell>
        </row>
        <row r="2095">
          <cell r="BC2095" t="str">
            <v/>
          </cell>
          <cell r="BH2095" t="str">
            <v/>
          </cell>
        </row>
        <row r="2096">
          <cell r="BC2096" t="str">
            <v/>
          </cell>
          <cell r="BH2096" t="str">
            <v/>
          </cell>
        </row>
        <row r="2097">
          <cell r="AA2097">
            <v>2</v>
          </cell>
          <cell r="AR2097" t="b">
            <v>0</v>
          </cell>
          <cell r="BC2097" t="str">
            <v/>
          </cell>
          <cell r="BH2097" t="str">
            <v/>
          </cell>
        </row>
        <row r="2098">
          <cell r="BC2098" t="str">
            <v/>
          </cell>
          <cell r="BH2098" t="str">
            <v/>
          </cell>
        </row>
        <row r="2099">
          <cell r="BC2099" t="str">
            <v/>
          </cell>
          <cell r="BH2099" t="str">
            <v/>
          </cell>
        </row>
        <row r="2100">
          <cell r="AA2100">
            <v>0</v>
          </cell>
          <cell r="BC2100" t="str">
            <v/>
          </cell>
          <cell r="BH2100" t="str">
            <v/>
          </cell>
        </row>
        <row r="2101">
          <cell r="AA2101">
            <v>0</v>
          </cell>
          <cell r="AR2101" t="b">
            <v>0</v>
          </cell>
          <cell r="BC2101" t="str">
            <v/>
          </cell>
          <cell r="BH2101" t="str">
            <v/>
          </cell>
        </row>
        <row r="2102">
          <cell r="AA2102">
            <v>0</v>
          </cell>
          <cell r="BC2102" t="str">
            <v/>
          </cell>
          <cell r="BH2102" t="str">
            <v/>
          </cell>
        </row>
        <row r="2103">
          <cell r="AA2103">
            <v>0</v>
          </cell>
          <cell r="AQ2103" t="str">
            <v/>
          </cell>
          <cell r="AR2103" t="b">
            <v>0</v>
          </cell>
          <cell r="BC2103" t="str">
            <v/>
          </cell>
          <cell r="BH2103" t="str">
            <v/>
          </cell>
        </row>
        <row r="2104">
          <cell r="AA2104">
            <v>0</v>
          </cell>
          <cell r="BC2104" t="str">
            <v/>
          </cell>
          <cell r="BH2104" t="str">
            <v/>
          </cell>
        </row>
        <row r="2105">
          <cell r="AA2105">
            <v>0</v>
          </cell>
          <cell r="AR2105" t="b">
            <v>0</v>
          </cell>
          <cell r="BC2105" t="str">
            <v/>
          </cell>
          <cell r="BH2105" t="str">
            <v/>
          </cell>
        </row>
        <row r="2106">
          <cell r="AA2106">
            <v>0</v>
          </cell>
          <cell r="BC2106" t="str">
            <v/>
          </cell>
          <cell r="BH2106" t="str">
            <v/>
          </cell>
        </row>
        <row r="2107">
          <cell r="AA2107">
            <v>0</v>
          </cell>
          <cell r="AR2107" t="b">
            <v>0</v>
          </cell>
          <cell r="BC2107" t="str">
            <v/>
          </cell>
          <cell r="BH2107" t="str">
            <v/>
          </cell>
        </row>
        <row r="2108">
          <cell r="AA2108">
            <v>0</v>
          </cell>
          <cell r="AR2108" t="b">
            <v>0</v>
          </cell>
          <cell r="BC2108" t="str">
            <v/>
          </cell>
          <cell r="BH2108" t="str">
            <v/>
          </cell>
        </row>
        <row r="2109">
          <cell r="AA2109">
            <v>0</v>
          </cell>
          <cell r="AR2109" t="b">
            <v>0</v>
          </cell>
          <cell r="BC2109" t="str">
            <v/>
          </cell>
          <cell r="BH2109" t="str">
            <v/>
          </cell>
        </row>
        <row r="2110">
          <cell r="BC2110" t="str">
            <v/>
          </cell>
          <cell r="BH2110" t="str">
            <v/>
          </cell>
        </row>
        <row r="2111">
          <cell r="AA2111">
            <v>0</v>
          </cell>
          <cell r="AR2111" t="b">
            <v>0</v>
          </cell>
          <cell r="BC2111" t="str">
            <v/>
          </cell>
          <cell r="BH2111" t="str">
            <v/>
          </cell>
        </row>
        <row r="2112">
          <cell r="AA2112">
            <v>0</v>
          </cell>
          <cell r="BC2112" t="str">
            <v/>
          </cell>
          <cell r="BH2112" t="str">
            <v/>
          </cell>
        </row>
        <row r="2113">
          <cell r="BC2113" t="str">
            <v/>
          </cell>
          <cell r="BH2113" t="str">
            <v/>
          </cell>
        </row>
        <row r="2114">
          <cell r="AA2114">
            <v>0</v>
          </cell>
          <cell r="AR2114" t="b">
            <v>0</v>
          </cell>
          <cell r="BC2114" t="str">
            <v/>
          </cell>
          <cell r="BH2114" t="str">
            <v/>
          </cell>
        </row>
        <row r="2115">
          <cell r="AA2115">
            <v>0</v>
          </cell>
          <cell r="BC2115" t="str">
            <v/>
          </cell>
          <cell r="BH2115" t="str">
            <v/>
          </cell>
        </row>
        <row r="2116">
          <cell r="AA2116">
            <v>0</v>
          </cell>
          <cell r="AR2116" t="b">
            <v>0</v>
          </cell>
          <cell r="BC2116" t="str">
            <v/>
          </cell>
          <cell r="BH2116" t="str">
            <v/>
          </cell>
        </row>
        <row r="2117">
          <cell r="AA2117">
            <v>0</v>
          </cell>
          <cell r="AR2117" t="b">
            <v>0</v>
          </cell>
          <cell r="BC2117" t="str">
            <v/>
          </cell>
          <cell r="BH2117" t="str">
            <v/>
          </cell>
        </row>
        <row r="2118">
          <cell r="AA2118">
            <v>0</v>
          </cell>
          <cell r="AR2118" t="b">
            <v>0</v>
          </cell>
          <cell r="BC2118" t="str">
            <v/>
          </cell>
          <cell r="BH2118" t="str">
            <v/>
          </cell>
        </row>
        <row r="2119">
          <cell r="AA2119">
            <v>0</v>
          </cell>
          <cell r="BC2119" t="str">
            <v/>
          </cell>
          <cell r="BH2119" t="str">
            <v/>
          </cell>
        </row>
        <row r="2120">
          <cell r="AA2120">
            <v>0</v>
          </cell>
          <cell r="BC2120" t="str">
            <v/>
          </cell>
          <cell r="BH2120" t="str">
            <v/>
          </cell>
        </row>
        <row r="2121">
          <cell r="AA2121">
            <v>0</v>
          </cell>
          <cell r="AR2121" t="b">
            <v>0</v>
          </cell>
          <cell r="BC2121" t="str">
            <v/>
          </cell>
          <cell r="BH2121" t="str">
            <v/>
          </cell>
        </row>
        <row r="2122">
          <cell r="AA2122">
            <v>0</v>
          </cell>
          <cell r="BC2122" t="str">
            <v/>
          </cell>
          <cell r="BH2122" t="str">
            <v/>
          </cell>
        </row>
        <row r="2123">
          <cell r="AA2123">
            <v>0</v>
          </cell>
          <cell r="AR2123" t="b">
            <v>0</v>
          </cell>
          <cell r="BC2123" t="str">
            <v/>
          </cell>
          <cell r="BH2123" t="str">
            <v/>
          </cell>
        </row>
        <row r="2124">
          <cell r="AA2124">
            <v>0</v>
          </cell>
          <cell r="BC2124" t="str">
            <v/>
          </cell>
          <cell r="BH2124" t="str">
            <v/>
          </cell>
        </row>
        <row r="2125">
          <cell r="AA2125">
            <v>0</v>
          </cell>
          <cell r="BC2125" t="str">
            <v/>
          </cell>
          <cell r="BH2125" t="str">
            <v/>
          </cell>
        </row>
        <row r="2126">
          <cell r="AA2126">
            <v>0</v>
          </cell>
          <cell r="AQ2126" t="str">
            <v/>
          </cell>
          <cell r="AR2126" t="b">
            <v>0</v>
          </cell>
          <cell r="BC2126" t="str">
            <v/>
          </cell>
          <cell r="BH2126" t="str">
            <v/>
          </cell>
        </row>
        <row r="2127">
          <cell r="AA2127">
            <v>0</v>
          </cell>
          <cell r="BC2127" t="str">
            <v/>
          </cell>
          <cell r="BH2127" t="str">
            <v/>
          </cell>
        </row>
        <row r="2128">
          <cell r="AA2128">
            <v>0</v>
          </cell>
          <cell r="BC2128" t="str">
            <v/>
          </cell>
          <cell r="BH2128" t="str">
            <v/>
          </cell>
        </row>
        <row r="2129">
          <cell r="AA2129">
            <v>0</v>
          </cell>
          <cell r="BC2129" t="str">
            <v/>
          </cell>
          <cell r="BH2129" t="str">
            <v/>
          </cell>
        </row>
        <row r="2130">
          <cell r="AA2130">
            <v>0</v>
          </cell>
          <cell r="AQ2130" t="str">
            <v/>
          </cell>
          <cell r="AR2130" t="b">
            <v>0</v>
          </cell>
          <cell r="BC2130" t="str">
            <v/>
          </cell>
          <cell r="BH2130" t="str">
            <v/>
          </cell>
        </row>
        <row r="2131">
          <cell r="AA2131">
            <v>0</v>
          </cell>
          <cell r="AR2131" t="b">
            <v>0</v>
          </cell>
          <cell r="BC2131" t="str">
            <v/>
          </cell>
          <cell r="BH2131" t="str">
            <v/>
          </cell>
        </row>
        <row r="2132">
          <cell r="AA2132">
            <v>0</v>
          </cell>
          <cell r="BC2132" t="str">
            <v/>
          </cell>
          <cell r="BH2132" t="str">
            <v/>
          </cell>
        </row>
        <row r="2133">
          <cell r="AA2133">
            <v>0</v>
          </cell>
          <cell r="BC2133" t="str">
            <v/>
          </cell>
          <cell r="BH2133" t="str">
            <v/>
          </cell>
        </row>
        <row r="2134">
          <cell r="AA2134">
            <v>0</v>
          </cell>
          <cell r="AR2134" t="b">
            <v>0</v>
          </cell>
          <cell r="BC2134" t="str">
            <v/>
          </cell>
          <cell r="BH2134" t="str">
            <v/>
          </cell>
        </row>
        <row r="2135">
          <cell r="AA2135">
            <v>0</v>
          </cell>
          <cell r="BC2135" t="str">
            <v/>
          </cell>
          <cell r="BH2135" t="str">
            <v/>
          </cell>
        </row>
        <row r="2136">
          <cell r="AA2136">
            <v>0</v>
          </cell>
          <cell r="AR2136" t="b">
            <v>0</v>
          </cell>
          <cell r="BC2136" t="str">
            <v/>
          </cell>
          <cell r="BH2136" t="str">
            <v/>
          </cell>
        </row>
        <row r="2137">
          <cell r="AA2137">
            <v>0</v>
          </cell>
          <cell r="AR2137" t="b">
            <v>0</v>
          </cell>
          <cell r="BC2137" t="str">
            <v/>
          </cell>
          <cell r="BH2137" t="str">
            <v/>
          </cell>
        </row>
        <row r="2138">
          <cell r="AA2138">
            <v>0</v>
          </cell>
          <cell r="AR2138" t="b">
            <v>0</v>
          </cell>
          <cell r="BC2138" t="str">
            <v/>
          </cell>
          <cell r="BH2138" t="str">
            <v/>
          </cell>
        </row>
        <row r="2139">
          <cell r="AA2139">
            <v>0</v>
          </cell>
          <cell r="AR2139" t="b">
            <v>0</v>
          </cell>
          <cell r="BC2139" t="str">
            <v/>
          </cell>
          <cell r="BH2139" t="str">
            <v/>
          </cell>
        </row>
        <row r="2140">
          <cell r="AA2140">
            <v>0</v>
          </cell>
          <cell r="AR2140" t="b">
            <v>0</v>
          </cell>
          <cell r="BC2140" t="str">
            <v/>
          </cell>
          <cell r="BH2140" t="str">
            <v/>
          </cell>
        </row>
        <row r="2141">
          <cell r="AA2141">
            <v>0</v>
          </cell>
          <cell r="AR2141" t="b">
            <v>0</v>
          </cell>
          <cell r="BC2141" t="str">
            <v/>
          </cell>
          <cell r="BH2141" t="str">
            <v/>
          </cell>
        </row>
        <row r="2142">
          <cell r="AA2142">
            <v>0</v>
          </cell>
          <cell r="AR2142" t="b">
            <v>0</v>
          </cell>
          <cell r="BC2142" t="str">
            <v/>
          </cell>
          <cell r="BH2142" t="str">
            <v/>
          </cell>
        </row>
        <row r="2143">
          <cell r="AA2143">
            <v>0</v>
          </cell>
          <cell r="BC2143" t="str">
            <v/>
          </cell>
          <cell r="BH2143" t="str">
            <v/>
          </cell>
        </row>
        <row r="2144">
          <cell r="AA2144">
            <v>0</v>
          </cell>
          <cell r="AR2144" t="b">
            <v>0</v>
          </cell>
          <cell r="BC2144" t="str">
            <v/>
          </cell>
          <cell r="BH2144" t="str">
            <v/>
          </cell>
        </row>
        <row r="2145">
          <cell r="AA2145">
            <v>0</v>
          </cell>
          <cell r="AR2145" t="b">
            <v>0</v>
          </cell>
          <cell r="BC2145" t="str">
            <v/>
          </cell>
          <cell r="BH2145" t="str">
            <v/>
          </cell>
        </row>
        <row r="2146">
          <cell r="AA2146">
            <v>0</v>
          </cell>
          <cell r="AR2146" t="b">
            <v>0</v>
          </cell>
          <cell r="BC2146" t="str">
            <v/>
          </cell>
          <cell r="BH2146" t="str">
            <v/>
          </cell>
        </row>
        <row r="2147">
          <cell r="AA2147">
            <v>0</v>
          </cell>
          <cell r="BC2147" t="str">
            <v/>
          </cell>
          <cell r="BH2147" t="str">
            <v/>
          </cell>
        </row>
        <row r="2148">
          <cell r="AA2148">
            <v>0</v>
          </cell>
          <cell r="AR2148" t="b">
            <v>0</v>
          </cell>
          <cell r="BC2148" t="str">
            <v/>
          </cell>
          <cell r="BH2148" t="str">
            <v/>
          </cell>
        </row>
        <row r="2149">
          <cell r="AA2149">
            <v>0</v>
          </cell>
          <cell r="BC2149" t="str">
            <v/>
          </cell>
          <cell r="BH2149" t="str">
            <v/>
          </cell>
        </row>
        <row r="2150">
          <cell r="BC2150" t="str">
            <v/>
          </cell>
          <cell r="BH2150" t="str">
            <v/>
          </cell>
        </row>
        <row r="2151">
          <cell r="BC2151" t="str">
            <v/>
          </cell>
          <cell r="BH2151" t="str">
            <v/>
          </cell>
        </row>
        <row r="2152">
          <cell r="BC2152" t="str">
            <v/>
          </cell>
          <cell r="BH2152" t="str">
            <v/>
          </cell>
        </row>
        <row r="2153">
          <cell r="AA2153">
            <v>0</v>
          </cell>
          <cell r="BC2153" t="str">
            <v/>
          </cell>
          <cell r="BH2153" t="str">
            <v/>
          </cell>
        </row>
        <row r="2154">
          <cell r="AA2154">
            <v>0</v>
          </cell>
          <cell r="BC2154" t="str">
            <v/>
          </cell>
          <cell r="BH2154" t="str">
            <v/>
          </cell>
        </row>
        <row r="2155">
          <cell r="AA2155">
            <v>0</v>
          </cell>
          <cell r="BC2155" t="str">
            <v/>
          </cell>
          <cell r="BH2155" t="str">
            <v/>
          </cell>
        </row>
        <row r="2156">
          <cell r="AA2156">
            <v>0</v>
          </cell>
          <cell r="BC2156" t="str">
            <v/>
          </cell>
          <cell r="BH2156" t="str">
            <v/>
          </cell>
        </row>
        <row r="2157">
          <cell r="AA2157">
            <v>0</v>
          </cell>
          <cell r="BC2157" t="str">
            <v/>
          </cell>
          <cell r="BH2157" t="str">
            <v/>
          </cell>
        </row>
        <row r="2158">
          <cell r="AA2158">
            <v>0</v>
          </cell>
          <cell r="AR2158" t="b">
            <v>0</v>
          </cell>
          <cell r="BC2158" t="str">
            <v/>
          </cell>
          <cell r="BH2158" t="str">
            <v/>
          </cell>
        </row>
        <row r="2159">
          <cell r="AA2159">
            <v>0</v>
          </cell>
          <cell r="BC2159" t="str">
            <v/>
          </cell>
          <cell r="BH2159" t="str">
            <v/>
          </cell>
        </row>
        <row r="2160">
          <cell r="AA2160">
            <v>0</v>
          </cell>
          <cell r="AR2160" t="b">
            <v>0</v>
          </cell>
          <cell r="BC2160" t="str">
            <v/>
          </cell>
          <cell r="BH2160" t="str">
            <v/>
          </cell>
        </row>
        <row r="2161">
          <cell r="AA2161">
            <v>0</v>
          </cell>
          <cell r="BC2161" t="str">
            <v/>
          </cell>
          <cell r="BH2161" t="str">
            <v/>
          </cell>
        </row>
        <row r="2162">
          <cell r="AA2162">
            <v>0</v>
          </cell>
          <cell r="BC2162" t="str">
            <v/>
          </cell>
          <cell r="BH2162" t="str">
            <v/>
          </cell>
        </row>
        <row r="2163">
          <cell r="AA2163">
            <v>0</v>
          </cell>
          <cell r="BC2163" t="str">
            <v/>
          </cell>
          <cell r="BH2163" t="str">
            <v/>
          </cell>
        </row>
        <row r="2164">
          <cell r="AA2164">
            <v>0</v>
          </cell>
          <cell r="BC2164" t="str">
            <v/>
          </cell>
          <cell r="BH2164" t="str">
            <v/>
          </cell>
        </row>
        <row r="2165">
          <cell r="AA2165">
            <v>0</v>
          </cell>
          <cell r="BC2165" t="str">
            <v/>
          </cell>
          <cell r="BH2165" t="str">
            <v/>
          </cell>
        </row>
        <row r="2166">
          <cell r="AA2166">
            <v>0</v>
          </cell>
          <cell r="AR2166" t="b">
            <v>0</v>
          </cell>
          <cell r="BC2166" t="str">
            <v/>
          </cell>
          <cell r="BH2166" t="str">
            <v/>
          </cell>
        </row>
        <row r="2167">
          <cell r="AA2167">
            <v>0</v>
          </cell>
          <cell r="AR2167" t="b">
            <v>0</v>
          </cell>
          <cell r="BC2167" t="str">
            <v/>
          </cell>
          <cell r="BH2167" t="str">
            <v/>
          </cell>
        </row>
        <row r="2168">
          <cell r="AA2168">
            <v>0</v>
          </cell>
          <cell r="BC2168" t="str">
            <v/>
          </cell>
          <cell r="BH2168" t="str">
            <v/>
          </cell>
        </row>
        <row r="2169">
          <cell r="AA2169">
            <v>0</v>
          </cell>
          <cell r="AR2169" t="b">
            <v>0</v>
          </cell>
          <cell r="BC2169" t="str">
            <v/>
          </cell>
          <cell r="BH2169" t="str">
            <v/>
          </cell>
        </row>
        <row r="2170">
          <cell r="AA2170">
            <v>0</v>
          </cell>
          <cell r="AR2170" t="b">
            <v>0</v>
          </cell>
          <cell r="BC2170" t="str">
            <v/>
          </cell>
          <cell r="BH2170" t="str">
            <v/>
          </cell>
        </row>
        <row r="2171">
          <cell r="AA2171">
            <v>0</v>
          </cell>
          <cell r="BC2171" t="str">
            <v/>
          </cell>
          <cell r="BH2171" t="str">
            <v/>
          </cell>
        </row>
        <row r="2172">
          <cell r="AA2172">
            <v>0</v>
          </cell>
          <cell r="BC2172" t="str">
            <v/>
          </cell>
          <cell r="BH2172" t="str">
            <v/>
          </cell>
        </row>
        <row r="2173">
          <cell r="AA2173">
            <v>0</v>
          </cell>
          <cell r="AR2173" t="b">
            <v>0</v>
          </cell>
          <cell r="BC2173" t="str">
            <v/>
          </cell>
          <cell r="BH2173" t="str">
            <v/>
          </cell>
        </row>
        <row r="2174">
          <cell r="AA2174">
            <v>0</v>
          </cell>
          <cell r="AR2174" t="b">
            <v>0</v>
          </cell>
          <cell r="BC2174" t="str">
            <v/>
          </cell>
          <cell r="BH2174" t="str">
            <v/>
          </cell>
        </row>
        <row r="2175">
          <cell r="AA2175">
            <v>0</v>
          </cell>
          <cell r="BC2175" t="str">
            <v/>
          </cell>
          <cell r="BH2175" t="str">
            <v/>
          </cell>
        </row>
        <row r="2176">
          <cell r="AA2176">
            <v>0</v>
          </cell>
          <cell r="AR2176" t="b">
            <v>0</v>
          </cell>
          <cell r="BC2176" t="str">
            <v/>
          </cell>
          <cell r="BH2176" t="str">
            <v/>
          </cell>
        </row>
        <row r="2177">
          <cell r="AA2177">
            <v>0</v>
          </cell>
          <cell r="AR2177" t="b">
            <v>0</v>
          </cell>
          <cell r="BC2177" t="str">
            <v/>
          </cell>
          <cell r="BH2177" t="str">
            <v/>
          </cell>
        </row>
        <row r="2178">
          <cell r="AA2178">
            <v>0</v>
          </cell>
          <cell r="BC2178" t="str">
            <v/>
          </cell>
          <cell r="BH2178" t="str">
            <v/>
          </cell>
        </row>
        <row r="2179">
          <cell r="AA2179">
            <v>0</v>
          </cell>
          <cell r="BC2179" t="str">
            <v/>
          </cell>
          <cell r="BH2179" t="str">
            <v/>
          </cell>
        </row>
        <row r="2180">
          <cell r="AA2180">
            <v>0</v>
          </cell>
          <cell r="AR2180" t="b">
            <v>0</v>
          </cell>
          <cell r="BC2180" t="str">
            <v/>
          </cell>
          <cell r="BH2180" t="str">
            <v/>
          </cell>
        </row>
        <row r="2181">
          <cell r="AA2181">
            <v>0</v>
          </cell>
          <cell r="AR2181" t="b">
            <v>0</v>
          </cell>
          <cell r="BC2181" t="str">
            <v/>
          </cell>
          <cell r="BH2181" t="str">
            <v/>
          </cell>
        </row>
        <row r="2182">
          <cell r="AA2182">
            <v>0</v>
          </cell>
          <cell r="AR2182" t="b">
            <v>0</v>
          </cell>
          <cell r="BC2182" t="str">
            <v/>
          </cell>
          <cell r="BH2182" t="str">
            <v/>
          </cell>
        </row>
        <row r="2183">
          <cell r="AA2183">
            <v>0</v>
          </cell>
          <cell r="BC2183" t="str">
            <v/>
          </cell>
          <cell r="BH2183" t="str">
            <v/>
          </cell>
        </row>
        <row r="2184">
          <cell r="AA2184">
            <v>0</v>
          </cell>
          <cell r="BC2184" t="str">
            <v/>
          </cell>
          <cell r="BH2184" t="str">
            <v/>
          </cell>
        </row>
        <row r="2185">
          <cell r="BC2185" t="str">
            <v/>
          </cell>
          <cell r="BH2185" t="str">
            <v/>
          </cell>
        </row>
        <row r="2186">
          <cell r="BC2186" t="str">
            <v/>
          </cell>
          <cell r="BH2186" t="str">
            <v/>
          </cell>
        </row>
        <row r="2187">
          <cell r="AA2187">
            <v>0</v>
          </cell>
          <cell r="AR2187" t="b">
            <v>0</v>
          </cell>
          <cell r="BC2187" t="str">
            <v/>
          </cell>
          <cell r="BH2187" t="str">
            <v/>
          </cell>
        </row>
        <row r="2188">
          <cell r="BC2188" t="str">
            <v/>
          </cell>
          <cell r="BH2188" t="str">
            <v/>
          </cell>
        </row>
        <row r="2189">
          <cell r="BC2189" t="str">
            <v/>
          </cell>
          <cell r="BH2189" t="str">
            <v/>
          </cell>
        </row>
        <row r="2190">
          <cell r="BC2190" t="str">
            <v/>
          </cell>
          <cell r="BH2190" t="str">
            <v/>
          </cell>
        </row>
        <row r="2191">
          <cell r="BC2191" t="str">
            <v/>
          </cell>
          <cell r="BH2191" t="str">
            <v/>
          </cell>
        </row>
        <row r="2192">
          <cell r="AA2192">
            <v>0</v>
          </cell>
          <cell r="BC2192" t="str">
            <v/>
          </cell>
          <cell r="BH2192" t="str">
            <v/>
          </cell>
        </row>
        <row r="2193">
          <cell r="AA2193">
            <v>0</v>
          </cell>
          <cell r="AR2193" t="b">
            <v>0</v>
          </cell>
          <cell r="BC2193" t="str">
            <v/>
          </cell>
          <cell r="BH2193" t="str">
            <v/>
          </cell>
        </row>
        <row r="2194">
          <cell r="BC2194" t="str">
            <v/>
          </cell>
          <cell r="BH2194" t="str">
            <v/>
          </cell>
        </row>
        <row r="2195">
          <cell r="AA2195">
            <v>0</v>
          </cell>
          <cell r="AR2195" t="b">
            <v>0</v>
          </cell>
          <cell r="BC2195" t="str">
            <v/>
          </cell>
          <cell r="BH2195" t="str">
            <v/>
          </cell>
        </row>
        <row r="2196">
          <cell r="BC2196" t="str">
            <v/>
          </cell>
          <cell r="BH2196" t="str">
            <v/>
          </cell>
        </row>
        <row r="2197">
          <cell r="BC2197" t="str">
            <v/>
          </cell>
          <cell r="BH2197" t="str">
            <v/>
          </cell>
        </row>
        <row r="2198">
          <cell r="BC2198" t="str">
            <v/>
          </cell>
          <cell r="BH2198" t="str">
            <v/>
          </cell>
        </row>
        <row r="2199">
          <cell r="AA2199">
            <v>0</v>
          </cell>
          <cell r="BC2199" t="str">
            <v/>
          </cell>
          <cell r="BH2199" t="str">
            <v/>
          </cell>
        </row>
        <row r="2200">
          <cell r="AA2200">
            <v>0</v>
          </cell>
          <cell r="BC2200" t="str">
            <v/>
          </cell>
          <cell r="BH2200" t="str">
            <v/>
          </cell>
        </row>
        <row r="2201">
          <cell r="AA2201">
            <v>0</v>
          </cell>
          <cell r="BC2201" t="str">
            <v/>
          </cell>
          <cell r="BH2201" t="str">
            <v/>
          </cell>
        </row>
        <row r="2202">
          <cell r="AA2202">
            <v>0</v>
          </cell>
          <cell r="BC2202" t="str">
            <v/>
          </cell>
          <cell r="BH2202" t="str">
            <v/>
          </cell>
        </row>
        <row r="2203">
          <cell r="AA2203">
            <v>0</v>
          </cell>
          <cell r="BC2203" t="str">
            <v/>
          </cell>
          <cell r="BH2203" t="str">
            <v/>
          </cell>
        </row>
        <row r="2204">
          <cell r="BC2204" t="str">
            <v/>
          </cell>
          <cell r="BH2204" t="str">
            <v/>
          </cell>
        </row>
        <row r="2205">
          <cell r="AA2205">
            <v>0</v>
          </cell>
          <cell r="BC2205" t="str">
            <v/>
          </cell>
          <cell r="BH2205" t="str">
            <v/>
          </cell>
        </row>
        <row r="2206">
          <cell r="AA2206">
            <v>0</v>
          </cell>
          <cell r="BC2206" t="str">
            <v/>
          </cell>
          <cell r="BH2206" t="str">
            <v/>
          </cell>
        </row>
        <row r="2207">
          <cell r="AA2207">
            <v>0</v>
          </cell>
          <cell r="BC2207" t="str">
            <v/>
          </cell>
          <cell r="BH2207" t="str">
            <v/>
          </cell>
        </row>
        <row r="2208">
          <cell r="AA2208">
            <v>0</v>
          </cell>
          <cell r="BC2208" t="str">
            <v/>
          </cell>
          <cell r="BH2208" t="str">
            <v/>
          </cell>
        </row>
        <row r="2209">
          <cell r="AA2209">
            <v>0</v>
          </cell>
          <cell r="BC2209" t="str">
            <v/>
          </cell>
          <cell r="BH2209" t="str">
            <v/>
          </cell>
        </row>
        <row r="2210">
          <cell r="BC2210" t="str">
            <v/>
          </cell>
          <cell r="BH2210" t="str">
            <v/>
          </cell>
        </row>
        <row r="2211">
          <cell r="AA2211">
            <v>2</v>
          </cell>
          <cell r="BC2211" t="str">
            <v/>
          </cell>
          <cell r="BH2211" t="str">
            <v/>
          </cell>
        </row>
        <row r="2212">
          <cell r="AA2212">
            <v>2</v>
          </cell>
          <cell r="AR2212" t="b">
            <v>0</v>
          </cell>
          <cell r="BC2212" t="str">
            <v/>
          </cell>
          <cell r="BH2212" t="str">
            <v/>
          </cell>
        </row>
        <row r="2213">
          <cell r="BC2213" t="str">
            <v/>
          </cell>
          <cell r="BH2213" t="str">
            <v/>
          </cell>
        </row>
        <row r="2214">
          <cell r="BC2214" t="str">
            <v/>
          </cell>
          <cell r="BH2214" t="str">
            <v/>
          </cell>
        </row>
        <row r="2215">
          <cell r="AA2215">
            <v>2</v>
          </cell>
          <cell r="BC2215" t="str">
            <v/>
          </cell>
          <cell r="BH2215" t="str">
            <v/>
          </cell>
        </row>
        <row r="2216">
          <cell r="BC2216" t="str">
            <v/>
          </cell>
          <cell r="BH2216" t="str">
            <v/>
          </cell>
        </row>
        <row r="2217">
          <cell r="BC2217" t="str">
            <v/>
          </cell>
          <cell r="BH2217" t="str">
            <v/>
          </cell>
        </row>
        <row r="2218">
          <cell r="AA2218">
            <v>2</v>
          </cell>
          <cell r="BC2218" t="str">
            <v/>
          </cell>
          <cell r="BH2218" t="str">
            <v/>
          </cell>
        </row>
        <row r="2219">
          <cell r="AA2219">
            <v>2</v>
          </cell>
          <cell r="AR2219" t="b">
            <v>0</v>
          </cell>
          <cell r="BC2219" t="str">
            <v/>
          </cell>
          <cell r="BH2219" t="str">
            <v/>
          </cell>
        </row>
        <row r="2220">
          <cell r="AA2220">
            <v>2</v>
          </cell>
          <cell r="AR2220" t="b">
            <v>0</v>
          </cell>
          <cell r="BC2220" t="str">
            <v/>
          </cell>
          <cell r="BH2220" t="str">
            <v/>
          </cell>
        </row>
        <row r="2221">
          <cell r="AA2221">
            <v>2</v>
          </cell>
          <cell r="BC2221" t="str">
            <v/>
          </cell>
          <cell r="BH2221" t="str">
            <v/>
          </cell>
        </row>
        <row r="2222">
          <cell r="AA2222">
            <v>2</v>
          </cell>
          <cell r="BC2222" t="str">
            <v/>
          </cell>
          <cell r="BH2222" t="str">
            <v/>
          </cell>
        </row>
        <row r="2223">
          <cell r="AA2223">
            <v>2</v>
          </cell>
          <cell r="AR2223" t="b">
            <v>0</v>
          </cell>
          <cell r="BC2223" t="str">
            <v/>
          </cell>
          <cell r="BH2223" t="str">
            <v/>
          </cell>
        </row>
        <row r="2224">
          <cell r="AA2224">
            <v>2</v>
          </cell>
          <cell r="AR2224" t="b">
            <v>0</v>
          </cell>
          <cell r="BC2224" t="str">
            <v/>
          </cell>
          <cell r="BH2224" t="str">
            <v/>
          </cell>
        </row>
        <row r="2225">
          <cell r="AA2225">
            <v>2</v>
          </cell>
          <cell r="AR2225" t="b">
            <v>0</v>
          </cell>
          <cell r="BC2225" t="str">
            <v/>
          </cell>
          <cell r="BH2225" t="str">
            <v/>
          </cell>
        </row>
        <row r="2226">
          <cell r="AA2226">
            <v>2</v>
          </cell>
          <cell r="AR2226" t="b">
            <v>0</v>
          </cell>
          <cell r="BC2226" t="str">
            <v/>
          </cell>
          <cell r="BH2226" t="str">
            <v/>
          </cell>
        </row>
        <row r="2227">
          <cell r="AA2227">
            <v>2</v>
          </cell>
          <cell r="BC2227" t="str">
            <v/>
          </cell>
          <cell r="BH2227" t="str">
            <v/>
          </cell>
        </row>
        <row r="2228">
          <cell r="AA2228">
            <v>2</v>
          </cell>
          <cell r="AR2228" t="b">
            <v>0</v>
          </cell>
          <cell r="BC2228" t="str">
            <v/>
          </cell>
          <cell r="BH2228" t="str">
            <v/>
          </cell>
        </row>
        <row r="2229">
          <cell r="AA2229">
            <v>2</v>
          </cell>
          <cell r="AR2229" t="b">
            <v>0</v>
          </cell>
          <cell r="BC2229" t="str">
            <v/>
          </cell>
          <cell r="BH2229" t="str">
            <v/>
          </cell>
        </row>
        <row r="2230">
          <cell r="AA2230">
            <v>2</v>
          </cell>
          <cell r="AR2230" t="b">
            <v>0</v>
          </cell>
          <cell r="BC2230" t="str">
            <v/>
          </cell>
          <cell r="BH2230" t="str">
            <v/>
          </cell>
        </row>
        <row r="2231">
          <cell r="AA2231">
            <v>2</v>
          </cell>
          <cell r="AR2231" t="b">
            <v>0</v>
          </cell>
          <cell r="BC2231" t="str">
            <v/>
          </cell>
          <cell r="BH2231" t="str">
            <v/>
          </cell>
        </row>
        <row r="2232">
          <cell r="AA2232">
            <v>2</v>
          </cell>
          <cell r="AR2232" t="b">
            <v>0</v>
          </cell>
          <cell r="BC2232" t="str">
            <v/>
          </cell>
          <cell r="BH2232" t="str">
            <v/>
          </cell>
        </row>
        <row r="2233">
          <cell r="AA2233">
            <v>2</v>
          </cell>
          <cell r="AR2233" t="b">
            <v>0</v>
          </cell>
          <cell r="BC2233" t="str">
            <v/>
          </cell>
          <cell r="BH2233" t="str">
            <v/>
          </cell>
        </row>
        <row r="2234">
          <cell r="BC2234" t="str">
            <v/>
          </cell>
          <cell r="BH2234" t="str">
            <v/>
          </cell>
        </row>
        <row r="2235">
          <cell r="AA2235">
            <v>2</v>
          </cell>
          <cell r="AR2235" t="b">
            <v>0</v>
          </cell>
          <cell r="BC2235" t="str">
            <v/>
          </cell>
          <cell r="BH2235" t="str">
            <v/>
          </cell>
        </row>
        <row r="2236">
          <cell r="AA2236">
            <v>2</v>
          </cell>
          <cell r="AR2236" t="b">
            <v>0</v>
          </cell>
          <cell r="BC2236" t="str">
            <v/>
          </cell>
          <cell r="BH2236" t="str">
            <v/>
          </cell>
        </row>
        <row r="2237">
          <cell r="AA2237">
            <v>2</v>
          </cell>
          <cell r="AR2237" t="b">
            <v>0</v>
          </cell>
          <cell r="BC2237" t="str">
            <v/>
          </cell>
          <cell r="BH2237" t="str">
            <v/>
          </cell>
        </row>
        <row r="2238">
          <cell r="AA2238">
            <v>2</v>
          </cell>
          <cell r="BC2238" t="str">
            <v/>
          </cell>
          <cell r="BH2238" t="str">
            <v/>
          </cell>
        </row>
        <row r="2239">
          <cell r="AA2239">
            <v>2</v>
          </cell>
          <cell r="BC2239" t="str">
            <v/>
          </cell>
          <cell r="BH2239" t="str">
            <v/>
          </cell>
        </row>
        <row r="2240">
          <cell r="AA2240">
            <v>2</v>
          </cell>
          <cell r="BC2240" t="str">
            <v/>
          </cell>
          <cell r="BH2240" t="str">
            <v/>
          </cell>
        </row>
        <row r="2241">
          <cell r="AA2241">
            <v>2</v>
          </cell>
          <cell r="AR2241" t="b">
            <v>0</v>
          </cell>
          <cell r="BC2241" t="str">
            <v/>
          </cell>
          <cell r="BH2241" t="str">
            <v/>
          </cell>
        </row>
        <row r="2242">
          <cell r="AA2242">
            <v>2</v>
          </cell>
          <cell r="AR2242" t="b">
            <v>0</v>
          </cell>
          <cell r="BC2242" t="str">
            <v/>
          </cell>
          <cell r="BH2242" t="str">
            <v/>
          </cell>
        </row>
        <row r="2243">
          <cell r="AA2243">
            <v>2</v>
          </cell>
          <cell r="AR2243" t="b">
            <v>0</v>
          </cell>
          <cell r="BC2243" t="str">
            <v/>
          </cell>
          <cell r="BH2243" t="str">
            <v/>
          </cell>
        </row>
        <row r="2244">
          <cell r="AA2244">
            <v>2</v>
          </cell>
          <cell r="AR2244" t="b">
            <v>0</v>
          </cell>
          <cell r="BC2244" t="str">
            <v/>
          </cell>
          <cell r="BH2244" t="str">
            <v/>
          </cell>
        </row>
        <row r="2245">
          <cell r="BC2245" t="str">
            <v/>
          </cell>
          <cell r="BH2245" t="str">
            <v/>
          </cell>
        </row>
        <row r="2246">
          <cell r="BC2246" t="str">
            <v/>
          </cell>
          <cell r="BH2246" t="str">
            <v/>
          </cell>
        </row>
        <row r="2247">
          <cell r="AA2247">
            <v>2</v>
          </cell>
          <cell r="AR2247" t="b">
            <v>0</v>
          </cell>
          <cell r="BC2247" t="str">
            <v/>
          </cell>
          <cell r="BH2247" t="str">
            <v/>
          </cell>
        </row>
        <row r="2248">
          <cell r="BC2248" t="str">
            <v/>
          </cell>
          <cell r="BH2248" t="str">
            <v/>
          </cell>
        </row>
        <row r="2249">
          <cell r="AA2249">
            <v>2</v>
          </cell>
          <cell r="BC2249" t="str">
            <v/>
          </cell>
          <cell r="BH2249" t="str">
            <v/>
          </cell>
        </row>
        <row r="2250">
          <cell r="AA2250">
            <v>2</v>
          </cell>
          <cell r="AR2250" t="b">
            <v>0</v>
          </cell>
          <cell r="BC2250" t="str">
            <v/>
          </cell>
          <cell r="BH2250" t="str">
            <v/>
          </cell>
        </row>
        <row r="2251">
          <cell r="AA2251">
            <v>2</v>
          </cell>
          <cell r="BC2251" t="str">
            <v/>
          </cell>
          <cell r="BH2251" t="str">
            <v/>
          </cell>
        </row>
        <row r="2252">
          <cell r="AA2252">
            <v>2</v>
          </cell>
          <cell r="BC2252" t="str">
            <v/>
          </cell>
          <cell r="BH2252" t="str">
            <v/>
          </cell>
        </row>
        <row r="2253">
          <cell r="AA2253">
            <v>2</v>
          </cell>
          <cell r="BC2253" t="str">
            <v/>
          </cell>
          <cell r="BH2253" t="str">
            <v/>
          </cell>
        </row>
        <row r="2254">
          <cell r="AA2254">
            <v>2</v>
          </cell>
          <cell r="BC2254" t="str">
            <v/>
          </cell>
          <cell r="BH2254" t="str">
            <v/>
          </cell>
        </row>
        <row r="2255">
          <cell r="AA2255">
            <v>2</v>
          </cell>
          <cell r="BC2255" t="str">
            <v/>
          </cell>
          <cell r="BH2255" t="str">
            <v/>
          </cell>
        </row>
        <row r="2256">
          <cell r="AA2256">
            <v>2</v>
          </cell>
          <cell r="BC2256" t="str">
            <v/>
          </cell>
          <cell r="BH2256" t="str">
            <v/>
          </cell>
        </row>
        <row r="2257">
          <cell r="AA2257">
            <v>2</v>
          </cell>
          <cell r="BC2257" t="str">
            <v/>
          </cell>
          <cell r="BH2257" t="str">
            <v/>
          </cell>
        </row>
        <row r="2258">
          <cell r="AA2258">
            <v>2</v>
          </cell>
          <cell r="AR2258" t="b">
            <v>0</v>
          </cell>
          <cell r="BC2258" t="str">
            <v/>
          </cell>
          <cell r="BH2258" t="str">
            <v/>
          </cell>
        </row>
        <row r="2259">
          <cell r="AA2259">
            <v>2</v>
          </cell>
          <cell r="BC2259" t="str">
            <v/>
          </cell>
          <cell r="BH2259" t="str">
            <v/>
          </cell>
        </row>
        <row r="2260">
          <cell r="AA2260">
            <v>2</v>
          </cell>
          <cell r="BC2260" t="str">
            <v/>
          </cell>
          <cell r="BH2260" t="str">
            <v/>
          </cell>
        </row>
        <row r="2261">
          <cell r="AA2261">
            <v>2</v>
          </cell>
          <cell r="BC2261" t="str">
            <v/>
          </cell>
          <cell r="BH2261" t="str">
            <v/>
          </cell>
        </row>
        <row r="2262">
          <cell r="AA2262">
            <v>2</v>
          </cell>
          <cell r="BC2262" t="str">
            <v/>
          </cell>
          <cell r="BH2262" t="str">
            <v/>
          </cell>
        </row>
        <row r="2263">
          <cell r="AA2263">
            <v>2</v>
          </cell>
          <cell r="BC2263" t="str">
            <v/>
          </cell>
          <cell r="BH2263" t="str">
            <v/>
          </cell>
        </row>
        <row r="2264">
          <cell r="BC2264" t="str">
            <v/>
          </cell>
          <cell r="BH2264" t="str">
            <v/>
          </cell>
        </row>
        <row r="2265">
          <cell r="AA2265">
            <v>2</v>
          </cell>
          <cell r="BC2265" t="str">
            <v/>
          </cell>
          <cell r="BH2265" t="str">
            <v/>
          </cell>
        </row>
        <row r="2266">
          <cell r="AA2266">
            <v>2</v>
          </cell>
          <cell r="BC2266" t="str">
            <v/>
          </cell>
          <cell r="BH2266" t="str">
            <v/>
          </cell>
        </row>
        <row r="2267">
          <cell r="AA2267">
            <v>2</v>
          </cell>
          <cell r="AR2267" t="b">
            <v>0</v>
          </cell>
          <cell r="BC2267" t="str">
            <v/>
          </cell>
          <cell r="BH2267" t="str">
            <v/>
          </cell>
        </row>
        <row r="2268">
          <cell r="AA2268">
            <v>2</v>
          </cell>
          <cell r="AR2268" t="b">
            <v>0</v>
          </cell>
          <cell r="BC2268" t="str">
            <v/>
          </cell>
          <cell r="BH2268" t="str">
            <v/>
          </cell>
        </row>
        <row r="2269">
          <cell r="AA2269">
            <v>2</v>
          </cell>
          <cell r="AR2269" t="b">
            <v>0</v>
          </cell>
          <cell r="BC2269" t="str">
            <v/>
          </cell>
          <cell r="BH2269" t="str">
            <v/>
          </cell>
        </row>
        <row r="2270">
          <cell r="AA2270">
            <v>2</v>
          </cell>
          <cell r="BC2270" t="str">
            <v/>
          </cell>
          <cell r="BH2270" t="str">
            <v/>
          </cell>
        </row>
        <row r="2271">
          <cell r="AA2271">
            <v>2</v>
          </cell>
          <cell r="BC2271" t="str">
            <v/>
          </cell>
          <cell r="BH2271" t="str">
            <v/>
          </cell>
        </row>
        <row r="2272">
          <cell r="AA2272">
            <v>2</v>
          </cell>
          <cell r="BC2272" t="str">
            <v/>
          </cell>
          <cell r="BH2272" t="str">
            <v/>
          </cell>
        </row>
        <row r="2273">
          <cell r="AA2273">
            <v>2</v>
          </cell>
          <cell r="BC2273" t="str">
            <v/>
          </cell>
          <cell r="BH2273" t="str">
            <v/>
          </cell>
        </row>
        <row r="2274">
          <cell r="AA2274">
            <v>2</v>
          </cell>
          <cell r="BC2274" t="str">
            <v/>
          </cell>
          <cell r="BH2274" t="str">
            <v/>
          </cell>
        </row>
        <row r="2275">
          <cell r="AA2275">
            <v>2</v>
          </cell>
          <cell r="AR2275" t="b">
            <v>0</v>
          </cell>
          <cell r="BC2275" t="str">
            <v/>
          </cell>
          <cell r="BH2275" t="str">
            <v/>
          </cell>
        </row>
        <row r="2276">
          <cell r="AA2276">
            <v>2</v>
          </cell>
          <cell r="BC2276" t="str">
            <v/>
          </cell>
          <cell r="BH2276" t="str">
            <v/>
          </cell>
        </row>
        <row r="2277">
          <cell r="AA2277">
            <v>2</v>
          </cell>
          <cell r="AR2277" t="b">
            <v>0</v>
          </cell>
          <cell r="BC2277" t="str">
            <v/>
          </cell>
          <cell r="BH2277" t="str">
            <v/>
          </cell>
        </row>
        <row r="2278">
          <cell r="AA2278">
            <v>2</v>
          </cell>
          <cell r="BC2278" t="str">
            <v/>
          </cell>
          <cell r="BH2278" t="str">
            <v/>
          </cell>
        </row>
        <row r="2279">
          <cell r="AA2279">
            <v>2</v>
          </cell>
          <cell r="BC2279" t="str">
            <v/>
          </cell>
          <cell r="BH2279" t="str">
            <v/>
          </cell>
        </row>
        <row r="2280">
          <cell r="BC2280" t="str">
            <v/>
          </cell>
          <cell r="BH2280" t="str">
            <v/>
          </cell>
        </row>
        <row r="2281">
          <cell r="BC2281" t="str">
            <v/>
          </cell>
          <cell r="BH2281" t="str">
            <v/>
          </cell>
        </row>
        <row r="2282">
          <cell r="AA2282">
            <v>2</v>
          </cell>
          <cell r="BC2282" t="str">
            <v/>
          </cell>
          <cell r="BH2282" t="str">
            <v/>
          </cell>
        </row>
        <row r="2283">
          <cell r="AA2283">
            <v>2</v>
          </cell>
          <cell r="BC2283" t="str">
            <v/>
          </cell>
          <cell r="BH2283" t="str">
            <v/>
          </cell>
        </row>
        <row r="2284">
          <cell r="AA2284">
            <v>2</v>
          </cell>
          <cell r="BC2284" t="str">
            <v/>
          </cell>
          <cell r="BH2284" t="str">
            <v/>
          </cell>
        </row>
        <row r="2285">
          <cell r="AA2285">
            <v>2</v>
          </cell>
          <cell r="BC2285" t="str">
            <v/>
          </cell>
          <cell r="BH2285" t="str">
            <v/>
          </cell>
        </row>
        <row r="2286">
          <cell r="AA2286">
            <v>2</v>
          </cell>
          <cell r="BC2286" t="str">
            <v/>
          </cell>
          <cell r="BH2286" t="str">
            <v/>
          </cell>
        </row>
        <row r="2287">
          <cell r="AA2287">
            <v>2</v>
          </cell>
          <cell r="BC2287" t="str">
            <v/>
          </cell>
          <cell r="BH2287" t="str">
            <v/>
          </cell>
        </row>
        <row r="2288">
          <cell r="AA2288">
            <v>2</v>
          </cell>
          <cell r="AR2288" t="b">
            <v>0</v>
          </cell>
          <cell r="BC2288" t="str">
            <v/>
          </cell>
          <cell r="BH2288" t="str">
            <v/>
          </cell>
        </row>
        <row r="2289">
          <cell r="AA2289">
            <v>2</v>
          </cell>
          <cell r="AR2289" t="b">
            <v>0</v>
          </cell>
          <cell r="BC2289" t="str">
            <v/>
          </cell>
          <cell r="BH2289" t="str">
            <v/>
          </cell>
        </row>
        <row r="2290">
          <cell r="AA2290">
            <v>2</v>
          </cell>
          <cell r="BC2290" t="str">
            <v/>
          </cell>
          <cell r="BH2290" t="str">
            <v/>
          </cell>
        </row>
        <row r="2291">
          <cell r="BC2291" t="str">
            <v/>
          </cell>
          <cell r="BH2291" t="str">
            <v/>
          </cell>
        </row>
        <row r="2292">
          <cell r="AA2292">
            <v>2</v>
          </cell>
          <cell r="BC2292" t="str">
            <v/>
          </cell>
          <cell r="BH2292" t="str">
            <v/>
          </cell>
        </row>
        <row r="2293">
          <cell r="AA2293">
            <v>2</v>
          </cell>
          <cell r="BC2293" t="str">
            <v/>
          </cell>
          <cell r="BH2293" t="str">
            <v/>
          </cell>
        </row>
        <row r="2294">
          <cell r="AA2294">
            <v>2</v>
          </cell>
          <cell r="BC2294" t="str">
            <v/>
          </cell>
          <cell r="BH2294" t="str">
            <v/>
          </cell>
        </row>
        <row r="2295">
          <cell r="AA2295">
            <v>2</v>
          </cell>
          <cell r="BC2295" t="str">
            <v/>
          </cell>
          <cell r="BH2295" t="str">
            <v/>
          </cell>
        </row>
        <row r="2296">
          <cell r="AA2296">
            <v>2</v>
          </cell>
          <cell r="BC2296" t="str">
            <v/>
          </cell>
          <cell r="BH2296" t="str">
            <v/>
          </cell>
        </row>
        <row r="2297">
          <cell r="AA2297">
            <v>2</v>
          </cell>
          <cell r="BC2297" t="str">
            <v/>
          </cell>
          <cell r="BH2297" t="str">
            <v/>
          </cell>
        </row>
        <row r="2298">
          <cell r="AA2298">
            <v>2</v>
          </cell>
          <cell r="BC2298" t="str">
            <v/>
          </cell>
          <cell r="BH2298" t="str">
            <v/>
          </cell>
        </row>
        <row r="2299">
          <cell r="AA2299">
            <v>2</v>
          </cell>
          <cell r="BC2299" t="str">
            <v/>
          </cell>
          <cell r="BH2299" t="str">
            <v/>
          </cell>
        </row>
        <row r="2300">
          <cell r="AA2300">
            <v>2</v>
          </cell>
          <cell r="BC2300" t="str">
            <v/>
          </cell>
          <cell r="BH2300" t="str">
            <v/>
          </cell>
        </row>
        <row r="2301">
          <cell r="BC2301" t="str">
            <v/>
          </cell>
          <cell r="BH2301" t="str">
            <v/>
          </cell>
        </row>
        <row r="2302">
          <cell r="BC2302" t="str">
            <v/>
          </cell>
          <cell r="BH2302" t="str">
            <v/>
          </cell>
        </row>
        <row r="2303">
          <cell r="BC2303" t="str">
            <v/>
          </cell>
          <cell r="BH2303" t="str">
            <v/>
          </cell>
        </row>
        <row r="2304">
          <cell r="AA2304">
            <v>2</v>
          </cell>
          <cell r="BC2304" t="str">
            <v/>
          </cell>
          <cell r="BH2304" t="str">
            <v/>
          </cell>
        </row>
        <row r="2305">
          <cell r="AA2305">
            <v>2</v>
          </cell>
          <cell r="BC2305" t="str">
            <v/>
          </cell>
          <cell r="BH2305" t="str">
            <v/>
          </cell>
        </row>
        <row r="2306">
          <cell r="AA2306">
            <v>2</v>
          </cell>
          <cell r="BC2306" t="str">
            <v/>
          </cell>
          <cell r="BH2306" t="str">
            <v/>
          </cell>
        </row>
        <row r="2307">
          <cell r="AA2307">
            <v>2</v>
          </cell>
          <cell r="BC2307" t="str">
            <v/>
          </cell>
          <cell r="BH2307" t="str">
            <v/>
          </cell>
        </row>
        <row r="2308">
          <cell r="AA2308">
            <v>2</v>
          </cell>
          <cell r="BC2308" t="str">
            <v/>
          </cell>
          <cell r="BH2308" t="str">
            <v/>
          </cell>
        </row>
        <row r="2309">
          <cell r="AA2309">
            <v>2</v>
          </cell>
          <cell r="AR2309" t="b">
            <v>0</v>
          </cell>
          <cell r="BC2309" t="str">
            <v/>
          </cell>
          <cell r="BH2309" t="str">
            <v/>
          </cell>
        </row>
        <row r="2310">
          <cell r="AA2310">
            <v>2</v>
          </cell>
          <cell r="AR2310" t="b">
            <v>0</v>
          </cell>
          <cell r="BC2310" t="str">
            <v/>
          </cell>
          <cell r="BH2310" t="str">
            <v/>
          </cell>
        </row>
        <row r="2311">
          <cell r="AA2311">
            <v>2</v>
          </cell>
          <cell r="AR2311" t="b">
            <v>0</v>
          </cell>
          <cell r="BC2311" t="str">
            <v/>
          </cell>
          <cell r="BH2311" t="str">
            <v/>
          </cell>
        </row>
        <row r="2312">
          <cell r="AA2312">
            <v>2</v>
          </cell>
          <cell r="BC2312" t="str">
            <v/>
          </cell>
          <cell r="BH2312" t="str">
            <v/>
          </cell>
        </row>
        <row r="2313">
          <cell r="BC2313" t="str">
            <v/>
          </cell>
          <cell r="BH2313" t="str">
            <v/>
          </cell>
        </row>
        <row r="2314">
          <cell r="AA2314">
            <v>2</v>
          </cell>
          <cell r="AR2314" t="b">
            <v>0</v>
          </cell>
          <cell r="BC2314" t="str">
            <v/>
          </cell>
          <cell r="BH2314" t="str">
            <v/>
          </cell>
        </row>
        <row r="2315">
          <cell r="AA2315">
            <v>2</v>
          </cell>
          <cell r="AR2315" t="b">
            <v>0</v>
          </cell>
          <cell r="BC2315" t="str">
            <v/>
          </cell>
          <cell r="BH2315" t="str">
            <v/>
          </cell>
        </row>
        <row r="2316">
          <cell r="AA2316">
            <v>2</v>
          </cell>
          <cell r="BC2316" t="str">
            <v/>
          </cell>
          <cell r="BH2316" t="str">
            <v/>
          </cell>
        </row>
        <row r="2317">
          <cell r="AA2317">
            <v>2</v>
          </cell>
          <cell r="BC2317" t="str">
            <v/>
          </cell>
          <cell r="BH2317" t="str">
            <v/>
          </cell>
        </row>
        <row r="2318">
          <cell r="AA2318">
            <v>2</v>
          </cell>
          <cell r="BC2318" t="str">
            <v/>
          </cell>
          <cell r="BH2318" t="str">
            <v/>
          </cell>
        </row>
        <row r="2319">
          <cell r="AA2319">
            <v>2</v>
          </cell>
          <cell r="AR2319" t="b">
            <v>0</v>
          </cell>
          <cell r="BC2319" t="str">
            <v/>
          </cell>
          <cell r="BH2319" t="str">
            <v/>
          </cell>
        </row>
        <row r="2320">
          <cell r="BC2320" t="str">
            <v/>
          </cell>
          <cell r="BH2320" t="str">
            <v/>
          </cell>
        </row>
        <row r="2321">
          <cell r="BC2321" t="str">
            <v/>
          </cell>
          <cell r="BH2321" t="str">
            <v/>
          </cell>
        </row>
        <row r="2322">
          <cell r="BC2322" t="str">
            <v/>
          </cell>
          <cell r="BH2322" t="str">
            <v/>
          </cell>
        </row>
        <row r="2323">
          <cell r="BC2323" t="str">
            <v/>
          </cell>
          <cell r="BH2323" t="str">
            <v/>
          </cell>
        </row>
        <row r="2324">
          <cell r="AA2324">
            <v>2</v>
          </cell>
          <cell r="BC2324" t="str">
            <v/>
          </cell>
          <cell r="BH2324" t="str">
            <v/>
          </cell>
        </row>
        <row r="2325">
          <cell r="AA2325">
            <v>2</v>
          </cell>
          <cell r="BC2325" t="str">
            <v/>
          </cell>
          <cell r="BH2325" t="str">
            <v/>
          </cell>
        </row>
        <row r="2326">
          <cell r="BC2326" t="str">
            <v/>
          </cell>
          <cell r="BH2326" t="str">
            <v/>
          </cell>
        </row>
        <row r="2327">
          <cell r="AA2327">
            <v>2</v>
          </cell>
          <cell r="BC2327" t="str">
            <v/>
          </cell>
          <cell r="BH2327" t="str">
            <v/>
          </cell>
        </row>
        <row r="2328">
          <cell r="AA2328">
            <v>2</v>
          </cell>
          <cell r="AR2328" t="b">
            <v>0</v>
          </cell>
          <cell r="BC2328" t="str">
            <v/>
          </cell>
          <cell r="BH2328" t="str">
            <v/>
          </cell>
        </row>
        <row r="2329">
          <cell r="AA2329">
            <v>2</v>
          </cell>
          <cell r="AR2329" t="b">
            <v>0</v>
          </cell>
          <cell r="BC2329" t="str">
            <v/>
          </cell>
          <cell r="BH2329" t="str">
            <v/>
          </cell>
        </row>
        <row r="2330">
          <cell r="BC2330" t="str">
            <v/>
          </cell>
          <cell r="BH2330" t="str">
            <v/>
          </cell>
        </row>
        <row r="2331">
          <cell r="BC2331" t="str">
            <v/>
          </cell>
          <cell r="BH2331" t="str">
            <v/>
          </cell>
        </row>
        <row r="2332">
          <cell r="BC2332" t="str">
            <v/>
          </cell>
          <cell r="BH2332" t="str">
            <v/>
          </cell>
        </row>
        <row r="2333">
          <cell r="BC2333" t="str">
            <v/>
          </cell>
          <cell r="BH2333" t="str">
            <v/>
          </cell>
        </row>
        <row r="2334">
          <cell r="BC2334" t="str">
            <v/>
          </cell>
          <cell r="BH2334" t="str">
            <v/>
          </cell>
        </row>
        <row r="2335">
          <cell r="AA2335">
            <v>2</v>
          </cell>
          <cell r="BC2335" t="str">
            <v/>
          </cell>
          <cell r="BH2335" t="str">
            <v/>
          </cell>
        </row>
        <row r="2336">
          <cell r="BC2336" t="str">
            <v/>
          </cell>
          <cell r="BH2336" t="str">
            <v/>
          </cell>
        </row>
        <row r="2337">
          <cell r="BC2337" t="str">
            <v/>
          </cell>
          <cell r="BH2337" t="str">
            <v/>
          </cell>
        </row>
        <row r="2338">
          <cell r="BC2338" t="str">
            <v/>
          </cell>
          <cell r="BH2338" t="str">
            <v/>
          </cell>
        </row>
        <row r="2339">
          <cell r="BC2339" t="str">
            <v/>
          </cell>
          <cell r="BH2339" t="str">
            <v/>
          </cell>
        </row>
        <row r="2340">
          <cell r="BC2340" t="str">
            <v/>
          </cell>
          <cell r="BH2340" t="str">
            <v/>
          </cell>
        </row>
        <row r="2341">
          <cell r="AA2341">
            <v>2</v>
          </cell>
          <cell r="BC2341" t="str">
            <v/>
          </cell>
          <cell r="BH2341" t="str">
            <v/>
          </cell>
        </row>
        <row r="2342">
          <cell r="AA2342">
            <v>2</v>
          </cell>
          <cell r="BC2342" t="str">
            <v/>
          </cell>
          <cell r="BH2342" t="str">
            <v/>
          </cell>
        </row>
        <row r="2343">
          <cell r="AA2343">
            <v>2</v>
          </cell>
          <cell r="BC2343" t="str">
            <v/>
          </cell>
          <cell r="BH2343" t="str">
            <v/>
          </cell>
        </row>
        <row r="2344">
          <cell r="AA2344">
            <v>2</v>
          </cell>
          <cell r="BC2344" t="str">
            <v/>
          </cell>
          <cell r="BH2344" t="str">
            <v/>
          </cell>
        </row>
        <row r="2345">
          <cell r="AA2345">
            <v>2</v>
          </cell>
          <cell r="BC2345" t="str">
            <v/>
          </cell>
          <cell r="BH2345" t="str">
            <v/>
          </cell>
        </row>
        <row r="2346">
          <cell r="AA2346">
            <v>2</v>
          </cell>
          <cell r="BC2346" t="str">
            <v/>
          </cell>
          <cell r="BH2346" t="str">
            <v/>
          </cell>
        </row>
        <row r="2347">
          <cell r="AA2347">
            <v>2</v>
          </cell>
          <cell r="BC2347" t="str">
            <v/>
          </cell>
          <cell r="BH2347" t="str">
            <v/>
          </cell>
        </row>
        <row r="2348">
          <cell r="AA2348">
            <v>2</v>
          </cell>
          <cell r="BC2348" t="str">
            <v/>
          </cell>
          <cell r="BH2348" t="str">
            <v/>
          </cell>
        </row>
        <row r="2349">
          <cell r="AA2349">
            <v>2</v>
          </cell>
          <cell r="BC2349" t="str">
            <v/>
          </cell>
          <cell r="BH2349" t="str">
            <v/>
          </cell>
        </row>
        <row r="2350">
          <cell r="AA2350">
            <v>2</v>
          </cell>
          <cell r="BC2350" t="str">
            <v/>
          </cell>
          <cell r="BH2350" t="str">
            <v/>
          </cell>
        </row>
        <row r="2351">
          <cell r="AA2351">
            <v>2</v>
          </cell>
          <cell r="BC2351" t="str">
            <v/>
          </cell>
          <cell r="BH2351" t="str">
            <v/>
          </cell>
        </row>
        <row r="2352">
          <cell r="AA2352">
            <v>2</v>
          </cell>
          <cell r="BC2352" t="str">
            <v/>
          </cell>
          <cell r="BH2352" t="str">
            <v/>
          </cell>
        </row>
        <row r="2353">
          <cell r="AA2353">
            <v>2</v>
          </cell>
          <cell r="AR2353" t="b">
            <v>0</v>
          </cell>
          <cell r="BC2353" t="str">
            <v/>
          </cell>
          <cell r="BH2353" t="str">
            <v/>
          </cell>
        </row>
        <row r="2354">
          <cell r="AA2354">
            <v>2</v>
          </cell>
          <cell r="AR2354" t="b">
            <v>0</v>
          </cell>
          <cell r="BC2354" t="str">
            <v/>
          </cell>
          <cell r="BH2354" t="str">
            <v/>
          </cell>
        </row>
        <row r="2355">
          <cell r="AA2355">
            <v>2</v>
          </cell>
          <cell r="AR2355" t="b">
            <v>0</v>
          </cell>
          <cell r="BC2355" t="str">
            <v/>
          </cell>
          <cell r="BH2355" t="str">
            <v/>
          </cell>
        </row>
        <row r="2356">
          <cell r="AA2356">
            <v>2</v>
          </cell>
          <cell r="BC2356" t="str">
            <v/>
          </cell>
          <cell r="BH2356" t="str">
            <v/>
          </cell>
        </row>
        <row r="2357">
          <cell r="AA2357">
            <v>2</v>
          </cell>
          <cell r="BC2357" t="str">
            <v/>
          </cell>
          <cell r="BH2357" t="str">
            <v/>
          </cell>
        </row>
        <row r="2358">
          <cell r="AA2358">
            <v>2</v>
          </cell>
          <cell r="AR2358" t="b">
            <v>0</v>
          </cell>
          <cell r="BC2358" t="str">
            <v/>
          </cell>
          <cell r="BH2358" t="str">
            <v/>
          </cell>
        </row>
        <row r="2359">
          <cell r="AA2359">
            <v>2</v>
          </cell>
          <cell r="AR2359" t="b">
            <v>0</v>
          </cell>
          <cell r="BC2359" t="str">
            <v/>
          </cell>
          <cell r="BH2359" t="str">
            <v/>
          </cell>
        </row>
        <row r="2360">
          <cell r="AA2360">
            <v>2</v>
          </cell>
          <cell r="BC2360" t="str">
            <v/>
          </cell>
          <cell r="BH2360" t="str">
            <v/>
          </cell>
        </row>
        <row r="2361">
          <cell r="BC2361" t="str">
            <v/>
          </cell>
          <cell r="BH2361" t="str">
            <v/>
          </cell>
        </row>
        <row r="2362">
          <cell r="AA2362">
            <v>2</v>
          </cell>
          <cell r="BC2362" t="str">
            <v/>
          </cell>
          <cell r="BH2362" t="str">
            <v/>
          </cell>
        </row>
        <row r="2363">
          <cell r="AA2363">
            <v>2</v>
          </cell>
          <cell r="BC2363" t="str">
            <v/>
          </cell>
          <cell r="BH2363" t="str">
            <v/>
          </cell>
        </row>
        <row r="2364">
          <cell r="AA2364">
            <v>2</v>
          </cell>
          <cell r="BC2364" t="str">
            <v/>
          </cell>
          <cell r="BH2364" t="str">
            <v/>
          </cell>
        </row>
        <row r="2365">
          <cell r="AA2365">
            <v>2</v>
          </cell>
          <cell r="BC2365" t="str">
            <v/>
          </cell>
          <cell r="BH2365" t="str">
            <v/>
          </cell>
        </row>
        <row r="2366">
          <cell r="AA2366">
            <v>2</v>
          </cell>
          <cell r="AR2366" t="b">
            <v>0</v>
          </cell>
          <cell r="BC2366" t="str">
            <v/>
          </cell>
          <cell r="BH2366" t="str">
            <v/>
          </cell>
        </row>
        <row r="2367">
          <cell r="AA2367">
            <v>2</v>
          </cell>
          <cell r="BC2367" t="str">
            <v/>
          </cell>
          <cell r="BH2367" t="str">
            <v/>
          </cell>
        </row>
        <row r="2368">
          <cell r="AA2368">
            <v>2</v>
          </cell>
          <cell r="BC2368" t="str">
            <v/>
          </cell>
          <cell r="BH2368" t="str">
            <v/>
          </cell>
        </row>
        <row r="2369">
          <cell r="BC2369" t="str">
            <v/>
          </cell>
          <cell r="BH2369" t="str">
            <v/>
          </cell>
        </row>
        <row r="2370">
          <cell r="AA2370">
            <v>2</v>
          </cell>
          <cell r="BC2370" t="str">
            <v/>
          </cell>
          <cell r="BH2370" t="str">
            <v/>
          </cell>
        </row>
        <row r="2371">
          <cell r="BC2371" t="str">
            <v/>
          </cell>
          <cell r="BH2371" t="str">
            <v/>
          </cell>
        </row>
        <row r="2372">
          <cell r="AA2372">
            <v>2</v>
          </cell>
          <cell r="BC2372" t="str">
            <v/>
          </cell>
          <cell r="BH2372" t="str">
            <v/>
          </cell>
        </row>
        <row r="2373">
          <cell r="AA2373">
            <v>2</v>
          </cell>
          <cell r="BC2373" t="str">
            <v/>
          </cell>
          <cell r="BH2373" t="str">
            <v/>
          </cell>
        </row>
        <row r="2374">
          <cell r="BC2374" t="str">
            <v/>
          </cell>
          <cell r="BH2374" t="str">
            <v/>
          </cell>
        </row>
        <row r="2375">
          <cell r="AA2375">
            <v>2</v>
          </cell>
          <cell r="BC2375" t="str">
            <v/>
          </cell>
          <cell r="BH2375" t="str">
            <v/>
          </cell>
        </row>
        <row r="2376">
          <cell r="AA2376">
            <v>2</v>
          </cell>
          <cell r="BC2376" t="str">
            <v/>
          </cell>
          <cell r="BH2376" t="str">
            <v/>
          </cell>
        </row>
        <row r="2377">
          <cell r="AA2377">
            <v>2</v>
          </cell>
          <cell r="BC2377" t="str">
            <v/>
          </cell>
          <cell r="BH2377" t="str">
            <v/>
          </cell>
        </row>
        <row r="2378">
          <cell r="AA2378">
            <v>2</v>
          </cell>
          <cell r="BC2378" t="str">
            <v/>
          </cell>
          <cell r="BH2378" t="str">
            <v/>
          </cell>
        </row>
        <row r="2379">
          <cell r="BC2379" t="str">
            <v/>
          </cell>
          <cell r="BH2379" t="str">
            <v/>
          </cell>
        </row>
        <row r="2380">
          <cell r="AA2380">
            <v>2</v>
          </cell>
          <cell r="BC2380" t="str">
            <v/>
          </cell>
          <cell r="BH2380" t="str">
            <v/>
          </cell>
        </row>
        <row r="2381">
          <cell r="BC2381" t="str">
            <v/>
          </cell>
          <cell r="BH2381" t="str">
            <v/>
          </cell>
        </row>
        <row r="2382">
          <cell r="BC2382" t="str">
            <v/>
          </cell>
          <cell r="BH2382" t="str">
            <v/>
          </cell>
        </row>
        <row r="2383">
          <cell r="AA2383">
            <v>2</v>
          </cell>
          <cell r="BC2383" t="str">
            <v/>
          </cell>
          <cell r="BH2383" t="str">
            <v/>
          </cell>
        </row>
        <row r="2384">
          <cell r="AA2384">
            <v>2</v>
          </cell>
          <cell r="BC2384" t="str">
            <v/>
          </cell>
          <cell r="BH2384" t="str">
            <v/>
          </cell>
        </row>
        <row r="2385">
          <cell r="AA2385">
            <v>2</v>
          </cell>
          <cell r="BC2385" t="str">
            <v/>
          </cell>
          <cell r="BH2385" t="str">
            <v/>
          </cell>
        </row>
        <row r="2386">
          <cell r="AA2386">
            <v>2</v>
          </cell>
          <cell r="BC2386" t="str">
            <v/>
          </cell>
          <cell r="BH2386" t="str">
            <v/>
          </cell>
        </row>
        <row r="2387">
          <cell r="BC2387" t="str">
            <v/>
          </cell>
          <cell r="BH2387" t="str">
            <v/>
          </cell>
        </row>
        <row r="2388">
          <cell r="BC2388" t="str">
            <v/>
          </cell>
          <cell r="BH2388" t="str">
            <v/>
          </cell>
        </row>
        <row r="2389">
          <cell r="AA2389">
            <v>2</v>
          </cell>
          <cell r="BC2389" t="str">
            <v/>
          </cell>
          <cell r="BH2389" t="str">
            <v/>
          </cell>
        </row>
        <row r="2390">
          <cell r="BC2390" t="str">
            <v/>
          </cell>
          <cell r="BH2390" t="str">
            <v/>
          </cell>
        </row>
        <row r="2391">
          <cell r="AA2391">
            <v>2</v>
          </cell>
          <cell r="BC2391" t="str">
            <v/>
          </cell>
          <cell r="BH2391" t="str">
            <v/>
          </cell>
        </row>
        <row r="2392">
          <cell r="AA2392">
            <v>2</v>
          </cell>
          <cell r="BC2392" t="str">
            <v/>
          </cell>
          <cell r="BH2392" t="str">
            <v/>
          </cell>
        </row>
        <row r="2393">
          <cell r="AA2393">
            <v>2</v>
          </cell>
          <cell r="BC2393" t="str">
            <v/>
          </cell>
          <cell r="BH2393" t="str">
            <v/>
          </cell>
        </row>
        <row r="2394">
          <cell r="BC2394" t="str">
            <v/>
          </cell>
          <cell r="BH2394" t="str">
            <v/>
          </cell>
        </row>
        <row r="2395">
          <cell r="AA2395">
            <v>2</v>
          </cell>
          <cell r="BC2395" t="str">
            <v/>
          </cell>
          <cell r="BH2395" t="str">
            <v/>
          </cell>
        </row>
        <row r="2396">
          <cell r="BC2396" t="str">
            <v/>
          </cell>
          <cell r="BH2396" t="str">
            <v/>
          </cell>
        </row>
        <row r="2397">
          <cell r="BC2397" t="str">
            <v/>
          </cell>
          <cell r="BH2397" t="str">
            <v/>
          </cell>
        </row>
        <row r="2398">
          <cell r="AA2398">
            <v>2</v>
          </cell>
          <cell r="BC2398" t="str">
            <v/>
          </cell>
          <cell r="BH2398" t="str">
            <v/>
          </cell>
        </row>
        <row r="2399">
          <cell r="AA2399">
            <v>2</v>
          </cell>
          <cell r="AR2399" t="b">
            <v>0</v>
          </cell>
          <cell r="BC2399" t="str">
            <v/>
          </cell>
          <cell r="BH2399" t="str">
            <v/>
          </cell>
        </row>
        <row r="2400">
          <cell r="AA2400">
            <v>2</v>
          </cell>
          <cell r="BC2400" t="str">
            <v/>
          </cell>
          <cell r="BH2400" t="str">
            <v/>
          </cell>
        </row>
        <row r="2401">
          <cell r="AA2401">
            <v>2</v>
          </cell>
          <cell r="AR2401" t="b">
            <v>0</v>
          </cell>
          <cell r="BC2401" t="str">
            <v/>
          </cell>
          <cell r="BH2401" t="str">
            <v/>
          </cell>
        </row>
        <row r="2402">
          <cell r="AA2402">
            <v>2</v>
          </cell>
          <cell r="BC2402" t="str">
            <v/>
          </cell>
          <cell r="BH2402" t="str">
            <v/>
          </cell>
        </row>
        <row r="2403">
          <cell r="AA2403">
            <v>2</v>
          </cell>
          <cell r="BC2403" t="str">
            <v/>
          </cell>
          <cell r="BH2403" t="str">
            <v/>
          </cell>
        </row>
        <row r="2404">
          <cell r="AA2404">
            <v>2</v>
          </cell>
          <cell r="BC2404" t="str">
            <v/>
          </cell>
          <cell r="BH2404" t="str">
            <v/>
          </cell>
        </row>
        <row r="2405">
          <cell r="AA2405">
            <v>2</v>
          </cell>
          <cell r="BC2405" t="str">
            <v/>
          </cell>
          <cell r="BH2405" t="str">
            <v/>
          </cell>
        </row>
        <row r="2406">
          <cell r="AA2406">
            <v>2</v>
          </cell>
          <cell r="BC2406" t="str">
            <v/>
          </cell>
          <cell r="BH2406" t="str">
            <v/>
          </cell>
        </row>
        <row r="2407">
          <cell r="AA2407">
            <v>2</v>
          </cell>
          <cell r="BC2407" t="str">
            <v/>
          </cell>
          <cell r="BH2407" t="str">
            <v/>
          </cell>
        </row>
        <row r="2408">
          <cell r="AA2408">
            <v>2</v>
          </cell>
          <cell r="BC2408" t="str">
            <v/>
          </cell>
          <cell r="BH2408" t="str">
            <v/>
          </cell>
        </row>
        <row r="2409">
          <cell r="BC2409" t="str">
            <v/>
          </cell>
          <cell r="BH2409" t="str">
            <v/>
          </cell>
        </row>
        <row r="2410">
          <cell r="AA2410">
            <v>2</v>
          </cell>
          <cell r="BC2410" t="str">
            <v/>
          </cell>
          <cell r="BH2410" t="str">
            <v/>
          </cell>
        </row>
        <row r="2411">
          <cell r="BC2411" t="str">
            <v/>
          </cell>
          <cell r="BH2411" t="str">
            <v/>
          </cell>
        </row>
        <row r="2412">
          <cell r="AA2412">
            <v>2</v>
          </cell>
          <cell r="BC2412" t="str">
            <v/>
          </cell>
          <cell r="BH2412" t="str">
            <v/>
          </cell>
        </row>
        <row r="2413">
          <cell r="AA2413">
            <v>2</v>
          </cell>
          <cell r="BC2413" t="str">
            <v/>
          </cell>
          <cell r="BH2413" t="str">
            <v/>
          </cell>
        </row>
        <row r="2414">
          <cell r="AA2414">
            <v>2</v>
          </cell>
          <cell r="BC2414" t="str">
            <v/>
          </cell>
          <cell r="BH2414" t="str">
            <v/>
          </cell>
        </row>
        <row r="2415">
          <cell r="AA2415">
            <v>2</v>
          </cell>
          <cell r="BC2415" t="str">
            <v/>
          </cell>
          <cell r="BH2415" t="str">
            <v/>
          </cell>
        </row>
        <row r="2416">
          <cell r="AA2416">
            <v>2</v>
          </cell>
          <cell r="BC2416" t="str">
            <v/>
          </cell>
          <cell r="BH2416" t="str">
            <v/>
          </cell>
        </row>
        <row r="2417">
          <cell r="AA2417">
            <v>2</v>
          </cell>
          <cell r="BC2417" t="str">
            <v/>
          </cell>
          <cell r="BH2417" t="str">
            <v/>
          </cell>
        </row>
        <row r="2418">
          <cell r="BC2418" t="str">
            <v/>
          </cell>
          <cell r="BH2418" t="str">
            <v/>
          </cell>
        </row>
        <row r="2419">
          <cell r="AA2419">
            <v>2</v>
          </cell>
          <cell r="BC2419" t="str">
            <v/>
          </cell>
          <cell r="BH2419" t="str">
            <v/>
          </cell>
        </row>
        <row r="2420">
          <cell r="AA2420">
            <v>2</v>
          </cell>
          <cell r="BC2420" t="str">
            <v/>
          </cell>
          <cell r="BH2420" t="str">
            <v/>
          </cell>
        </row>
        <row r="2421">
          <cell r="AA2421">
            <v>2</v>
          </cell>
          <cell r="BC2421" t="str">
            <v/>
          </cell>
          <cell r="BH2421" t="str">
            <v/>
          </cell>
        </row>
        <row r="2422">
          <cell r="AA2422">
            <v>2</v>
          </cell>
          <cell r="BC2422" t="str">
            <v/>
          </cell>
          <cell r="BH2422" t="str">
            <v/>
          </cell>
        </row>
        <row r="2423">
          <cell r="AA2423">
            <v>2</v>
          </cell>
          <cell r="BC2423" t="str">
            <v/>
          </cell>
          <cell r="BH2423" t="str">
            <v/>
          </cell>
        </row>
        <row r="2424">
          <cell r="AA2424">
            <v>2</v>
          </cell>
          <cell r="BC2424" t="str">
            <v/>
          </cell>
          <cell r="BH2424" t="str">
            <v/>
          </cell>
        </row>
        <row r="2425">
          <cell r="AA2425">
            <v>2</v>
          </cell>
          <cell r="BC2425" t="str">
            <v/>
          </cell>
          <cell r="BH2425" t="str">
            <v/>
          </cell>
        </row>
        <row r="2426">
          <cell r="AA2426">
            <v>2</v>
          </cell>
          <cell r="BC2426" t="str">
            <v/>
          </cell>
          <cell r="BH2426" t="str">
            <v/>
          </cell>
        </row>
        <row r="2427">
          <cell r="AA2427">
            <v>2</v>
          </cell>
          <cell r="AR2427" t="b">
            <v>0</v>
          </cell>
          <cell r="BC2427" t="str">
            <v/>
          </cell>
          <cell r="BH2427" t="str">
            <v/>
          </cell>
        </row>
        <row r="2428">
          <cell r="AA2428">
            <v>2</v>
          </cell>
          <cell r="BC2428" t="str">
            <v/>
          </cell>
          <cell r="BH2428" t="str">
            <v/>
          </cell>
        </row>
        <row r="2429">
          <cell r="BC2429" t="str">
            <v/>
          </cell>
          <cell r="BH2429" t="str">
            <v/>
          </cell>
        </row>
        <row r="2430">
          <cell r="AA2430">
            <v>2</v>
          </cell>
          <cell r="BC2430" t="str">
            <v/>
          </cell>
          <cell r="BH2430" t="str">
            <v/>
          </cell>
        </row>
        <row r="2431">
          <cell r="AA2431">
            <v>2</v>
          </cell>
          <cell r="BC2431" t="str">
            <v/>
          </cell>
          <cell r="BH2431" t="str">
            <v/>
          </cell>
        </row>
        <row r="2432">
          <cell r="BC2432" t="str">
            <v/>
          </cell>
          <cell r="BH2432" t="str">
            <v/>
          </cell>
        </row>
        <row r="2433">
          <cell r="BC2433" t="str">
            <v/>
          </cell>
          <cell r="BH2433" t="str">
            <v/>
          </cell>
        </row>
        <row r="2434">
          <cell r="AA2434">
            <v>2</v>
          </cell>
          <cell r="AR2434" t="b">
            <v>0</v>
          </cell>
          <cell r="BC2434" t="str">
            <v/>
          </cell>
          <cell r="BH2434" t="str">
            <v/>
          </cell>
        </row>
        <row r="2435">
          <cell r="AA2435">
            <v>2</v>
          </cell>
          <cell r="AR2435" t="b">
            <v>0</v>
          </cell>
          <cell r="BC2435" t="str">
            <v/>
          </cell>
          <cell r="BH2435" t="str">
            <v/>
          </cell>
        </row>
        <row r="2436">
          <cell r="AA2436">
            <v>2</v>
          </cell>
          <cell r="BC2436" t="str">
            <v/>
          </cell>
          <cell r="BH2436" t="str">
            <v/>
          </cell>
        </row>
        <row r="2437">
          <cell r="AA2437">
            <v>2</v>
          </cell>
          <cell r="AR2437" t="b">
            <v>0</v>
          </cell>
          <cell r="BC2437" t="str">
            <v/>
          </cell>
          <cell r="BH2437" t="str">
            <v/>
          </cell>
        </row>
        <row r="2438">
          <cell r="AA2438">
            <v>2</v>
          </cell>
          <cell r="BC2438" t="str">
            <v/>
          </cell>
          <cell r="BH2438" t="str">
            <v/>
          </cell>
        </row>
        <row r="2439">
          <cell r="BC2439" t="str">
            <v/>
          </cell>
          <cell r="BH2439" t="str">
            <v/>
          </cell>
        </row>
        <row r="2440">
          <cell r="BC2440" t="str">
            <v/>
          </cell>
          <cell r="BH2440" t="str">
            <v/>
          </cell>
        </row>
        <row r="2441">
          <cell r="AA2441">
            <v>2</v>
          </cell>
          <cell r="AR2441" t="b">
            <v>0</v>
          </cell>
          <cell r="BC2441" t="str">
            <v/>
          </cell>
          <cell r="BH2441" t="str">
            <v/>
          </cell>
        </row>
        <row r="2442">
          <cell r="BC2442" t="str">
            <v/>
          </cell>
          <cell r="BH2442" t="str">
            <v/>
          </cell>
        </row>
        <row r="2443">
          <cell r="BC2443" t="str">
            <v/>
          </cell>
          <cell r="BH2443" t="str">
            <v/>
          </cell>
        </row>
        <row r="2444">
          <cell r="AA2444">
            <v>2</v>
          </cell>
          <cell r="BC2444" t="str">
            <v/>
          </cell>
          <cell r="BH2444" t="str">
            <v/>
          </cell>
        </row>
        <row r="2445">
          <cell r="AA2445">
            <v>2</v>
          </cell>
          <cell r="AR2445" t="b">
            <v>0</v>
          </cell>
          <cell r="BC2445" t="str">
            <v/>
          </cell>
          <cell r="BH2445" t="str">
            <v/>
          </cell>
        </row>
        <row r="2446">
          <cell r="AA2446">
            <v>2</v>
          </cell>
          <cell r="AR2446" t="b">
            <v>0</v>
          </cell>
          <cell r="BC2446" t="str">
            <v/>
          </cell>
          <cell r="BH2446" t="str">
            <v/>
          </cell>
        </row>
        <row r="2447">
          <cell r="AA2447">
            <v>2</v>
          </cell>
          <cell r="BC2447" t="str">
            <v/>
          </cell>
          <cell r="BH2447" t="str">
            <v/>
          </cell>
        </row>
        <row r="2448">
          <cell r="AA2448">
            <v>2</v>
          </cell>
          <cell r="BC2448" t="str">
            <v/>
          </cell>
          <cell r="BH2448" t="str">
            <v/>
          </cell>
        </row>
        <row r="2449">
          <cell r="AA2449">
            <v>2</v>
          </cell>
          <cell r="BC2449" t="str">
            <v/>
          </cell>
          <cell r="BH2449" t="str">
            <v/>
          </cell>
        </row>
        <row r="2450">
          <cell r="AA2450">
            <v>2</v>
          </cell>
          <cell r="AR2450" t="b">
            <v>0</v>
          </cell>
          <cell r="BC2450" t="str">
            <v/>
          </cell>
          <cell r="BH2450" t="str">
            <v/>
          </cell>
        </row>
        <row r="2451">
          <cell r="AA2451">
            <v>2</v>
          </cell>
          <cell r="BC2451" t="str">
            <v/>
          </cell>
          <cell r="BH2451" t="str">
            <v/>
          </cell>
        </row>
        <row r="2452">
          <cell r="AA2452">
            <v>2</v>
          </cell>
          <cell r="BC2452" t="str">
            <v/>
          </cell>
          <cell r="BH2452" t="str">
            <v/>
          </cell>
        </row>
        <row r="2453">
          <cell r="AA2453">
            <v>2</v>
          </cell>
          <cell r="AR2453" t="b">
            <v>0</v>
          </cell>
          <cell r="BC2453" t="str">
            <v/>
          </cell>
          <cell r="BH2453" t="str">
            <v/>
          </cell>
        </row>
        <row r="2454">
          <cell r="AA2454">
            <v>2</v>
          </cell>
          <cell r="BC2454" t="str">
            <v/>
          </cell>
          <cell r="BH2454" t="str">
            <v/>
          </cell>
        </row>
        <row r="2455">
          <cell r="AA2455">
            <v>2</v>
          </cell>
          <cell r="AR2455" t="b">
            <v>0</v>
          </cell>
          <cell r="BC2455" t="str">
            <v/>
          </cell>
          <cell r="BH2455" t="str">
            <v/>
          </cell>
        </row>
        <row r="2456">
          <cell r="AA2456">
            <v>2</v>
          </cell>
          <cell r="AR2456" t="b">
            <v>0</v>
          </cell>
          <cell r="BC2456" t="str">
            <v/>
          </cell>
          <cell r="BH2456" t="str">
            <v/>
          </cell>
        </row>
        <row r="2457">
          <cell r="AA2457">
            <v>2</v>
          </cell>
          <cell r="BC2457" t="str">
            <v/>
          </cell>
          <cell r="BH2457" t="str">
            <v/>
          </cell>
        </row>
        <row r="2458">
          <cell r="AA2458">
            <v>2</v>
          </cell>
          <cell r="AR2458" t="b">
            <v>0</v>
          </cell>
          <cell r="BC2458" t="str">
            <v/>
          </cell>
          <cell r="BH2458" t="str">
            <v/>
          </cell>
        </row>
        <row r="2459">
          <cell r="AA2459">
            <v>2</v>
          </cell>
          <cell r="BC2459" t="str">
            <v/>
          </cell>
          <cell r="BH2459" t="str">
            <v/>
          </cell>
        </row>
        <row r="2460">
          <cell r="AA2460">
            <v>2</v>
          </cell>
          <cell r="AR2460" t="b">
            <v>0</v>
          </cell>
          <cell r="BC2460" t="str">
            <v/>
          </cell>
          <cell r="BH2460" t="str">
            <v/>
          </cell>
        </row>
        <row r="2461">
          <cell r="AA2461">
            <v>0</v>
          </cell>
          <cell r="AR2461" t="b">
            <v>0</v>
          </cell>
          <cell r="BC2461" t="str">
            <v/>
          </cell>
          <cell r="BH2461" t="str">
            <v/>
          </cell>
        </row>
        <row r="2462">
          <cell r="AO2462" t="str">
            <v/>
          </cell>
          <cell r="BC2462" t="str">
            <v/>
          </cell>
          <cell r="BH2462" t="str">
            <v/>
          </cell>
        </row>
        <row r="2463">
          <cell r="AO2463" t="str">
            <v/>
          </cell>
          <cell r="BC2463" t="str">
            <v/>
          </cell>
          <cell r="BH2463" t="str">
            <v/>
          </cell>
        </row>
        <row r="2464">
          <cell r="AA2464">
            <v>2</v>
          </cell>
          <cell r="AR2464" t="b">
            <v>0</v>
          </cell>
          <cell r="BC2464" t="str">
            <v/>
          </cell>
          <cell r="BH2464" t="str">
            <v/>
          </cell>
        </row>
        <row r="2465">
          <cell r="BC2465" t="str">
            <v/>
          </cell>
          <cell r="BH2465" t="str">
            <v/>
          </cell>
        </row>
        <row r="2466">
          <cell r="AA2466">
            <v>2</v>
          </cell>
          <cell r="AR2466" t="b">
            <v>0</v>
          </cell>
          <cell r="BC2466" t="str">
            <v/>
          </cell>
          <cell r="BH2466" t="str">
            <v/>
          </cell>
        </row>
        <row r="2467">
          <cell r="AA2467">
            <v>2</v>
          </cell>
          <cell r="BC2467" t="str">
            <v/>
          </cell>
          <cell r="BH2467" t="str">
            <v/>
          </cell>
        </row>
        <row r="2468">
          <cell r="AA2468">
            <v>2</v>
          </cell>
          <cell r="AR2468" t="b">
            <v>0</v>
          </cell>
          <cell r="BC2468" t="str">
            <v/>
          </cell>
          <cell r="BH2468" t="str">
            <v/>
          </cell>
        </row>
        <row r="2469">
          <cell r="AA2469">
            <v>2</v>
          </cell>
          <cell r="BC2469" t="str">
            <v/>
          </cell>
          <cell r="BH2469" t="str">
            <v/>
          </cell>
        </row>
        <row r="2470">
          <cell r="AA2470">
            <v>2</v>
          </cell>
          <cell r="AR2470" t="b">
            <v>0</v>
          </cell>
          <cell r="BC2470" t="str">
            <v/>
          </cell>
          <cell r="BH2470" t="str">
            <v/>
          </cell>
        </row>
        <row r="2471">
          <cell r="BC2471" t="str">
            <v/>
          </cell>
          <cell r="BH2471" t="str">
            <v/>
          </cell>
        </row>
        <row r="2472">
          <cell r="AA2472">
            <v>2</v>
          </cell>
          <cell r="AR2472" t="b">
            <v>0</v>
          </cell>
          <cell r="BC2472" t="str">
            <v/>
          </cell>
          <cell r="BH2472" t="str">
            <v/>
          </cell>
        </row>
        <row r="2473">
          <cell r="BC2473" t="str">
            <v/>
          </cell>
          <cell r="BH2473" t="str">
            <v/>
          </cell>
        </row>
        <row r="2474">
          <cell r="AA2474">
            <v>2</v>
          </cell>
          <cell r="AR2474" t="b">
            <v>0</v>
          </cell>
          <cell r="BC2474" t="str">
            <v/>
          </cell>
          <cell r="BH2474" t="str">
            <v/>
          </cell>
        </row>
        <row r="2475">
          <cell r="AA2475">
            <v>2</v>
          </cell>
          <cell r="BC2475" t="str">
            <v/>
          </cell>
          <cell r="BH2475" t="str">
            <v/>
          </cell>
        </row>
        <row r="2476">
          <cell r="AA2476">
            <v>2</v>
          </cell>
          <cell r="AR2476" t="b">
            <v>0</v>
          </cell>
          <cell r="BC2476" t="str">
            <v/>
          </cell>
          <cell r="BH2476" t="str">
            <v/>
          </cell>
        </row>
        <row r="2477">
          <cell r="AA2477">
            <v>2</v>
          </cell>
          <cell r="AR2477" t="b">
            <v>0</v>
          </cell>
          <cell r="BC2477" t="str">
            <v/>
          </cell>
          <cell r="BH2477" t="str">
            <v/>
          </cell>
        </row>
        <row r="2478">
          <cell r="AA2478">
            <v>2</v>
          </cell>
          <cell r="AR2478" t="b">
            <v>0</v>
          </cell>
          <cell r="BC2478" t="str">
            <v/>
          </cell>
          <cell r="BH2478" t="str">
            <v/>
          </cell>
        </row>
        <row r="2479">
          <cell r="AA2479">
            <v>2</v>
          </cell>
          <cell r="AR2479" t="b">
            <v>0</v>
          </cell>
          <cell r="BC2479" t="str">
            <v/>
          </cell>
          <cell r="BH2479" t="str">
            <v/>
          </cell>
        </row>
        <row r="2480">
          <cell r="AA2480">
            <v>2</v>
          </cell>
          <cell r="BC2480" t="str">
            <v/>
          </cell>
          <cell r="BH2480" t="str">
            <v/>
          </cell>
        </row>
        <row r="2481">
          <cell r="AA2481">
            <v>2</v>
          </cell>
          <cell r="BC2481" t="str">
            <v/>
          </cell>
          <cell r="BH2481" t="str">
            <v/>
          </cell>
        </row>
        <row r="2482">
          <cell r="AA2482">
            <v>2</v>
          </cell>
          <cell r="AR2482" t="b">
            <v>0</v>
          </cell>
          <cell r="BC2482" t="str">
            <v/>
          </cell>
          <cell r="BH2482" t="str">
            <v/>
          </cell>
        </row>
        <row r="2483">
          <cell r="AA2483">
            <v>2</v>
          </cell>
          <cell r="BC2483" t="str">
            <v/>
          </cell>
          <cell r="BH2483" t="str">
            <v/>
          </cell>
        </row>
        <row r="2484">
          <cell r="AA2484">
            <v>2</v>
          </cell>
          <cell r="BC2484" t="str">
            <v/>
          </cell>
          <cell r="BH2484" t="str">
            <v/>
          </cell>
        </row>
        <row r="2485">
          <cell r="AA2485">
            <v>2</v>
          </cell>
          <cell r="BC2485" t="str">
            <v/>
          </cell>
          <cell r="BH2485" t="str">
            <v/>
          </cell>
        </row>
        <row r="2486">
          <cell r="AA2486">
            <v>2</v>
          </cell>
          <cell r="BC2486" t="str">
            <v/>
          </cell>
          <cell r="BH2486" t="str">
            <v/>
          </cell>
        </row>
        <row r="2487">
          <cell r="AA2487">
            <v>2</v>
          </cell>
          <cell r="BC2487" t="str">
            <v/>
          </cell>
          <cell r="BH2487" t="str">
            <v/>
          </cell>
        </row>
        <row r="2488">
          <cell r="AA2488">
            <v>2</v>
          </cell>
          <cell r="BC2488" t="str">
            <v/>
          </cell>
          <cell r="BH2488" t="str">
            <v/>
          </cell>
        </row>
        <row r="2489">
          <cell r="AA2489">
            <v>2</v>
          </cell>
          <cell r="BC2489" t="str">
            <v/>
          </cell>
          <cell r="BH2489" t="str">
            <v/>
          </cell>
        </row>
        <row r="2490">
          <cell r="AA2490">
            <v>2</v>
          </cell>
          <cell r="AR2490" t="b">
            <v>0</v>
          </cell>
          <cell r="BC2490" t="str">
            <v/>
          </cell>
          <cell r="BH2490" t="str">
            <v/>
          </cell>
        </row>
        <row r="2491">
          <cell r="AA2491">
            <v>2</v>
          </cell>
          <cell r="BC2491" t="str">
            <v/>
          </cell>
          <cell r="BH2491" t="str">
            <v/>
          </cell>
        </row>
        <row r="2492">
          <cell r="AA2492">
            <v>2</v>
          </cell>
          <cell r="AR2492" t="b">
            <v>0</v>
          </cell>
          <cell r="BC2492" t="str">
            <v/>
          </cell>
          <cell r="BH2492" t="str">
            <v/>
          </cell>
        </row>
        <row r="2493">
          <cell r="AA2493">
            <v>2</v>
          </cell>
          <cell r="BC2493" t="str">
            <v/>
          </cell>
          <cell r="BH2493" t="str">
            <v/>
          </cell>
        </row>
        <row r="2494">
          <cell r="AA2494">
            <v>2</v>
          </cell>
          <cell r="BC2494" t="str">
            <v/>
          </cell>
          <cell r="BH2494" t="str">
            <v/>
          </cell>
        </row>
        <row r="2495">
          <cell r="AA2495">
            <v>2</v>
          </cell>
          <cell r="BC2495" t="str">
            <v/>
          </cell>
          <cell r="BH2495" t="str">
            <v/>
          </cell>
        </row>
        <row r="2496">
          <cell r="AA2496">
            <v>2</v>
          </cell>
          <cell r="BC2496" t="str">
            <v/>
          </cell>
          <cell r="BH2496" t="str">
            <v/>
          </cell>
        </row>
        <row r="2497">
          <cell r="BC2497" t="str">
            <v/>
          </cell>
          <cell r="BH2497" t="str">
            <v/>
          </cell>
        </row>
        <row r="2498">
          <cell r="AA2498">
            <v>2</v>
          </cell>
          <cell r="AR2498" t="b">
            <v>0</v>
          </cell>
          <cell r="BC2498" t="str">
            <v/>
          </cell>
          <cell r="BH2498" t="str">
            <v/>
          </cell>
        </row>
        <row r="2499">
          <cell r="AA2499">
            <v>2</v>
          </cell>
          <cell r="AR2499" t="b">
            <v>0</v>
          </cell>
          <cell r="BC2499" t="str">
            <v/>
          </cell>
          <cell r="BH2499" t="str">
            <v/>
          </cell>
        </row>
        <row r="2500">
          <cell r="BC2500" t="str">
            <v/>
          </cell>
          <cell r="BH2500" t="str">
            <v/>
          </cell>
        </row>
        <row r="2501">
          <cell r="BC2501" t="str">
            <v/>
          </cell>
          <cell r="BH2501" t="str">
            <v/>
          </cell>
        </row>
        <row r="2502">
          <cell r="AA2502">
            <v>2</v>
          </cell>
          <cell r="BC2502" t="str">
            <v/>
          </cell>
          <cell r="BH2502" t="str">
            <v/>
          </cell>
        </row>
        <row r="2503">
          <cell r="AA2503">
            <v>2</v>
          </cell>
          <cell r="AR2503" t="b">
            <v>0</v>
          </cell>
          <cell r="BC2503" t="str">
            <v/>
          </cell>
          <cell r="BH2503" t="str">
            <v/>
          </cell>
        </row>
        <row r="2504">
          <cell r="AA2504">
            <v>2</v>
          </cell>
          <cell r="BC2504" t="str">
            <v/>
          </cell>
          <cell r="BH2504" t="str">
            <v/>
          </cell>
        </row>
        <row r="2505">
          <cell r="AA2505">
            <v>2</v>
          </cell>
          <cell r="BC2505" t="str">
            <v/>
          </cell>
          <cell r="BH2505" t="str">
            <v/>
          </cell>
        </row>
        <row r="2506">
          <cell r="AA2506">
            <v>2</v>
          </cell>
          <cell r="BC2506" t="str">
            <v/>
          </cell>
          <cell r="BH2506" t="str">
            <v/>
          </cell>
        </row>
        <row r="2507">
          <cell r="AA2507">
            <v>2</v>
          </cell>
          <cell r="BC2507" t="str">
            <v/>
          </cell>
          <cell r="BH2507" t="str">
            <v/>
          </cell>
        </row>
        <row r="2508">
          <cell r="AA2508">
            <v>2</v>
          </cell>
          <cell r="AR2508" t="b">
            <v>0</v>
          </cell>
          <cell r="BC2508" t="str">
            <v/>
          </cell>
          <cell r="BH2508" t="str">
            <v/>
          </cell>
        </row>
        <row r="2509">
          <cell r="BC2509" t="str">
            <v/>
          </cell>
          <cell r="BH2509" t="str">
            <v/>
          </cell>
        </row>
        <row r="2510">
          <cell r="BC2510" t="str">
            <v/>
          </cell>
          <cell r="BH2510" t="str">
            <v/>
          </cell>
        </row>
        <row r="2511">
          <cell r="AA2511">
            <v>2</v>
          </cell>
          <cell r="AR2511" t="b">
            <v>0</v>
          </cell>
          <cell r="BC2511" t="str">
            <v/>
          </cell>
          <cell r="BH2511" t="str">
            <v/>
          </cell>
        </row>
        <row r="2512">
          <cell r="BC2512" t="str">
            <v/>
          </cell>
          <cell r="BH2512" t="str">
            <v/>
          </cell>
        </row>
        <row r="2513">
          <cell r="BC2513" t="str">
            <v/>
          </cell>
          <cell r="BH2513" t="str">
            <v/>
          </cell>
        </row>
        <row r="2514">
          <cell r="AA2514">
            <v>2</v>
          </cell>
          <cell r="BC2514" t="str">
            <v/>
          </cell>
          <cell r="BH2514" t="str">
            <v/>
          </cell>
        </row>
        <row r="2515">
          <cell r="AA2515">
            <v>2</v>
          </cell>
          <cell r="BC2515" t="str">
            <v/>
          </cell>
          <cell r="BH2515" t="str">
            <v/>
          </cell>
        </row>
        <row r="2516">
          <cell r="AA2516">
            <v>2</v>
          </cell>
          <cell r="BC2516" t="str">
            <v/>
          </cell>
          <cell r="BH2516" t="str">
            <v/>
          </cell>
        </row>
        <row r="2517">
          <cell r="BC2517" t="str">
            <v/>
          </cell>
          <cell r="BH2517" t="str">
            <v/>
          </cell>
        </row>
        <row r="2518">
          <cell r="AA2518">
            <v>2</v>
          </cell>
          <cell r="AR2518" t="b">
            <v>0</v>
          </cell>
          <cell r="BC2518" t="str">
            <v/>
          </cell>
          <cell r="BH2518" t="str">
            <v/>
          </cell>
        </row>
        <row r="2519">
          <cell r="AA2519">
            <v>2</v>
          </cell>
          <cell r="AR2519" t="b">
            <v>0</v>
          </cell>
          <cell r="BC2519" t="str">
            <v/>
          </cell>
          <cell r="BH2519" t="str">
            <v/>
          </cell>
        </row>
        <row r="2520">
          <cell r="BC2520" t="str">
            <v/>
          </cell>
          <cell r="BH2520" t="str">
            <v/>
          </cell>
        </row>
        <row r="2521">
          <cell r="AA2521">
            <v>2</v>
          </cell>
          <cell r="BC2521" t="str">
            <v/>
          </cell>
          <cell r="BH2521" t="str">
            <v/>
          </cell>
        </row>
        <row r="2522">
          <cell r="BC2522" t="str">
            <v/>
          </cell>
          <cell r="BH2522" t="str">
            <v/>
          </cell>
        </row>
        <row r="2523">
          <cell r="BC2523" t="str">
            <v/>
          </cell>
          <cell r="BH2523" t="str">
            <v/>
          </cell>
        </row>
        <row r="2524">
          <cell r="BC2524" t="str">
            <v/>
          </cell>
          <cell r="BH2524" t="str">
            <v/>
          </cell>
        </row>
        <row r="2525">
          <cell r="AA2525">
            <v>2</v>
          </cell>
          <cell r="AQ2525">
            <v>0</v>
          </cell>
          <cell r="AR2525" t="b">
            <v>0</v>
          </cell>
          <cell r="BC2525" t="str">
            <v/>
          </cell>
          <cell r="BH2525" t="str">
            <v/>
          </cell>
        </row>
        <row r="2526">
          <cell r="AA2526">
            <v>2</v>
          </cell>
          <cell r="AR2526" t="b">
            <v>0</v>
          </cell>
          <cell r="BC2526" t="str">
            <v/>
          </cell>
          <cell r="BH2526" t="str">
            <v/>
          </cell>
        </row>
        <row r="2527">
          <cell r="AA2527">
            <v>2</v>
          </cell>
          <cell r="BC2527" t="str">
            <v/>
          </cell>
          <cell r="BH2527" t="str">
            <v/>
          </cell>
        </row>
        <row r="2528">
          <cell r="AA2528">
            <v>2</v>
          </cell>
          <cell r="AR2528" t="b">
            <v>0</v>
          </cell>
          <cell r="BC2528" t="str">
            <v/>
          </cell>
          <cell r="BH2528" t="str">
            <v/>
          </cell>
        </row>
        <row r="2529">
          <cell r="AQ2529">
            <v>0</v>
          </cell>
          <cell r="BC2529" t="str">
            <v/>
          </cell>
          <cell r="BH2529" t="str">
            <v/>
          </cell>
        </row>
        <row r="2530">
          <cell r="AA2530">
            <v>2</v>
          </cell>
          <cell r="AR2530" t="b">
            <v>0</v>
          </cell>
          <cell r="BC2530" t="str">
            <v/>
          </cell>
          <cell r="BH2530" t="str">
            <v/>
          </cell>
        </row>
        <row r="2531">
          <cell r="AA2531">
            <v>2</v>
          </cell>
          <cell r="AR2531" t="b">
            <v>0</v>
          </cell>
          <cell r="BC2531" t="str">
            <v/>
          </cell>
          <cell r="BH2531" t="str">
            <v/>
          </cell>
        </row>
        <row r="2532">
          <cell r="AA2532">
            <v>2</v>
          </cell>
          <cell r="BC2532" t="str">
            <v/>
          </cell>
          <cell r="BH2532" t="str">
            <v/>
          </cell>
        </row>
        <row r="2533">
          <cell r="BC2533" t="str">
            <v/>
          </cell>
          <cell r="BH2533" t="str">
            <v/>
          </cell>
        </row>
        <row r="2534">
          <cell r="BC2534" t="str">
            <v/>
          </cell>
          <cell r="BH2534" t="str">
            <v/>
          </cell>
        </row>
        <row r="2535">
          <cell r="AA2535">
            <v>2</v>
          </cell>
          <cell r="AR2535" t="b">
            <v>0</v>
          </cell>
          <cell r="BC2535" t="str">
            <v/>
          </cell>
          <cell r="BH2535" t="str">
            <v/>
          </cell>
        </row>
        <row r="2536">
          <cell r="AA2536">
            <v>2</v>
          </cell>
          <cell r="BC2536" t="str">
            <v/>
          </cell>
          <cell r="BH2536" t="str">
            <v/>
          </cell>
        </row>
        <row r="2537">
          <cell r="AA2537">
            <v>2</v>
          </cell>
          <cell r="AR2537" t="b">
            <v>0</v>
          </cell>
          <cell r="BC2537" t="str">
            <v/>
          </cell>
          <cell r="BH2537" t="str">
            <v/>
          </cell>
        </row>
        <row r="2538">
          <cell r="AA2538">
            <v>2</v>
          </cell>
          <cell r="BC2538" t="str">
            <v/>
          </cell>
          <cell r="BH2538" t="str">
            <v/>
          </cell>
        </row>
        <row r="2539">
          <cell r="AA2539">
            <v>2</v>
          </cell>
          <cell r="BC2539" t="str">
            <v/>
          </cell>
          <cell r="BH2539" t="str">
            <v/>
          </cell>
        </row>
        <row r="2540">
          <cell r="AA2540">
            <v>2</v>
          </cell>
          <cell r="BC2540" t="str">
            <v/>
          </cell>
          <cell r="BH2540" t="str">
            <v/>
          </cell>
        </row>
        <row r="2541">
          <cell r="AA2541">
            <v>2</v>
          </cell>
          <cell r="AR2541" t="b">
            <v>0</v>
          </cell>
          <cell r="BC2541" t="str">
            <v/>
          </cell>
          <cell r="BH2541" t="str">
            <v/>
          </cell>
        </row>
        <row r="2542">
          <cell r="AA2542">
            <v>2</v>
          </cell>
          <cell r="BC2542" t="str">
            <v/>
          </cell>
          <cell r="BH2542" t="str">
            <v/>
          </cell>
        </row>
        <row r="2543">
          <cell r="AA2543">
            <v>2</v>
          </cell>
          <cell r="BC2543" t="str">
            <v/>
          </cell>
          <cell r="BH2543" t="str">
            <v/>
          </cell>
        </row>
        <row r="2544">
          <cell r="AA2544">
            <v>2</v>
          </cell>
          <cell r="BC2544" t="str">
            <v/>
          </cell>
          <cell r="BH2544" t="str">
            <v/>
          </cell>
        </row>
        <row r="2545">
          <cell r="BC2545" t="str">
            <v/>
          </cell>
          <cell r="BH2545" t="str">
            <v/>
          </cell>
        </row>
        <row r="2546">
          <cell r="AA2546">
            <v>2</v>
          </cell>
          <cell r="BC2546" t="str">
            <v/>
          </cell>
          <cell r="BH2546" t="str">
            <v/>
          </cell>
        </row>
        <row r="2547">
          <cell r="AA2547">
            <v>2</v>
          </cell>
          <cell r="AR2547" t="b">
            <v>0</v>
          </cell>
          <cell r="BC2547" t="str">
            <v/>
          </cell>
          <cell r="BH2547" t="str">
            <v/>
          </cell>
        </row>
        <row r="2548">
          <cell r="AA2548">
            <v>2</v>
          </cell>
          <cell r="BC2548" t="str">
            <v/>
          </cell>
          <cell r="BH2548" t="str">
            <v/>
          </cell>
        </row>
        <row r="2549">
          <cell r="AA2549">
            <v>2</v>
          </cell>
          <cell r="BC2549" t="str">
            <v/>
          </cell>
          <cell r="BH2549" t="str">
            <v/>
          </cell>
        </row>
        <row r="2550">
          <cell r="AA2550">
            <v>2</v>
          </cell>
          <cell r="AR2550" t="b">
            <v>0</v>
          </cell>
          <cell r="BC2550" t="str">
            <v/>
          </cell>
          <cell r="BH2550" t="str">
            <v/>
          </cell>
        </row>
        <row r="2551">
          <cell r="AA2551">
            <v>2</v>
          </cell>
          <cell r="AR2551" t="b">
            <v>0</v>
          </cell>
          <cell r="BC2551" t="str">
            <v/>
          </cell>
          <cell r="BH2551" t="str">
            <v/>
          </cell>
        </row>
        <row r="2552">
          <cell r="AA2552">
            <v>2</v>
          </cell>
          <cell r="AR2552" t="b">
            <v>0</v>
          </cell>
          <cell r="BC2552" t="str">
            <v/>
          </cell>
          <cell r="BH2552" t="str">
            <v/>
          </cell>
        </row>
        <row r="2553">
          <cell r="AA2553">
            <v>2</v>
          </cell>
          <cell r="BC2553" t="str">
            <v/>
          </cell>
          <cell r="BH2553" t="str">
            <v/>
          </cell>
        </row>
        <row r="2554">
          <cell r="AA2554">
            <v>2</v>
          </cell>
          <cell r="BC2554" t="str">
            <v/>
          </cell>
          <cell r="BH2554" t="str">
            <v/>
          </cell>
        </row>
        <row r="2555">
          <cell r="AA2555">
            <v>2</v>
          </cell>
          <cell r="AR2555" t="b">
            <v>0</v>
          </cell>
          <cell r="BC2555" t="str">
            <v/>
          </cell>
          <cell r="BH2555" t="str">
            <v/>
          </cell>
        </row>
        <row r="2556">
          <cell r="AA2556">
            <v>2</v>
          </cell>
          <cell r="BC2556" t="str">
            <v/>
          </cell>
          <cell r="BH2556" t="str">
            <v/>
          </cell>
        </row>
        <row r="2557">
          <cell r="AA2557">
            <v>2</v>
          </cell>
          <cell r="BC2557" t="str">
            <v/>
          </cell>
          <cell r="BH2557" t="str">
            <v/>
          </cell>
        </row>
        <row r="2558">
          <cell r="AA2558">
            <v>2</v>
          </cell>
          <cell r="BC2558" t="str">
            <v/>
          </cell>
          <cell r="BH2558" t="str">
            <v/>
          </cell>
        </row>
        <row r="2559">
          <cell r="AA2559">
            <v>2</v>
          </cell>
          <cell r="BC2559" t="str">
            <v/>
          </cell>
          <cell r="BH2559" t="str">
            <v/>
          </cell>
        </row>
        <row r="2560">
          <cell r="AA2560">
            <v>2</v>
          </cell>
          <cell r="BC2560" t="str">
            <v/>
          </cell>
          <cell r="BH2560" t="str">
            <v/>
          </cell>
        </row>
        <row r="2561">
          <cell r="AA2561">
            <v>2</v>
          </cell>
          <cell r="BC2561" t="str">
            <v/>
          </cell>
          <cell r="BH2561" t="str">
            <v/>
          </cell>
        </row>
        <row r="2562">
          <cell r="BC2562" t="str">
            <v/>
          </cell>
          <cell r="BH2562" t="str">
            <v/>
          </cell>
        </row>
        <row r="2563">
          <cell r="BC2563" t="str">
            <v/>
          </cell>
          <cell r="BH2563" t="str">
            <v/>
          </cell>
        </row>
        <row r="2564">
          <cell r="AA2564">
            <v>2</v>
          </cell>
          <cell r="BC2564" t="str">
            <v/>
          </cell>
          <cell r="BH2564" t="str">
            <v/>
          </cell>
        </row>
        <row r="2565">
          <cell r="AA2565">
            <v>2</v>
          </cell>
          <cell r="BC2565" t="str">
            <v/>
          </cell>
          <cell r="BH2565" t="str">
            <v/>
          </cell>
        </row>
        <row r="2566">
          <cell r="AA2566">
            <v>2</v>
          </cell>
          <cell r="BC2566" t="str">
            <v/>
          </cell>
          <cell r="BH2566" t="str">
            <v/>
          </cell>
        </row>
        <row r="2567">
          <cell r="AA2567">
            <v>2</v>
          </cell>
          <cell r="BC2567" t="str">
            <v/>
          </cell>
          <cell r="BH2567" t="str">
            <v/>
          </cell>
        </row>
        <row r="2568">
          <cell r="BC2568" t="str">
            <v/>
          </cell>
          <cell r="BH2568" t="str">
            <v/>
          </cell>
        </row>
        <row r="2569">
          <cell r="BC2569" t="str">
            <v/>
          </cell>
          <cell r="BH2569" t="str">
            <v/>
          </cell>
        </row>
        <row r="2570">
          <cell r="AA2570">
            <v>2</v>
          </cell>
          <cell r="AR2570" t="b">
            <v>0</v>
          </cell>
          <cell r="BC2570" t="str">
            <v/>
          </cell>
          <cell r="BH2570" t="str">
            <v/>
          </cell>
        </row>
        <row r="2571">
          <cell r="AA2571">
            <v>2</v>
          </cell>
          <cell r="BC2571" t="str">
            <v/>
          </cell>
          <cell r="BH2571" t="str">
            <v/>
          </cell>
        </row>
        <row r="2572">
          <cell r="AA2572">
            <v>2</v>
          </cell>
          <cell r="AP2572">
            <v>1</v>
          </cell>
          <cell r="AQ2572" t="str">
            <v/>
          </cell>
          <cell r="AR2572" t="b">
            <v>0</v>
          </cell>
          <cell r="BC2572" t="str">
            <v/>
          </cell>
          <cell r="BH2572" t="str">
            <v/>
          </cell>
        </row>
        <row r="2573">
          <cell r="AA2573">
            <v>2</v>
          </cell>
          <cell r="BC2573" t="str">
            <v/>
          </cell>
          <cell r="BH2573" t="str">
            <v/>
          </cell>
        </row>
        <row r="2574">
          <cell r="AA2574">
            <v>2</v>
          </cell>
          <cell r="AR2574" t="b">
            <v>0</v>
          </cell>
          <cell r="BC2574" t="str">
            <v/>
          </cell>
          <cell r="BH2574" t="str">
            <v/>
          </cell>
        </row>
        <row r="2575">
          <cell r="AA2575">
            <v>2</v>
          </cell>
          <cell r="BC2575" t="str">
            <v/>
          </cell>
          <cell r="BH2575" t="str">
            <v/>
          </cell>
        </row>
        <row r="2576">
          <cell r="AA2576">
            <v>2</v>
          </cell>
          <cell r="BC2576" t="str">
            <v/>
          </cell>
          <cell r="BH2576" t="str">
            <v/>
          </cell>
        </row>
        <row r="2577">
          <cell r="AA2577">
            <v>2</v>
          </cell>
          <cell r="BC2577" t="str">
            <v/>
          </cell>
          <cell r="BH2577" t="str">
            <v/>
          </cell>
        </row>
        <row r="2578">
          <cell r="AA2578">
            <v>2</v>
          </cell>
          <cell r="AR2578" t="b">
            <v>0</v>
          </cell>
          <cell r="BC2578" t="str">
            <v/>
          </cell>
          <cell r="BH2578" t="str">
            <v/>
          </cell>
        </row>
        <row r="2579">
          <cell r="AA2579">
            <v>2</v>
          </cell>
          <cell r="BC2579" t="str">
            <v/>
          </cell>
          <cell r="BH2579" t="str">
            <v/>
          </cell>
        </row>
        <row r="2580">
          <cell r="AA2580">
            <v>2</v>
          </cell>
          <cell r="AR2580" t="b">
            <v>0</v>
          </cell>
          <cell r="BC2580" t="str">
            <v/>
          </cell>
          <cell r="BH2580" t="str">
            <v/>
          </cell>
        </row>
        <row r="2581">
          <cell r="AA2581">
            <v>2</v>
          </cell>
          <cell r="AR2581" t="b">
            <v>0</v>
          </cell>
          <cell r="BC2581" t="str">
            <v/>
          </cell>
          <cell r="BH2581" t="str">
            <v/>
          </cell>
        </row>
        <row r="2582">
          <cell r="AA2582">
            <v>2</v>
          </cell>
          <cell r="BC2582" t="str">
            <v/>
          </cell>
          <cell r="BH2582" t="str">
            <v/>
          </cell>
        </row>
        <row r="2583">
          <cell r="AA2583">
            <v>2</v>
          </cell>
          <cell r="AR2583" t="b">
            <v>0</v>
          </cell>
          <cell r="BC2583" t="str">
            <v/>
          </cell>
          <cell r="BH2583" t="str">
            <v/>
          </cell>
        </row>
        <row r="2584">
          <cell r="AA2584">
            <v>2</v>
          </cell>
          <cell r="AR2584" t="b">
            <v>0</v>
          </cell>
          <cell r="BC2584" t="str">
            <v/>
          </cell>
          <cell r="BH2584" t="str">
            <v/>
          </cell>
        </row>
        <row r="2585">
          <cell r="AA2585">
            <v>2</v>
          </cell>
          <cell r="BC2585" t="str">
            <v/>
          </cell>
          <cell r="BH2585" t="str">
            <v/>
          </cell>
        </row>
        <row r="2586">
          <cell r="BC2586" t="str">
            <v/>
          </cell>
          <cell r="BH2586" t="str">
            <v/>
          </cell>
        </row>
        <row r="2587">
          <cell r="BC2587" t="str">
            <v/>
          </cell>
          <cell r="BH2587" t="str">
            <v/>
          </cell>
        </row>
        <row r="2588">
          <cell r="AA2588">
            <v>2</v>
          </cell>
          <cell r="AR2588" t="b">
            <v>0</v>
          </cell>
          <cell r="BC2588" t="str">
            <v/>
          </cell>
          <cell r="BH2588" t="str">
            <v/>
          </cell>
        </row>
        <row r="2589">
          <cell r="AA2589">
            <v>2</v>
          </cell>
          <cell r="BC2589" t="str">
            <v/>
          </cell>
          <cell r="BH2589" t="str">
            <v/>
          </cell>
        </row>
        <row r="2590">
          <cell r="AA2590">
            <v>2</v>
          </cell>
          <cell r="BC2590" t="str">
            <v/>
          </cell>
          <cell r="BH2590" t="str">
            <v/>
          </cell>
        </row>
        <row r="2591">
          <cell r="AA2591">
            <v>2</v>
          </cell>
          <cell r="AR2591" t="b">
            <v>0</v>
          </cell>
          <cell r="BC2591" t="str">
            <v/>
          </cell>
          <cell r="BH2591" t="str">
            <v/>
          </cell>
        </row>
        <row r="2592">
          <cell r="AA2592">
            <v>2</v>
          </cell>
          <cell r="BC2592" t="str">
            <v/>
          </cell>
          <cell r="BH2592" t="str">
            <v/>
          </cell>
        </row>
        <row r="2593">
          <cell r="AA2593">
            <v>2</v>
          </cell>
          <cell r="BC2593" t="str">
            <v/>
          </cell>
          <cell r="BH2593" t="str">
            <v/>
          </cell>
        </row>
        <row r="2594">
          <cell r="BC2594" t="str">
            <v/>
          </cell>
          <cell r="BH2594" t="str">
            <v/>
          </cell>
        </row>
        <row r="2595">
          <cell r="BC2595" t="str">
            <v/>
          </cell>
          <cell r="BH2595" t="str">
            <v/>
          </cell>
        </row>
        <row r="2596">
          <cell r="AA2596">
            <v>2</v>
          </cell>
          <cell r="AR2596" t="b">
            <v>0</v>
          </cell>
          <cell r="BC2596" t="str">
            <v/>
          </cell>
          <cell r="BH2596" t="str">
            <v/>
          </cell>
        </row>
        <row r="2597">
          <cell r="AA2597">
            <v>2</v>
          </cell>
          <cell r="BC2597" t="str">
            <v/>
          </cell>
          <cell r="BH2597" t="str">
            <v/>
          </cell>
        </row>
        <row r="2598">
          <cell r="AA2598">
            <v>2</v>
          </cell>
          <cell r="BC2598" t="str">
            <v/>
          </cell>
          <cell r="BH2598" t="str">
            <v/>
          </cell>
        </row>
        <row r="2599">
          <cell r="AA2599">
            <v>2</v>
          </cell>
          <cell r="BC2599" t="str">
            <v/>
          </cell>
          <cell r="BH2599" t="str">
            <v/>
          </cell>
        </row>
        <row r="2600">
          <cell r="AA2600">
            <v>2</v>
          </cell>
          <cell r="AR2600" t="b">
            <v>0</v>
          </cell>
          <cell r="BC2600" t="str">
            <v/>
          </cell>
          <cell r="BH2600" t="str">
            <v/>
          </cell>
        </row>
        <row r="2601">
          <cell r="AA2601">
            <v>2</v>
          </cell>
          <cell r="BC2601" t="str">
            <v/>
          </cell>
          <cell r="BH2601" t="str">
            <v/>
          </cell>
        </row>
        <row r="2602">
          <cell r="AA2602">
            <v>2</v>
          </cell>
          <cell r="AR2602" t="b">
            <v>0</v>
          </cell>
          <cell r="BC2602" t="str">
            <v/>
          </cell>
          <cell r="BH2602" t="str">
            <v/>
          </cell>
        </row>
        <row r="2603">
          <cell r="AA2603">
            <v>2</v>
          </cell>
          <cell r="BC2603" t="str">
            <v/>
          </cell>
          <cell r="BH2603" t="str">
            <v/>
          </cell>
        </row>
        <row r="2604">
          <cell r="AA2604">
            <v>2</v>
          </cell>
          <cell r="AR2604" t="b">
            <v>0</v>
          </cell>
          <cell r="BC2604" t="str">
            <v/>
          </cell>
          <cell r="BH2604" t="str">
            <v/>
          </cell>
        </row>
        <row r="2605">
          <cell r="AA2605">
            <v>2</v>
          </cell>
          <cell r="BC2605" t="str">
            <v/>
          </cell>
          <cell r="BH2605" t="str">
            <v/>
          </cell>
        </row>
        <row r="2606">
          <cell r="AA2606">
            <v>2</v>
          </cell>
          <cell r="BC2606" t="str">
            <v/>
          </cell>
          <cell r="BH2606" t="str">
            <v/>
          </cell>
        </row>
        <row r="2607">
          <cell r="BC2607" t="str">
            <v/>
          </cell>
          <cell r="BH2607" t="str">
            <v/>
          </cell>
        </row>
        <row r="2608">
          <cell r="BC2608" t="str">
            <v/>
          </cell>
          <cell r="BH2608" t="str">
            <v/>
          </cell>
        </row>
        <row r="2609">
          <cell r="AA2609">
            <v>2</v>
          </cell>
          <cell r="BC2609" t="str">
            <v/>
          </cell>
          <cell r="BH2609" t="str">
            <v/>
          </cell>
        </row>
        <row r="2610">
          <cell r="AA2610">
            <v>2</v>
          </cell>
          <cell r="BC2610" t="str">
            <v/>
          </cell>
          <cell r="BH2610" t="str">
            <v/>
          </cell>
        </row>
        <row r="2611">
          <cell r="AA2611">
            <v>2</v>
          </cell>
          <cell r="BC2611" t="str">
            <v/>
          </cell>
          <cell r="BH2611" t="str">
            <v/>
          </cell>
        </row>
        <row r="2612">
          <cell r="AA2612">
            <v>2</v>
          </cell>
          <cell r="BC2612" t="str">
            <v/>
          </cell>
          <cell r="BH2612" t="str">
            <v/>
          </cell>
        </row>
        <row r="2613">
          <cell r="BC2613" t="str">
            <v/>
          </cell>
          <cell r="BH2613" t="str">
            <v/>
          </cell>
        </row>
        <row r="2614">
          <cell r="BC2614" t="str">
            <v/>
          </cell>
          <cell r="BH2614" t="str">
            <v/>
          </cell>
        </row>
        <row r="2615">
          <cell r="AA2615">
            <v>2</v>
          </cell>
          <cell r="BC2615" t="str">
            <v/>
          </cell>
          <cell r="BH2615" t="str">
            <v/>
          </cell>
        </row>
        <row r="2616">
          <cell r="BC2616" t="str">
            <v/>
          </cell>
          <cell r="BH2616" t="str">
            <v/>
          </cell>
        </row>
        <row r="2617">
          <cell r="BC2617" t="str">
            <v/>
          </cell>
          <cell r="BH2617" t="str">
            <v/>
          </cell>
        </row>
        <row r="2618">
          <cell r="AA2618">
            <v>2</v>
          </cell>
          <cell r="BC2618" t="str">
            <v/>
          </cell>
          <cell r="BH2618" t="str">
            <v/>
          </cell>
        </row>
        <row r="2619">
          <cell r="AA2619">
            <v>2</v>
          </cell>
          <cell r="AR2619" t="b">
            <v>0</v>
          </cell>
          <cell r="BC2619" t="str">
            <v/>
          </cell>
          <cell r="BH2619" t="str">
            <v/>
          </cell>
        </row>
        <row r="2620">
          <cell r="AA2620">
            <v>2</v>
          </cell>
          <cell r="BC2620" t="str">
            <v/>
          </cell>
          <cell r="BH2620" t="str">
            <v/>
          </cell>
        </row>
        <row r="2621">
          <cell r="AA2621">
            <v>2</v>
          </cell>
          <cell r="BC2621" t="str">
            <v/>
          </cell>
          <cell r="BH2621" t="str">
            <v/>
          </cell>
        </row>
        <row r="2622">
          <cell r="AA2622">
            <v>2</v>
          </cell>
          <cell r="BC2622" t="str">
            <v/>
          </cell>
          <cell r="BH2622" t="str">
            <v/>
          </cell>
        </row>
        <row r="2623">
          <cell r="AA2623">
            <v>2</v>
          </cell>
          <cell r="BC2623" t="str">
            <v/>
          </cell>
          <cell r="BH2623" t="str">
            <v/>
          </cell>
        </row>
        <row r="2624">
          <cell r="AA2624">
            <v>2</v>
          </cell>
          <cell r="AR2624" t="b">
            <v>0</v>
          </cell>
          <cell r="BC2624" t="str">
            <v/>
          </cell>
          <cell r="BH2624" t="str">
            <v/>
          </cell>
        </row>
        <row r="2625">
          <cell r="AA2625">
            <v>2</v>
          </cell>
          <cell r="BC2625" t="str">
            <v/>
          </cell>
          <cell r="BH2625" t="str">
            <v/>
          </cell>
        </row>
        <row r="2626">
          <cell r="BC2626" t="str">
            <v/>
          </cell>
          <cell r="BH2626" t="str">
            <v/>
          </cell>
        </row>
        <row r="2627">
          <cell r="BC2627" t="str">
            <v/>
          </cell>
          <cell r="BH2627" t="str">
            <v/>
          </cell>
        </row>
        <row r="2628">
          <cell r="AA2628">
            <v>2</v>
          </cell>
          <cell r="AR2628" t="b">
            <v>0</v>
          </cell>
          <cell r="BC2628" t="str">
            <v/>
          </cell>
          <cell r="BH2628" t="str">
            <v/>
          </cell>
        </row>
        <row r="2629">
          <cell r="AA2629">
            <v>2</v>
          </cell>
          <cell r="AR2629" t="b">
            <v>0</v>
          </cell>
          <cell r="BC2629" t="str">
            <v/>
          </cell>
          <cell r="BH2629" t="str">
            <v/>
          </cell>
        </row>
        <row r="2630">
          <cell r="AA2630">
            <v>2</v>
          </cell>
          <cell r="AR2630" t="b">
            <v>0</v>
          </cell>
          <cell r="BC2630" t="str">
            <v/>
          </cell>
          <cell r="BH2630" t="str">
            <v/>
          </cell>
        </row>
        <row r="2631">
          <cell r="AA2631">
            <v>2</v>
          </cell>
          <cell r="AR2631" t="b">
            <v>0</v>
          </cell>
          <cell r="BC2631" t="str">
            <v/>
          </cell>
          <cell r="BH2631" t="str">
            <v/>
          </cell>
        </row>
        <row r="2632">
          <cell r="AA2632">
            <v>2</v>
          </cell>
          <cell r="AR2632" t="b">
            <v>0</v>
          </cell>
          <cell r="BC2632" t="str">
            <v/>
          </cell>
          <cell r="BH2632" t="str">
            <v/>
          </cell>
        </row>
        <row r="2633">
          <cell r="AA2633">
            <v>2</v>
          </cell>
          <cell r="AR2633" t="b">
            <v>0</v>
          </cell>
          <cell r="BC2633" t="str">
            <v/>
          </cell>
          <cell r="BH2633" t="str">
            <v/>
          </cell>
        </row>
        <row r="2634">
          <cell r="AA2634">
            <v>2</v>
          </cell>
          <cell r="AR2634" t="b">
            <v>0</v>
          </cell>
          <cell r="BC2634" t="str">
            <v/>
          </cell>
          <cell r="BH2634" t="str">
            <v/>
          </cell>
        </row>
        <row r="2635">
          <cell r="AA2635">
            <v>2</v>
          </cell>
          <cell r="AR2635" t="b">
            <v>0</v>
          </cell>
          <cell r="BC2635" t="str">
            <v/>
          </cell>
          <cell r="BH2635" t="str">
            <v/>
          </cell>
        </row>
        <row r="2636">
          <cell r="AA2636">
            <v>2</v>
          </cell>
          <cell r="AR2636" t="b">
            <v>0</v>
          </cell>
          <cell r="BC2636" t="str">
            <v/>
          </cell>
          <cell r="BH2636" t="str">
            <v/>
          </cell>
        </row>
        <row r="2637">
          <cell r="AA2637">
            <v>2</v>
          </cell>
          <cell r="AR2637" t="b">
            <v>0</v>
          </cell>
          <cell r="BC2637" t="str">
            <v/>
          </cell>
          <cell r="BH2637" t="str">
            <v/>
          </cell>
        </row>
        <row r="2638">
          <cell r="BC2638" t="str">
            <v/>
          </cell>
          <cell r="BH2638" t="str">
            <v/>
          </cell>
        </row>
        <row r="2639">
          <cell r="BC2639" t="str">
            <v/>
          </cell>
          <cell r="BH2639" t="str">
            <v/>
          </cell>
        </row>
        <row r="2640">
          <cell r="AA2640">
            <v>2</v>
          </cell>
          <cell r="BC2640" t="str">
            <v/>
          </cell>
          <cell r="BH2640" t="str">
            <v/>
          </cell>
        </row>
        <row r="2641">
          <cell r="BC2641" t="str">
            <v/>
          </cell>
          <cell r="BH2641" t="str">
            <v/>
          </cell>
        </row>
        <row r="2642">
          <cell r="BC2642" t="str">
            <v/>
          </cell>
          <cell r="BH2642" t="str">
            <v/>
          </cell>
        </row>
        <row r="2643">
          <cell r="AA2643">
            <v>2</v>
          </cell>
          <cell r="BC2643" t="str">
            <v/>
          </cell>
          <cell r="BH2643" t="str">
            <v/>
          </cell>
        </row>
        <row r="2644">
          <cell r="BC2644" t="str">
            <v/>
          </cell>
          <cell r="BH2644" t="str">
            <v/>
          </cell>
        </row>
        <row r="2645">
          <cell r="BC2645" t="str">
            <v/>
          </cell>
          <cell r="BH2645" t="str">
            <v/>
          </cell>
        </row>
        <row r="2646">
          <cell r="AA2646">
            <v>2</v>
          </cell>
          <cell r="BC2646" t="str">
            <v/>
          </cell>
          <cell r="BH2646" t="str">
            <v/>
          </cell>
        </row>
        <row r="2647">
          <cell r="AA2647">
            <v>2</v>
          </cell>
          <cell r="BC2647" t="str">
            <v/>
          </cell>
          <cell r="BH2647" t="str">
            <v/>
          </cell>
        </row>
        <row r="2648">
          <cell r="AA2648">
            <v>2</v>
          </cell>
          <cell r="BC2648" t="str">
            <v/>
          </cell>
          <cell r="BH2648" t="str">
            <v/>
          </cell>
        </row>
        <row r="2649">
          <cell r="AA2649">
            <v>2</v>
          </cell>
          <cell r="BC2649" t="str">
            <v/>
          </cell>
          <cell r="BH2649" t="str">
            <v/>
          </cell>
        </row>
        <row r="2650">
          <cell r="AA2650">
            <v>2</v>
          </cell>
          <cell r="BC2650" t="str">
            <v/>
          </cell>
          <cell r="BH2650" t="str">
            <v/>
          </cell>
        </row>
        <row r="2651">
          <cell r="AA2651">
            <v>2</v>
          </cell>
          <cell r="BC2651" t="str">
            <v/>
          </cell>
          <cell r="BH2651" t="str">
            <v/>
          </cell>
        </row>
        <row r="2652">
          <cell r="AA2652">
            <v>2</v>
          </cell>
          <cell r="AR2652" t="b">
            <v>0</v>
          </cell>
          <cell r="BC2652" t="str">
            <v/>
          </cell>
          <cell r="BH2652" t="str">
            <v/>
          </cell>
        </row>
        <row r="2653">
          <cell r="AA2653">
            <v>2</v>
          </cell>
          <cell r="AO2653" t="str">
            <v/>
          </cell>
          <cell r="AP2653">
            <v>1</v>
          </cell>
          <cell r="BC2653" t="str">
            <v/>
          </cell>
          <cell r="BH2653" t="str">
            <v/>
          </cell>
        </row>
        <row r="2654">
          <cell r="AA2654">
            <v>2</v>
          </cell>
          <cell r="BC2654" t="str">
            <v/>
          </cell>
          <cell r="BH2654" t="str">
            <v/>
          </cell>
        </row>
        <row r="2655">
          <cell r="AA2655">
            <v>2</v>
          </cell>
          <cell r="BC2655" t="str">
            <v/>
          </cell>
          <cell r="BH2655" t="str">
            <v/>
          </cell>
        </row>
        <row r="2656">
          <cell r="BC2656" t="str">
            <v/>
          </cell>
          <cell r="BH2656" t="str">
            <v/>
          </cell>
        </row>
        <row r="2657">
          <cell r="AA2657">
            <v>2</v>
          </cell>
          <cell r="BC2657" t="str">
            <v/>
          </cell>
          <cell r="BH2657" t="str">
            <v/>
          </cell>
        </row>
        <row r="2658">
          <cell r="AA2658">
            <v>2</v>
          </cell>
          <cell r="BC2658" t="str">
            <v/>
          </cell>
          <cell r="BH2658" t="str">
            <v/>
          </cell>
        </row>
        <row r="2659">
          <cell r="AA2659">
            <v>2</v>
          </cell>
          <cell r="BC2659" t="str">
            <v/>
          </cell>
          <cell r="BH2659" t="str">
            <v/>
          </cell>
        </row>
        <row r="2660">
          <cell r="AA2660">
            <v>2</v>
          </cell>
          <cell r="BC2660" t="str">
            <v/>
          </cell>
          <cell r="BH2660" t="str">
            <v/>
          </cell>
        </row>
        <row r="2661">
          <cell r="AA2661">
            <v>2</v>
          </cell>
          <cell r="BC2661" t="str">
            <v/>
          </cell>
          <cell r="BH2661" t="str">
            <v/>
          </cell>
        </row>
        <row r="2662">
          <cell r="AA2662">
            <v>2</v>
          </cell>
          <cell r="BC2662" t="str">
            <v/>
          </cell>
          <cell r="BH2662" t="str">
            <v/>
          </cell>
        </row>
        <row r="2663">
          <cell r="AA2663">
            <v>2</v>
          </cell>
          <cell r="BC2663" t="str">
            <v/>
          </cell>
          <cell r="BH2663" t="str">
            <v/>
          </cell>
        </row>
        <row r="2664">
          <cell r="AA2664">
            <v>2</v>
          </cell>
          <cell r="BC2664" t="str">
            <v/>
          </cell>
          <cell r="BH2664" t="str">
            <v/>
          </cell>
        </row>
        <row r="2665">
          <cell r="AA2665">
            <v>2</v>
          </cell>
          <cell r="BC2665" t="str">
            <v/>
          </cell>
          <cell r="BH2665" t="str">
            <v/>
          </cell>
        </row>
        <row r="2666">
          <cell r="AA2666">
            <v>2</v>
          </cell>
          <cell r="BC2666" t="str">
            <v/>
          </cell>
          <cell r="BH2666" t="str">
            <v/>
          </cell>
        </row>
        <row r="2667">
          <cell r="AA2667">
            <v>2</v>
          </cell>
          <cell r="BC2667" t="str">
            <v/>
          </cell>
          <cell r="BH2667" t="str">
            <v/>
          </cell>
        </row>
        <row r="2668">
          <cell r="AA2668">
            <v>2</v>
          </cell>
          <cell r="BC2668" t="str">
            <v/>
          </cell>
          <cell r="BH2668" t="str">
            <v/>
          </cell>
        </row>
        <row r="2669">
          <cell r="AA2669">
            <v>2</v>
          </cell>
          <cell r="BC2669" t="str">
            <v/>
          </cell>
          <cell r="BH2669" t="str">
            <v/>
          </cell>
        </row>
        <row r="2670">
          <cell r="AA2670">
            <v>2</v>
          </cell>
          <cell r="BC2670" t="str">
            <v/>
          </cell>
          <cell r="BH2670" t="str">
            <v/>
          </cell>
        </row>
        <row r="2671">
          <cell r="AA2671">
            <v>2</v>
          </cell>
          <cell r="BC2671" t="str">
            <v/>
          </cell>
          <cell r="BH2671" t="str">
            <v/>
          </cell>
        </row>
        <row r="2672">
          <cell r="AA2672">
            <v>2</v>
          </cell>
          <cell r="BC2672" t="str">
            <v/>
          </cell>
          <cell r="BH2672" t="str">
            <v/>
          </cell>
        </row>
        <row r="2673">
          <cell r="AA2673">
            <v>2</v>
          </cell>
          <cell r="BC2673" t="str">
            <v/>
          </cell>
          <cell r="BH2673" t="str">
            <v/>
          </cell>
        </row>
        <row r="2674">
          <cell r="AA2674">
            <v>2</v>
          </cell>
          <cell r="BC2674" t="str">
            <v/>
          </cell>
          <cell r="BH2674" t="str">
            <v/>
          </cell>
        </row>
        <row r="2675">
          <cell r="AA2675">
            <v>2</v>
          </cell>
          <cell r="BC2675" t="str">
            <v/>
          </cell>
          <cell r="BH2675" t="str">
            <v/>
          </cell>
        </row>
        <row r="2676">
          <cell r="AA2676">
            <v>2</v>
          </cell>
          <cell r="BC2676" t="str">
            <v/>
          </cell>
          <cell r="BH2676" t="str">
            <v/>
          </cell>
        </row>
        <row r="2677">
          <cell r="AA2677">
            <v>2</v>
          </cell>
          <cell r="BC2677" t="str">
            <v/>
          </cell>
          <cell r="BH2677" t="str">
            <v/>
          </cell>
        </row>
        <row r="2678">
          <cell r="AA2678">
            <v>2</v>
          </cell>
          <cell r="BC2678" t="str">
            <v/>
          </cell>
          <cell r="BH2678" t="str">
            <v/>
          </cell>
        </row>
        <row r="2679">
          <cell r="AA2679">
            <v>2</v>
          </cell>
          <cell r="BC2679" t="str">
            <v/>
          </cell>
          <cell r="BH2679" t="str">
            <v/>
          </cell>
        </row>
        <row r="2680">
          <cell r="AA2680">
            <v>2</v>
          </cell>
          <cell r="BC2680" t="str">
            <v/>
          </cell>
          <cell r="BH2680" t="str">
            <v/>
          </cell>
        </row>
        <row r="2681">
          <cell r="AA2681">
            <v>2</v>
          </cell>
          <cell r="BC2681" t="str">
            <v/>
          </cell>
          <cell r="BH2681" t="str">
            <v/>
          </cell>
        </row>
        <row r="2682">
          <cell r="BC2682" t="str">
            <v/>
          </cell>
          <cell r="BH2682" t="str">
            <v/>
          </cell>
        </row>
        <row r="2683">
          <cell r="BC2683" t="str">
            <v/>
          </cell>
          <cell r="BH2683" t="str">
            <v/>
          </cell>
        </row>
        <row r="2684">
          <cell r="AA2684">
            <v>2</v>
          </cell>
          <cell r="BC2684" t="str">
            <v/>
          </cell>
          <cell r="BH2684" t="str">
            <v/>
          </cell>
        </row>
        <row r="2685">
          <cell r="AA2685">
            <v>2</v>
          </cell>
          <cell r="BC2685" t="str">
            <v/>
          </cell>
          <cell r="BH2685" t="str">
            <v/>
          </cell>
        </row>
        <row r="2686">
          <cell r="AA2686">
            <v>2</v>
          </cell>
          <cell r="BC2686" t="str">
            <v/>
          </cell>
          <cell r="BH2686" t="str">
            <v/>
          </cell>
        </row>
        <row r="2687">
          <cell r="BC2687" t="str">
            <v/>
          </cell>
          <cell r="BH2687" t="str">
            <v/>
          </cell>
        </row>
        <row r="2688">
          <cell r="BC2688" t="str">
            <v/>
          </cell>
          <cell r="BH2688" t="str">
            <v/>
          </cell>
        </row>
        <row r="2689">
          <cell r="AA2689">
            <v>2</v>
          </cell>
          <cell r="BC2689" t="str">
            <v/>
          </cell>
          <cell r="BH2689" t="str">
            <v/>
          </cell>
        </row>
        <row r="2690">
          <cell r="AA2690">
            <v>2</v>
          </cell>
          <cell r="BC2690" t="str">
            <v/>
          </cell>
          <cell r="BH2690" t="str">
            <v/>
          </cell>
        </row>
        <row r="2691">
          <cell r="AA2691">
            <v>2</v>
          </cell>
          <cell r="BC2691" t="str">
            <v/>
          </cell>
          <cell r="BH2691" t="str">
            <v/>
          </cell>
        </row>
        <row r="2692">
          <cell r="AA2692">
            <v>2</v>
          </cell>
          <cell r="BC2692" t="str">
            <v/>
          </cell>
          <cell r="BH2692" t="str">
            <v/>
          </cell>
        </row>
        <row r="2693">
          <cell r="AA2693">
            <v>2</v>
          </cell>
          <cell r="BC2693" t="str">
            <v/>
          </cell>
          <cell r="BH2693" t="str">
            <v/>
          </cell>
        </row>
        <row r="2694">
          <cell r="AA2694">
            <v>2</v>
          </cell>
          <cell r="BC2694" t="str">
            <v/>
          </cell>
          <cell r="BH2694" t="str">
            <v/>
          </cell>
        </row>
        <row r="2695">
          <cell r="AA2695">
            <v>2</v>
          </cell>
          <cell r="BC2695" t="str">
            <v/>
          </cell>
          <cell r="BH2695" t="str">
            <v/>
          </cell>
        </row>
        <row r="2696">
          <cell r="AA2696">
            <v>2</v>
          </cell>
          <cell r="BC2696" t="str">
            <v/>
          </cell>
          <cell r="BH2696" t="str">
            <v/>
          </cell>
        </row>
        <row r="2697">
          <cell r="AA2697">
            <v>2</v>
          </cell>
          <cell r="BC2697" t="str">
            <v/>
          </cell>
          <cell r="BH2697" t="str">
            <v/>
          </cell>
        </row>
        <row r="2698">
          <cell r="AA2698">
            <v>2</v>
          </cell>
          <cell r="BC2698" t="str">
            <v/>
          </cell>
          <cell r="BH2698" t="str">
            <v/>
          </cell>
        </row>
        <row r="2699">
          <cell r="AA2699">
            <v>2</v>
          </cell>
          <cell r="BC2699" t="str">
            <v/>
          </cell>
          <cell r="BH2699" t="str">
            <v/>
          </cell>
        </row>
        <row r="2700">
          <cell r="AA2700">
            <v>2</v>
          </cell>
          <cell r="BC2700" t="str">
            <v/>
          </cell>
          <cell r="BH2700" t="str">
            <v/>
          </cell>
        </row>
        <row r="2701">
          <cell r="AA2701">
            <v>2</v>
          </cell>
          <cell r="BC2701" t="str">
            <v/>
          </cell>
          <cell r="BH2701" t="str">
            <v/>
          </cell>
        </row>
        <row r="2702">
          <cell r="BC2702" t="str">
            <v/>
          </cell>
          <cell r="BH2702" t="str">
            <v/>
          </cell>
        </row>
        <row r="2703">
          <cell r="BC2703" t="str">
            <v/>
          </cell>
          <cell r="BH2703" t="str">
            <v/>
          </cell>
        </row>
        <row r="2704">
          <cell r="AA2704">
            <v>2</v>
          </cell>
          <cell r="BC2704" t="str">
            <v/>
          </cell>
          <cell r="BH2704" t="str">
            <v/>
          </cell>
        </row>
        <row r="2705">
          <cell r="AA2705">
            <v>2</v>
          </cell>
          <cell r="BC2705" t="str">
            <v/>
          </cell>
          <cell r="BH2705" t="str">
            <v/>
          </cell>
        </row>
        <row r="2706">
          <cell r="AA2706">
            <v>2</v>
          </cell>
          <cell r="AR2706" t="b">
            <v>0</v>
          </cell>
          <cell r="BC2706" t="str">
            <v/>
          </cell>
          <cell r="BH2706" t="str">
            <v/>
          </cell>
        </row>
        <row r="2707">
          <cell r="AA2707">
            <v>2</v>
          </cell>
          <cell r="BC2707" t="str">
            <v/>
          </cell>
          <cell r="BH2707" t="str">
            <v/>
          </cell>
        </row>
        <row r="2708">
          <cell r="AA2708">
            <v>2</v>
          </cell>
          <cell r="BC2708" t="str">
            <v/>
          </cell>
          <cell r="BH2708" t="str">
            <v/>
          </cell>
        </row>
        <row r="2709">
          <cell r="AA2709">
            <v>2</v>
          </cell>
          <cell r="BC2709" t="str">
            <v/>
          </cell>
          <cell r="BH2709" t="str">
            <v/>
          </cell>
        </row>
        <row r="2710">
          <cell r="AA2710">
            <v>2</v>
          </cell>
          <cell r="BC2710" t="str">
            <v/>
          </cell>
          <cell r="BH2710" t="str">
            <v/>
          </cell>
        </row>
        <row r="2711">
          <cell r="AA2711">
            <v>2</v>
          </cell>
          <cell r="BC2711" t="str">
            <v/>
          </cell>
          <cell r="BH2711" t="str">
            <v/>
          </cell>
        </row>
        <row r="2712">
          <cell r="AA2712">
            <v>2</v>
          </cell>
          <cell r="BC2712" t="str">
            <v/>
          </cell>
          <cell r="BH2712" t="str">
            <v/>
          </cell>
        </row>
        <row r="2713">
          <cell r="AA2713">
            <v>2</v>
          </cell>
          <cell r="BC2713" t="str">
            <v/>
          </cell>
          <cell r="BH2713" t="str">
            <v/>
          </cell>
        </row>
        <row r="2714">
          <cell r="AA2714">
            <v>2</v>
          </cell>
          <cell r="BC2714" t="str">
            <v/>
          </cell>
          <cell r="BH2714" t="str">
            <v/>
          </cell>
        </row>
        <row r="2715">
          <cell r="AA2715">
            <v>2</v>
          </cell>
          <cell r="BC2715" t="str">
            <v/>
          </cell>
          <cell r="BH2715" t="str">
            <v/>
          </cell>
        </row>
        <row r="2716">
          <cell r="AA2716">
            <v>2</v>
          </cell>
          <cell r="BC2716" t="str">
            <v/>
          </cell>
          <cell r="BH2716" t="str">
            <v/>
          </cell>
        </row>
        <row r="2717">
          <cell r="AA2717">
            <v>2</v>
          </cell>
          <cell r="BC2717" t="str">
            <v/>
          </cell>
          <cell r="BH2717" t="str">
            <v/>
          </cell>
        </row>
        <row r="2718">
          <cell r="AA2718">
            <v>2</v>
          </cell>
          <cell r="AR2718" t="b">
            <v>0</v>
          </cell>
          <cell r="BC2718" t="str">
            <v/>
          </cell>
          <cell r="BH2718" t="str">
            <v/>
          </cell>
        </row>
        <row r="2719">
          <cell r="AA2719">
            <v>2</v>
          </cell>
          <cell r="BC2719" t="str">
            <v/>
          </cell>
          <cell r="BH2719" t="str">
            <v/>
          </cell>
        </row>
        <row r="2720">
          <cell r="AA2720">
            <v>2</v>
          </cell>
          <cell r="AR2720" t="b">
            <v>0</v>
          </cell>
          <cell r="BC2720" t="str">
            <v/>
          </cell>
          <cell r="BH2720" t="str">
            <v/>
          </cell>
        </row>
        <row r="2721">
          <cell r="AA2721">
            <v>2</v>
          </cell>
          <cell r="AR2721" t="b">
            <v>0</v>
          </cell>
          <cell r="BC2721" t="str">
            <v/>
          </cell>
          <cell r="BH2721" t="str">
            <v/>
          </cell>
        </row>
        <row r="2722">
          <cell r="AA2722">
            <v>2</v>
          </cell>
          <cell r="AR2722" t="b">
            <v>0</v>
          </cell>
          <cell r="BC2722" t="str">
            <v/>
          </cell>
          <cell r="BH2722" t="str">
            <v/>
          </cell>
        </row>
        <row r="2723">
          <cell r="AA2723">
            <v>2</v>
          </cell>
          <cell r="BC2723" t="str">
            <v/>
          </cell>
          <cell r="BH2723" t="str">
            <v/>
          </cell>
        </row>
        <row r="2724">
          <cell r="AA2724">
            <v>2</v>
          </cell>
          <cell r="BC2724" t="str">
            <v/>
          </cell>
          <cell r="BH2724" t="str">
            <v/>
          </cell>
        </row>
        <row r="2725">
          <cell r="AA2725">
            <v>2</v>
          </cell>
          <cell r="AR2725" t="b">
            <v>0</v>
          </cell>
          <cell r="BC2725" t="str">
            <v/>
          </cell>
          <cell r="BH2725" t="str">
            <v/>
          </cell>
        </row>
        <row r="2726">
          <cell r="AA2726">
            <v>2</v>
          </cell>
          <cell r="BC2726" t="str">
            <v/>
          </cell>
          <cell r="BH2726" t="str">
            <v/>
          </cell>
        </row>
        <row r="2727">
          <cell r="AA2727">
            <v>2</v>
          </cell>
          <cell r="BC2727" t="str">
            <v/>
          </cell>
          <cell r="BH2727" t="str">
            <v/>
          </cell>
        </row>
        <row r="2728">
          <cell r="BC2728" t="str">
            <v/>
          </cell>
          <cell r="BH2728" t="str">
            <v/>
          </cell>
        </row>
        <row r="2729">
          <cell r="BC2729" t="str">
            <v/>
          </cell>
          <cell r="BH2729" t="str">
            <v/>
          </cell>
        </row>
        <row r="2730">
          <cell r="AA2730">
            <v>2</v>
          </cell>
          <cell r="AR2730" t="b">
            <v>0</v>
          </cell>
          <cell r="BC2730" t="str">
            <v/>
          </cell>
          <cell r="BH2730" t="str">
            <v/>
          </cell>
        </row>
        <row r="2731">
          <cell r="AA2731">
            <v>2</v>
          </cell>
          <cell r="BC2731" t="str">
            <v/>
          </cell>
          <cell r="BH2731" t="str">
            <v/>
          </cell>
        </row>
        <row r="2732">
          <cell r="AA2732">
            <v>2</v>
          </cell>
          <cell r="AR2732" t="b">
            <v>0</v>
          </cell>
          <cell r="BC2732" t="str">
            <v/>
          </cell>
          <cell r="BH2732" t="str">
            <v/>
          </cell>
        </row>
        <row r="2733">
          <cell r="AA2733">
            <v>2</v>
          </cell>
          <cell r="AR2733" t="b">
            <v>0</v>
          </cell>
          <cell r="BC2733" t="str">
            <v/>
          </cell>
          <cell r="BH2733" t="str">
            <v/>
          </cell>
        </row>
        <row r="2734">
          <cell r="AA2734">
            <v>2</v>
          </cell>
          <cell r="BC2734" t="str">
            <v/>
          </cell>
          <cell r="BH2734" t="str">
            <v/>
          </cell>
        </row>
        <row r="2735">
          <cell r="BC2735" t="str">
            <v/>
          </cell>
          <cell r="BH2735" t="str">
            <v/>
          </cell>
        </row>
        <row r="2736">
          <cell r="BC2736" t="str">
            <v/>
          </cell>
          <cell r="BH2736" t="str">
            <v/>
          </cell>
        </row>
        <row r="2737">
          <cell r="AA2737">
            <v>2</v>
          </cell>
          <cell r="AR2737" t="b">
            <v>0</v>
          </cell>
          <cell r="BC2737" t="str">
            <v/>
          </cell>
          <cell r="BH2737" t="str">
            <v/>
          </cell>
        </row>
        <row r="2738">
          <cell r="AA2738">
            <v>2</v>
          </cell>
          <cell r="BC2738" t="str">
            <v/>
          </cell>
          <cell r="BH2738" t="str">
            <v/>
          </cell>
        </row>
        <row r="2739">
          <cell r="AA2739">
            <v>2</v>
          </cell>
          <cell r="BC2739" t="str">
            <v/>
          </cell>
          <cell r="BH2739" t="str">
            <v/>
          </cell>
        </row>
        <row r="2740">
          <cell r="AA2740">
            <v>2</v>
          </cell>
          <cell r="BC2740" t="str">
            <v/>
          </cell>
          <cell r="BH2740" t="str">
            <v/>
          </cell>
        </row>
        <row r="2741">
          <cell r="BC2741" t="str">
            <v/>
          </cell>
          <cell r="BH2741" t="str">
            <v/>
          </cell>
        </row>
        <row r="2742">
          <cell r="BC2742" t="str">
            <v/>
          </cell>
          <cell r="BH2742" t="str">
            <v/>
          </cell>
        </row>
        <row r="2743">
          <cell r="BC2743" t="str">
            <v/>
          </cell>
          <cell r="BH2743" t="str">
            <v/>
          </cell>
        </row>
        <row r="2744">
          <cell r="AA2744">
            <v>2</v>
          </cell>
          <cell r="BC2744" t="str">
            <v/>
          </cell>
          <cell r="BH2744" t="str">
            <v/>
          </cell>
        </row>
        <row r="2745">
          <cell r="AA2745">
            <v>2</v>
          </cell>
          <cell r="BC2745" t="str">
            <v/>
          </cell>
          <cell r="BH2745" t="str">
            <v/>
          </cell>
        </row>
        <row r="2746">
          <cell r="BC2746" t="str">
            <v/>
          </cell>
          <cell r="BH2746" t="str">
            <v/>
          </cell>
        </row>
        <row r="2747">
          <cell r="AA2747">
            <v>2</v>
          </cell>
          <cell r="AR2747" t="b">
            <v>0</v>
          </cell>
          <cell r="BC2747" t="str">
            <v/>
          </cell>
          <cell r="BH2747" t="str">
            <v/>
          </cell>
        </row>
        <row r="2748">
          <cell r="AA2748">
            <v>2</v>
          </cell>
          <cell r="BC2748" t="str">
            <v/>
          </cell>
          <cell r="BH2748" t="str">
            <v/>
          </cell>
        </row>
        <row r="2749">
          <cell r="AA2749">
            <v>2</v>
          </cell>
          <cell r="BC2749" t="str">
            <v/>
          </cell>
          <cell r="BH2749" t="str">
            <v/>
          </cell>
        </row>
        <row r="2750">
          <cell r="AA2750">
            <v>2</v>
          </cell>
          <cell r="BC2750" t="str">
            <v/>
          </cell>
          <cell r="BH2750" t="str">
            <v/>
          </cell>
        </row>
        <row r="2751">
          <cell r="AA2751">
            <v>2</v>
          </cell>
          <cell r="BC2751" t="str">
            <v/>
          </cell>
          <cell r="BH2751" t="str">
            <v/>
          </cell>
        </row>
        <row r="2752">
          <cell r="AA2752">
            <v>2</v>
          </cell>
          <cell r="BC2752" t="str">
            <v/>
          </cell>
          <cell r="BH2752" t="str">
            <v/>
          </cell>
        </row>
        <row r="2753">
          <cell r="AA2753">
            <v>2</v>
          </cell>
          <cell r="BC2753" t="str">
            <v/>
          </cell>
          <cell r="BH2753" t="str">
            <v/>
          </cell>
        </row>
        <row r="2754">
          <cell r="AA2754">
            <v>2</v>
          </cell>
          <cell r="AR2754" t="b">
            <v>0</v>
          </cell>
          <cell r="BC2754" t="str">
            <v/>
          </cell>
          <cell r="BH2754" t="str">
            <v/>
          </cell>
        </row>
        <row r="2755">
          <cell r="BC2755" t="str">
            <v/>
          </cell>
          <cell r="BH2755" t="str">
            <v/>
          </cell>
        </row>
        <row r="2756">
          <cell r="BC2756" t="str">
            <v/>
          </cell>
          <cell r="BH2756" t="str">
            <v/>
          </cell>
        </row>
        <row r="2757">
          <cell r="AA2757">
            <v>2</v>
          </cell>
          <cell r="AR2757" t="b">
            <v>0</v>
          </cell>
          <cell r="BC2757" t="str">
            <v/>
          </cell>
          <cell r="BH2757" t="str">
            <v/>
          </cell>
        </row>
        <row r="2758">
          <cell r="AA2758">
            <v>2</v>
          </cell>
          <cell r="AR2758" t="b">
            <v>0</v>
          </cell>
          <cell r="BC2758" t="str">
            <v/>
          </cell>
          <cell r="BH2758" t="str">
            <v/>
          </cell>
        </row>
        <row r="2759">
          <cell r="AA2759">
            <v>2</v>
          </cell>
          <cell r="AR2759" t="b">
            <v>0</v>
          </cell>
          <cell r="BC2759" t="str">
            <v/>
          </cell>
          <cell r="BH2759" t="str">
            <v/>
          </cell>
        </row>
        <row r="2760">
          <cell r="AA2760">
            <v>2</v>
          </cell>
          <cell r="AR2760" t="b">
            <v>0</v>
          </cell>
          <cell r="BC2760" t="str">
            <v/>
          </cell>
          <cell r="BH2760" t="str">
            <v/>
          </cell>
        </row>
        <row r="2761">
          <cell r="AA2761">
            <v>2</v>
          </cell>
          <cell r="AR2761" t="b">
            <v>0</v>
          </cell>
          <cell r="BC2761" t="str">
            <v/>
          </cell>
          <cell r="BH2761" t="str">
            <v/>
          </cell>
        </row>
        <row r="2762">
          <cell r="AA2762">
            <v>2</v>
          </cell>
          <cell r="AR2762" t="b">
            <v>0</v>
          </cell>
          <cell r="BC2762" t="str">
            <v/>
          </cell>
          <cell r="BH2762" t="str">
            <v/>
          </cell>
        </row>
        <row r="2763">
          <cell r="AA2763">
            <v>2</v>
          </cell>
          <cell r="AR2763" t="b">
            <v>0</v>
          </cell>
          <cell r="BC2763" t="str">
            <v/>
          </cell>
          <cell r="BH2763" t="str">
            <v/>
          </cell>
        </row>
        <row r="2764">
          <cell r="BC2764" t="str">
            <v/>
          </cell>
          <cell r="BH2764" t="str">
            <v/>
          </cell>
        </row>
        <row r="2765">
          <cell r="AA2765">
            <v>2</v>
          </cell>
          <cell r="BC2765" t="str">
            <v/>
          </cell>
          <cell r="BH2765" t="str">
            <v/>
          </cell>
        </row>
        <row r="2766">
          <cell r="AA2766">
            <v>2</v>
          </cell>
          <cell r="BC2766" t="str">
            <v/>
          </cell>
          <cell r="BH2766" t="str">
            <v/>
          </cell>
        </row>
        <row r="2767">
          <cell r="BC2767" t="str">
            <v/>
          </cell>
          <cell r="BH2767" t="str">
            <v/>
          </cell>
        </row>
        <row r="2768">
          <cell r="AA2768">
            <v>2</v>
          </cell>
          <cell r="AR2768" t="b">
            <v>0</v>
          </cell>
          <cell r="BC2768" t="str">
            <v/>
          </cell>
          <cell r="BH2768" t="str">
            <v/>
          </cell>
        </row>
        <row r="2769">
          <cell r="AA2769">
            <v>2</v>
          </cell>
          <cell r="BC2769" t="str">
            <v/>
          </cell>
          <cell r="BH2769" t="str">
            <v/>
          </cell>
        </row>
        <row r="2770">
          <cell r="AA2770">
            <v>2</v>
          </cell>
          <cell r="BC2770" t="str">
            <v/>
          </cell>
          <cell r="BH2770" t="str">
            <v/>
          </cell>
        </row>
        <row r="2771">
          <cell r="AA2771">
            <v>2</v>
          </cell>
          <cell r="AR2771" t="b">
            <v>0</v>
          </cell>
          <cell r="BC2771" t="str">
            <v/>
          </cell>
          <cell r="BH2771" t="str">
            <v/>
          </cell>
        </row>
        <row r="2772">
          <cell r="AA2772">
            <v>2</v>
          </cell>
          <cell r="BC2772" t="str">
            <v/>
          </cell>
          <cell r="BH2772" t="str">
            <v/>
          </cell>
        </row>
        <row r="2773">
          <cell r="BC2773" t="str">
            <v/>
          </cell>
          <cell r="BH2773" t="str">
            <v/>
          </cell>
        </row>
        <row r="2774">
          <cell r="AA2774">
            <v>2</v>
          </cell>
          <cell r="BC2774" t="str">
            <v/>
          </cell>
          <cell r="BH2774" t="str">
            <v/>
          </cell>
        </row>
        <row r="2775">
          <cell r="AA2775">
            <v>2</v>
          </cell>
          <cell r="BC2775" t="str">
            <v/>
          </cell>
          <cell r="BH2775" t="str">
            <v/>
          </cell>
        </row>
        <row r="2776">
          <cell r="AA2776">
            <v>2</v>
          </cell>
          <cell r="BC2776" t="str">
            <v/>
          </cell>
          <cell r="BH2776" t="str">
            <v/>
          </cell>
        </row>
        <row r="2777">
          <cell r="BC2777" t="str">
            <v/>
          </cell>
          <cell r="BH2777" t="str">
            <v/>
          </cell>
        </row>
        <row r="2778">
          <cell r="BC2778" t="str">
            <v/>
          </cell>
          <cell r="BH2778" t="str">
            <v/>
          </cell>
        </row>
        <row r="2779">
          <cell r="AA2779">
            <v>2</v>
          </cell>
          <cell r="BC2779" t="str">
            <v/>
          </cell>
          <cell r="BH2779" t="str">
            <v/>
          </cell>
        </row>
        <row r="2780">
          <cell r="AA2780">
            <v>2</v>
          </cell>
          <cell r="AR2780" t="b">
            <v>0</v>
          </cell>
          <cell r="BC2780" t="str">
            <v/>
          </cell>
          <cell r="BH2780" t="str">
            <v/>
          </cell>
        </row>
        <row r="2781">
          <cell r="AA2781">
            <v>2</v>
          </cell>
          <cell r="BC2781" t="str">
            <v/>
          </cell>
          <cell r="BH2781" t="str">
            <v/>
          </cell>
        </row>
        <row r="2782">
          <cell r="AA2782">
            <v>2</v>
          </cell>
          <cell r="AR2782" t="b">
            <v>0</v>
          </cell>
          <cell r="BC2782" t="str">
            <v/>
          </cell>
          <cell r="BH2782" t="str">
            <v/>
          </cell>
        </row>
        <row r="2783">
          <cell r="AA2783">
            <v>2</v>
          </cell>
          <cell r="BC2783" t="str">
            <v/>
          </cell>
          <cell r="BH2783" t="str">
            <v/>
          </cell>
        </row>
        <row r="2784">
          <cell r="AA2784">
            <v>2</v>
          </cell>
          <cell r="AR2784" t="b">
            <v>0</v>
          </cell>
          <cell r="BC2784" t="str">
            <v/>
          </cell>
          <cell r="BH2784" t="str">
            <v/>
          </cell>
        </row>
        <row r="2785">
          <cell r="AA2785">
            <v>2</v>
          </cell>
          <cell r="BC2785" t="str">
            <v/>
          </cell>
          <cell r="BH2785" t="str">
            <v/>
          </cell>
        </row>
        <row r="2786">
          <cell r="AA2786">
            <v>2</v>
          </cell>
          <cell r="BC2786" t="str">
            <v/>
          </cell>
          <cell r="BH2786" t="str">
            <v/>
          </cell>
        </row>
        <row r="2787">
          <cell r="AA2787">
            <v>2</v>
          </cell>
          <cell r="AR2787" t="b">
            <v>0</v>
          </cell>
          <cell r="BC2787" t="str">
            <v/>
          </cell>
          <cell r="BH2787" t="str">
            <v/>
          </cell>
        </row>
        <row r="2788">
          <cell r="AA2788">
            <v>2</v>
          </cell>
          <cell r="BC2788" t="str">
            <v/>
          </cell>
          <cell r="BH2788" t="str">
            <v/>
          </cell>
        </row>
        <row r="2789">
          <cell r="AA2789">
            <v>2</v>
          </cell>
          <cell r="BC2789" t="str">
            <v/>
          </cell>
          <cell r="BH2789" t="str">
            <v/>
          </cell>
        </row>
        <row r="2790">
          <cell r="AA2790">
            <v>2</v>
          </cell>
          <cell r="BC2790" t="str">
            <v/>
          </cell>
          <cell r="BH2790" t="str">
            <v/>
          </cell>
        </row>
        <row r="2791">
          <cell r="AA2791">
            <v>2</v>
          </cell>
          <cell r="BC2791" t="str">
            <v/>
          </cell>
          <cell r="BH2791" t="str">
            <v/>
          </cell>
        </row>
        <row r="2792">
          <cell r="BC2792" t="str">
            <v/>
          </cell>
          <cell r="BH2792" t="str">
            <v/>
          </cell>
        </row>
        <row r="2793">
          <cell r="BC2793" t="str">
            <v/>
          </cell>
          <cell r="BH2793" t="str">
            <v/>
          </cell>
        </row>
        <row r="2794">
          <cell r="AA2794">
            <v>2</v>
          </cell>
          <cell r="AR2794" t="b">
            <v>0</v>
          </cell>
          <cell r="BC2794" t="str">
            <v/>
          </cell>
          <cell r="BH2794" t="str">
            <v/>
          </cell>
        </row>
        <row r="2795">
          <cell r="AA2795">
            <v>2</v>
          </cell>
          <cell r="AR2795" t="b">
            <v>0</v>
          </cell>
          <cell r="BC2795" t="str">
            <v/>
          </cell>
          <cell r="BH2795" t="str">
            <v/>
          </cell>
        </row>
        <row r="2796">
          <cell r="AA2796">
            <v>2</v>
          </cell>
          <cell r="AR2796" t="b">
            <v>0</v>
          </cell>
          <cell r="BC2796" t="str">
            <v/>
          </cell>
          <cell r="BH2796" t="str">
            <v/>
          </cell>
        </row>
        <row r="2797">
          <cell r="AA2797">
            <v>2</v>
          </cell>
          <cell r="BC2797" t="str">
            <v/>
          </cell>
          <cell r="BH2797" t="str">
            <v/>
          </cell>
        </row>
        <row r="2798">
          <cell r="AA2798">
            <v>2</v>
          </cell>
          <cell r="BC2798" t="str">
            <v/>
          </cell>
          <cell r="BH2798" t="str">
            <v/>
          </cell>
        </row>
        <row r="2799">
          <cell r="AA2799">
            <v>2</v>
          </cell>
          <cell r="AR2799" t="b">
            <v>0</v>
          </cell>
          <cell r="BC2799" t="str">
            <v/>
          </cell>
          <cell r="BH2799" t="str">
            <v/>
          </cell>
        </row>
        <row r="2800">
          <cell r="AA2800">
            <v>2</v>
          </cell>
          <cell r="BC2800" t="str">
            <v/>
          </cell>
          <cell r="BH2800" t="str">
            <v/>
          </cell>
        </row>
        <row r="2801">
          <cell r="AA2801">
            <v>2</v>
          </cell>
          <cell r="BC2801" t="str">
            <v/>
          </cell>
          <cell r="BH2801" t="str">
            <v/>
          </cell>
        </row>
        <row r="2802">
          <cell r="AA2802">
            <v>2</v>
          </cell>
          <cell r="BC2802" t="str">
            <v/>
          </cell>
          <cell r="BH2802" t="str">
            <v/>
          </cell>
        </row>
        <row r="2803">
          <cell r="AA2803">
            <v>2</v>
          </cell>
          <cell r="AR2803" t="b">
            <v>0</v>
          </cell>
          <cell r="BC2803" t="str">
            <v/>
          </cell>
          <cell r="BH2803" t="str">
            <v/>
          </cell>
        </row>
        <row r="2804">
          <cell r="AA2804">
            <v>2</v>
          </cell>
          <cell r="AR2804" t="b">
            <v>0</v>
          </cell>
          <cell r="BC2804" t="str">
            <v/>
          </cell>
          <cell r="BH2804" t="str">
            <v/>
          </cell>
        </row>
        <row r="2805">
          <cell r="AA2805">
            <v>2</v>
          </cell>
          <cell r="AR2805" t="b">
            <v>0</v>
          </cell>
          <cell r="BC2805" t="str">
            <v/>
          </cell>
          <cell r="BH2805" t="str">
            <v/>
          </cell>
        </row>
        <row r="2806">
          <cell r="AA2806">
            <v>2</v>
          </cell>
          <cell r="AR2806" t="b">
            <v>0</v>
          </cell>
          <cell r="BC2806" t="str">
            <v/>
          </cell>
          <cell r="BH2806" t="str">
            <v/>
          </cell>
        </row>
        <row r="2807">
          <cell r="AA2807">
            <v>2</v>
          </cell>
          <cell r="BC2807" t="str">
            <v/>
          </cell>
          <cell r="BH2807" t="str">
            <v/>
          </cell>
        </row>
        <row r="2808">
          <cell r="AA2808">
            <v>2</v>
          </cell>
          <cell r="AR2808" t="b">
            <v>0</v>
          </cell>
          <cell r="BC2808" t="str">
            <v/>
          </cell>
          <cell r="BH2808" t="str">
            <v/>
          </cell>
        </row>
        <row r="2809">
          <cell r="AA2809">
            <v>2</v>
          </cell>
          <cell r="AR2809" t="b">
            <v>0</v>
          </cell>
          <cell r="BC2809" t="str">
            <v/>
          </cell>
          <cell r="BH2809" t="str">
            <v/>
          </cell>
        </row>
        <row r="2810">
          <cell r="AA2810">
            <v>2</v>
          </cell>
          <cell r="AR2810" t="b">
            <v>0</v>
          </cell>
          <cell r="BC2810" t="str">
            <v/>
          </cell>
          <cell r="BH2810" t="str">
            <v/>
          </cell>
        </row>
        <row r="2811">
          <cell r="BC2811" t="str">
            <v/>
          </cell>
          <cell r="BH2811" t="str">
            <v/>
          </cell>
        </row>
        <row r="2812">
          <cell r="BC2812" t="str">
            <v/>
          </cell>
          <cell r="BH2812" t="str">
            <v/>
          </cell>
        </row>
        <row r="2813">
          <cell r="AA2813">
            <v>2</v>
          </cell>
          <cell r="AR2813" t="b">
            <v>0</v>
          </cell>
          <cell r="BC2813" t="str">
            <v/>
          </cell>
          <cell r="BH2813" t="str">
            <v/>
          </cell>
        </row>
        <row r="2814">
          <cell r="AA2814">
            <v>2</v>
          </cell>
          <cell r="BC2814" t="str">
            <v/>
          </cell>
          <cell r="BH2814" t="str">
            <v/>
          </cell>
        </row>
        <row r="2815">
          <cell r="AA2815">
            <v>2</v>
          </cell>
          <cell r="BC2815" t="str">
            <v/>
          </cell>
          <cell r="BH2815" t="str">
            <v/>
          </cell>
        </row>
        <row r="2816">
          <cell r="BC2816" t="str">
            <v/>
          </cell>
          <cell r="BH2816" t="str">
            <v/>
          </cell>
        </row>
        <row r="2817">
          <cell r="BC2817" t="str">
            <v/>
          </cell>
          <cell r="BH2817" t="str">
            <v/>
          </cell>
        </row>
        <row r="2818">
          <cell r="AA2818">
            <v>2</v>
          </cell>
          <cell r="BC2818" t="str">
            <v/>
          </cell>
          <cell r="BH2818" t="str">
            <v/>
          </cell>
        </row>
        <row r="2819">
          <cell r="AA2819">
            <v>2</v>
          </cell>
          <cell r="BC2819" t="str">
            <v/>
          </cell>
          <cell r="BH2819" t="str">
            <v/>
          </cell>
        </row>
        <row r="2820">
          <cell r="AA2820">
            <v>2</v>
          </cell>
          <cell r="BC2820" t="str">
            <v/>
          </cell>
          <cell r="BH2820" t="str">
            <v/>
          </cell>
        </row>
        <row r="2821">
          <cell r="AA2821">
            <v>2</v>
          </cell>
          <cell r="BC2821" t="str">
            <v/>
          </cell>
          <cell r="BH2821" t="str">
            <v/>
          </cell>
        </row>
        <row r="2822">
          <cell r="AA2822">
            <v>2</v>
          </cell>
          <cell r="BC2822" t="str">
            <v/>
          </cell>
          <cell r="BH2822" t="str">
            <v/>
          </cell>
        </row>
        <row r="2823">
          <cell r="AA2823">
            <v>2</v>
          </cell>
          <cell r="BC2823" t="str">
            <v/>
          </cell>
          <cell r="BH2823" t="str">
            <v/>
          </cell>
        </row>
        <row r="2824">
          <cell r="AA2824">
            <v>2</v>
          </cell>
          <cell r="BC2824" t="str">
            <v/>
          </cell>
          <cell r="BH2824" t="str">
            <v/>
          </cell>
        </row>
        <row r="2825">
          <cell r="AA2825">
            <v>2</v>
          </cell>
          <cell r="BC2825" t="str">
            <v/>
          </cell>
          <cell r="BH2825" t="str">
            <v/>
          </cell>
        </row>
        <row r="2826">
          <cell r="AA2826">
            <v>2</v>
          </cell>
          <cell r="BC2826" t="str">
            <v/>
          </cell>
          <cell r="BH2826" t="str">
            <v/>
          </cell>
        </row>
        <row r="2827">
          <cell r="AA2827">
            <v>2</v>
          </cell>
          <cell r="BC2827" t="str">
            <v/>
          </cell>
          <cell r="BH2827" t="str">
            <v/>
          </cell>
        </row>
        <row r="2828">
          <cell r="AA2828">
            <v>2</v>
          </cell>
          <cell r="BC2828" t="str">
            <v/>
          </cell>
          <cell r="BH2828" t="str">
            <v/>
          </cell>
        </row>
        <row r="2829">
          <cell r="AA2829">
            <v>2</v>
          </cell>
          <cell r="BC2829" t="str">
            <v/>
          </cell>
          <cell r="BH2829" t="str">
            <v/>
          </cell>
        </row>
        <row r="2830">
          <cell r="AA2830">
            <v>2</v>
          </cell>
          <cell r="BC2830" t="str">
            <v/>
          </cell>
          <cell r="BH2830" t="str">
            <v/>
          </cell>
        </row>
        <row r="2831">
          <cell r="AA2831">
            <v>2</v>
          </cell>
          <cell r="BC2831" t="str">
            <v/>
          </cell>
          <cell r="BH2831" t="str">
            <v/>
          </cell>
        </row>
        <row r="2832">
          <cell r="AA2832">
            <v>2</v>
          </cell>
          <cell r="BC2832" t="str">
            <v/>
          </cell>
          <cell r="BH2832" t="str">
            <v/>
          </cell>
        </row>
        <row r="2833">
          <cell r="AA2833">
            <v>2</v>
          </cell>
          <cell r="BC2833" t="str">
            <v/>
          </cell>
          <cell r="BH2833" t="str">
            <v/>
          </cell>
        </row>
        <row r="2834">
          <cell r="AA2834">
            <v>2</v>
          </cell>
          <cell r="BC2834" t="str">
            <v/>
          </cell>
          <cell r="BH2834" t="str">
            <v/>
          </cell>
        </row>
        <row r="2835">
          <cell r="AA2835">
            <v>2</v>
          </cell>
          <cell r="BC2835" t="str">
            <v/>
          </cell>
          <cell r="BH2835" t="str">
            <v/>
          </cell>
        </row>
        <row r="2836">
          <cell r="AA2836">
            <v>2</v>
          </cell>
          <cell r="BC2836" t="str">
            <v/>
          </cell>
          <cell r="BH2836" t="str">
            <v/>
          </cell>
        </row>
        <row r="2837">
          <cell r="AA2837">
            <v>2</v>
          </cell>
          <cell r="BC2837" t="str">
            <v/>
          </cell>
          <cell r="BH2837" t="str">
            <v/>
          </cell>
        </row>
        <row r="2838">
          <cell r="AA2838">
            <v>2</v>
          </cell>
          <cell r="BC2838" t="str">
            <v/>
          </cell>
          <cell r="BH2838" t="str">
            <v/>
          </cell>
        </row>
        <row r="2839">
          <cell r="AA2839">
            <v>2</v>
          </cell>
          <cell r="BC2839" t="str">
            <v/>
          </cell>
          <cell r="BH2839" t="str">
            <v/>
          </cell>
        </row>
        <row r="2840">
          <cell r="AA2840">
            <v>2</v>
          </cell>
          <cell r="BC2840" t="str">
            <v/>
          </cell>
          <cell r="BH2840" t="str">
            <v/>
          </cell>
        </row>
        <row r="2841">
          <cell r="AA2841">
            <v>2</v>
          </cell>
          <cell r="BC2841" t="str">
            <v/>
          </cell>
          <cell r="BH2841" t="str">
            <v/>
          </cell>
        </row>
        <row r="2842">
          <cell r="AA2842">
            <v>2</v>
          </cell>
          <cell r="BC2842" t="str">
            <v/>
          </cell>
          <cell r="BH2842" t="str">
            <v/>
          </cell>
        </row>
        <row r="2843">
          <cell r="AA2843">
            <v>2</v>
          </cell>
          <cell r="AQ2843" t="str">
            <v/>
          </cell>
          <cell r="AR2843" t="b">
            <v>0</v>
          </cell>
          <cell r="BC2843" t="str">
            <v/>
          </cell>
          <cell r="BH2843" t="str">
            <v/>
          </cell>
        </row>
        <row r="2844">
          <cell r="AA2844">
            <v>2</v>
          </cell>
          <cell r="AR2844" t="b">
            <v>0</v>
          </cell>
          <cell r="BC2844" t="str">
            <v/>
          </cell>
          <cell r="BH2844" t="str">
            <v/>
          </cell>
        </row>
        <row r="2845">
          <cell r="AA2845">
            <v>2</v>
          </cell>
          <cell r="BC2845" t="str">
            <v/>
          </cell>
          <cell r="BH2845" t="str">
            <v/>
          </cell>
        </row>
        <row r="2846">
          <cell r="AA2846">
            <v>2</v>
          </cell>
          <cell r="AR2846" t="b">
            <v>0</v>
          </cell>
          <cell r="BC2846" t="str">
            <v/>
          </cell>
          <cell r="BH2846" t="str">
            <v/>
          </cell>
        </row>
        <row r="2847">
          <cell r="AA2847">
            <v>2</v>
          </cell>
          <cell r="AR2847" t="b">
            <v>0</v>
          </cell>
          <cell r="BC2847" t="str">
            <v/>
          </cell>
          <cell r="BH2847" t="str">
            <v/>
          </cell>
        </row>
        <row r="2848">
          <cell r="AA2848">
            <v>2</v>
          </cell>
          <cell r="AR2848" t="b">
            <v>0</v>
          </cell>
          <cell r="BC2848" t="str">
            <v/>
          </cell>
          <cell r="BH2848" t="str">
            <v/>
          </cell>
        </row>
        <row r="2849">
          <cell r="AA2849">
            <v>2</v>
          </cell>
          <cell r="BC2849" t="str">
            <v/>
          </cell>
          <cell r="BH2849" t="str">
            <v/>
          </cell>
        </row>
        <row r="2850">
          <cell r="AA2850">
            <v>2</v>
          </cell>
          <cell r="AR2850" t="b">
            <v>0</v>
          </cell>
          <cell r="BC2850" t="str">
            <v/>
          </cell>
          <cell r="BH2850" t="str">
            <v/>
          </cell>
        </row>
        <row r="2851">
          <cell r="AA2851">
            <v>2</v>
          </cell>
          <cell r="AR2851" t="b">
            <v>0</v>
          </cell>
          <cell r="BC2851" t="str">
            <v/>
          </cell>
          <cell r="BH2851" t="str">
            <v/>
          </cell>
        </row>
        <row r="2852">
          <cell r="AA2852">
            <v>2</v>
          </cell>
          <cell r="AR2852" t="b">
            <v>0</v>
          </cell>
          <cell r="BC2852" t="str">
            <v/>
          </cell>
          <cell r="BH2852" t="str">
            <v/>
          </cell>
        </row>
        <row r="2853">
          <cell r="AA2853">
            <v>2</v>
          </cell>
          <cell r="AR2853" t="b">
            <v>0</v>
          </cell>
          <cell r="BC2853" t="str">
            <v/>
          </cell>
          <cell r="BH2853" t="str">
            <v/>
          </cell>
        </row>
        <row r="2854">
          <cell r="AA2854">
            <v>2</v>
          </cell>
          <cell r="BC2854" t="str">
            <v/>
          </cell>
          <cell r="BH2854" t="str">
            <v/>
          </cell>
        </row>
        <row r="2855">
          <cell r="AA2855">
            <v>2</v>
          </cell>
          <cell r="AR2855" t="b">
            <v>0</v>
          </cell>
          <cell r="BC2855" t="str">
            <v/>
          </cell>
          <cell r="BH2855" t="str">
            <v/>
          </cell>
        </row>
        <row r="2856">
          <cell r="AA2856">
            <v>2</v>
          </cell>
          <cell r="BC2856" t="str">
            <v/>
          </cell>
          <cell r="BH2856" t="str">
            <v/>
          </cell>
        </row>
        <row r="2857">
          <cell r="AA2857">
            <v>2</v>
          </cell>
          <cell r="BC2857" t="str">
            <v/>
          </cell>
          <cell r="BH2857" t="str">
            <v/>
          </cell>
        </row>
        <row r="2858">
          <cell r="AA2858">
            <v>2</v>
          </cell>
          <cell r="AR2858" t="b">
            <v>0</v>
          </cell>
          <cell r="BC2858" t="str">
            <v/>
          </cell>
          <cell r="BH2858" t="str">
            <v/>
          </cell>
        </row>
        <row r="2859">
          <cell r="AA2859">
            <v>2</v>
          </cell>
          <cell r="AR2859" t="b">
            <v>0</v>
          </cell>
          <cell r="BC2859" t="str">
            <v/>
          </cell>
          <cell r="BH2859" t="str">
            <v/>
          </cell>
        </row>
        <row r="2860">
          <cell r="AA2860">
            <v>2</v>
          </cell>
          <cell r="AR2860" t="b">
            <v>0</v>
          </cell>
          <cell r="BC2860" t="str">
            <v/>
          </cell>
          <cell r="BH2860" t="str">
            <v/>
          </cell>
        </row>
        <row r="2861">
          <cell r="AA2861">
            <v>2</v>
          </cell>
          <cell r="AR2861" t="b">
            <v>0</v>
          </cell>
          <cell r="BC2861" t="str">
            <v/>
          </cell>
          <cell r="BH2861" t="str">
            <v/>
          </cell>
        </row>
        <row r="2862">
          <cell r="AA2862">
            <v>2</v>
          </cell>
          <cell r="AR2862" t="b">
            <v>0</v>
          </cell>
          <cell r="BC2862" t="str">
            <v/>
          </cell>
          <cell r="BH2862" t="str">
            <v/>
          </cell>
        </row>
        <row r="2863">
          <cell r="AA2863">
            <v>2</v>
          </cell>
          <cell r="AR2863" t="b">
            <v>0</v>
          </cell>
          <cell r="BC2863" t="str">
            <v/>
          </cell>
          <cell r="BH2863" t="str">
            <v/>
          </cell>
        </row>
        <row r="2864">
          <cell r="AA2864">
            <v>2</v>
          </cell>
          <cell r="BC2864" t="str">
            <v/>
          </cell>
          <cell r="BH2864" t="str">
            <v/>
          </cell>
        </row>
        <row r="2865">
          <cell r="AA2865">
            <v>2</v>
          </cell>
          <cell r="BC2865" t="str">
            <v/>
          </cell>
          <cell r="BH2865" t="str">
            <v/>
          </cell>
        </row>
        <row r="2866">
          <cell r="AA2866">
            <v>2</v>
          </cell>
          <cell r="AR2866" t="b">
            <v>0</v>
          </cell>
          <cell r="BC2866" t="str">
            <v/>
          </cell>
          <cell r="BH2866" t="str">
            <v/>
          </cell>
        </row>
        <row r="2867">
          <cell r="AA2867">
            <v>2</v>
          </cell>
          <cell r="AR2867" t="b">
            <v>0</v>
          </cell>
          <cell r="BC2867" t="str">
            <v/>
          </cell>
          <cell r="BH2867" t="str">
            <v/>
          </cell>
        </row>
        <row r="2868">
          <cell r="AA2868">
            <v>2</v>
          </cell>
          <cell r="AR2868" t="b">
            <v>0</v>
          </cell>
          <cell r="BC2868" t="str">
            <v/>
          </cell>
          <cell r="BH2868" t="str">
            <v/>
          </cell>
        </row>
        <row r="2869">
          <cell r="AA2869">
            <v>2</v>
          </cell>
          <cell r="BC2869" t="str">
            <v/>
          </cell>
          <cell r="BH2869" t="str">
            <v/>
          </cell>
        </row>
        <row r="2870">
          <cell r="AA2870">
            <v>2</v>
          </cell>
          <cell r="BC2870" t="str">
            <v/>
          </cell>
          <cell r="BH2870" t="str">
            <v/>
          </cell>
        </row>
        <row r="2871">
          <cell r="AA2871">
            <v>2</v>
          </cell>
          <cell r="AR2871" t="b">
            <v>0</v>
          </cell>
          <cell r="BC2871" t="str">
            <v/>
          </cell>
          <cell r="BH2871" t="str">
            <v/>
          </cell>
        </row>
        <row r="2872">
          <cell r="AA2872">
            <v>2</v>
          </cell>
          <cell r="BC2872" t="str">
            <v/>
          </cell>
          <cell r="BH2872" t="str">
            <v/>
          </cell>
        </row>
        <row r="2873">
          <cell r="AA2873">
            <v>2</v>
          </cell>
          <cell r="BC2873" t="str">
            <v/>
          </cell>
          <cell r="BH2873" t="str">
            <v/>
          </cell>
        </row>
        <row r="2874">
          <cell r="AA2874">
            <v>2</v>
          </cell>
          <cell r="AR2874" t="b">
            <v>0</v>
          </cell>
          <cell r="BC2874" t="str">
            <v/>
          </cell>
          <cell r="BH2874" t="str">
            <v/>
          </cell>
        </row>
        <row r="2875">
          <cell r="AA2875">
            <v>2</v>
          </cell>
          <cell r="AR2875" t="b">
            <v>0</v>
          </cell>
          <cell r="BC2875" t="str">
            <v/>
          </cell>
          <cell r="BH2875" t="str">
            <v/>
          </cell>
        </row>
        <row r="2876">
          <cell r="AA2876">
            <v>2</v>
          </cell>
          <cell r="AR2876" t="b">
            <v>0</v>
          </cell>
          <cell r="BC2876" t="str">
            <v/>
          </cell>
          <cell r="BH2876" t="str">
            <v/>
          </cell>
        </row>
        <row r="2877">
          <cell r="AA2877">
            <v>2</v>
          </cell>
          <cell r="AR2877" t="b">
            <v>0</v>
          </cell>
          <cell r="BC2877" t="str">
            <v/>
          </cell>
          <cell r="BH2877" t="str">
            <v/>
          </cell>
        </row>
        <row r="2878">
          <cell r="AA2878">
            <v>2</v>
          </cell>
          <cell r="AR2878" t="b">
            <v>0</v>
          </cell>
          <cell r="BC2878" t="str">
            <v/>
          </cell>
          <cell r="BH2878" t="str">
            <v/>
          </cell>
        </row>
        <row r="2879">
          <cell r="AA2879">
            <v>2</v>
          </cell>
          <cell r="BC2879" t="str">
            <v/>
          </cell>
          <cell r="BH2879" t="str">
            <v/>
          </cell>
        </row>
        <row r="2880">
          <cell r="AA2880">
            <v>2</v>
          </cell>
          <cell r="BC2880" t="str">
            <v/>
          </cell>
          <cell r="BH2880" t="str">
            <v/>
          </cell>
        </row>
        <row r="2881">
          <cell r="AA2881">
            <v>2</v>
          </cell>
          <cell r="AR2881" t="b">
            <v>0</v>
          </cell>
          <cell r="BC2881" t="str">
            <v/>
          </cell>
          <cell r="BH2881" t="str">
            <v/>
          </cell>
        </row>
        <row r="2882">
          <cell r="AA2882">
            <v>2</v>
          </cell>
          <cell r="BC2882" t="str">
            <v/>
          </cell>
          <cell r="BH2882" t="str">
            <v/>
          </cell>
        </row>
        <row r="2883">
          <cell r="AA2883">
            <v>2</v>
          </cell>
          <cell r="BC2883" t="str">
            <v/>
          </cell>
          <cell r="BH2883" t="str">
            <v/>
          </cell>
        </row>
        <row r="2884">
          <cell r="AA2884">
            <v>2</v>
          </cell>
          <cell r="AR2884" t="b">
            <v>0</v>
          </cell>
          <cell r="BC2884" t="str">
            <v/>
          </cell>
          <cell r="BH2884" t="str">
            <v/>
          </cell>
        </row>
        <row r="2885">
          <cell r="AA2885">
            <v>2</v>
          </cell>
          <cell r="BC2885" t="str">
            <v/>
          </cell>
          <cell r="BH2885" t="str">
            <v/>
          </cell>
        </row>
        <row r="2886">
          <cell r="AA2886">
            <v>2</v>
          </cell>
          <cell r="AR2886" t="b">
            <v>0</v>
          </cell>
          <cell r="BC2886" t="str">
            <v/>
          </cell>
          <cell r="BH2886" t="str">
            <v/>
          </cell>
        </row>
        <row r="2887">
          <cell r="AA2887">
            <v>2</v>
          </cell>
          <cell r="AR2887" t="b">
            <v>0</v>
          </cell>
          <cell r="BC2887" t="str">
            <v/>
          </cell>
          <cell r="BH2887" t="str">
            <v/>
          </cell>
        </row>
        <row r="2888">
          <cell r="AA2888">
            <v>2</v>
          </cell>
          <cell r="AR2888" t="b">
            <v>0</v>
          </cell>
          <cell r="BC2888" t="str">
            <v/>
          </cell>
          <cell r="BH2888" t="str">
            <v/>
          </cell>
        </row>
        <row r="2889">
          <cell r="AA2889">
            <v>2</v>
          </cell>
          <cell r="BC2889" t="str">
            <v/>
          </cell>
          <cell r="BH2889" t="str">
            <v/>
          </cell>
        </row>
        <row r="2890">
          <cell r="AA2890">
            <v>2</v>
          </cell>
          <cell r="BC2890" t="str">
            <v/>
          </cell>
          <cell r="BH2890" t="str">
            <v/>
          </cell>
        </row>
        <row r="2891">
          <cell r="AA2891">
            <v>2</v>
          </cell>
          <cell r="BC2891" t="str">
            <v/>
          </cell>
          <cell r="BH2891" t="str">
            <v/>
          </cell>
        </row>
        <row r="2892">
          <cell r="BC2892" t="str">
            <v/>
          </cell>
          <cell r="BH2892" t="str">
            <v/>
          </cell>
        </row>
        <row r="2893">
          <cell r="BC2893" t="str">
            <v/>
          </cell>
          <cell r="BH2893" t="str">
            <v/>
          </cell>
        </row>
        <row r="2894">
          <cell r="AA2894">
            <v>2</v>
          </cell>
          <cell r="BC2894" t="str">
            <v/>
          </cell>
          <cell r="BH2894" t="str">
            <v/>
          </cell>
        </row>
        <row r="2895">
          <cell r="AA2895">
            <v>2</v>
          </cell>
          <cell r="BC2895" t="str">
            <v/>
          </cell>
          <cell r="BH2895" t="str">
            <v/>
          </cell>
        </row>
        <row r="2896">
          <cell r="BC2896" t="str">
            <v/>
          </cell>
          <cell r="BH2896" t="str">
            <v/>
          </cell>
        </row>
        <row r="2897">
          <cell r="AA2897">
            <v>2</v>
          </cell>
          <cell r="BC2897" t="str">
            <v/>
          </cell>
          <cell r="BH2897" t="str">
            <v/>
          </cell>
        </row>
        <row r="2898">
          <cell r="AA2898">
            <v>2</v>
          </cell>
          <cell r="AR2898" t="b">
            <v>0</v>
          </cell>
          <cell r="BC2898" t="str">
            <v/>
          </cell>
          <cell r="BH2898" t="str">
            <v/>
          </cell>
        </row>
        <row r="2899">
          <cell r="AA2899">
            <v>2</v>
          </cell>
          <cell r="AR2899" t="b">
            <v>0</v>
          </cell>
          <cell r="BC2899" t="str">
            <v/>
          </cell>
          <cell r="BH2899" t="str">
            <v/>
          </cell>
        </row>
        <row r="2900">
          <cell r="AA2900">
            <v>2</v>
          </cell>
          <cell r="BC2900" t="str">
            <v/>
          </cell>
          <cell r="BH2900" t="str">
            <v/>
          </cell>
        </row>
        <row r="2901">
          <cell r="AA2901">
            <v>2</v>
          </cell>
          <cell r="BC2901" t="str">
            <v/>
          </cell>
          <cell r="BH2901" t="str">
            <v/>
          </cell>
        </row>
        <row r="2902">
          <cell r="AA2902">
            <v>2</v>
          </cell>
          <cell r="BC2902" t="str">
            <v/>
          </cell>
          <cell r="BH2902" t="str">
            <v/>
          </cell>
        </row>
        <row r="2903">
          <cell r="AA2903">
            <v>2</v>
          </cell>
          <cell r="AR2903" t="b">
            <v>0</v>
          </cell>
          <cell r="BC2903" t="str">
            <v/>
          </cell>
          <cell r="BH2903" t="str">
            <v/>
          </cell>
        </row>
        <row r="2904">
          <cell r="AA2904">
            <v>2</v>
          </cell>
          <cell r="BC2904" t="str">
            <v/>
          </cell>
          <cell r="BH2904" t="str">
            <v/>
          </cell>
        </row>
        <row r="2905">
          <cell r="AA2905">
            <v>2</v>
          </cell>
          <cell r="AR2905" t="b">
            <v>0</v>
          </cell>
          <cell r="BC2905" t="str">
            <v/>
          </cell>
          <cell r="BH2905" t="str">
            <v/>
          </cell>
        </row>
        <row r="2906">
          <cell r="AA2906">
            <v>2</v>
          </cell>
          <cell r="AR2906" t="b">
            <v>0</v>
          </cell>
          <cell r="BC2906" t="str">
            <v/>
          </cell>
          <cell r="BH2906" t="str">
            <v/>
          </cell>
        </row>
        <row r="2907">
          <cell r="AA2907">
            <v>2</v>
          </cell>
          <cell r="BC2907" t="str">
            <v/>
          </cell>
          <cell r="BH2907" t="str">
            <v/>
          </cell>
        </row>
        <row r="2908">
          <cell r="AA2908">
            <v>2</v>
          </cell>
          <cell r="AR2908" t="b">
            <v>0</v>
          </cell>
          <cell r="BC2908" t="str">
            <v/>
          </cell>
          <cell r="BH2908" t="str">
            <v/>
          </cell>
        </row>
        <row r="2909">
          <cell r="AA2909">
            <v>2</v>
          </cell>
          <cell r="AR2909" t="b">
            <v>0</v>
          </cell>
          <cell r="BC2909" t="str">
            <v/>
          </cell>
          <cell r="BH2909" t="str">
            <v/>
          </cell>
        </row>
        <row r="2910">
          <cell r="AA2910">
            <v>2</v>
          </cell>
          <cell r="AR2910" t="b">
            <v>0</v>
          </cell>
          <cell r="BC2910" t="str">
            <v/>
          </cell>
          <cell r="BH2910" t="str">
            <v/>
          </cell>
        </row>
        <row r="2911">
          <cell r="AA2911">
            <v>2</v>
          </cell>
          <cell r="AR2911" t="b">
            <v>0</v>
          </cell>
          <cell r="BC2911" t="str">
            <v/>
          </cell>
          <cell r="BH2911" t="str">
            <v/>
          </cell>
        </row>
        <row r="2912">
          <cell r="AA2912">
            <v>2</v>
          </cell>
          <cell r="BC2912" t="str">
            <v/>
          </cell>
          <cell r="BH2912" t="str">
            <v/>
          </cell>
        </row>
        <row r="2913">
          <cell r="BC2913" t="str">
            <v/>
          </cell>
          <cell r="BH2913" t="str">
            <v/>
          </cell>
        </row>
        <row r="2914">
          <cell r="BC2914" t="str">
            <v/>
          </cell>
          <cell r="BH2914" t="str">
            <v/>
          </cell>
        </row>
        <row r="2915">
          <cell r="AA2915">
            <v>2</v>
          </cell>
          <cell r="BC2915" t="str">
            <v/>
          </cell>
          <cell r="BH2915" t="str">
            <v/>
          </cell>
        </row>
        <row r="2916">
          <cell r="AA2916">
            <v>2</v>
          </cell>
          <cell r="AR2916" t="b">
            <v>0</v>
          </cell>
          <cell r="BC2916" t="str">
            <v/>
          </cell>
          <cell r="BH2916" t="str">
            <v/>
          </cell>
        </row>
        <row r="2917">
          <cell r="AA2917">
            <v>2</v>
          </cell>
          <cell r="BC2917" t="str">
            <v/>
          </cell>
          <cell r="BH2917" t="str">
            <v/>
          </cell>
        </row>
        <row r="2918">
          <cell r="AA2918">
            <v>2</v>
          </cell>
          <cell r="BC2918" t="str">
            <v/>
          </cell>
          <cell r="BH2918" t="str">
            <v/>
          </cell>
        </row>
        <row r="2919">
          <cell r="AA2919">
            <v>2</v>
          </cell>
          <cell r="BC2919" t="str">
            <v/>
          </cell>
          <cell r="BH2919" t="str">
            <v/>
          </cell>
        </row>
        <row r="2920">
          <cell r="BC2920" t="str">
            <v/>
          </cell>
          <cell r="BH2920" t="str">
            <v/>
          </cell>
        </row>
        <row r="2921">
          <cell r="AQ2921">
            <v>0</v>
          </cell>
          <cell r="BC2921" t="str">
            <v/>
          </cell>
          <cell r="BH2921" t="str">
            <v/>
          </cell>
        </row>
        <row r="2922">
          <cell r="BC2922" t="str">
            <v/>
          </cell>
          <cell r="BH2922" t="str">
            <v/>
          </cell>
        </row>
        <row r="2923">
          <cell r="BC2923" t="str">
            <v/>
          </cell>
          <cell r="BH2923" t="str">
            <v/>
          </cell>
        </row>
        <row r="2924">
          <cell r="AA2924">
            <v>2</v>
          </cell>
          <cell r="BC2924" t="str">
            <v/>
          </cell>
          <cell r="BH2924" t="str">
            <v/>
          </cell>
        </row>
        <row r="2925">
          <cell r="AA2925">
            <v>2</v>
          </cell>
          <cell r="BC2925" t="str">
            <v/>
          </cell>
          <cell r="BH2925" t="str">
            <v/>
          </cell>
        </row>
        <row r="2926">
          <cell r="AA2926">
            <v>2</v>
          </cell>
          <cell r="AR2926" t="b">
            <v>0</v>
          </cell>
          <cell r="BC2926" t="str">
            <v/>
          </cell>
          <cell r="BH2926" t="str">
            <v/>
          </cell>
        </row>
        <row r="2927">
          <cell r="AA2927">
            <v>2</v>
          </cell>
          <cell r="BC2927" t="str">
            <v/>
          </cell>
          <cell r="BH2927" t="str">
            <v/>
          </cell>
        </row>
        <row r="2928">
          <cell r="AA2928">
            <v>2</v>
          </cell>
          <cell r="AR2928" t="b">
            <v>0</v>
          </cell>
          <cell r="BC2928" t="str">
            <v/>
          </cell>
          <cell r="BH2928" t="str">
            <v/>
          </cell>
        </row>
        <row r="2929">
          <cell r="AA2929">
            <v>2</v>
          </cell>
          <cell r="AR2929" t="b">
            <v>0</v>
          </cell>
          <cell r="BC2929" t="str">
            <v/>
          </cell>
          <cell r="BH2929" t="str">
            <v/>
          </cell>
        </row>
        <row r="2930">
          <cell r="AA2930">
            <v>2</v>
          </cell>
          <cell r="BC2930" t="str">
            <v/>
          </cell>
          <cell r="BH2930" t="str">
            <v/>
          </cell>
        </row>
        <row r="2931">
          <cell r="AA2931">
            <v>2</v>
          </cell>
          <cell r="AR2931" t="b">
            <v>0</v>
          </cell>
          <cell r="BC2931" t="str">
            <v/>
          </cell>
          <cell r="BH2931" t="str">
            <v/>
          </cell>
        </row>
        <row r="2932">
          <cell r="AA2932">
            <v>2</v>
          </cell>
          <cell r="BC2932" t="str">
            <v/>
          </cell>
          <cell r="BH2932" t="str">
            <v/>
          </cell>
        </row>
        <row r="2933">
          <cell r="AA2933">
            <v>2</v>
          </cell>
          <cell r="AR2933" t="b">
            <v>0</v>
          </cell>
          <cell r="BC2933" t="str">
            <v/>
          </cell>
          <cell r="BH2933" t="str">
            <v/>
          </cell>
        </row>
        <row r="2934">
          <cell r="BC2934" t="str">
            <v/>
          </cell>
          <cell r="BH2934" t="str">
            <v/>
          </cell>
        </row>
        <row r="2935">
          <cell r="BC2935" t="str">
            <v/>
          </cell>
          <cell r="BH2935" t="str">
            <v/>
          </cell>
        </row>
        <row r="2936">
          <cell r="AA2936">
            <v>2</v>
          </cell>
          <cell r="BC2936" t="str">
            <v/>
          </cell>
          <cell r="BH2936" t="str">
            <v/>
          </cell>
        </row>
        <row r="2937">
          <cell r="AA2937">
            <v>2</v>
          </cell>
          <cell r="BC2937" t="str">
            <v/>
          </cell>
          <cell r="BH2937" t="str">
            <v/>
          </cell>
        </row>
        <row r="2938">
          <cell r="AA2938">
            <v>2</v>
          </cell>
          <cell r="BC2938" t="str">
            <v/>
          </cell>
          <cell r="BH2938" t="str">
            <v/>
          </cell>
        </row>
        <row r="2939">
          <cell r="AA2939">
            <v>2</v>
          </cell>
          <cell r="BC2939" t="str">
            <v/>
          </cell>
          <cell r="BH2939" t="str">
            <v/>
          </cell>
        </row>
        <row r="2940">
          <cell r="AA2940">
            <v>2</v>
          </cell>
          <cell r="AR2940" t="b">
            <v>0</v>
          </cell>
          <cell r="BC2940" t="str">
            <v/>
          </cell>
          <cell r="BH2940" t="str">
            <v/>
          </cell>
        </row>
        <row r="2941">
          <cell r="AA2941">
            <v>2</v>
          </cell>
          <cell r="AR2941" t="b">
            <v>0</v>
          </cell>
          <cell r="BC2941" t="str">
            <v/>
          </cell>
          <cell r="BH2941" t="str">
            <v/>
          </cell>
        </row>
        <row r="2942">
          <cell r="AA2942">
            <v>2</v>
          </cell>
          <cell r="BC2942" t="str">
            <v/>
          </cell>
          <cell r="BH2942" t="str">
            <v/>
          </cell>
        </row>
        <row r="2943">
          <cell r="AA2943">
            <v>2</v>
          </cell>
          <cell r="AR2943" t="b">
            <v>0</v>
          </cell>
          <cell r="BC2943" t="str">
            <v/>
          </cell>
          <cell r="BH2943" t="str">
            <v/>
          </cell>
        </row>
        <row r="2944">
          <cell r="AA2944">
            <v>2</v>
          </cell>
          <cell r="BC2944" t="str">
            <v/>
          </cell>
          <cell r="BH2944" t="str">
            <v/>
          </cell>
        </row>
        <row r="2945">
          <cell r="AA2945">
            <v>2</v>
          </cell>
          <cell r="AR2945" t="b">
            <v>0</v>
          </cell>
          <cell r="BC2945" t="str">
            <v/>
          </cell>
          <cell r="BH2945" t="str">
            <v/>
          </cell>
        </row>
        <row r="2946">
          <cell r="AA2946">
            <v>2</v>
          </cell>
          <cell r="AR2946" t="b">
            <v>0</v>
          </cell>
          <cell r="BC2946" t="str">
            <v/>
          </cell>
          <cell r="BH2946" t="str">
            <v/>
          </cell>
        </row>
        <row r="2947">
          <cell r="AA2947">
            <v>2</v>
          </cell>
          <cell r="BC2947" t="str">
            <v/>
          </cell>
          <cell r="BH2947" t="str">
            <v/>
          </cell>
        </row>
        <row r="2948">
          <cell r="AA2948">
            <v>2</v>
          </cell>
          <cell r="BC2948" t="str">
            <v/>
          </cell>
          <cell r="BH2948" t="str">
            <v/>
          </cell>
        </row>
        <row r="2949">
          <cell r="AA2949">
            <v>2</v>
          </cell>
          <cell r="BC2949" t="str">
            <v/>
          </cell>
          <cell r="BH2949" t="str">
            <v/>
          </cell>
        </row>
        <row r="2950">
          <cell r="AA2950">
            <v>2</v>
          </cell>
          <cell r="BC2950" t="str">
            <v/>
          </cell>
          <cell r="BH2950" t="str">
            <v/>
          </cell>
        </row>
        <row r="2951">
          <cell r="AA2951">
            <v>2</v>
          </cell>
          <cell r="AR2951" t="b">
            <v>0</v>
          </cell>
          <cell r="BC2951" t="str">
            <v/>
          </cell>
          <cell r="BH2951" t="str">
            <v/>
          </cell>
        </row>
        <row r="2952">
          <cell r="AA2952">
            <v>2</v>
          </cell>
          <cell r="BC2952" t="str">
            <v/>
          </cell>
          <cell r="BH2952" t="str">
            <v/>
          </cell>
        </row>
        <row r="2953">
          <cell r="AA2953">
            <v>2</v>
          </cell>
          <cell r="BC2953" t="str">
            <v/>
          </cell>
          <cell r="BH2953" t="str">
            <v/>
          </cell>
        </row>
        <row r="2954">
          <cell r="AA2954">
            <v>2</v>
          </cell>
          <cell r="BC2954" t="str">
            <v/>
          </cell>
          <cell r="BH2954" t="str">
            <v/>
          </cell>
        </row>
        <row r="2955">
          <cell r="AA2955">
            <v>2</v>
          </cell>
          <cell r="AR2955" t="b">
            <v>0</v>
          </cell>
          <cell r="BC2955" t="str">
            <v/>
          </cell>
          <cell r="BH2955" t="str">
            <v/>
          </cell>
        </row>
        <row r="2956">
          <cell r="BC2956" t="str">
            <v/>
          </cell>
          <cell r="BH2956" t="str">
            <v/>
          </cell>
        </row>
        <row r="2957">
          <cell r="BC2957" t="str">
            <v/>
          </cell>
          <cell r="BH2957" t="str">
            <v/>
          </cell>
        </row>
        <row r="2958">
          <cell r="AA2958">
            <v>2</v>
          </cell>
          <cell r="BC2958" t="str">
            <v/>
          </cell>
          <cell r="BH2958" t="str">
            <v/>
          </cell>
        </row>
        <row r="2959">
          <cell r="AA2959">
            <v>2</v>
          </cell>
          <cell r="BC2959" t="str">
            <v/>
          </cell>
          <cell r="BH2959" t="str">
            <v/>
          </cell>
        </row>
        <row r="2960">
          <cell r="AA2960">
            <v>2</v>
          </cell>
          <cell r="AP2960">
            <v>1</v>
          </cell>
          <cell r="AR2960" t="b">
            <v>0</v>
          </cell>
          <cell r="BC2960" t="str">
            <v/>
          </cell>
          <cell r="BH2960" t="str">
            <v/>
          </cell>
        </row>
        <row r="2961">
          <cell r="AA2961">
            <v>2</v>
          </cell>
          <cell r="AP2961">
            <v>1</v>
          </cell>
          <cell r="AR2961" t="b">
            <v>0</v>
          </cell>
          <cell r="BC2961" t="str">
            <v/>
          </cell>
          <cell r="BH2961" t="str">
            <v/>
          </cell>
        </row>
        <row r="2962">
          <cell r="AA2962">
            <v>2</v>
          </cell>
          <cell r="AP2962">
            <v>1</v>
          </cell>
          <cell r="BC2962" t="str">
            <v/>
          </cell>
          <cell r="BH2962" t="str">
            <v/>
          </cell>
        </row>
        <row r="2963">
          <cell r="AA2963">
            <v>2</v>
          </cell>
          <cell r="AR2963" t="b">
            <v>0</v>
          </cell>
          <cell r="BC2963" t="str">
            <v/>
          </cell>
          <cell r="BH2963" t="str">
            <v/>
          </cell>
        </row>
        <row r="2964">
          <cell r="BC2964" t="str">
            <v/>
          </cell>
          <cell r="BH2964" t="str">
            <v/>
          </cell>
        </row>
        <row r="2965">
          <cell r="BC2965" t="str">
            <v/>
          </cell>
          <cell r="BH2965" t="str">
            <v/>
          </cell>
        </row>
        <row r="2966">
          <cell r="AA2966">
            <v>2</v>
          </cell>
          <cell r="BC2966" t="str">
            <v/>
          </cell>
          <cell r="BH2966" t="str">
            <v/>
          </cell>
        </row>
        <row r="2967">
          <cell r="AA2967">
            <v>2</v>
          </cell>
          <cell r="BC2967" t="str">
            <v/>
          </cell>
          <cell r="BH2967" t="str">
            <v/>
          </cell>
        </row>
        <row r="2968">
          <cell r="AA2968">
            <v>2</v>
          </cell>
          <cell r="BC2968" t="str">
            <v/>
          </cell>
          <cell r="BH2968" t="str">
            <v/>
          </cell>
        </row>
        <row r="2969">
          <cell r="AA2969">
            <v>2</v>
          </cell>
          <cell r="BC2969" t="str">
            <v/>
          </cell>
          <cell r="BH2969" t="str">
            <v/>
          </cell>
        </row>
        <row r="2970">
          <cell r="BC2970" t="str">
            <v/>
          </cell>
          <cell r="BH2970" t="str">
            <v/>
          </cell>
        </row>
        <row r="2971">
          <cell r="BC2971" t="str">
            <v/>
          </cell>
          <cell r="BH2971" t="str">
            <v/>
          </cell>
        </row>
        <row r="2972">
          <cell r="AA2972">
            <v>2</v>
          </cell>
          <cell r="BC2972" t="str">
            <v/>
          </cell>
          <cell r="BH2972" t="str">
            <v/>
          </cell>
        </row>
        <row r="2973">
          <cell r="BC2973" t="str">
            <v/>
          </cell>
          <cell r="BH2973" t="str">
            <v/>
          </cell>
        </row>
        <row r="2974">
          <cell r="BC2974" t="str">
            <v/>
          </cell>
          <cell r="BH2974" t="str">
            <v/>
          </cell>
        </row>
        <row r="2975">
          <cell r="AA2975">
            <v>2</v>
          </cell>
          <cell r="AR2975" t="b">
            <v>0</v>
          </cell>
          <cell r="BC2975" t="str">
            <v/>
          </cell>
          <cell r="BH2975" t="str">
            <v/>
          </cell>
        </row>
        <row r="2976">
          <cell r="AA2976">
            <v>2</v>
          </cell>
          <cell r="AR2976" t="b">
            <v>0</v>
          </cell>
          <cell r="BC2976" t="str">
            <v/>
          </cell>
          <cell r="BH2976" t="str">
            <v/>
          </cell>
        </row>
        <row r="2977">
          <cell r="AA2977">
            <v>2</v>
          </cell>
          <cell r="AR2977" t="b">
            <v>0</v>
          </cell>
          <cell r="BC2977" t="str">
            <v/>
          </cell>
          <cell r="BH2977" t="str">
            <v/>
          </cell>
        </row>
        <row r="2978">
          <cell r="AA2978">
            <v>2</v>
          </cell>
          <cell r="BC2978" t="str">
            <v/>
          </cell>
          <cell r="BH2978" t="str">
            <v/>
          </cell>
        </row>
        <row r="2979">
          <cell r="AA2979">
            <v>2</v>
          </cell>
          <cell r="BC2979" t="str">
            <v/>
          </cell>
          <cell r="BH2979" t="str">
            <v/>
          </cell>
        </row>
        <row r="2980">
          <cell r="AA2980">
            <v>2</v>
          </cell>
          <cell r="AR2980" t="b">
            <v>0</v>
          </cell>
          <cell r="BC2980" t="str">
            <v/>
          </cell>
          <cell r="BH2980" t="str">
            <v/>
          </cell>
        </row>
        <row r="2981">
          <cell r="AA2981">
            <v>2</v>
          </cell>
          <cell r="AR2981" t="b">
            <v>0</v>
          </cell>
          <cell r="BC2981" t="str">
            <v/>
          </cell>
          <cell r="BH2981" t="str">
            <v/>
          </cell>
        </row>
        <row r="2982">
          <cell r="AA2982">
            <v>2</v>
          </cell>
          <cell r="AR2982" t="b">
            <v>0</v>
          </cell>
          <cell r="BC2982" t="str">
            <v/>
          </cell>
          <cell r="BH2982" t="str">
            <v/>
          </cell>
        </row>
        <row r="2983">
          <cell r="AA2983">
            <v>2</v>
          </cell>
          <cell r="BC2983" t="str">
            <v/>
          </cell>
          <cell r="BH2983" t="str">
            <v/>
          </cell>
        </row>
        <row r="2984">
          <cell r="AA2984">
            <v>2</v>
          </cell>
          <cell r="AR2984" t="b">
            <v>0</v>
          </cell>
          <cell r="BC2984" t="str">
            <v/>
          </cell>
          <cell r="BH2984" t="str">
            <v/>
          </cell>
        </row>
        <row r="2985">
          <cell r="BC2985" t="str">
            <v/>
          </cell>
          <cell r="BH2985" t="str">
            <v/>
          </cell>
        </row>
        <row r="2986">
          <cell r="BC2986" t="str">
            <v/>
          </cell>
          <cell r="BH2986" t="str">
            <v/>
          </cell>
        </row>
        <row r="2987">
          <cell r="AA2987">
            <v>2</v>
          </cell>
          <cell r="AR2987" t="b">
            <v>0</v>
          </cell>
          <cell r="BC2987" t="str">
            <v/>
          </cell>
          <cell r="BH2987" t="str">
            <v/>
          </cell>
        </row>
        <row r="2988">
          <cell r="AA2988">
            <v>0</v>
          </cell>
          <cell r="AP2988">
            <v>1</v>
          </cell>
          <cell r="BC2988" t="str">
            <v/>
          </cell>
          <cell r="BH2988" t="str">
            <v/>
          </cell>
        </row>
        <row r="2989">
          <cell r="AA2989">
            <v>2</v>
          </cell>
          <cell r="BC2989" t="str">
            <v/>
          </cell>
          <cell r="BH2989" t="str">
            <v/>
          </cell>
        </row>
        <row r="2990">
          <cell r="AA2990">
            <v>2</v>
          </cell>
          <cell r="BC2990" t="str">
            <v/>
          </cell>
          <cell r="BH2990" t="str">
            <v/>
          </cell>
        </row>
        <row r="2991">
          <cell r="AA2991">
            <v>2</v>
          </cell>
          <cell r="BC2991" t="str">
            <v/>
          </cell>
          <cell r="BH2991" t="str">
            <v/>
          </cell>
        </row>
        <row r="2992">
          <cell r="AA2992">
            <v>2</v>
          </cell>
          <cell r="BC2992" t="str">
            <v/>
          </cell>
          <cell r="BH2992" t="str">
            <v/>
          </cell>
        </row>
        <row r="2993">
          <cell r="AA2993">
            <v>2</v>
          </cell>
          <cell r="BC2993" t="str">
            <v/>
          </cell>
          <cell r="BH2993" t="str">
            <v/>
          </cell>
        </row>
        <row r="2994">
          <cell r="AA2994">
            <v>2</v>
          </cell>
          <cell r="BC2994" t="str">
            <v/>
          </cell>
          <cell r="BH2994" t="str">
            <v/>
          </cell>
        </row>
        <row r="2995">
          <cell r="AA2995">
            <v>2</v>
          </cell>
          <cell r="AR2995" t="b">
            <v>0</v>
          </cell>
          <cell r="BC2995" t="str">
            <v/>
          </cell>
          <cell r="BH2995" t="str">
            <v/>
          </cell>
        </row>
        <row r="2996">
          <cell r="AA2996">
            <v>2</v>
          </cell>
          <cell r="BC2996" t="str">
            <v/>
          </cell>
          <cell r="BH2996" t="str">
            <v/>
          </cell>
        </row>
        <row r="2997">
          <cell r="AA2997">
            <v>2</v>
          </cell>
          <cell r="BC2997" t="str">
            <v/>
          </cell>
          <cell r="BH2997" t="str">
            <v/>
          </cell>
        </row>
        <row r="2998">
          <cell r="AA2998">
            <v>2</v>
          </cell>
          <cell r="BC2998" t="str">
            <v/>
          </cell>
          <cell r="BH2998" t="str">
            <v/>
          </cell>
        </row>
        <row r="2999">
          <cell r="AA2999">
            <v>2</v>
          </cell>
          <cell r="BC2999" t="str">
            <v/>
          </cell>
          <cell r="BH2999" t="str">
            <v/>
          </cell>
        </row>
        <row r="3000">
          <cell r="AA3000">
            <v>2</v>
          </cell>
          <cell r="BC3000" t="str">
            <v/>
          </cell>
          <cell r="BH3000" t="str">
            <v/>
          </cell>
        </row>
        <row r="3001">
          <cell r="AA3001">
            <v>2</v>
          </cell>
          <cell r="BC3001" t="str">
            <v/>
          </cell>
          <cell r="BH3001" t="str">
            <v/>
          </cell>
        </row>
        <row r="3002">
          <cell r="AA3002">
            <v>2</v>
          </cell>
          <cell r="AR3002" t="b">
            <v>0</v>
          </cell>
          <cell r="BC3002" t="str">
            <v/>
          </cell>
          <cell r="BH3002" t="str">
            <v/>
          </cell>
        </row>
        <row r="3003">
          <cell r="AA3003">
            <v>2</v>
          </cell>
          <cell r="BC3003" t="str">
            <v/>
          </cell>
          <cell r="BH3003" t="str">
            <v/>
          </cell>
        </row>
        <row r="3004">
          <cell r="AA3004">
            <v>2</v>
          </cell>
          <cell r="BC3004" t="str">
            <v/>
          </cell>
          <cell r="BH3004" t="str">
            <v/>
          </cell>
        </row>
        <row r="3005">
          <cell r="AA3005">
            <v>2</v>
          </cell>
          <cell r="BC3005" t="str">
            <v/>
          </cell>
          <cell r="BH3005" t="str">
            <v/>
          </cell>
        </row>
        <row r="3006">
          <cell r="BC3006" t="str">
            <v/>
          </cell>
          <cell r="BH3006" t="str">
            <v/>
          </cell>
        </row>
        <row r="3007">
          <cell r="BC3007" t="str">
            <v/>
          </cell>
          <cell r="BH3007" t="str">
            <v/>
          </cell>
        </row>
        <row r="3008">
          <cell r="AA3008">
            <v>2</v>
          </cell>
          <cell r="AR3008" t="b">
            <v>0</v>
          </cell>
          <cell r="BC3008" t="str">
            <v/>
          </cell>
          <cell r="BH3008" t="str">
            <v/>
          </cell>
        </row>
        <row r="3009">
          <cell r="AA3009">
            <v>2</v>
          </cell>
          <cell r="BC3009" t="str">
            <v/>
          </cell>
          <cell r="BH3009" t="str">
            <v/>
          </cell>
        </row>
        <row r="3010">
          <cell r="AA3010">
            <v>2</v>
          </cell>
          <cell r="BC3010" t="str">
            <v/>
          </cell>
          <cell r="BH3010" t="str">
            <v/>
          </cell>
        </row>
        <row r="3011">
          <cell r="AA3011">
            <v>2</v>
          </cell>
          <cell r="BC3011" t="str">
            <v/>
          </cell>
          <cell r="BH3011" t="str">
            <v/>
          </cell>
        </row>
        <row r="3012">
          <cell r="AA3012">
            <v>2</v>
          </cell>
          <cell r="BC3012" t="str">
            <v/>
          </cell>
          <cell r="BH3012" t="str">
            <v/>
          </cell>
        </row>
        <row r="3013">
          <cell r="AA3013">
            <v>2</v>
          </cell>
          <cell r="BC3013" t="str">
            <v/>
          </cell>
          <cell r="BH3013" t="str">
            <v/>
          </cell>
        </row>
        <row r="3014">
          <cell r="AA3014">
            <v>2</v>
          </cell>
          <cell r="AR3014" t="b">
            <v>0</v>
          </cell>
          <cell r="BC3014" t="str">
            <v/>
          </cell>
          <cell r="BH3014" t="str">
            <v/>
          </cell>
        </row>
        <row r="3015">
          <cell r="AA3015">
            <v>2</v>
          </cell>
          <cell r="AR3015" t="b">
            <v>0</v>
          </cell>
          <cell r="BC3015" t="str">
            <v/>
          </cell>
          <cell r="BH3015" t="str">
            <v/>
          </cell>
        </row>
        <row r="3016">
          <cell r="AA3016">
            <v>2</v>
          </cell>
          <cell r="BC3016" t="str">
            <v/>
          </cell>
          <cell r="BH3016" t="str">
            <v/>
          </cell>
        </row>
        <row r="3017">
          <cell r="AA3017">
            <v>2</v>
          </cell>
          <cell r="AR3017" t="b">
            <v>0</v>
          </cell>
          <cell r="BC3017" t="str">
            <v/>
          </cell>
          <cell r="BH3017" t="str">
            <v/>
          </cell>
        </row>
        <row r="3018">
          <cell r="AA3018">
            <v>2</v>
          </cell>
          <cell r="BC3018" t="str">
            <v/>
          </cell>
          <cell r="BH3018" t="str">
            <v/>
          </cell>
        </row>
        <row r="3019">
          <cell r="BC3019" t="str">
            <v/>
          </cell>
          <cell r="BH3019" t="str">
            <v/>
          </cell>
        </row>
        <row r="3020">
          <cell r="AA3020">
            <v>2</v>
          </cell>
          <cell r="BC3020" t="str">
            <v/>
          </cell>
          <cell r="BH3020" t="str">
            <v/>
          </cell>
        </row>
        <row r="3021">
          <cell r="BC3021" t="str">
            <v/>
          </cell>
          <cell r="BH3021" t="str">
            <v/>
          </cell>
        </row>
        <row r="3022">
          <cell r="AA3022">
            <v>2</v>
          </cell>
          <cell r="BC3022" t="str">
            <v/>
          </cell>
          <cell r="BH3022" t="str">
            <v/>
          </cell>
        </row>
        <row r="3023">
          <cell r="AA3023">
            <v>2</v>
          </cell>
          <cell r="AR3023" t="b">
            <v>0</v>
          </cell>
          <cell r="BC3023" t="str">
            <v/>
          </cell>
          <cell r="BH3023" t="str">
            <v/>
          </cell>
        </row>
        <row r="3024">
          <cell r="AA3024">
            <v>2</v>
          </cell>
          <cell r="BC3024" t="str">
            <v/>
          </cell>
          <cell r="BH3024" t="str">
            <v/>
          </cell>
        </row>
        <row r="3025">
          <cell r="AA3025">
            <v>2</v>
          </cell>
          <cell r="BC3025" t="str">
            <v/>
          </cell>
          <cell r="BH3025" t="str">
            <v/>
          </cell>
        </row>
        <row r="3026">
          <cell r="AA3026">
            <v>2</v>
          </cell>
          <cell r="BC3026" t="str">
            <v/>
          </cell>
          <cell r="BH3026" t="str">
            <v/>
          </cell>
        </row>
        <row r="3027">
          <cell r="AA3027">
            <v>2</v>
          </cell>
          <cell r="BC3027" t="str">
            <v/>
          </cell>
          <cell r="BH3027" t="str">
            <v/>
          </cell>
        </row>
        <row r="3028">
          <cell r="AA3028">
            <v>2</v>
          </cell>
          <cell r="AR3028" t="b">
            <v>0</v>
          </cell>
          <cell r="BC3028" t="str">
            <v/>
          </cell>
          <cell r="BH3028" t="str">
            <v/>
          </cell>
        </row>
        <row r="3029">
          <cell r="AA3029">
            <v>2</v>
          </cell>
          <cell r="BC3029" t="str">
            <v/>
          </cell>
          <cell r="BH3029" t="str">
            <v/>
          </cell>
        </row>
        <row r="3030">
          <cell r="AA3030">
            <v>2</v>
          </cell>
          <cell r="AR3030" t="b">
            <v>0</v>
          </cell>
          <cell r="BC3030" t="str">
            <v/>
          </cell>
          <cell r="BH3030" t="str">
            <v/>
          </cell>
        </row>
        <row r="3031">
          <cell r="AA3031">
            <v>2</v>
          </cell>
          <cell r="BC3031" t="str">
            <v/>
          </cell>
          <cell r="BH3031" t="str">
            <v/>
          </cell>
        </row>
        <row r="3032">
          <cell r="AA3032">
            <v>2</v>
          </cell>
          <cell r="BC3032" t="str">
            <v/>
          </cell>
          <cell r="BH3032" t="str">
            <v/>
          </cell>
        </row>
        <row r="3033">
          <cell r="AA3033">
            <v>2</v>
          </cell>
          <cell r="BC3033" t="str">
            <v/>
          </cell>
          <cell r="BH3033" t="str">
            <v/>
          </cell>
        </row>
        <row r="3034">
          <cell r="AA3034">
            <v>2</v>
          </cell>
          <cell r="BC3034" t="str">
            <v/>
          </cell>
          <cell r="BH3034" t="str">
            <v/>
          </cell>
        </row>
        <row r="3035">
          <cell r="AA3035">
            <v>2</v>
          </cell>
          <cell r="BC3035" t="str">
            <v/>
          </cell>
          <cell r="BH3035" t="str">
            <v/>
          </cell>
        </row>
        <row r="3036">
          <cell r="AA3036">
            <v>2</v>
          </cell>
          <cell r="BC3036" t="str">
            <v/>
          </cell>
          <cell r="BH3036" t="str">
            <v/>
          </cell>
        </row>
        <row r="3037">
          <cell r="BC3037" t="str">
            <v/>
          </cell>
          <cell r="BH3037" t="str">
            <v/>
          </cell>
        </row>
        <row r="3038">
          <cell r="BC3038" t="str">
            <v/>
          </cell>
          <cell r="BH3038" t="str">
            <v/>
          </cell>
        </row>
        <row r="3039">
          <cell r="AA3039">
            <v>2</v>
          </cell>
          <cell r="BC3039" t="str">
            <v/>
          </cell>
          <cell r="BH3039" t="str">
            <v/>
          </cell>
        </row>
        <row r="3040">
          <cell r="AA3040">
            <v>2</v>
          </cell>
          <cell r="BC3040" t="str">
            <v/>
          </cell>
          <cell r="BH3040" t="str">
            <v/>
          </cell>
        </row>
        <row r="3041">
          <cell r="AA3041">
            <v>2</v>
          </cell>
          <cell r="BC3041" t="str">
            <v/>
          </cell>
          <cell r="BH3041" t="str">
            <v/>
          </cell>
        </row>
        <row r="3042">
          <cell r="AA3042">
            <v>2</v>
          </cell>
          <cell r="BC3042" t="str">
            <v/>
          </cell>
          <cell r="BH3042" t="str">
            <v/>
          </cell>
        </row>
        <row r="3043">
          <cell r="AA3043">
            <v>2</v>
          </cell>
          <cell r="BC3043" t="str">
            <v/>
          </cell>
          <cell r="BH3043" t="str">
            <v/>
          </cell>
        </row>
        <row r="3044">
          <cell r="AA3044">
            <v>2</v>
          </cell>
          <cell r="BC3044" t="str">
            <v/>
          </cell>
          <cell r="BH3044" t="str">
            <v/>
          </cell>
        </row>
        <row r="3045">
          <cell r="BC3045" t="str">
            <v/>
          </cell>
          <cell r="BH3045" t="str">
            <v/>
          </cell>
        </row>
        <row r="3046">
          <cell r="BC3046" t="str">
            <v/>
          </cell>
          <cell r="BH3046" t="str">
            <v/>
          </cell>
        </row>
        <row r="3047">
          <cell r="AA3047">
            <v>2</v>
          </cell>
          <cell r="BC3047" t="str">
            <v/>
          </cell>
          <cell r="BH3047" t="str">
            <v/>
          </cell>
        </row>
        <row r="3048">
          <cell r="AA3048">
            <v>2</v>
          </cell>
          <cell r="BC3048" t="str">
            <v/>
          </cell>
          <cell r="BH3048" t="str">
            <v/>
          </cell>
        </row>
        <row r="3049">
          <cell r="AA3049">
            <v>2</v>
          </cell>
          <cell r="BC3049" t="str">
            <v/>
          </cell>
          <cell r="BH3049" t="str">
            <v/>
          </cell>
        </row>
        <row r="3050">
          <cell r="AA3050">
            <v>2</v>
          </cell>
          <cell r="BC3050" t="str">
            <v/>
          </cell>
          <cell r="BH3050" t="str">
            <v/>
          </cell>
        </row>
        <row r="3051">
          <cell r="AA3051">
            <v>2</v>
          </cell>
          <cell r="BC3051" t="str">
            <v/>
          </cell>
          <cell r="BH3051" t="str">
            <v/>
          </cell>
        </row>
        <row r="3052">
          <cell r="AA3052">
            <v>2</v>
          </cell>
          <cell r="BC3052" t="str">
            <v/>
          </cell>
          <cell r="BH3052" t="str">
            <v/>
          </cell>
        </row>
        <row r="3053">
          <cell r="BC3053" t="str">
            <v/>
          </cell>
          <cell r="BH3053" t="str">
            <v/>
          </cell>
        </row>
        <row r="3054">
          <cell r="BC3054" t="str">
            <v/>
          </cell>
          <cell r="BH3054" t="str">
            <v/>
          </cell>
        </row>
        <row r="3055">
          <cell r="AA3055">
            <v>2</v>
          </cell>
          <cell r="BC3055" t="str">
            <v/>
          </cell>
          <cell r="BH3055" t="str">
            <v/>
          </cell>
        </row>
        <row r="3056">
          <cell r="AA3056">
            <v>2</v>
          </cell>
          <cell r="BC3056" t="str">
            <v/>
          </cell>
          <cell r="BH3056" t="str">
            <v/>
          </cell>
        </row>
        <row r="3057">
          <cell r="AA3057">
            <v>2</v>
          </cell>
          <cell r="BC3057" t="str">
            <v/>
          </cell>
          <cell r="BH3057" t="str">
            <v/>
          </cell>
        </row>
        <row r="3058">
          <cell r="AA3058">
            <v>2</v>
          </cell>
          <cell r="AR3058" t="b">
            <v>0</v>
          </cell>
          <cell r="BC3058" t="str">
            <v/>
          </cell>
          <cell r="BH3058" t="str">
            <v/>
          </cell>
        </row>
        <row r="3059">
          <cell r="AA3059">
            <v>2</v>
          </cell>
          <cell r="BC3059" t="str">
            <v/>
          </cell>
          <cell r="BH3059" t="str">
            <v/>
          </cell>
        </row>
        <row r="3060">
          <cell r="AA3060">
            <v>2</v>
          </cell>
          <cell r="BC3060" t="str">
            <v/>
          </cell>
          <cell r="BH3060" t="str">
            <v/>
          </cell>
        </row>
        <row r="3061">
          <cell r="AA3061">
            <v>2</v>
          </cell>
          <cell r="BC3061" t="str">
            <v/>
          </cell>
          <cell r="BH3061" t="str">
            <v/>
          </cell>
        </row>
        <row r="3062">
          <cell r="AA3062">
            <v>2</v>
          </cell>
          <cell r="BC3062" t="str">
            <v/>
          </cell>
          <cell r="BH3062" t="str">
            <v/>
          </cell>
        </row>
        <row r="3063">
          <cell r="AA3063">
            <v>2</v>
          </cell>
          <cell r="AR3063" t="b">
            <v>0</v>
          </cell>
          <cell r="BC3063" t="str">
            <v/>
          </cell>
          <cell r="BH3063" t="str">
            <v/>
          </cell>
        </row>
        <row r="3064">
          <cell r="AA3064">
            <v>2</v>
          </cell>
          <cell r="BC3064" t="str">
            <v/>
          </cell>
          <cell r="BH3064" t="str">
            <v/>
          </cell>
        </row>
        <row r="3065">
          <cell r="AA3065">
            <v>2</v>
          </cell>
          <cell r="BC3065" t="str">
            <v/>
          </cell>
          <cell r="BH3065" t="str">
            <v/>
          </cell>
        </row>
        <row r="3066">
          <cell r="AA3066">
            <v>2</v>
          </cell>
          <cell r="BC3066" t="str">
            <v/>
          </cell>
          <cell r="BH3066" t="str">
            <v/>
          </cell>
        </row>
        <row r="3067">
          <cell r="AA3067">
            <v>2</v>
          </cell>
          <cell r="BC3067" t="str">
            <v/>
          </cell>
          <cell r="BH3067" t="str">
            <v/>
          </cell>
        </row>
        <row r="3068">
          <cell r="AA3068">
            <v>2</v>
          </cell>
          <cell r="AR3068" t="b">
            <v>0</v>
          </cell>
          <cell r="BC3068" t="str">
            <v/>
          </cell>
          <cell r="BH3068" t="str">
            <v/>
          </cell>
        </row>
        <row r="3069">
          <cell r="AA3069">
            <v>2</v>
          </cell>
          <cell r="AR3069" t="b">
            <v>0</v>
          </cell>
          <cell r="BC3069" t="str">
            <v/>
          </cell>
          <cell r="BH3069" t="str">
            <v/>
          </cell>
        </row>
        <row r="3070">
          <cell r="AA3070">
            <v>2</v>
          </cell>
          <cell r="BC3070" t="str">
            <v/>
          </cell>
          <cell r="BH3070" t="str">
            <v/>
          </cell>
        </row>
        <row r="3071">
          <cell r="AA3071">
            <v>2</v>
          </cell>
          <cell r="BC3071" t="str">
            <v/>
          </cell>
          <cell r="BH3071" t="str">
            <v/>
          </cell>
        </row>
        <row r="3072">
          <cell r="AA3072">
            <v>2</v>
          </cell>
          <cell r="BC3072" t="str">
            <v/>
          </cell>
          <cell r="BH3072" t="str">
            <v/>
          </cell>
        </row>
        <row r="3073">
          <cell r="AA3073">
            <v>2</v>
          </cell>
          <cell r="BC3073" t="str">
            <v/>
          </cell>
          <cell r="BH3073" t="str">
            <v/>
          </cell>
        </row>
        <row r="3074">
          <cell r="AA3074">
            <v>2</v>
          </cell>
          <cell r="BC3074" t="str">
            <v/>
          </cell>
          <cell r="BH3074" t="str">
            <v/>
          </cell>
        </row>
        <row r="3075">
          <cell r="BC3075" t="str">
            <v/>
          </cell>
          <cell r="BH3075" t="str">
            <v/>
          </cell>
        </row>
        <row r="3076">
          <cell r="BC3076" t="str">
            <v/>
          </cell>
          <cell r="BH3076" t="str">
            <v/>
          </cell>
        </row>
        <row r="3077">
          <cell r="AA3077">
            <v>2</v>
          </cell>
          <cell r="AR3077" t="b">
            <v>0</v>
          </cell>
          <cell r="BC3077" t="str">
            <v/>
          </cell>
          <cell r="BH3077" t="str">
            <v/>
          </cell>
        </row>
        <row r="3078">
          <cell r="AA3078">
            <v>2</v>
          </cell>
          <cell r="BC3078" t="str">
            <v/>
          </cell>
          <cell r="BH3078" t="str">
            <v/>
          </cell>
        </row>
        <row r="3079">
          <cell r="AA3079">
            <v>2</v>
          </cell>
          <cell r="BC3079" t="str">
            <v/>
          </cell>
          <cell r="BH3079" t="str">
            <v/>
          </cell>
        </row>
        <row r="3080">
          <cell r="AA3080">
            <v>2</v>
          </cell>
          <cell r="BC3080" t="str">
            <v/>
          </cell>
          <cell r="BH3080" t="str">
            <v/>
          </cell>
        </row>
        <row r="3081">
          <cell r="AA3081">
            <v>2</v>
          </cell>
          <cell r="BC3081" t="str">
            <v/>
          </cell>
          <cell r="BH3081" t="str">
            <v/>
          </cell>
        </row>
        <row r="3082">
          <cell r="AA3082">
            <v>2</v>
          </cell>
          <cell r="AR3082" t="b">
            <v>0</v>
          </cell>
          <cell r="BC3082" t="str">
            <v/>
          </cell>
          <cell r="BH3082" t="str">
            <v/>
          </cell>
        </row>
        <row r="3083">
          <cell r="AA3083">
            <v>2</v>
          </cell>
          <cell r="AR3083" t="b">
            <v>0</v>
          </cell>
          <cell r="BC3083" t="str">
            <v/>
          </cell>
          <cell r="BH3083" t="str">
            <v/>
          </cell>
        </row>
        <row r="3084">
          <cell r="AA3084">
            <v>2</v>
          </cell>
          <cell r="BC3084" t="str">
            <v/>
          </cell>
          <cell r="BH3084" t="str">
            <v/>
          </cell>
        </row>
        <row r="3085">
          <cell r="AA3085">
            <v>2</v>
          </cell>
          <cell r="AR3085" t="b">
            <v>0</v>
          </cell>
          <cell r="BC3085" t="str">
            <v/>
          </cell>
          <cell r="BH3085" t="str">
            <v/>
          </cell>
        </row>
        <row r="3086">
          <cell r="BC3086" t="str">
            <v/>
          </cell>
          <cell r="BH3086" t="str">
            <v/>
          </cell>
        </row>
        <row r="3087">
          <cell r="BC3087" t="str">
            <v/>
          </cell>
          <cell r="BH3087" t="str">
            <v/>
          </cell>
        </row>
        <row r="3088">
          <cell r="AA3088">
            <v>2</v>
          </cell>
          <cell r="BC3088" t="str">
            <v/>
          </cell>
          <cell r="BH3088" t="str">
            <v/>
          </cell>
        </row>
        <row r="3089">
          <cell r="BC3089" t="str">
            <v/>
          </cell>
          <cell r="BH3089" t="str">
            <v/>
          </cell>
        </row>
        <row r="3090">
          <cell r="BC3090" t="str">
            <v/>
          </cell>
          <cell r="BH3090" t="str">
            <v/>
          </cell>
        </row>
        <row r="3091">
          <cell r="AA3091">
            <v>2</v>
          </cell>
          <cell r="AR3091" t="b">
            <v>0</v>
          </cell>
          <cell r="BC3091" t="str">
            <v/>
          </cell>
          <cell r="BH3091" t="str">
            <v/>
          </cell>
        </row>
        <row r="3092">
          <cell r="AA3092">
            <v>2</v>
          </cell>
          <cell r="AO3092" t="str">
            <v/>
          </cell>
          <cell r="AR3092" t="b">
            <v>0</v>
          </cell>
          <cell r="BC3092" t="str">
            <v/>
          </cell>
          <cell r="BH3092" t="str">
            <v/>
          </cell>
        </row>
        <row r="3093">
          <cell r="AA3093">
            <v>2</v>
          </cell>
          <cell r="AO3093" t="str">
            <v/>
          </cell>
          <cell r="AR3093" t="b">
            <v>0</v>
          </cell>
          <cell r="BC3093" t="str">
            <v/>
          </cell>
          <cell r="BH3093" t="str">
            <v/>
          </cell>
        </row>
        <row r="3094">
          <cell r="AA3094">
            <v>2</v>
          </cell>
          <cell r="AO3094" t="str">
            <v/>
          </cell>
          <cell r="AR3094" t="b">
            <v>0</v>
          </cell>
          <cell r="BC3094" t="str">
            <v/>
          </cell>
          <cell r="BH3094" t="str">
            <v/>
          </cell>
        </row>
        <row r="3095">
          <cell r="AA3095">
            <v>2</v>
          </cell>
          <cell r="AR3095" t="b">
            <v>0</v>
          </cell>
          <cell r="BC3095" t="str">
            <v/>
          </cell>
          <cell r="BH3095" t="str">
            <v/>
          </cell>
        </row>
        <row r="3096">
          <cell r="AA3096">
            <v>2</v>
          </cell>
          <cell r="AR3096" t="b">
            <v>0</v>
          </cell>
          <cell r="BC3096" t="str">
            <v/>
          </cell>
          <cell r="BH3096" t="str">
            <v/>
          </cell>
        </row>
        <row r="3097">
          <cell r="AA3097">
            <v>2</v>
          </cell>
          <cell r="AR3097" t="b">
            <v>0</v>
          </cell>
          <cell r="BC3097" t="str">
            <v/>
          </cell>
          <cell r="BH3097" t="str">
            <v/>
          </cell>
        </row>
        <row r="3098">
          <cell r="AA3098">
            <v>2</v>
          </cell>
          <cell r="AR3098" t="b">
            <v>0</v>
          </cell>
          <cell r="BC3098" t="str">
            <v/>
          </cell>
          <cell r="BH3098" t="str">
            <v/>
          </cell>
        </row>
        <row r="3099">
          <cell r="AA3099">
            <v>2</v>
          </cell>
          <cell r="AR3099" t="b">
            <v>0</v>
          </cell>
          <cell r="BC3099" t="str">
            <v/>
          </cell>
          <cell r="BH3099" t="str">
            <v/>
          </cell>
        </row>
        <row r="3100">
          <cell r="AA3100">
            <v>2</v>
          </cell>
          <cell r="AR3100" t="b">
            <v>0</v>
          </cell>
          <cell r="BC3100" t="str">
            <v/>
          </cell>
          <cell r="BH3100" t="str">
            <v/>
          </cell>
        </row>
        <row r="3101">
          <cell r="AA3101">
            <v>2</v>
          </cell>
          <cell r="BC3101" t="str">
            <v/>
          </cell>
          <cell r="BH3101" t="str">
            <v/>
          </cell>
        </row>
        <row r="3102">
          <cell r="AA3102">
            <v>2</v>
          </cell>
          <cell r="BC3102" t="str">
            <v/>
          </cell>
          <cell r="BH3102" t="str">
            <v/>
          </cell>
        </row>
        <row r="3103">
          <cell r="AA3103">
            <v>2</v>
          </cell>
          <cell r="AR3103" t="b">
            <v>0</v>
          </cell>
          <cell r="BC3103" t="str">
            <v/>
          </cell>
          <cell r="BH3103" t="str">
            <v/>
          </cell>
        </row>
        <row r="3104">
          <cell r="AA3104">
            <v>2</v>
          </cell>
          <cell r="AR3104" t="b">
            <v>0</v>
          </cell>
          <cell r="BC3104" t="str">
            <v/>
          </cell>
          <cell r="BH3104" t="str">
            <v/>
          </cell>
        </row>
        <row r="3105">
          <cell r="BC3105" t="str">
            <v/>
          </cell>
          <cell r="BH3105" t="str">
            <v/>
          </cell>
        </row>
        <row r="3106">
          <cell r="BC3106" t="str">
            <v/>
          </cell>
          <cell r="BH3106" t="str">
            <v/>
          </cell>
        </row>
        <row r="3107">
          <cell r="AA3107">
            <v>2</v>
          </cell>
          <cell r="BC3107" t="str">
            <v/>
          </cell>
          <cell r="BH3107" t="str">
            <v/>
          </cell>
        </row>
        <row r="3108">
          <cell r="AA3108">
            <v>2</v>
          </cell>
          <cell r="AR3108" t="b">
            <v>0</v>
          </cell>
          <cell r="BC3108" t="str">
            <v/>
          </cell>
          <cell r="BH3108" t="str">
            <v/>
          </cell>
        </row>
        <row r="3109">
          <cell r="BC3109" t="str">
            <v/>
          </cell>
          <cell r="BH3109" t="str">
            <v/>
          </cell>
        </row>
        <row r="3110">
          <cell r="AA3110">
            <v>0</v>
          </cell>
          <cell r="AR3110" t="b">
            <v>0</v>
          </cell>
          <cell r="BC3110" t="str">
            <v/>
          </cell>
          <cell r="BH3110" t="str">
            <v/>
          </cell>
        </row>
        <row r="3111">
          <cell r="AA3111">
            <v>0</v>
          </cell>
          <cell r="BC3111" t="str">
            <v/>
          </cell>
          <cell r="BH3111" t="str">
            <v/>
          </cell>
        </row>
        <row r="3112">
          <cell r="AA3112">
            <v>0</v>
          </cell>
          <cell r="BC3112" t="str">
            <v/>
          </cell>
          <cell r="BH3112" t="str">
            <v/>
          </cell>
        </row>
        <row r="3113">
          <cell r="BC3113" t="str">
            <v/>
          </cell>
          <cell r="BH3113" t="str">
            <v/>
          </cell>
        </row>
        <row r="3114">
          <cell r="AA3114">
            <v>0</v>
          </cell>
          <cell r="AR3114" t="b">
            <v>0</v>
          </cell>
          <cell r="BC3114" t="str">
            <v/>
          </cell>
          <cell r="BH3114" t="str">
            <v/>
          </cell>
        </row>
        <row r="3115">
          <cell r="AA3115">
            <v>0</v>
          </cell>
          <cell r="AR3115" t="b">
            <v>0</v>
          </cell>
          <cell r="BC3115" t="str">
            <v/>
          </cell>
          <cell r="BH3115" t="str">
            <v/>
          </cell>
        </row>
        <row r="3116">
          <cell r="AA3116">
            <v>0</v>
          </cell>
          <cell r="BC3116" t="str">
            <v/>
          </cell>
          <cell r="BH3116" t="str">
            <v/>
          </cell>
        </row>
        <row r="3117">
          <cell r="AA3117">
            <v>0</v>
          </cell>
          <cell r="BC3117" t="str">
            <v/>
          </cell>
          <cell r="BH3117" t="str">
            <v/>
          </cell>
        </row>
        <row r="3118">
          <cell r="AA3118">
            <v>0</v>
          </cell>
          <cell r="AR3118" t="b">
            <v>0</v>
          </cell>
          <cell r="BC3118" t="str">
            <v/>
          </cell>
          <cell r="BH3118" t="str">
            <v/>
          </cell>
        </row>
        <row r="3119">
          <cell r="AA3119">
            <v>0</v>
          </cell>
          <cell r="AR3119" t="b">
            <v>0</v>
          </cell>
          <cell r="BC3119" t="str">
            <v/>
          </cell>
          <cell r="BH3119" t="str">
            <v/>
          </cell>
        </row>
        <row r="3120">
          <cell r="AA3120">
            <v>0</v>
          </cell>
          <cell r="AQ3120">
            <v>0</v>
          </cell>
          <cell r="AR3120" t="b">
            <v>0</v>
          </cell>
          <cell r="BC3120" t="str">
            <v/>
          </cell>
          <cell r="BH3120" t="str">
            <v/>
          </cell>
        </row>
        <row r="3121">
          <cell r="AA3121">
            <v>0</v>
          </cell>
          <cell r="BC3121" t="str">
            <v/>
          </cell>
          <cell r="BH3121" t="str">
            <v/>
          </cell>
        </row>
        <row r="3122">
          <cell r="AA3122">
            <v>0</v>
          </cell>
          <cell r="BC3122" t="str">
            <v/>
          </cell>
          <cell r="BH3122" t="str">
            <v/>
          </cell>
        </row>
        <row r="3123">
          <cell r="AA3123">
            <v>0</v>
          </cell>
          <cell r="BC3123" t="str">
            <v/>
          </cell>
          <cell r="BH3123" t="str">
            <v/>
          </cell>
        </row>
        <row r="3124">
          <cell r="AA3124">
            <v>0</v>
          </cell>
          <cell r="AO3124" t="str">
            <v/>
          </cell>
          <cell r="BC3124" t="str">
            <v/>
          </cell>
          <cell r="BH3124" t="str">
            <v/>
          </cell>
        </row>
        <row r="3125">
          <cell r="AA3125">
            <v>0</v>
          </cell>
          <cell r="AO3125" t="str">
            <v/>
          </cell>
          <cell r="BC3125" t="str">
            <v/>
          </cell>
          <cell r="BH3125" t="str">
            <v/>
          </cell>
        </row>
        <row r="3126">
          <cell r="AA3126">
            <v>0</v>
          </cell>
          <cell r="AO3126" t="str">
            <v/>
          </cell>
          <cell r="BC3126" t="str">
            <v/>
          </cell>
          <cell r="BH3126" t="str">
            <v/>
          </cell>
        </row>
        <row r="3127">
          <cell r="AA3127">
            <v>0</v>
          </cell>
          <cell r="AR3127" t="b">
            <v>0</v>
          </cell>
          <cell r="BC3127" t="str">
            <v/>
          </cell>
          <cell r="BH3127" t="str">
            <v/>
          </cell>
        </row>
        <row r="3128">
          <cell r="AA3128">
            <v>0</v>
          </cell>
          <cell r="AR3128" t="b">
            <v>0</v>
          </cell>
          <cell r="BC3128" t="str">
            <v/>
          </cell>
          <cell r="BH3128" t="str">
            <v/>
          </cell>
        </row>
        <row r="3129">
          <cell r="AA3129">
            <v>0</v>
          </cell>
          <cell r="AR3129" t="b">
            <v>0</v>
          </cell>
          <cell r="BC3129" t="str">
            <v/>
          </cell>
          <cell r="BH3129" t="str">
            <v/>
          </cell>
        </row>
        <row r="3130">
          <cell r="AA3130">
            <v>0</v>
          </cell>
          <cell r="BC3130" t="str">
            <v/>
          </cell>
          <cell r="BH3130" t="str">
            <v/>
          </cell>
        </row>
        <row r="3131">
          <cell r="AA3131">
            <v>0</v>
          </cell>
          <cell r="BC3131" t="str">
            <v/>
          </cell>
          <cell r="BH3131" t="str">
            <v/>
          </cell>
        </row>
        <row r="3132">
          <cell r="AA3132">
            <v>0</v>
          </cell>
          <cell r="AR3132" t="b">
            <v>0</v>
          </cell>
          <cell r="BC3132" t="str">
            <v/>
          </cell>
          <cell r="BH3132" t="str">
            <v/>
          </cell>
        </row>
        <row r="3133">
          <cell r="AA3133">
            <v>0</v>
          </cell>
          <cell r="AR3133" t="b">
            <v>0</v>
          </cell>
          <cell r="BC3133" t="str">
            <v/>
          </cell>
          <cell r="BH3133" t="str">
            <v/>
          </cell>
        </row>
        <row r="3134">
          <cell r="BC3134" t="str">
            <v/>
          </cell>
          <cell r="BH3134" t="str">
            <v/>
          </cell>
        </row>
        <row r="3135">
          <cell r="AA3135">
            <v>2</v>
          </cell>
          <cell r="BC3135" t="str">
            <v/>
          </cell>
          <cell r="BH3135" t="str">
            <v/>
          </cell>
        </row>
        <row r="3136">
          <cell r="AA3136">
            <v>2</v>
          </cell>
          <cell r="BC3136" t="str">
            <v/>
          </cell>
          <cell r="BH3136" t="str">
            <v/>
          </cell>
        </row>
        <row r="3137">
          <cell r="AA3137">
            <v>2</v>
          </cell>
          <cell r="BC3137" t="str">
            <v/>
          </cell>
          <cell r="BH3137" t="str">
            <v/>
          </cell>
        </row>
        <row r="3138">
          <cell r="AA3138">
            <v>2</v>
          </cell>
          <cell r="AR3138" t="b">
            <v>0</v>
          </cell>
          <cell r="BC3138" t="str">
            <v/>
          </cell>
          <cell r="BH3138" t="str">
            <v/>
          </cell>
        </row>
        <row r="3139">
          <cell r="BC3139" t="str">
            <v/>
          </cell>
          <cell r="BH3139" t="str">
            <v/>
          </cell>
        </row>
        <row r="3140">
          <cell r="AA3140">
            <v>2</v>
          </cell>
          <cell r="AR3140" t="b">
            <v>0</v>
          </cell>
          <cell r="BC3140" t="str">
            <v/>
          </cell>
          <cell r="BH3140" t="str">
            <v/>
          </cell>
        </row>
        <row r="3141">
          <cell r="AA3141">
            <v>2</v>
          </cell>
          <cell r="BC3141" t="str">
            <v/>
          </cell>
          <cell r="BH3141" t="str">
            <v/>
          </cell>
        </row>
        <row r="3142">
          <cell r="BC3142" t="str">
            <v/>
          </cell>
          <cell r="BH3142" t="str">
            <v/>
          </cell>
        </row>
        <row r="3143">
          <cell r="BC3143" t="str">
            <v/>
          </cell>
          <cell r="BH3143" t="str">
            <v/>
          </cell>
        </row>
        <row r="3144">
          <cell r="AA3144">
            <v>0</v>
          </cell>
          <cell r="AR3144" t="b">
            <v>0</v>
          </cell>
          <cell r="BC3144" t="str">
            <v/>
          </cell>
          <cell r="BH3144" t="str">
            <v/>
          </cell>
        </row>
        <row r="3145">
          <cell r="AA3145">
            <v>0</v>
          </cell>
          <cell r="AP3145">
            <v>1</v>
          </cell>
          <cell r="BC3145" t="str">
            <v/>
          </cell>
          <cell r="BH3145" t="str">
            <v/>
          </cell>
        </row>
        <row r="3146">
          <cell r="AA3146">
            <v>0</v>
          </cell>
          <cell r="BC3146" t="str">
            <v/>
          </cell>
          <cell r="BH3146" t="str">
            <v/>
          </cell>
        </row>
        <row r="3147">
          <cell r="AA3147">
            <v>0</v>
          </cell>
          <cell r="BC3147" t="str">
            <v/>
          </cell>
          <cell r="BH3147" t="str">
            <v/>
          </cell>
        </row>
        <row r="3148">
          <cell r="AA3148">
            <v>0</v>
          </cell>
          <cell r="BC3148" t="str">
            <v/>
          </cell>
          <cell r="BH3148" t="str">
            <v/>
          </cell>
        </row>
        <row r="3149">
          <cell r="AA3149">
            <v>0</v>
          </cell>
          <cell r="BC3149" t="str">
            <v/>
          </cell>
          <cell r="BH3149" t="str">
            <v/>
          </cell>
        </row>
        <row r="3150">
          <cell r="AA3150">
            <v>0</v>
          </cell>
          <cell r="BC3150" t="str">
            <v/>
          </cell>
          <cell r="BH3150" t="str">
            <v/>
          </cell>
        </row>
        <row r="3151">
          <cell r="AA3151">
            <v>0</v>
          </cell>
          <cell r="BC3151" t="str">
            <v/>
          </cell>
          <cell r="BH3151" t="str">
            <v/>
          </cell>
        </row>
        <row r="3152">
          <cell r="AA3152">
            <v>0</v>
          </cell>
          <cell r="BC3152" t="str">
            <v/>
          </cell>
          <cell r="BH3152" t="str">
            <v/>
          </cell>
        </row>
        <row r="3153">
          <cell r="AA3153">
            <v>0</v>
          </cell>
          <cell r="BC3153" t="str">
            <v/>
          </cell>
          <cell r="BH3153" t="str">
            <v/>
          </cell>
        </row>
        <row r="3154">
          <cell r="AA3154">
            <v>0</v>
          </cell>
          <cell r="BC3154" t="str">
            <v/>
          </cell>
          <cell r="BH3154" t="str">
            <v/>
          </cell>
        </row>
        <row r="3155">
          <cell r="AA3155">
            <v>0</v>
          </cell>
          <cell r="BC3155" t="str">
            <v/>
          </cell>
          <cell r="BH3155" t="str">
            <v/>
          </cell>
        </row>
        <row r="3156">
          <cell r="AA3156">
            <v>0</v>
          </cell>
          <cell r="AR3156" t="b">
            <v>0</v>
          </cell>
          <cell r="BC3156" t="str">
            <v/>
          </cell>
          <cell r="BH3156" t="str">
            <v/>
          </cell>
        </row>
        <row r="3157">
          <cell r="AA3157">
            <v>0</v>
          </cell>
          <cell r="AR3157" t="b">
            <v>0</v>
          </cell>
          <cell r="BC3157" t="str">
            <v/>
          </cell>
          <cell r="BH3157" t="str">
            <v/>
          </cell>
        </row>
        <row r="3158">
          <cell r="AA3158">
            <v>0</v>
          </cell>
          <cell r="AR3158" t="b">
            <v>0</v>
          </cell>
          <cell r="BC3158" t="str">
            <v/>
          </cell>
          <cell r="BH3158" t="str">
            <v/>
          </cell>
        </row>
        <row r="3159">
          <cell r="AA3159">
            <v>0</v>
          </cell>
          <cell r="BC3159" t="str">
            <v/>
          </cell>
          <cell r="BH3159" t="str">
            <v/>
          </cell>
        </row>
        <row r="3160">
          <cell r="AA3160">
            <v>0</v>
          </cell>
          <cell r="AR3160" t="b">
            <v>0</v>
          </cell>
          <cell r="BC3160" t="str">
            <v/>
          </cell>
          <cell r="BH3160" t="str">
            <v/>
          </cell>
        </row>
        <row r="3161">
          <cell r="AA3161">
            <v>0</v>
          </cell>
          <cell r="BC3161" t="str">
            <v/>
          </cell>
          <cell r="BH3161" t="str">
            <v/>
          </cell>
        </row>
        <row r="3162">
          <cell r="BC3162" t="str">
            <v/>
          </cell>
          <cell r="BH3162" t="str">
            <v/>
          </cell>
        </row>
        <row r="3163">
          <cell r="AA3163">
            <v>0</v>
          </cell>
          <cell r="BC3163" t="str">
            <v/>
          </cell>
          <cell r="BH3163" t="str">
            <v/>
          </cell>
        </row>
        <row r="3164">
          <cell r="AA3164">
            <v>0</v>
          </cell>
          <cell r="AR3164" t="b">
            <v>0</v>
          </cell>
          <cell r="BC3164" t="str">
            <v/>
          </cell>
          <cell r="BH3164" t="str">
            <v/>
          </cell>
        </row>
        <row r="3165">
          <cell r="AA3165">
            <v>0</v>
          </cell>
          <cell r="BC3165" t="str">
            <v/>
          </cell>
          <cell r="BH3165" t="str">
            <v/>
          </cell>
        </row>
        <row r="3166">
          <cell r="AA3166">
            <v>0</v>
          </cell>
          <cell r="AO3166">
            <v>0</v>
          </cell>
          <cell r="AR3166" t="b">
            <v>0</v>
          </cell>
          <cell r="BC3166" t="str">
            <v/>
          </cell>
          <cell r="BH3166" t="str">
            <v/>
          </cell>
        </row>
        <row r="3167">
          <cell r="AA3167">
            <v>0</v>
          </cell>
          <cell r="AR3167" t="b">
            <v>0</v>
          </cell>
          <cell r="BC3167" t="str">
            <v/>
          </cell>
          <cell r="BH3167" t="str">
            <v/>
          </cell>
        </row>
        <row r="3168">
          <cell r="AA3168">
            <v>0</v>
          </cell>
          <cell r="AR3168" t="b">
            <v>0</v>
          </cell>
          <cell r="BC3168" t="str">
            <v/>
          </cell>
          <cell r="BH3168" t="str">
            <v/>
          </cell>
        </row>
        <row r="3169">
          <cell r="AA3169">
            <v>0</v>
          </cell>
          <cell r="BC3169" t="str">
            <v/>
          </cell>
          <cell r="BH3169" t="str">
            <v/>
          </cell>
        </row>
        <row r="3170">
          <cell r="BC3170" t="str">
            <v/>
          </cell>
          <cell r="BH3170" t="str">
            <v/>
          </cell>
        </row>
        <row r="3171">
          <cell r="AA3171">
            <v>0</v>
          </cell>
          <cell r="BC3171" t="str">
            <v/>
          </cell>
          <cell r="BH3171" t="str">
            <v/>
          </cell>
        </row>
        <row r="3172">
          <cell r="AA3172">
            <v>0</v>
          </cell>
          <cell r="BC3172" t="str">
            <v/>
          </cell>
          <cell r="BH3172" t="str">
            <v/>
          </cell>
        </row>
        <row r="3173">
          <cell r="AA3173">
            <v>0</v>
          </cell>
          <cell r="BC3173" t="str">
            <v/>
          </cell>
          <cell r="BH3173" t="str">
            <v/>
          </cell>
        </row>
        <row r="3174">
          <cell r="AA3174">
            <v>0</v>
          </cell>
          <cell r="BC3174" t="str">
            <v/>
          </cell>
          <cell r="BH3174" t="str">
            <v/>
          </cell>
        </row>
        <row r="3175">
          <cell r="AA3175">
            <v>0</v>
          </cell>
          <cell r="BC3175" t="str">
            <v/>
          </cell>
          <cell r="BH3175" t="str">
            <v/>
          </cell>
        </row>
        <row r="3176">
          <cell r="AA3176">
            <v>0</v>
          </cell>
          <cell r="BC3176" t="str">
            <v/>
          </cell>
          <cell r="BH3176" t="str">
            <v/>
          </cell>
        </row>
        <row r="3177">
          <cell r="BC3177" t="str">
            <v/>
          </cell>
          <cell r="BH3177" t="str">
            <v/>
          </cell>
        </row>
        <row r="3178">
          <cell r="AA3178">
            <v>0</v>
          </cell>
          <cell r="BC3178" t="str">
            <v/>
          </cell>
          <cell r="BH3178" t="str">
            <v/>
          </cell>
        </row>
        <row r="3179">
          <cell r="AA3179">
            <v>0</v>
          </cell>
          <cell r="BC3179" t="str">
            <v/>
          </cell>
          <cell r="BH3179" t="str">
            <v/>
          </cell>
        </row>
        <row r="3180">
          <cell r="BC3180" t="str">
            <v/>
          </cell>
          <cell r="BH3180" t="str">
            <v/>
          </cell>
        </row>
        <row r="3181">
          <cell r="BC3181" t="str">
            <v/>
          </cell>
          <cell r="BH3181" t="str">
            <v/>
          </cell>
        </row>
        <row r="3182">
          <cell r="AA3182">
            <v>2</v>
          </cell>
          <cell r="BC3182" t="str">
            <v/>
          </cell>
          <cell r="BH3182" t="str">
            <v/>
          </cell>
        </row>
        <row r="3183">
          <cell r="AA3183">
            <v>2</v>
          </cell>
          <cell r="AR3183" t="b">
            <v>0</v>
          </cell>
          <cell r="BC3183" t="str">
            <v/>
          </cell>
          <cell r="BH3183" t="str">
            <v/>
          </cell>
        </row>
        <row r="3184">
          <cell r="AA3184">
            <v>2</v>
          </cell>
          <cell r="BC3184" t="str">
            <v/>
          </cell>
          <cell r="BH3184" t="str">
            <v/>
          </cell>
        </row>
        <row r="3185">
          <cell r="AA3185">
            <v>2</v>
          </cell>
          <cell r="BC3185" t="str">
            <v/>
          </cell>
          <cell r="BH3185" t="str">
            <v/>
          </cell>
        </row>
        <row r="3186">
          <cell r="AA3186">
            <v>2</v>
          </cell>
          <cell r="BC3186" t="str">
            <v/>
          </cell>
          <cell r="BH3186" t="str">
            <v/>
          </cell>
        </row>
        <row r="3187">
          <cell r="AA3187">
            <v>2</v>
          </cell>
          <cell r="BC3187" t="str">
            <v/>
          </cell>
          <cell r="BH3187" t="str">
            <v/>
          </cell>
        </row>
        <row r="3188">
          <cell r="AA3188">
            <v>2</v>
          </cell>
          <cell r="BC3188" t="str">
            <v/>
          </cell>
          <cell r="BH3188" t="str">
            <v/>
          </cell>
        </row>
        <row r="3189">
          <cell r="AA3189">
            <v>2</v>
          </cell>
          <cell r="BC3189" t="str">
            <v/>
          </cell>
          <cell r="BH3189" t="str">
            <v/>
          </cell>
        </row>
        <row r="3190">
          <cell r="AA3190">
            <v>2</v>
          </cell>
          <cell r="BC3190" t="str">
            <v/>
          </cell>
          <cell r="BH3190" t="str">
            <v/>
          </cell>
        </row>
        <row r="3191">
          <cell r="AA3191">
            <v>2</v>
          </cell>
          <cell r="BC3191" t="str">
            <v/>
          </cell>
          <cell r="BH3191" t="str">
            <v/>
          </cell>
        </row>
        <row r="3192">
          <cell r="BC3192" t="str">
            <v/>
          </cell>
          <cell r="BH3192" t="str">
            <v/>
          </cell>
        </row>
        <row r="3193">
          <cell r="AA3193">
            <v>2</v>
          </cell>
          <cell r="BC3193" t="str">
            <v/>
          </cell>
          <cell r="BH3193" t="str">
            <v/>
          </cell>
        </row>
        <row r="3194">
          <cell r="AA3194">
            <v>2</v>
          </cell>
          <cell r="BC3194" t="str">
            <v/>
          </cell>
          <cell r="BH3194" t="str">
            <v/>
          </cell>
        </row>
        <row r="3195">
          <cell r="AA3195">
            <v>2</v>
          </cell>
          <cell r="BC3195" t="str">
            <v/>
          </cell>
          <cell r="BH3195" t="str">
            <v/>
          </cell>
        </row>
        <row r="3196">
          <cell r="AA3196">
            <v>2</v>
          </cell>
          <cell r="AR3196" t="b">
            <v>0</v>
          </cell>
          <cell r="BC3196" t="str">
            <v/>
          </cell>
          <cell r="BH3196" t="str">
            <v/>
          </cell>
        </row>
        <row r="3197">
          <cell r="AA3197">
            <v>2</v>
          </cell>
          <cell r="BC3197" t="str">
            <v/>
          </cell>
          <cell r="BH3197" t="str">
            <v/>
          </cell>
        </row>
        <row r="3198">
          <cell r="AA3198">
            <v>2</v>
          </cell>
          <cell r="BC3198" t="str">
            <v/>
          </cell>
          <cell r="BH3198" t="str">
            <v/>
          </cell>
        </row>
        <row r="3199">
          <cell r="AA3199">
            <v>2</v>
          </cell>
          <cell r="BC3199" t="str">
            <v/>
          </cell>
          <cell r="BH3199" t="str">
            <v/>
          </cell>
        </row>
        <row r="3200">
          <cell r="AA3200">
            <v>2</v>
          </cell>
          <cell r="BC3200" t="str">
            <v/>
          </cell>
          <cell r="BH3200" t="str">
            <v/>
          </cell>
        </row>
        <row r="3201">
          <cell r="AA3201">
            <v>2</v>
          </cell>
          <cell r="BC3201" t="str">
            <v/>
          </cell>
          <cell r="BH3201" t="str">
            <v/>
          </cell>
        </row>
        <row r="3202">
          <cell r="BC3202" t="str">
            <v/>
          </cell>
          <cell r="BH3202" t="str">
            <v/>
          </cell>
        </row>
        <row r="3203">
          <cell r="AA3203">
            <v>2</v>
          </cell>
          <cell r="BC3203" t="str">
            <v/>
          </cell>
          <cell r="BH3203" t="str">
            <v/>
          </cell>
        </row>
        <row r="3204">
          <cell r="AA3204">
            <v>2</v>
          </cell>
          <cell r="BC3204" t="str">
            <v/>
          </cell>
          <cell r="BH3204" t="str">
            <v/>
          </cell>
        </row>
        <row r="3205">
          <cell r="AA3205">
            <v>2</v>
          </cell>
          <cell r="AR3205" t="b">
            <v>0</v>
          </cell>
          <cell r="BC3205" t="str">
            <v/>
          </cell>
          <cell r="BH3205" t="str">
            <v/>
          </cell>
        </row>
        <row r="3206">
          <cell r="AA3206">
            <v>2</v>
          </cell>
          <cell r="AR3206" t="b">
            <v>0</v>
          </cell>
          <cell r="BC3206" t="str">
            <v/>
          </cell>
          <cell r="BH3206" t="str">
            <v/>
          </cell>
        </row>
        <row r="3207">
          <cell r="AA3207">
            <v>2</v>
          </cell>
          <cell r="AR3207" t="b">
            <v>0</v>
          </cell>
          <cell r="BC3207" t="str">
            <v/>
          </cell>
          <cell r="BH3207" t="str">
            <v/>
          </cell>
        </row>
        <row r="3208">
          <cell r="AA3208">
            <v>2</v>
          </cell>
          <cell r="BC3208" t="str">
            <v/>
          </cell>
          <cell r="BH3208" t="str">
            <v/>
          </cell>
        </row>
        <row r="3209">
          <cell r="AA3209">
            <v>2</v>
          </cell>
          <cell r="BC3209" t="str">
            <v/>
          </cell>
          <cell r="BH3209" t="str">
            <v/>
          </cell>
        </row>
        <row r="3210">
          <cell r="AA3210">
            <v>2</v>
          </cell>
          <cell r="BC3210" t="str">
            <v/>
          </cell>
          <cell r="BH3210" t="str">
            <v/>
          </cell>
        </row>
        <row r="3211">
          <cell r="AA3211">
            <v>2</v>
          </cell>
          <cell r="BC3211" t="str">
            <v/>
          </cell>
          <cell r="BH3211" t="str">
            <v/>
          </cell>
        </row>
        <row r="3212">
          <cell r="AA3212">
            <v>2</v>
          </cell>
          <cell r="BC3212" t="str">
            <v/>
          </cell>
          <cell r="BH3212" t="str">
            <v/>
          </cell>
        </row>
        <row r="3213">
          <cell r="BC3213" t="str">
            <v/>
          </cell>
          <cell r="BH3213" t="str">
            <v/>
          </cell>
        </row>
        <row r="3214">
          <cell r="BC3214" t="str">
            <v/>
          </cell>
          <cell r="BH3214" t="str">
            <v/>
          </cell>
        </row>
        <row r="3215">
          <cell r="AA3215">
            <v>2</v>
          </cell>
          <cell r="BC3215" t="str">
            <v/>
          </cell>
          <cell r="BH3215" t="str">
            <v/>
          </cell>
        </row>
        <row r="3216">
          <cell r="AA3216">
            <v>2</v>
          </cell>
          <cell r="BC3216" t="str">
            <v/>
          </cell>
          <cell r="BH3216" t="str">
            <v/>
          </cell>
        </row>
        <row r="3217">
          <cell r="AA3217">
            <v>2</v>
          </cell>
          <cell r="BC3217" t="str">
            <v/>
          </cell>
          <cell r="BH3217" t="str">
            <v/>
          </cell>
        </row>
        <row r="3218">
          <cell r="AA3218">
            <v>2</v>
          </cell>
          <cell r="BC3218" t="str">
            <v/>
          </cell>
          <cell r="BH3218" t="str">
            <v/>
          </cell>
        </row>
        <row r="3219">
          <cell r="AA3219">
            <v>2</v>
          </cell>
          <cell r="BC3219" t="str">
            <v/>
          </cell>
          <cell r="BH3219" t="str">
            <v/>
          </cell>
        </row>
        <row r="3220">
          <cell r="AA3220">
            <v>2</v>
          </cell>
          <cell r="BC3220" t="str">
            <v/>
          </cell>
          <cell r="BH3220" t="str">
            <v/>
          </cell>
        </row>
        <row r="3221">
          <cell r="AA3221">
            <v>2</v>
          </cell>
          <cell r="BC3221" t="str">
            <v/>
          </cell>
          <cell r="BH3221" t="str">
            <v/>
          </cell>
        </row>
        <row r="3222">
          <cell r="BC3222" t="str">
            <v/>
          </cell>
          <cell r="BH3222" t="str">
            <v/>
          </cell>
        </row>
        <row r="3223">
          <cell r="BC3223" t="str">
            <v/>
          </cell>
          <cell r="BH3223" t="str">
            <v/>
          </cell>
        </row>
        <row r="3224">
          <cell r="AA3224">
            <v>2</v>
          </cell>
          <cell r="BC3224" t="str">
            <v/>
          </cell>
          <cell r="BH3224" t="str">
            <v/>
          </cell>
        </row>
        <row r="3225">
          <cell r="AA3225">
            <v>2</v>
          </cell>
          <cell r="BC3225" t="str">
            <v/>
          </cell>
          <cell r="BH3225" t="str">
            <v/>
          </cell>
        </row>
        <row r="3226">
          <cell r="AA3226">
            <v>2</v>
          </cell>
          <cell r="BC3226" t="str">
            <v/>
          </cell>
          <cell r="BH3226" t="str">
            <v/>
          </cell>
        </row>
        <row r="3227">
          <cell r="AA3227">
            <v>2</v>
          </cell>
          <cell r="BC3227" t="str">
            <v/>
          </cell>
          <cell r="BH3227" t="str">
            <v/>
          </cell>
        </row>
        <row r="3228">
          <cell r="AA3228">
            <v>2</v>
          </cell>
          <cell r="BC3228" t="str">
            <v/>
          </cell>
          <cell r="BH3228" t="str">
            <v/>
          </cell>
        </row>
        <row r="3229">
          <cell r="AA3229">
            <v>2</v>
          </cell>
          <cell r="BC3229" t="str">
            <v/>
          </cell>
          <cell r="BH3229" t="str">
            <v/>
          </cell>
        </row>
        <row r="3230">
          <cell r="BC3230" t="str">
            <v/>
          </cell>
          <cell r="BH3230" t="str">
            <v/>
          </cell>
        </row>
        <row r="3231">
          <cell r="AA3231">
            <v>2</v>
          </cell>
          <cell r="AR3231" t="b">
            <v>0</v>
          </cell>
          <cell r="BC3231" t="str">
            <v/>
          </cell>
          <cell r="BH3231" t="str">
            <v/>
          </cell>
        </row>
        <row r="3232">
          <cell r="AA3232">
            <v>2</v>
          </cell>
          <cell r="AR3232" t="b">
            <v>0</v>
          </cell>
          <cell r="BC3232" t="str">
            <v/>
          </cell>
          <cell r="BH3232" t="str">
            <v/>
          </cell>
        </row>
        <row r="3233">
          <cell r="BC3233" t="str">
            <v/>
          </cell>
          <cell r="BH3233" t="str">
            <v/>
          </cell>
        </row>
        <row r="3234">
          <cell r="AA3234">
            <v>2</v>
          </cell>
          <cell r="BC3234" t="str">
            <v/>
          </cell>
          <cell r="BH3234" t="str">
            <v/>
          </cell>
        </row>
        <row r="3235">
          <cell r="AA3235">
            <v>2</v>
          </cell>
          <cell r="AR3235" t="b">
            <v>0</v>
          </cell>
          <cell r="BC3235" t="str">
            <v/>
          </cell>
          <cell r="BH3235" t="str">
            <v/>
          </cell>
        </row>
        <row r="3236">
          <cell r="AA3236">
            <v>2</v>
          </cell>
          <cell r="BC3236" t="str">
            <v/>
          </cell>
          <cell r="BH3236" t="str">
            <v/>
          </cell>
        </row>
        <row r="3237">
          <cell r="AA3237">
            <v>2</v>
          </cell>
          <cell r="AR3237" t="b">
            <v>0</v>
          </cell>
          <cell r="BC3237" t="str">
            <v/>
          </cell>
          <cell r="BH3237" t="str">
            <v/>
          </cell>
        </row>
        <row r="3238">
          <cell r="AA3238">
            <v>2</v>
          </cell>
          <cell r="BC3238" t="str">
            <v/>
          </cell>
          <cell r="BH3238" t="str">
            <v/>
          </cell>
        </row>
        <row r="3239">
          <cell r="AA3239">
            <v>2</v>
          </cell>
          <cell r="AR3239" t="b">
            <v>0</v>
          </cell>
          <cell r="BC3239" t="str">
            <v/>
          </cell>
          <cell r="BH3239" t="str">
            <v/>
          </cell>
        </row>
        <row r="3240">
          <cell r="AA3240">
            <v>2</v>
          </cell>
          <cell r="AR3240" t="b">
            <v>0</v>
          </cell>
          <cell r="BC3240" t="str">
            <v/>
          </cell>
          <cell r="BH3240" t="str">
            <v/>
          </cell>
        </row>
        <row r="3241">
          <cell r="AA3241">
            <v>2</v>
          </cell>
          <cell r="BC3241" t="str">
            <v/>
          </cell>
          <cell r="BH3241" t="str">
            <v/>
          </cell>
        </row>
        <row r="3242">
          <cell r="AA3242">
            <v>2</v>
          </cell>
          <cell r="BC3242" t="str">
            <v/>
          </cell>
          <cell r="BH3242" t="str">
            <v/>
          </cell>
        </row>
        <row r="3243">
          <cell r="AA3243">
            <v>2</v>
          </cell>
          <cell r="BC3243" t="str">
            <v/>
          </cell>
          <cell r="BH3243" t="str">
            <v/>
          </cell>
        </row>
        <row r="3244">
          <cell r="AA3244">
            <v>2</v>
          </cell>
          <cell r="BC3244" t="str">
            <v/>
          </cell>
          <cell r="BH3244" t="str">
            <v/>
          </cell>
        </row>
        <row r="3245">
          <cell r="AA3245">
            <v>2</v>
          </cell>
          <cell r="BC3245" t="str">
            <v/>
          </cell>
          <cell r="BH3245" t="str">
            <v/>
          </cell>
        </row>
        <row r="3246">
          <cell r="AA3246">
            <v>2</v>
          </cell>
          <cell r="AR3246" t="b">
            <v>0</v>
          </cell>
          <cell r="BC3246" t="str">
            <v/>
          </cell>
          <cell r="BH3246" t="str">
            <v/>
          </cell>
        </row>
        <row r="3247">
          <cell r="AA3247">
            <v>2</v>
          </cell>
          <cell r="BC3247" t="str">
            <v/>
          </cell>
          <cell r="BH3247" t="str">
            <v/>
          </cell>
        </row>
        <row r="3248">
          <cell r="AA3248">
            <v>2</v>
          </cell>
          <cell r="BC3248" t="str">
            <v/>
          </cell>
          <cell r="BH3248" t="str">
            <v/>
          </cell>
        </row>
        <row r="3249">
          <cell r="AA3249">
            <v>2</v>
          </cell>
          <cell r="BC3249" t="str">
            <v/>
          </cell>
          <cell r="BH3249" t="str">
            <v/>
          </cell>
        </row>
        <row r="3250">
          <cell r="AA3250">
            <v>2</v>
          </cell>
          <cell r="BC3250" t="str">
            <v/>
          </cell>
          <cell r="BH3250" t="str">
            <v/>
          </cell>
        </row>
        <row r="3251">
          <cell r="AA3251">
            <v>2</v>
          </cell>
          <cell r="AR3251" t="b">
            <v>0</v>
          </cell>
          <cell r="BC3251" t="str">
            <v/>
          </cell>
          <cell r="BH3251" t="str">
            <v/>
          </cell>
        </row>
        <row r="3252">
          <cell r="AA3252">
            <v>2</v>
          </cell>
          <cell r="AR3252" t="b">
            <v>0</v>
          </cell>
          <cell r="BC3252" t="str">
            <v/>
          </cell>
          <cell r="BH3252" t="str">
            <v/>
          </cell>
        </row>
        <row r="3253">
          <cell r="AA3253">
            <v>2</v>
          </cell>
          <cell r="AR3253" t="b">
            <v>0</v>
          </cell>
          <cell r="BC3253" t="str">
            <v/>
          </cell>
          <cell r="BH3253" t="str">
            <v/>
          </cell>
        </row>
        <row r="3254">
          <cell r="AA3254">
            <v>2</v>
          </cell>
          <cell r="AR3254" t="b">
            <v>0</v>
          </cell>
          <cell r="BC3254" t="str">
            <v/>
          </cell>
          <cell r="BH3254" t="str">
            <v/>
          </cell>
        </row>
        <row r="3255">
          <cell r="AA3255">
            <v>2</v>
          </cell>
          <cell r="BC3255" t="str">
            <v/>
          </cell>
          <cell r="BH3255" t="str">
            <v/>
          </cell>
        </row>
        <row r="3256">
          <cell r="BC3256" t="str">
            <v/>
          </cell>
          <cell r="BH3256" t="str">
            <v/>
          </cell>
        </row>
        <row r="3257">
          <cell r="BC3257" t="str">
            <v/>
          </cell>
          <cell r="BH3257" t="str">
            <v/>
          </cell>
        </row>
        <row r="3258">
          <cell r="AA3258">
            <v>0</v>
          </cell>
          <cell r="BC3258" t="str">
            <v/>
          </cell>
          <cell r="BH3258" t="str">
            <v/>
          </cell>
        </row>
        <row r="3259">
          <cell r="AA3259">
            <v>0</v>
          </cell>
          <cell r="AR3259" t="b">
            <v>0</v>
          </cell>
          <cell r="BC3259" t="str">
            <v/>
          </cell>
          <cell r="BH3259" t="str">
            <v/>
          </cell>
        </row>
        <row r="3260">
          <cell r="AA3260">
            <v>0</v>
          </cell>
          <cell r="AR3260" t="b">
            <v>0</v>
          </cell>
          <cell r="BC3260" t="str">
            <v/>
          </cell>
          <cell r="BH3260" t="str">
            <v/>
          </cell>
        </row>
        <row r="3261">
          <cell r="AA3261">
            <v>0</v>
          </cell>
          <cell r="AR3261" t="b">
            <v>0</v>
          </cell>
          <cell r="BC3261" t="str">
            <v/>
          </cell>
          <cell r="BH3261" t="str">
            <v/>
          </cell>
        </row>
        <row r="3262">
          <cell r="AA3262">
            <v>0</v>
          </cell>
          <cell r="AR3262" t="b">
            <v>0</v>
          </cell>
          <cell r="BC3262" t="str">
            <v/>
          </cell>
          <cell r="BH3262" t="str">
            <v/>
          </cell>
        </row>
        <row r="3263">
          <cell r="AA3263">
            <v>0</v>
          </cell>
          <cell r="BC3263" t="str">
            <v/>
          </cell>
          <cell r="BH3263" t="str">
            <v/>
          </cell>
        </row>
        <row r="3264">
          <cell r="AA3264">
            <v>0</v>
          </cell>
          <cell r="AR3264" t="b">
            <v>0</v>
          </cell>
          <cell r="BC3264" t="str">
            <v/>
          </cell>
          <cell r="BH3264" t="str">
            <v/>
          </cell>
        </row>
        <row r="3265">
          <cell r="AA3265">
            <v>0</v>
          </cell>
          <cell r="AR3265" t="b">
            <v>0</v>
          </cell>
          <cell r="BC3265" t="str">
            <v/>
          </cell>
          <cell r="BH3265" t="str">
            <v/>
          </cell>
        </row>
        <row r="3266">
          <cell r="AA3266">
            <v>0</v>
          </cell>
          <cell r="BC3266" t="str">
            <v/>
          </cell>
          <cell r="BH3266" t="str">
            <v/>
          </cell>
        </row>
        <row r="3267">
          <cell r="AA3267">
            <v>0</v>
          </cell>
          <cell r="BC3267" t="str">
            <v/>
          </cell>
          <cell r="BH3267" t="str">
            <v/>
          </cell>
        </row>
        <row r="3268">
          <cell r="AA3268">
            <v>0</v>
          </cell>
          <cell r="BC3268" t="str">
            <v/>
          </cell>
          <cell r="BH3268" t="str">
            <v/>
          </cell>
        </row>
        <row r="3269">
          <cell r="AA3269">
            <v>0</v>
          </cell>
          <cell r="AR3269" t="b">
            <v>0</v>
          </cell>
          <cell r="BC3269" t="str">
            <v/>
          </cell>
          <cell r="BH3269" t="str">
            <v/>
          </cell>
        </row>
        <row r="3270">
          <cell r="AA3270">
            <v>0</v>
          </cell>
          <cell r="BC3270" t="str">
            <v/>
          </cell>
          <cell r="BH3270" t="str">
            <v/>
          </cell>
        </row>
        <row r="3271">
          <cell r="AA3271">
            <v>0</v>
          </cell>
          <cell r="BC3271" t="str">
            <v/>
          </cell>
          <cell r="BH3271" t="str">
            <v/>
          </cell>
        </row>
        <row r="3272">
          <cell r="AA3272">
            <v>0</v>
          </cell>
          <cell r="AR3272" t="b">
            <v>0</v>
          </cell>
          <cell r="BC3272" t="str">
            <v/>
          </cell>
          <cell r="BH3272" t="str">
            <v/>
          </cell>
        </row>
        <row r="3273">
          <cell r="AA3273">
            <v>0</v>
          </cell>
          <cell r="AR3273" t="b">
            <v>0</v>
          </cell>
          <cell r="BC3273" t="str">
            <v/>
          </cell>
          <cell r="BH3273" t="str">
            <v/>
          </cell>
        </row>
        <row r="3274">
          <cell r="AA3274">
            <v>0</v>
          </cell>
          <cell r="AR3274" t="b">
            <v>0</v>
          </cell>
          <cell r="BC3274" t="str">
            <v/>
          </cell>
          <cell r="BH3274" t="str">
            <v/>
          </cell>
        </row>
        <row r="3275">
          <cell r="AA3275">
            <v>0</v>
          </cell>
          <cell r="BC3275" t="str">
            <v/>
          </cell>
          <cell r="BH3275" t="str">
            <v/>
          </cell>
        </row>
        <row r="3276">
          <cell r="AA3276">
            <v>0</v>
          </cell>
          <cell r="BC3276" t="str">
            <v/>
          </cell>
          <cell r="BH3276" t="str">
            <v/>
          </cell>
        </row>
        <row r="3277">
          <cell r="AA3277">
            <v>0</v>
          </cell>
          <cell r="BC3277" t="str">
            <v/>
          </cell>
          <cell r="BH3277" t="str">
            <v/>
          </cell>
        </row>
        <row r="3278">
          <cell r="AA3278">
            <v>0</v>
          </cell>
          <cell r="BC3278" t="str">
            <v/>
          </cell>
          <cell r="BH3278" t="str">
            <v/>
          </cell>
        </row>
        <row r="3279">
          <cell r="AA3279">
            <v>0</v>
          </cell>
          <cell r="BC3279" t="str">
            <v/>
          </cell>
          <cell r="BH3279" t="str">
            <v/>
          </cell>
        </row>
        <row r="3280">
          <cell r="AA3280">
            <v>0</v>
          </cell>
          <cell r="AR3280" t="b">
            <v>0</v>
          </cell>
          <cell r="BC3280" t="str">
            <v/>
          </cell>
          <cell r="BH3280" t="str">
            <v/>
          </cell>
        </row>
        <row r="3281">
          <cell r="AA3281">
            <v>0</v>
          </cell>
          <cell r="AR3281" t="b">
            <v>0</v>
          </cell>
          <cell r="BC3281" t="str">
            <v/>
          </cell>
          <cell r="BH3281" t="str">
            <v/>
          </cell>
        </row>
        <row r="3282">
          <cell r="AA3282">
            <v>0</v>
          </cell>
          <cell r="AR3282" t="b">
            <v>0</v>
          </cell>
          <cell r="BC3282" t="str">
            <v/>
          </cell>
          <cell r="BH3282" t="str">
            <v/>
          </cell>
        </row>
        <row r="3283">
          <cell r="AA3283">
            <v>0</v>
          </cell>
          <cell r="BC3283" t="str">
            <v/>
          </cell>
          <cell r="BH3283" t="str">
            <v/>
          </cell>
        </row>
        <row r="3284">
          <cell r="AA3284">
            <v>0</v>
          </cell>
          <cell r="AR3284" t="b">
            <v>0</v>
          </cell>
          <cell r="BC3284" t="str">
            <v/>
          </cell>
          <cell r="BH3284" t="str">
            <v/>
          </cell>
        </row>
        <row r="3285">
          <cell r="AA3285">
            <v>0</v>
          </cell>
          <cell r="AR3285" t="b">
            <v>0</v>
          </cell>
          <cell r="BC3285" t="str">
            <v/>
          </cell>
          <cell r="BH3285" t="str">
            <v/>
          </cell>
        </row>
        <row r="3286">
          <cell r="AA3286">
            <v>0</v>
          </cell>
          <cell r="AR3286" t="b">
            <v>0</v>
          </cell>
          <cell r="BC3286" t="str">
            <v/>
          </cell>
          <cell r="BH3286" t="str">
            <v/>
          </cell>
        </row>
        <row r="3287">
          <cell r="AA3287">
            <v>0</v>
          </cell>
          <cell r="BC3287" t="str">
            <v/>
          </cell>
          <cell r="BH3287" t="str">
            <v/>
          </cell>
        </row>
        <row r="3288">
          <cell r="AA3288">
            <v>0</v>
          </cell>
          <cell r="AR3288" t="b">
            <v>0</v>
          </cell>
          <cell r="BC3288" t="str">
            <v/>
          </cell>
          <cell r="BH3288" t="str">
            <v/>
          </cell>
        </row>
        <row r="3289">
          <cell r="AA3289">
            <v>0</v>
          </cell>
          <cell r="AR3289" t="b">
            <v>0</v>
          </cell>
          <cell r="BC3289" t="str">
            <v/>
          </cell>
          <cell r="BH3289" t="str">
            <v/>
          </cell>
        </row>
        <row r="3290">
          <cell r="AA3290">
            <v>0</v>
          </cell>
          <cell r="BC3290" t="str">
            <v/>
          </cell>
          <cell r="BH3290" t="str">
            <v/>
          </cell>
        </row>
        <row r="3291">
          <cell r="AA3291">
            <v>0</v>
          </cell>
          <cell r="AQ3291">
            <v>0</v>
          </cell>
          <cell r="BC3291" t="str">
            <v/>
          </cell>
          <cell r="BH3291" t="str">
            <v/>
          </cell>
        </row>
        <row r="3292">
          <cell r="AA3292">
            <v>0</v>
          </cell>
          <cell r="AR3292" t="b">
            <v>0</v>
          </cell>
          <cell r="BC3292" t="str">
            <v/>
          </cell>
          <cell r="BH3292" t="str">
            <v/>
          </cell>
        </row>
        <row r="3293">
          <cell r="AA3293">
            <v>0</v>
          </cell>
          <cell r="AQ3293">
            <v>0</v>
          </cell>
          <cell r="BC3293" t="str">
            <v/>
          </cell>
          <cell r="BH3293" t="str">
            <v/>
          </cell>
        </row>
        <row r="3294">
          <cell r="AA3294">
            <v>0</v>
          </cell>
          <cell r="BC3294" t="str">
            <v/>
          </cell>
          <cell r="BH3294" t="str">
            <v/>
          </cell>
        </row>
        <row r="3295">
          <cell r="AA3295">
            <v>0</v>
          </cell>
          <cell r="BC3295" t="str">
            <v/>
          </cell>
          <cell r="BH3295" t="str">
            <v/>
          </cell>
        </row>
        <row r="3296">
          <cell r="AA3296">
            <v>0</v>
          </cell>
          <cell r="BC3296" t="str">
            <v/>
          </cell>
          <cell r="BH3296" t="str">
            <v/>
          </cell>
        </row>
        <row r="3297">
          <cell r="AA3297">
            <v>0</v>
          </cell>
          <cell r="AO3297" t="str">
            <v/>
          </cell>
          <cell r="AR3297" t="b">
            <v>0</v>
          </cell>
          <cell r="BC3297" t="str">
            <v/>
          </cell>
          <cell r="BH3297" t="str">
            <v/>
          </cell>
        </row>
        <row r="3298">
          <cell r="AA3298">
            <v>0</v>
          </cell>
          <cell r="AO3298" t="str">
            <v/>
          </cell>
          <cell r="AR3298" t="b">
            <v>0</v>
          </cell>
          <cell r="BC3298" t="str">
            <v/>
          </cell>
          <cell r="BH3298" t="str">
            <v/>
          </cell>
        </row>
        <row r="3299">
          <cell r="AA3299">
            <v>0</v>
          </cell>
          <cell r="AO3299" t="str">
            <v/>
          </cell>
          <cell r="AR3299" t="b">
            <v>0</v>
          </cell>
          <cell r="BC3299" t="str">
            <v/>
          </cell>
          <cell r="BH3299" t="str">
            <v/>
          </cell>
        </row>
        <row r="3300">
          <cell r="AA3300">
            <v>0</v>
          </cell>
          <cell r="AQ3300">
            <v>0</v>
          </cell>
          <cell r="BC3300" t="str">
            <v/>
          </cell>
          <cell r="BH3300" t="str">
            <v/>
          </cell>
        </row>
        <row r="3301">
          <cell r="AA3301">
            <v>0</v>
          </cell>
          <cell r="BC3301" t="str">
            <v/>
          </cell>
          <cell r="BH3301" t="str">
            <v/>
          </cell>
        </row>
        <row r="3302">
          <cell r="AA3302">
            <v>0</v>
          </cell>
          <cell r="AR3302" t="b">
            <v>0</v>
          </cell>
          <cell r="BC3302" t="str">
            <v/>
          </cell>
          <cell r="BH3302" t="str">
            <v/>
          </cell>
        </row>
        <row r="3303">
          <cell r="AA3303">
            <v>0</v>
          </cell>
          <cell r="AR3303" t="b">
            <v>0</v>
          </cell>
          <cell r="BC3303" t="str">
            <v/>
          </cell>
          <cell r="BH3303" t="str">
            <v/>
          </cell>
        </row>
        <row r="3304">
          <cell r="AA3304">
            <v>0</v>
          </cell>
          <cell r="BC3304" t="str">
            <v/>
          </cell>
          <cell r="BH3304" t="str">
            <v/>
          </cell>
        </row>
        <row r="3305">
          <cell r="AA3305">
            <v>0</v>
          </cell>
          <cell r="AR3305" t="b">
            <v>0</v>
          </cell>
          <cell r="BC3305" t="str">
            <v/>
          </cell>
          <cell r="BH3305" t="str">
            <v/>
          </cell>
        </row>
        <row r="3306">
          <cell r="AA3306">
            <v>0</v>
          </cell>
          <cell r="AR3306" t="b">
            <v>0</v>
          </cell>
          <cell r="BC3306" t="str">
            <v/>
          </cell>
          <cell r="BH3306" t="str">
            <v/>
          </cell>
        </row>
        <row r="3307">
          <cell r="AA3307">
            <v>0</v>
          </cell>
          <cell r="BC3307" t="str">
            <v/>
          </cell>
          <cell r="BH3307" t="str">
            <v/>
          </cell>
        </row>
        <row r="3308">
          <cell r="AA3308">
            <v>0</v>
          </cell>
          <cell r="AR3308" t="b">
            <v>0</v>
          </cell>
          <cell r="BC3308" t="str">
            <v/>
          </cell>
          <cell r="BH3308" t="str">
            <v/>
          </cell>
        </row>
        <row r="3309">
          <cell r="AA3309">
            <v>0</v>
          </cell>
          <cell r="AR3309" t="b">
            <v>0</v>
          </cell>
          <cell r="BC3309" t="str">
            <v/>
          </cell>
          <cell r="BH3309" t="str">
            <v/>
          </cell>
        </row>
        <row r="3310">
          <cell r="AA3310">
            <v>0</v>
          </cell>
          <cell r="AR3310" t="b">
            <v>0</v>
          </cell>
          <cell r="BC3310" t="str">
            <v/>
          </cell>
          <cell r="BH3310" t="str">
            <v/>
          </cell>
        </row>
        <row r="3311">
          <cell r="AA3311">
            <v>0</v>
          </cell>
          <cell r="AR3311" t="b">
            <v>0</v>
          </cell>
          <cell r="BC3311" t="str">
            <v/>
          </cell>
          <cell r="BH3311" t="str">
            <v/>
          </cell>
        </row>
        <row r="3312">
          <cell r="AA3312">
            <v>0</v>
          </cell>
          <cell r="AR3312" t="b">
            <v>0</v>
          </cell>
          <cell r="BC3312" t="str">
            <v/>
          </cell>
          <cell r="BH3312" t="str">
            <v/>
          </cell>
        </row>
        <row r="3313">
          <cell r="AA3313">
            <v>0</v>
          </cell>
          <cell r="AR3313" t="b">
            <v>0</v>
          </cell>
          <cell r="BC3313" t="str">
            <v/>
          </cell>
          <cell r="BH3313" t="str">
            <v/>
          </cell>
        </row>
        <row r="3314">
          <cell r="AA3314">
            <v>0</v>
          </cell>
          <cell r="AR3314" t="b">
            <v>0</v>
          </cell>
          <cell r="BC3314" t="str">
            <v/>
          </cell>
          <cell r="BH3314" t="str">
            <v/>
          </cell>
        </row>
        <row r="3315">
          <cell r="AA3315">
            <v>0</v>
          </cell>
          <cell r="AR3315" t="b">
            <v>0</v>
          </cell>
          <cell r="BC3315" t="str">
            <v/>
          </cell>
          <cell r="BH3315" t="str">
            <v/>
          </cell>
        </row>
        <row r="3316">
          <cell r="AA3316">
            <v>0</v>
          </cell>
          <cell r="AR3316" t="b">
            <v>0</v>
          </cell>
          <cell r="BC3316" t="str">
            <v/>
          </cell>
          <cell r="BH3316" t="str">
            <v/>
          </cell>
        </row>
        <row r="3317">
          <cell r="AA3317">
            <v>0</v>
          </cell>
          <cell r="AR3317" t="b">
            <v>0</v>
          </cell>
          <cell r="BC3317" t="str">
            <v/>
          </cell>
          <cell r="BH3317" t="str">
            <v/>
          </cell>
        </row>
        <row r="3318">
          <cell r="AA3318">
            <v>0</v>
          </cell>
          <cell r="AR3318" t="b">
            <v>0</v>
          </cell>
          <cell r="BC3318" t="str">
            <v/>
          </cell>
          <cell r="BH3318" t="str">
            <v/>
          </cell>
        </row>
        <row r="3319">
          <cell r="AA3319">
            <v>0</v>
          </cell>
          <cell r="AR3319" t="b">
            <v>0</v>
          </cell>
          <cell r="BC3319" t="str">
            <v/>
          </cell>
          <cell r="BH3319" t="str">
            <v/>
          </cell>
        </row>
        <row r="3320">
          <cell r="AA3320">
            <v>0</v>
          </cell>
          <cell r="AR3320" t="b">
            <v>0</v>
          </cell>
          <cell r="BC3320" t="str">
            <v/>
          </cell>
          <cell r="BH3320" t="str">
            <v/>
          </cell>
        </row>
        <row r="3321">
          <cell r="AA3321">
            <v>0</v>
          </cell>
          <cell r="AR3321" t="b">
            <v>0</v>
          </cell>
          <cell r="BC3321" t="str">
            <v/>
          </cell>
          <cell r="BH3321" t="str">
            <v/>
          </cell>
        </row>
        <row r="3322">
          <cell r="AA3322">
            <v>0</v>
          </cell>
          <cell r="AR3322" t="b">
            <v>0</v>
          </cell>
          <cell r="BC3322" t="str">
            <v/>
          </cell>
          <cell r="BH3322" t="str">
            <v/>
          </cell>
        </row>
        <row r="3323">
          <cell r="AA3323">
            <v>0</v>
          </cell>
          <cell r="AR3323" t="b">
            <v>0</v>
          </cell>
          <cell r="BC3323" t="str">
            <v/>
          </cell>
          <cell r="BH3323" t="str">
            <v/>
          </cell>
        </row>
        <row r="3324">
          <cell r="AA3324">
            <v>0</v>
          </cell>
          <cell r="AR3324" t="b">
            <v>0</v>
          </cell>
          <cell r="BC3324" t="str">
            <v/>
          </cell>
          <cell r="BH3324" t="str">
            <v/>
          </cell>
        </row>
        <row r="3325">
          <cell r="AA3325">
            <v>0</v>
          </cell>
          <cell r="AR3325" t="b">
            <v>0</v>
          </cell>
          <cell r="BC3325" t="str">
            <v/>
          </cell>
          <cell r="BH3325" t="str">
            <v/>
          </cell>
        </row>
        <row r="3326">
          <cell r="AA3326">
            <v>0</v>
          </cell>
          <cell r="BC3326" t="str">
            <v/>
          </cell>
          <cell r="BH3326" t="str">
            <v/>
          </cell>
        </row>
        <row r="3327">
          <cell r="AA3327">
            <v>0</v>
          </cell>
          <cell r="BC3327" t="str">
            <v/>
          </cell>
          <cell r="BH3327" t="str">
            <v/>
          </cell>
        </row>
        <row r="3328">
          <cell r="AA3328">
            <v>0</v>
          </cell>
          <cell r="AR3328" t="b">
            <v>0</v>
          </cell>
          <cell r="BC3328" t="str">
            <v/>
          </cell>
          <cell r="BH3328" t="str">
            <v/>
          </cell>
        </row>
        <row r="3329">
          <cell r="AA3329">
            <v>0</v>
          </cell>
          <cell r="AR3329" t="b">
            <v>0</v>
          </cell>
          <cell r="BC3329" t="str">
            <v/>
          </cell>
          <cell r="BH3329" t="str">
            <v/>
          </cell>
        </row>
        <row r="3330">
          <cell r="AA3330">
            <v>0</v>
          </cell>
          <cell r="AR3330" t="b">
            <v>0</v>
          </cell>
          <cell r="BC3330" t="str">
            <v/>
          </cell>
          <cell r="BH3330" t="str">
            <v/>
          </cell>
        </row>
        <row r="3331">
          <cell r="AA3331">
            <v>0</v>
          </cell>
          <cell r="AQ3331">
            <v>0</v>
          </cell>
          <cell r="AR3331" t="b">
            <v>0</v>
          </cell>
          <cell r="BC3331" t="str">
            <v/>
          </cell>
          <cell r="BH3331" t="str">
            <v/>
          </cell>
        </row>
        <row r="3332">
          <cell r="AA3332">
            <v>0</v>
          </cell>
          <cell r="AR3332" t="b">
            <v>0</v>
          </cell>
          <cell r="BC3332" t="str">
            <v/>
          </cell>
          <cell r="BH3332" t="str">
            <v/>
          </cell>
        </row>
        <row r="3333">
          <cell r="AA3333">
            <v>0</v>
          </cell>
          <cell r="BC3333" t="str">
            <v/>
          </cell>
          <cell r="BH3333" t="str">
            <v/>
          </cell>
        </row>
        <row r="3334">
          <cell r="AA3334">
            <v>0</v>
          </cell>
          <cell r="AR3334" t="b">
            <v>0</v>
          </cell>
          <cell r="BC3334" t="str">
            <v/>
          </cell>
          <cell r="BH3334" t="str">
            <v/>
          </cell>
        </row>
        <row r="3335">
          <cell r="AA3335">
            <v>0</v>
          </cell>
          <cell r="BC3335" t="str">
            <v/>
          </cell>
          <cell r="BH3335" t="str">
            <v/>
          </cell>
        </row>
        <row r="3336">
          <cell r="AA3336">
            <v>0</v>
          </cell>
          <cell r="BC3336" t="str">
            <v/>
          </cell>
          <cell r="BH3336" t="str">
            <v/>
          </cell>
        </row>
        <row r="3337">
          <cell r="AA3337">
            <v>0</v>
          </cell>
          <cell r="AQ3337">
            <v>1</v>
          </cell>
          <cell r="AR3337" t="b">
            <v>0</v>
          </cell>
          <cell r="BC3337" t="str">
            <v/>
          </cell>
          <cell r="BH3337" t="str">
            <v/>
          </cell>
        </row>
        <row r="3338">
          <cell r="AA3338">
            <v>0</v>
          </cell>
          <cell r="AR3338" t="b">
            <v>0</v>
          </cell>
          <cell r="BC3338" t="str">
            <v/>
          </cell>
          <cell r="BH3338" t="str">
            <v/>
          </cell>
        </row>
        <row r="3339">
          <cell r="AA3339">
            <v>0</v>
          </cell>
          <cell r="BC3339" t="str">
            <v/>
          </cell>
          <cell r="BH3339" t="str">
            <v/>
          </cell>
        </row>
        <row r="3340">
          <cell r="AA3340">
            <v>0</v>
          </cell>
          <cell r="AR3340" t="b">
            <v>0</v>
          </cell>
          <cell r="BC3340" t="str">
            <v/>
          </cell>
          <cell r="BH3340" t="str">
            <v/>
          </cell>
        </row>
        <row r="3341">
          <cell r="AA3341">
            <v>0</v>
          </cell>
          <cell r="AR3341" t="b">
            <v>0</v>
          </cell>
          <cell r="BC3341" t="str">
            <v/>
          </cell>
          <cell r="BH3341" t="str">
            <v/>
          </cell>
        </row>
        <row r="3342">
          <cell r="AA3342">
            <v>0</v>
          </cell>
          <cell r="BC3342" t="str">
            <v/>
          </cell>
          <cell r="BH3342" t="str">
            <v/>
          </cell>
        </row>
        <row r="3343">
          <cell r="AA3343">
            <v>0</v>
          </cell>
          <cell r="BC3343" t="str">
            <v/>
          </cell>
          <cell r="BH3343" t="str">
            <v/>
          </cell>
        </row>
        <row r="3344">
          <cell r="AA3344">
            <v>0</v>
          </cell>
          <cell r="BC3344" t="str">
            <v/>
          </cell>
          <cell r="BH3344" t="str">
            <v/>
          </cell>
        </row>
        <row r="3345">
          <cell r="AA3345">
            <v>0</v>
          </cell>
          <cell r="AR3345" t="b">
            <v>0</v>
          </cell>
          <cell r="BC3345" t="str">
            <v/>
          </cell>
          <cell r="BH3345" t="str">
            <v/>
          </cell>
        </row>
        <row r="3346">
          <cell r="AA3346">
            <v>0</v>
          </cell>
          <cell r="AR3346" t="b">
            <v>0</v>
          </cell>
          <cell r="BC3346" t="str">
            <v/>
          </cell>
          <cell r="BH3346" t="str">
            <v/>
          </cell>
        </row>
        <row r="3347">
          <cell r="AA3347">
            <v>0</v>
          </cell>
          <cell r="BC3347" t="str">
            <v/>
          </cell>
          <cell r="BH3347" t="str">
            <v/>
          </cell>
        </row>
        <row r="3348">
          <cell r="AA3348">
            <v>0</v>
          </cell>
          <cell r="BC3348" t="str">
            <v/>
          </cell>
          <cell r="BH3348" t="str">
            <v/>
          </cell>
        </row>
        <row r="3349">
          <cell r="AA3349">
            <v>0</v>
          </cell>
          <cell r="AR3349" t="b">
            <v>0</v>
          </cell>
          <cell r="BC3349" t="str">
            <v/>
          </cell>
          <cell r="BH3349" t="str">
            <v/>
          </cell>
        </row>
        <row r="3350">
          <cell r="AA3350">
            <v>0</v>
          </cell>
          <cell r="AR3350" t="b">
            <v>0</v>
          </cell>
          <cell r="BC3350" t="str">
            <v/>
          </cell>
          <cell r="BH3350" t="str">
            <v/>
          </cell>
        </row>
        <row r="3351">
          <cell r="AA3351">
            <v>0</v>
          </cell>
          <cell r="BC3351" t="str">
            <v/>
          </cell>
          <cell r="BH3351" t="str">
            <v/>
          </cell>
        </row>
        <row r="3352">
          <cell r="AA3352">
            <v>0</v>
          </cell>
          <cell r="BC3352" t="str">
            <v/>
          </cell>
          <cell r="BH3352" t="str">
            <v/>
          </cell>
        </row>
        <row r="3353">
          <cell r="AA3353">
            <v>0</v>
          </cell>
          <cell r="BC3353" t="str">
            <v/>
          </cell>
          <cell r="BH3353" t="str">
            <v/>
          </cell>
        </row>
        <row r="3354">
          <cell r="AA3354">
            <v>0</v>
          </cell>
          <cell r="BC3354" t="str">
            <v/>
          </cell>
          <cell r="BH3354" t="str">
            <v/>
          </cell>
        </row>
        <row r="3355">
          <cell r="AA3355">
            <v>0</v>
          </cell>
          <cell r="BC3355" t="str">
            <v/>
          </cell>
          <cell r="BH3355" t="str">
            <v/>
          </cell>
        </row>
        <row r="3356">
          <cell r="AA3356">
            <v>0</v>
          </cell>
          <cell r="BC3356" t="str">
            <v/>
          </cell>
          <cell r="BH3356" t="str">
            <v/>
          </cell>
        </row>
        <row r="3357">
          <cell r="AA3357">
            <v>0</v>
          </cell>
          <cell r="AR3357" t="b">
            <v>0</v>
          </cell>
          <cell r="BC3357" t="str">
            <v/>
          </cell>
          <cell r="BH3357" t="str">
            <v/>
          </cell>
        </row>
        <row r="3358">
          <cell r="AA3358">
            <v>0</v>
          </cell>
          <cell r="AR3358" t="b">
            <v>0</v>
          </cell>
          <cell r="BC3358" t="str">
            <v/>
          </cell>
          <cell r="BH3358" t="str">
            <v/>
          </cell>
        </row>
        <row r="3359">
          <cell r="AA3359">
            <v>0</v>
          </cell>
          <cell r="AR3359" t="b">
            <v>0</v>
          </cell>
          <cell r="BC3359" t="str">
            <v/>
          </cell>
          <cell r="BH3359" t="str">
            <v/>
          </cell>
        </row>
        <row r="3360">
          <cell r="AA3360">
            <v>0</v>
          </cell>
          <cell r="AR3360" t="b">
            <v>0</v>
          </cell>
          <cell r="BC3360" t="str">
            <v/>
          </cell>
          <cell r="BH3360" t="str">
            <v/>
          </cell>
        </row>
        <row r="3361">
          <cell r="AA3361">
            <v>0</v>
          </cell>
          <cell r="BC3361" t="str">
            <v/>
          </cell>
          <cell r="BH3361" t="str">
            <v/>
          </cell>
        </row>
        <row r="3362">
          <cell r="AA3362">
            <v>0</v>
          </cell>
          <cell r="BC3362" t="str">
            <v/>
          </cell>
          <cell r="BH3362" t="str">
            <v/>
          </cell>
        </row>
        <row r="3363">
          <cell r="AA3363">
            <v>0</v>
          </cell>
          <cell r="AQ3363">
            <v>0</v>
          </cell>
          <cell r="BC3363" t="str">
            <v/>
          </cell>
          <cell r="BH3363" t="str">
            <v/>
          </cell>
        </row>
        <row r="3364">
          <cell r="AA3364">
            <v>0</v>
          </cell>
          <cell r="BC3364" t="str">
            <v/>
          </cell>
          <cell r="BH3364" t="str">
            <v/>
          </cell>
        </row>
        <row r="3365">
          <cell r="AA3365">
            <v>0</v>
          </cell>
          <cell r="AR3365" t="b">
            <v>0</v>
          </cell>
          <cell r="BC3365" t="str">
            <v/>
          </cell>
          <cell r="BH3365" t="str">
            <v/>
          </cell>
        </row>
        <row r="3366">
          <cell r="AA3366">
            <v>0</v>
          </cell>
          <cell r="BC3366" t="str">
            <v/>
          </cell>
          <cell r="BH3366" t="str">
            <v/>
          </cell>
        </row>
        <row r="3367">
          <cell r="AA3367">
            <v>0</v>
          </cell>
          <cell r="AR3367" t="b">
            <v>0</v>
          </cell>
          <cell r="BC3367" t="str">
            <v/>
          </cell>
          <cell r="BH3367" t="str">
            <v/>
          </cell>
        </row>
        <row r="3368">
          <cell r="AA3368">
            <v>0</v>
          </cell>
          <cell r="AR3368" t="b">
            <v>0</v>
          </cell>
          <cell r="BC3368" t="str">
            <v/>
          </cell>
          <cell r="BH3368" t="str">
            <v/>
          </cell>
        </row>
        <row r="3369">
          <cell r="AA3369">
            <v>0</v>
          </cell>
          <cell r="BC3369" t="str">
            <v/>
          </cell>
          <cell r="BH3369" t="str">
            <v/>
          </cell>
        </row>
        <row r="3370">
          <cell r="AA3370">
            <v>0</v>
          </cell>
          <cell r="BC3370" t="str">
            <v/>
          </cell>
          <cell r="BH3370" t="str">
            <v/>
          </cell>
        </row>
        <row r="3371">
          <cell r="AA3371">
            <v>0</v>
          </cell>
          <cell r="BC3371" t="str">
            <v/>
          </cell>
          <cell r="BH3371" t="str">
            <v/>
          </cell>
        </row>
        <row r="3372">
          <cell r="AA3372">
            <v>0</v>
          </cell>
          <cell r="BC3372" t="str">
            <v/>
          </cell>
          <cell r="BH3372" t="str">
            <v/>
          </cell>
        </row>
        <row r="3373">
          <cell r="AA3373">
            <v>0</v>
          </cell>
          <cell r="AR3373" t="b">
            <v>0</v>
          </cell>
          <cell r="BC3373" t="str">
            <v/>
          </cell>
          <cell r="BH3373" t="str">
            <v/>
          </cell>
        </row>
        <row r="3374">
          <cell r="AA3374">
            <v>0</v>
          </cell>
          <cell r="AR3374" t="b">
            <v>0</v>
          </cell>
          <cell r="BC3374" t="str">
            <v/>
          </cell>
          <cell r="BH3374" t="str">
            <v/>
          </cell>
        </row>
        <row r="3375">
          <cell r="AA3375">
            <v>0</v>
          </cell>
          <cell r="AR3375" t="b">
            <v>0</v>
          </cell>
          <cell r="BC3375" t="str">
            <v/>
          </cell>
          <cell r="BH3375" t="str">
            <v/>
          </cell>
        </row>
        <row r="3376">
          <cell r="AA3376">
            <v>0</v>
          </cell>
          <cell r="BC3376" t="str">
            <v/>
          </cell>
          <cell r="BH3376" t="str">
            <v/>
          </cell>
        </row>
        <row r="3377">
          <cell r="AA3377">
            <v>0</v>
          </cell>
          <cell r="BC3377" t="str">
            <v/>
          </cell>
          <cell r="BH3377" t="str">
            <v/>
          </cell>
        </row>
        <row r="3378">
          <cell r="AA3378">
            <v>0</v>
          </cell>
          <cell r="BC3378" t="str">
            <v/>
          </cell>
          <cell r="BH3378" t="str">
            <v/>
          </cell>
        </row>
        <row r="3379">
          <cell r="AA3379">
            <v>0</v>
          </cell>
          <cell r="AR3379" t="b">
            <v>0</v>
          </cell>
          <cell r="BC3379" t="str">
            <v/>
          </cell>
          <cell r="BH3379" t="str">
            <v/>
          </cell>
        </row>
        <row r="3380">
          <cell r="AA3380">
            <v>0</v>
          </cell>
          <cell r="AR3380" t="b">
            <v>0</v>
          </cell>
          <cell r="BC3380" t="str">
            <v/>
          </cell>
          <cell r="BH3380" t="str">
            <v/>
          </cell>
        </row>
        <row r="3381">
          <cell r="AA3381">
            <v>0</v>
          </cell>
          <cell r="AR3381" t="b">
            <v>0</v>
          </cell>
          <cell r="BC3381" t="str">
            <v/>
          </cell>
          <cell r="BH3381" t="str">
            <v/>
          </cell>
        </row>
        <row r="3382">
          <cell r="AA3382">
            <v>0</v>
          </cell>
          <cell r="AR3382" t="b">
            <v>0</v>
          </cell>
          <cell r="BC3382" t="str">
            <v/>
          </cell>
          <cell r="BH3382" t="str">
            <v/>
          </cell>
        </row>
        <row r="3383">
          <cell r="AA3383">
            <v>0</v>
          </cell>
          <cell r="AR3383" t="b">
            <v>0</v>
          </cell>
          <cell r="BC3383" t="str">
            <v/>
          </cell>
          <cell r="BH3383" t="str">
            <v/>
          </cell>
        </row>
        <row r="3384">
          <cell r="AA3384">
            <v>0</v>
          </cell>
          <cell r="BC3384" t="str">
            <v/>
          </cell>
          <cell r="BH3384" t="str">
            <v/>
          </cell>
        </row>
        <row r="3385">
          <cell r="AA3385">
            <v>0</v>
          </cell>
          <cell r="BC3385" t="str">
            <v/>
          </cell>
          <cell r="BH3385" t="str">
            <v/>
          </cell>
        </row>
        <row r="3386">
          <cell r="AA3386">
            <v>0</v>
          </cell>
          <cell r="BC3386" t="str">
            <v/>
          </cell>
          <cell r="BH3386" t="str">
            <v/>
          </cell>
        </row>
        <row r="3387">
          <cell r="AA3387">
            <v>0</v>
          </cell>
          <cell r="BC3387" t="str">
            <v/>
          </cell>
          <cell r="BH3387" t="str">
            <v/>
          </cell>
        </row>
        <row r="3388">
          <cell r="AA3388">
            <v>0</v>
          </cell>
          <cell r="BC3388" t="str">
            <v/>
          </cell>
          <cell r="BH3388" t="str">
            <v/>
          </cell>
        </row>
        <row r="3389">
          <cell r="AA3389">
            <v>0</v>
          </cell>
          <cell r="BC3389" t="str">
            <v/>
          </cell>
          <cell r="BH3389" t="str">
            <v/>
          </cell>
        </row>
        <row r="3390">
          <cell r="AA3390">
            <v>0</v>
          </cell>
          <cell r="AR3390" t="b">
            <v>0</v>
          </cell>
          <cell r="BC3390" t="str">
            <v/>
          </cell>
          <cell r="BH3390" t="str">
            <v/>
          </cell>
        </row>
        <row r="3391">
          <cell r="AA3391">
            <v>0</v>
          </cell>
          <cell r="AR3391" t="b">
            <v>0</v>
          </cell>
          <cell r="BC3391" t="str">
            <v/>
          </cell>
          <cell r="BH3391" t="str">
            <v/>
          </cell>
        </row>
        <row r="3392">
          <cell r="AA3392">
            <v>0</v>
          </cell>
          <cell r="BC3392" t="str">
            <v/>
          </cell>
          <cell r="BH3392" t="str">
            <v/>
          </cell>
        </row>
        <row r="3393">
          <cell r="AA3393">
            <v>0</v>
          </cell>
          <cell r="BC3393" t="str">
            <v/>
          </cell>
          <cell r="BH3393" t="str">
            <v/>
          </cell>
        </row>
        <row r="3394">
          <cell r="AA3394">
            <v>0</v>
          </cell>
          <cell r="BC3394" t="str">
            <v/>
          </cell>
          <cell r="BH3394" t="str">
            <v/>
          </cell>
        </row>
        <row r="3395">
          <cell r="AA3395">
            <v>0</v>
          </cell>
          <cell r="BC3395" t="str">
            <v/>
          </cell>
          <cell r="BH3395" t="str">
            <v/>
          </cell>
        </row>
        <row r="3396">
          <cell r="AA3396">
            <v>0</v>
          </cell>
          <cell r="BC3396" t="str">
            <v/>
          </cell>
          <cell r="BH3396" t="str">
            <v/>
          </cell>
        </row>
        <row r="3397">
          <cell r="AA3397">
            <v>0</v>
          </cell>
          <cell r="AR3397" t="b">
            <v>0</v>
          </cell>
          <cell r="BC3397" t="str">
            <v/>
          </cell>
          <cell r="BH3397" t="str">
            <v/>
          </cell>
        </row>
        <row r="3398">
          <cell r="AA3398">
            <v>0</v>
          </cell>
          <cell r="AR3398" t="b">
            <v>0</v>
          </cell>
          <cell r="BC3398" t="str">
            <v/>
          </cell>
          <cell r="BH3398" t="str">
            <v/>
          </cell>
        </row>
        <row r="3399">
          <cell r="AA3399">
            <v>0</v>
          </cell>
          <cell r="AR3399" t="b">
            <v>0</v>
          </cell>
          <cell r="BC3399" t="str">
            <v/>
          </cell>
          <cell r="BH3399" t="str">
            <v/>
          </cell>
        </row>
        <row r="3400">
          <cell r="AA3400">
            <v>0</v>
          </cell>
          <cell r="BC3400" t="str">
            <v/>
          </cell>
          <cell r="BH3400" t="str">
            <v/>
          </cell>
        </row>
        <row r="3401">
          <cell r="AA3401">
            <v>0</v>
          </cell>
          <cell r="BC3401" t="str">
            <v/>
          </cell>
          <cell r="BH3401" t="str">
            <v/>
          </cell>
        </row>
        <row r="3402">
          <cell r="AA3402">
            <v>0</v>
          </cell>
          <cell r="AR3402" t="b">
            <v>0</v>
          </cell>
          <cell r="BC3402" t="str">
            <v/>
          </cell>
          <cell r="BH3402" t="str">
            <v/>
          </cell>
        </row>
        <row r="3403">
          <cell r="AA3403">
            <v>0</v>
          </cell>
          <cell r="BC3403" t="str">
            <v/>
          </cell>
          <cell r="BH3403" t="str">
            <v/>
          </cell>
        </row>
        <row r="3404">
          <cell r="AA3404">
            <v>0</v>
          </cell>
          <cell r="BC3404" t="str">
            <v/>
          </cell>
          <cell r="BH3404" t="str">
            <v/>
          </cell>
        </row>
        <row r="3405">
          <cell r="AA3405">
            <v>0</v>
          </cell>
          <cell r="BC3405" t="str">
            <v/>
          </cell>
          <cell r="BH3405" t="str">
            <v/>
          </cell>
        </row>
        <row r="3406">
          <cell r="AA3406">
            <v>0</v>
          </cell>
          <cell r="AR3406" t="b">
            <v>0</v>
          </cell>
          <cell r="BC3406" t="str">
            <v/>
          </cell>
          <cell r="BH3406" t="str">
            <v/>
          </cell>
        </row>
        <row r="3407">
          <cell r="AA3407">
            <v>0</v>
          </cell>
          <cell r="AR3407" t="b">
            <v>0</v>
          </cell>
          <cell r="BC3407" t="str">
            <v/>
          </cell>
          <cell r="BH3407" t="str">
            <v/>
          </cell>
        </row>
        <row r="3408">
          <cell r="AA3408">
            <v>0</v>
          </cell>
          <cell r="AR3408" t="b">
            <v>0</v>
          </cell>
          <cell r="BC3408" t="str">
            <v/>
          </cell>
          <cell r="BH3408" t="str">
            <v/>
          </cell>
        </row>
        <row r="3409">
          <cell r="AA3409">
            <v>0</v>
          </cell>
          <cell r="BC3409" t="str">
            <v/>
          </cell>
          <cell r="BH3409" t="str">
            <v/>
          </cell>
        </row>
        <row r="3410">
          <cell r="AA3410">
            <v>0</v>
          </cell>
          <cell r="AR3410" t="b">
            <v>0</v>
          </cell>
          <cell r="BC3410" t="str">
            <v/>
          </cell>
          <cell r="BH3410" t="str">
            <v/>
          </cell>
        </row>
        <row r="3411">
          <cell r="AA3411">
            <v>0</v>
          </cell>
          <cell r="BC3411" t="str">
            <v/>
          </cell>
          <cell r="BH3411" t="str">
            <v/>
          </cell>
        </row>
        <row r="3412">
          <cell r="AA3412">
            <v>0</v>
          </cell>
          <cell r="BC3412" t="str">
            <v/>
          </cell>
          <cell r="BH3412" t="str">
            <v/>
          </cell>
        </row>
        <row r="3413">
          <cell r="AA3413">
            <v>0</v>
          </cell>
          <cell r="AR3413" t="b">
            <v>0</v>
          </cell>
          <cell r="BC3413" t="str">
            <v/>
          </cell>
          <cell r="BH3413" t="str">
            <v/>
          </cell>
        </row>
        <row r="3414">
          <cell r="AA3414">
            <v>0</v>
          </cell>
          <cell r="AR3414" t="b">
            <v>0</v>
          </cell>
          <cell r="BC3414" t="str">
            <v/>
          </cell>
          <cell r="BH3414" t="str">
            <v/>
          </cell>
        </row>
        <row r="3415">
          <cell r="AA3415">
            <v>0</v>
          </cell>
          <cell r="AR3415" t="b">
            <v>0</v>
          </cell>
          <cell r="BC3415" t="str">
            <v/>
          </cell>
          <cell r="BH3415" t="str">
            <v/>
          </cell>
        </row>
        <row r="3416">
          <cell r="AA3416">
            <v>0</v>
          </cell>
          <cell r="BC3416" t="str">
            <v/>
          </cell>
          <cell r="BH3416" t="str">
            <v/>
          </cell>
        </row>
        <row r="3417">
          <cell r="AA3417">
            <v>0</v>
          </cell>
          <cell r="BC3417" t="str">
            <v/>
          </cell>
          <cell r="BH3417" t="str">
            <v/>
          </cell>
        </row>
        <row r="3418">
          <cell r="AA3418">
            <v>0</v>
          </cell>
          <cell r="BC3418" t="str">
            <v/>
          </cell>
          <cell r="BH3418" t="str">
            <v/>
          </cell>
        </row>
        <row r="3419">
          <cell r="AA3419">
            <v>0</v>
          </cell>
          <cell r="BC3419" t="str">
            <v/>
          </cell>
          <cell r="BH3419" t="str">
            <v/>
          </cell>
        </row>
        <row r="3420">
          <cell r="AA3420">
            <v>0</v>
          </cell>
          <cell r="BC3420" t="str">
            <v/>
          </cell>
          <cell r="BH3420" t="str">
            <v/>
          </cell>
        </row>
        <row r="3421">
          <cell r="AA3421">
            <v>0</v>
          </cell>
          <cell r="BC3421" t="str">
            <v/>
          </cell>
          <cell r="BH3421" t="str">
            <v/>
          </cell>
        </row>
        <row r="3422">
          <cell r="BC3422" t="str">
            <v/>
          </cell>
          <cell r="BH3422" t="str">
            <v/>
          </cell>
        </row>
        <row r="3423">
          <cell r="BC3423" t="str">
            <v/>
          </cell>
          <cell r="BH3423" t="str">
            <v/>
          </cell>
        </row>
        <row r="3424">
          <cell r="AA3424">
            <v>0</v>
          </cell>
          <cell r="BC3424" t="str">
            <v/>
          </cell>
          <cell r="BH3424" t="str">
            <v/>
          </cell>
        </row>
        <row r="3425">
          <cell r="AA3425">
            <v>0</v>
          </cell>
          <cell r="BC3425" t="str">
            <v/>
          </cell>
          <cell r="BH3425" t="str">
            <v/>
          </cell>
        </row>
        <row r="3426">
          <cell r="AA3426">
            <v>0</v>
          </cell>
          <cell r="BC3426" t="str">
            <v/>
          </cell>
          <cell r="BH3426" t="str">
            <v/>
          </cell>
        </row>
        <row r="3427">
          <cell r="AA3427">
            <v>0</v>
          </cell>
          <cell r="BC3427" t="str">
            <v/>
          </cell>
          <cell r="BH3427" t="str">
            <v/>
          </cell>
        </row>
        <row r="3428">
          <cell r="AA3428">
            <v>0</v>
          </cell>
          <cell r="BC3428" t="str">
            <v/>
          </cell>
          <cell r="BH3428" t="str">
            <v/>
          </cell>
        </row>
        <row r="3429">
          <cell r="AA3429">
            <v>0</v>
          </cell>
          <cell r="BC3429" t="str">
            <v/>
          </cell>
          <cell r="BH3429" t="str">
            <v/>
          </cell>
        </row>
        <row r="3430">
          <cell r="BC3430" t="str">
            <v/>
          </cell>
          <cell r="BH3430" t="str">
            <v/>
          </cell>
        </row>
        <row r="3431">
          <cell r="BC3431" t="str">
            <v/>
          </cell>
          <cell r="BH3431" t="str">
            <v/>
          </cell>
        </row>
        <row r="3432">
          <cell r="AA3432">
            <v>0</v>
          </cell>
          <cell r="BC3432" t="str">
            <v/>
          </cell>
          <cell r="BH3432" t="str">
            <v/>
          </cell>
        </row>
        <row r="3433">
          <cell r="BC3433" t="str">
            <v/>
          </cell>
          <cell r="BH3433" t="str">
            <v/>
          </cell>
        </row>
        <row r="3434">
          <cell r="BC3434" t="str">
            <v/>
          </cell>
          <cell r="BH3434" t="str">
            <v/>
          </cell>
        </row>
        <row r="3435">
          <cell r="AA3435">
            <v>0</v>
          </cell>
          <cell r="BC3435" t="str">
            <v/>
          </cell>
          <cell r="BH3435" t="str">
            <v/>
          </cell>
        </row>
        <row r="3436">
          <cell r="AA3436">
            <v>0</v>
          </cell>
          <cell r="BC3436" t="str">
            <v/>
          </cell>
          <cell r="BH3436" t="str">
            <v/>
          </cell>
        </row>
        <row r="3437">
          <cell r="AA3437">
            <v>0</v>
          </cell>
          <cell r="BC3437" t="str">
            <v/>
          </cell>
          <cell r="BH3437" t="str">
            <v/>
          </cell>
        </row>
        <row r="3438">
          <cell r="AA3438">
            <v>0</v>
          </cell>
          <cell r="AR3438" t="b">
            <v>0</v>
          </cell>
          <cell r="BC3438" t="str">
            <v/>
          </cell>
          <cell r="BH3438" t="str">
            <v/>
          </cell>
        </row>
        <row r="3439">
          <cell r="AA3439">
            <v>0</v>
          </cell>
          <cell r="AR3439" t="b">
            <v>0</v>
          </cell>
          <cell r="BC3439" t="str">
            <v/>
          </cell>
          <cell r="BH3439" t="str">
            <v/>
          </cell>
        </row>
        <row r="3440">
          <cell r="AA3440">
            <v>0</v>
          </cell>
          <cell r="BC3440" t="str">
            <v/>
          </cell>
          <cell r="BH3440" t="str">
            <v/>
          </cell>
        </row>
        <row r="3441">
          <cell r="AA3441">
            <v>0</v>
          </cell>
          <cell r="AR3441" t="b">
            <v>0</v>
          </cell>
          <cell r="BC3441" t="str">
            <v/>
          </cell>
          <cell r="BH3441" t="str">
            <v/>
          </cell>
        </row>
        <row r="3442">
          <cell r="AA3442">
            <v>0</v>
          </cell>
          <cell r="AR3442" t="b">
            <v>0</v>
          </cell>
          <cell r="BC3442" t="str">
            <v/>
          </cell>
          <cell r="BH3442" t="str">
            <v/>
          </cell>
        </row>
        <row r="3443">
          <cell r="AA3443">
            <v>0</v>
          </cell>
          <cell r="BC3443" t="str">
            <v/>
          </cell>
          <cell r="BH3443" t="str">
            <v/>
          </cell>
        </row>
        <row r="3444">
          <cell r="AA3444">
            <v>0</v>
          </cell>
          <cell r="AR3444" t="b">
            <v>0</v>
          </cell>
          <cell r="BC3444" t="str">
            <v/>
          </cell>
          <cell r="BH3444" t="str">
            <v/>
          </cell>
        </row>
        <row r="3445">
          <cell r="AA3445">
            <v>0</v>
          </cell>
          <cell r="AR3445" t="b">
            <v>0</v>
          </cell>
          <cell r="BC3445" t="str">
            <v/>
          </cell>
          <cell r="BH3445" t="str">
            <v/>
          </cell>
        </row>
        <row r="3446">
          <cell r="AA3446">
            <v>0</v>
          </cell>
          <cell r="BC3446" t="str">
            <v/>
          </cell>
          <cell r="BH3446" t="str">
            <v/>
          </cell>
        </row>
        <row r="3447">
          <cell r="AA3447">
            <v>0</v>
          </cell>
          <cell r="AR3447" t="b">
            <v>0</v>
          </cell>
          <cell r="BC3447" t="str">
            <v/>
          </cell>
          <cell r="BH3447" t="str">
            <v/>
          </cell>
        </row>
        <row r="3448">
          <cell r="AA3448">
            <v>0</v>
          </cell>
          <cell r="AR3448" t="b">
            <v>0</v>
          </cell>
          <cell r="BC3448" t="str">
            <v/>
          </cell>
          <cell r="BH3448" t="str">
            <v/>
          </cell>
        </row>
        <row r="3449">
          <cell r="AA3449">
            <v>0</v>
          </cell>
          <cell r="BC3449" t="str">
            <v/>
          </cell>
          <cell r="BH3449" t="str">
            <v/>
          </cell>
        </row>
        <row r="3450">
          <cell r="AA3450">
            <v>0</v>
          </cell>
          <cell r="BC3450" t="str">
            <v/>
          </cell>
          <cell r="BH3450" t="str">
            <v/>
          </cell>
        </row>
        <row r="3451">
          <cell r="AA3451">
            <v>0</v>
          </cell>
          <cell r="AR3451" t="b">
            <v>0</v>
          </cell>
          <cell r="BC3451" t="str">
            <v/>
          </cell>
          <cell r="BH3451" t="str">
            <v/>
          </cell>
        </row>
        <row r="3452">
          <cell r="AA3452">
            <v>0</v>
          </cell>
          <cell r="AR3452" t="b">
            <v>0</v>
          </cell>
          <cell r="BC3452" t="str">
            <v/>
          </cell>
          <cell r="BH3452" t="str">
            <v/>
          </cell>
        </row>
        <row r="3453">
          <cell r="AA3453">
            <v>0</v>
          </cell>
          <cell r="AR3453" t="b">
            <v>0</v>
          </cell>
          <cell r="BC3453" t="str">
            <v/>
          </cell>
          <cell r="BH3453" t="str">
            <v/>
          </cell>
        </row>
        <row r="3454">
          <cell r="BC3454" t="str">
            <v/>
          </cell>
          <cell r="BH3454" t="str">
            <v/>
          </cell>
        </row>
        <row r="3455">
          <cell r="BC3455" t="str">
            <v/>
          </cell>
          <cell r="BH3455" t="str">
            <v/>
          </cell>
        </row>
        <row r="3456">
          <cell r="AA3456">
            <v>0</v>
          </cell>
          <cell r="AR3456" t="b">
            <v>0</v>
          </cell>
          <cell r="BC3456" t="str">
            <v/>
          </cell>
          <cell r="BH3456" t="str">
            <v/>
          </cell>
        </row>
        <row r="3457">
          <cell r="AA3457">
            <v>0</v>
          </cell>
          <cell r="BC3457" t="str">
            <v/>
          </cell>
          <cell r="BH3457" t="str">
            <v/>
          </cell>
        </row>
        <row r="3458">
          <cell r="AA3458">
            <v>0</v>
          </cell>
          <cell r="AR3458" t="b">
            <v>0</v>
          </cell>
          <cell r="BC3458" t="str">
            <v/>
          </cell>
          <cell r="BH3458" t="str">
            <v/>
          </cell>
        </row>
        <row r="3459">
          <cell r="AA3459">
            <v>0</v>
          </cell>
          <cell r="BC3459" t="str">
            <v/>
          </cell>
          <cell r="BH3459" t="str">
            <v/>
          </cell>
        </row>
        <row r="3460">
          <cell r="AA3460">
            <v>0</v>
          </cell>
          <cell r="AR3460" t="b">
            <v>0</v>
          </cell>
          <cell r="BC3460" t="str">
            <v/>
          </cell>
          <cell r="BH3460" t="str">
            <v/>
          </cell>
        </row>
        <row r="3461">
          <cell r="AA3461">
            <v>0</v>
          </cell>
          <cell r="AR3461" t="b">
            <v>0</v>
          </cell>
          <cell r="BC3461" t="str">
            <v/>
          </cell>
          <cell r="BH3461" t="str">
            <v/>
          </cell>
        </row>
        <row r="3462">
          <cell r="AA3462">
            <v>0</v>
          </cell>
          <cell r="BC3462" t="str">
            <v/>
          </cell>
          <cell r="BH3462" t="str">
            <v/>
          </cell>
        </row>
        <row r="3463">
          <cell r="AA3463">
            <v>0</v>
          </cell>
          <cell r="AR3463" t="b">
            <v>0</v>
          </cell>
          <cell r="BC3463" t="str">
            <v/>
          </cell>
          <cell r="BH3463" t="str">
            <v/>
          </cell>
        </row>
        <row r="3464">
          <cell r="BC3464" t="str">
            <v/>
          </cell>
          <cell r="BH3464" t="str">
            <v/>
          </cell>
        </row>
        <row r="3465">
          <cell r="BC3465" t="str">
            <v/>
          </cell>
          <cell r="BH3465" t="str">
            <v/>
          </cell>
        </row>
        <row r="3466">
          <cell r="AA3466">
            <v>0</v>
          </cell>
          <cell r="AR3466" t="b">
            <v>0</v>
          </cell>
          <cell r="BC3466" t="str">
            <v/>
          </cell>
          <cell r="BH3466" t="str">
            <v/>
          </cell>
        </row>
        <row r="3467">
          <cell r="AA3467">
            <v>0</v>
          </cell>
          <cell r="AR3467" t="b">
            <v>0</v>
          </cell>
          <cell r="BC3467" t="str">
            <v/>
          </cell>
          <cell r="BH3467" t="str">
            <v/>
          </cell>
        </row>
        <row r="3468">
          <cell r="AA3468">
            <v>0</v>
          </cell>
          <cell r="BC3468" t="str">
            <v/>
          </cell>
          <cell r="BH3468" t="str">
            <v/>
          </cell>
        </row>
        <row r="3469">
          <cell r="AA3469">
            <v>0</v>
          </cell>
          <cell r="AR3469" t="b">
            <v>0</v>
          </cell>
          <cell r="BC3469" t="str">
            <v/>
          </cell>
          <cell r="BH3469" t="str">
            <v/>
          </cell>
        </row>
        <row r="3470">
          <cell r="AA3470">
            <v>0</v>
          </cell>
          <cell r="AR3470" t="b">
            <v>0</v>
          </cell>
          <cell r="BC3470" t="str">
            <v/>
          </cell>
          <cell r="BH3470" t="str">
            <v/>
          </cell>
        </row>
        <row r="3471">
          <cell r="AA3471">
            <v>0</v>
          </cell>
          <cell r="BC3471" t="str">
            <v/>
          </cell>
          <cell r="BH3471" t="str">
            <v/>
          </cell>
        </row>
        <row r="3472">
          <cell r="AA3472">
            <v>0</v>
          </cell>
          <cell r="BC3472" t="str">
            <v/>
          </cell>
          <cell r="BH3472" t="str">
            <v/>
          </cell>
        </row>
        <row r="3473">
          <cell r="AA3473">
            <v>0</v>
          </cell>
          <cell r="BC3473" t="str">
            <v/>
          </cell>
          <cell r="BH3473" t="str">
            <v/>
          </cell>
        </row>
        <row r="3474">
          <cell r="AA3474">
            <v>0</v>
          </cell>
          <cell r="BC3474" t="str">
            <v/>
          </cell>
          <cell r="BH3474" t="str">
            <v/>
          </cell>
        </row>
        <row r="3475">
          <cell r="AA3475">
            <v>0</v>
          </cell>
          <cell r="AQ3475">
            <v>0</v>
          </cell>
          <cell r="AR3475" t="b">
            <v>0</v>
          </cell>
          <cell r="BC3475" t="str">
            <v/>
          </cell>
          <cell r="BH3475" t="str">
            <v/>
          </cell>
        </row>
        <row r="3476">
          <cell r="AA3476">
            <v>0</v>
          </cell>
          <cell r="AO3476" t="str">
            <v/>
          </cell>
          <cell r="AR3476" t="b">
            <v>0</v>
          </cell>
          <cell r="BC3476" t="str">
            <v/>
          </cell>
          <cell r="BH3476" t="str">
            <v/>
          </cell>
        </row>
        <row r="3477">
          <cell r="AA3477">
            <v>0</v>
          </cell>
          <cell r="AO3477" t="str">
            <v/>
          </cell>
          <cell r="BC3477" t="str">
            <v/>
          </cell>
          <cell r="BH3477" t="str">
            <v/>
          </cell>
        </row>
        <row r="3478">
          <cell r="AA3478">
            <v>0</v>
          </cell>
          <cell r="AO3478" t="str">
            <v/>
          </cell>
          <cell r="BC3478" t="str">
            <v/>
          </cell>
          <cell r="BH3478" t="str">
            <v/>
          </cell>
        </row>
        <row r="3479">
          <cell r="AA3479">
            <v>0</v>
          </cell>
          <cell r="AO3479" t="str">
            <v/>
          </cell>
          <cell r="BC3479" t="str">
            <v/>
          </cell>
          <cell r="BH3479" t="str">
            <v/>
          </cell>
        </row>
        <row r="3480">
          <cell r="AA3480">
            <v>0</v>
          </cell>
          <cell r="AO3480" t="str">
            <v/>
          </cell>
          <cell r="BC3480" t="str">
            <v/>
          </cell>
          <cell r="BH3480" t="str">
            <v/>
          </cell>
        </row>
        <row r="3481">
          <cell r="AA3481">
            <v>0</v>
          </cell>
          <cell r="BC3481" t="str">
            <v/>
          </cell>
          <cell r="BH3481" t="str">
            <v/>
          </cell>
        </row>
        <row r="3482">
          <cell r="AA3482">
            <v>0</v>
          </cell>
          <cell r="BC3482" t="str">
            <v/>
          </cell>
          <cell r="BH3482" t="str">
            <v/>
          </cell>
        </row>
        <row r="3483">
          <cell r="AA3483">
            <v>0</v>
          </cell>
          <cell r="AR3483" t="b">
            <v>0</v>
          </cell>
          <cell r="BC3483" t="str">
            <v/>
          </cell>
          <cell r="BH3483" t="str">
            <v/>
          </cell>
        </row>
        <row r="3484">
          <cell r="AA3484">
            <v>0</v>
          </cell>
          <cell r="AO3484" t="str">
            <v/>
          </cell>
          <cell r="AR3484" t="b">
            <v>0</v>
          </cell>
          <cell r="BC3484" t="str">
            <v/>
          </cell>
          <cell r="BH3484" t="str">
            <v/>
          </cell>
        </row>
        <row r="3485">
          <cell r="AA3485">
            <v>0</v>
          </cell>
          <cell r="AO3485" t="str">
            <v/>
          </cell>
          <cell r="AR3485" t="b">
            <v>0</v>
          </cell>
          <cell r="BC3485" t="str">
            <v/>
          </cell>
          <cell r="BH3485" t="str">
            <v/>
          </cell>
        </row>
        <row r="3486">
          <cell r="AA3486">
            <v>0</v>
          </cell>
          <cell r="AO3486" t="str">
            <v/>
          </cell>
          <cell r="BC3486" t="str">
            <v/>
          </cell>
          <cell r="BH3486" t="str">
            <v/>
          </cell>
        </row>
        <row r="3487">
          <cell r="AA3487">
            <v>0</v>
          </cell>
          <cell r="BC3487" t="str">
            <v/>
          </cell>
          <cell r="BH3487" t="str">
            <v/>
          </cell>
        </row>
        <row r="3488">
          <cell r="AA3488">
            <v>0</v>
          </cell>
          <cell r="AR3488" t="b">
            <v>0</v>
          </cell>
          <cell r="BC3488" t="str">
            <v/>
          </cell>
          <cell r="BH3488" t="str">
            <v/>
          </cell>
        </row>
        <row r="3489">
          <cell r="AA3489">
            <v>0</v>
          </cell>
          <cell r="AR3489" t="b">
            <v>0</v>
          </cell>
          <cell r="BC3489" t="str">
            <v/>
          </cell>
          <cell r="BH3489" t="str">
            <v/>
          </cell>
        </row>
        <row r="3490">
          <cell r="AA3490">
            <v>0</v>
          </cell>
          <cell r="AR3490" t="b">
            <v>0</v>
          </cell>
          <cell r="BC3490" t="str">
            <v/>
          </cell>
          <cell r="BH3490" t="str">
            <v/>
          </cell>
        </row>
        <row r="3491">
          <cell r="AA3491">
            <v>0</v>
          </cell>
          <cell r="BC3491" t="str">
            <v/>
          </cell>
          <cell r="BH3491" t="str">
            <v/>
          </cell>
        </row>
        <row r="3492">
          <cell r="AA3492">
            <v>0</v>
          </cell>
          <cell r="BC3492" t="str">
            <v/>
          </cell>
          <cell r="BH3492" t="str">
            <v/>
          </cell>
        </row>
        <row r="3493">
          <cell r="BC3493" t="str">
            <v/>
          </cell>
          <cell r="BH3493" t="str">
            <v/>
          </cell>
        </row>
        <row r="3494">
          <cell r="BC3494" t="str">
            <v/>
          </cell>
          <cell r="BH3494" t="str">
            <v/>
          </cell>
        </row>
        <row r="3495">
          <cell r="AA3495">
            <v>2</v>
          </cell>
          <cell r="AR3495" t="b">
            <v>0</v>
          </cell>
          <cell r="BC3495" t="str">
            <v/>
          </cell>
          <cell r="BH3495" t="str">
            <v/>
          </cell>
        </row>
        <row r="3496">
          <cell r="AA3496">
            <v>2</v>
          </cell>
          <cell r="BC3496" t="str">
            <v/>
          </cell>
          <cell r="BH3496" t="str">
            <v/>
          </cell>
        </row>
        <row r="3497">
          <cell r="AA3497">
            <v>2</v>
          </cell>
          <cell r="AR3497" t="b">
            <v>0</v>
          </cell>
          <cell r="BC3497" t="str">
            <v/>
          </cell>
          <cell r="BH3497" t="str">
            <v/>
          </cell>
        </row>
        <row r="3498">
          <cell r="AA3498">
            <v>2</v>
          </cell>
          <cell r="AR3498" t="b">
            <v>0</v>
          </cell>
          <cell r="BC3498" t="str">
            <v/>
          </cell>
          <cell r="BH3498" t="str">
            <v/>
          </cell>
        </row>
        <row r="3499">
          <cell r="AA3499">
            <v>2</v>
          </cell>
          <cell r="AR3499" t="b">
            <v>0</v>
          </cell>
          <cell r="BC3499" t="str">
            <v/>
          </cell>
          <cell r="BH3499" t="str">
            <v/>
          </cell>
        </row>
        <row r="3500">
          <cell r="AA3500">
            <v>2</v>
          </cell>
          <cell r="AR3500" t="b">
            <v>0</v>
          </cell>
          <cell r="BC3500" t="str">
            <v/>
          </cell>
          <cell r="BH3500" t="str">
            <v/>
          </cell>
        </row>
        <row r="3501">
          <cell r="AA3501">
            <v>2</v>
          </cell>
          <cell r="BC3501" t="str">
            <v/>
          </cell>
          <cell r="BH3501" t="str">
            <v/>
          </cell>
        </row>
        <row r="3502">
          <cell r="AA3502">
            <v>2</v>
          </cell>
          <cell r="AR3502" t="b">
            <v>0</v>
          </cell>
          <cell r="BC3502" t="str">
            <v/>
          </cell>
          <cell r="BH3502" t="str">
            <v/>
          </cell>
        </row>
        <row r="3503">
          <cell r="AA3503">
            <v>2</v>
          </cell>
          <cell r="BC3503" t="str">
            <v/>
          </cell>
          <cell r="BH3503" t="str">
            <v/>
          </cell>
        </row>
        <row r="3504">
          <cell r="AA3504">
            <v>2</v>
          </cell>
          <cell r="AR3504" t="b">
            <v>0</v>
          </cell>
          <cell r="BC3504" t="str">
            <v/>
          </cell>
          <cell r="BH3504" t="str">
            <v/>
          </cell>
        </row>
        <row r="3505">
          <cell r="AA3505">
            <v>2</v>
          </cell>
          <cell r="BC3505" t="str">
            <v/>
          </cell>
          <cell r="BH3505" t="str">
            <v/>
          </cell>
        </row>
        <row r="3506">
          <cell r="AA3506">
            <v>2</v>
          </cell>
          <cell r="BC3506" t="str">
            <v/>
          </cell>
          <cell r="BH3506" t="str">
            <v/>
          </cell>
        </row>
        <row r="3507">
          <cell r="AA3507">
            <v>2</v>
          </cell>
          <cell r="AR3507" t="b">
            <v>0</v>
          </cell>
          <cell r="BC3507" t="str">
            <v/>
          </cell>
          <cell r="BH3507" t="str">
            <v/>
          </cell>
        </row>
        <row r="3508">
          <cell r="BC3508" t="str">
            <v/>
          </cell>
          <cell r="BH3508" t="str">
            <v/>
          </cell>
        </row>
        <row r="3509">
          <cell r="BC3509" t="str">
            <v/>
          </cell>
          <cell r="BH3509" t="str">
            <v/>
          </cell>
        </row>
        <row r="3510">
          <cell r="AA3510">
            <v>2</v>
          </cell>
          <cell r="BC3510" t="str">
            <v/>
          </cell>
          <cell r="BH3510" t="str">
            <v/>
          </cell>
        </row>
        <row r="3511">
          <cell r="AA3511">
            <v>2</v>
          </cell>
          <cell r="AR3511" t="b">
            <v>0</v>
          </cell>
          <cell r="BC3511" t="str">
            <v/>
          </cell>
          <cell r="BH3511" t="str">
            <v/>
          </cell>
        </row>
        <row r="3512">
          <cell r="AA3512">
            <v>2</v>
          </cell>
          <cell r="BC3512" t="str">
            <v/>
          </cell>
          <cell r="BH3512" t="str">
            <v/>
          </cell>
        </row>
        <row r="3513">
          <cell r="AA3513">
            <v>2</v>
          </cell>
          <cell r="BC3513" t="str">
            <v/>
          </cell>
          <cell r="BH3513" t="str">
            <v/>
          </cell>
        </row>
        <row r="3514">
          <cell r="AA3514">
            <v>2</v>
          </cell>
          <cell r="BC3514" t="str">
            <v/>
          </cell>
          <cell r="BH3514" t="str">
            <v/>
          </cell>
        </row>
        <row r="3515">
          <cell r="AA3515">
            <v>2</v>
          </cell>
          <cell r="BC3515" t="str">
            <v/>
          </cell>
          <cell r="BH3515" t="str">
            <v/>
          </cell>
        </row>
        <row r="3516">
          <cell r="AA3516">
            <v>2</v>
          </cell>
          <cell r="BC3516" t="str">
            <v/>
          </cell>
          <cell r="BH3516" t="str">
            <v/>
          </cell>
        </row>
        <row r="3517">
          <cell r="AA3517">
            <v>2</v>
          </cell>
          <cell r="BC3517" t="str">
            <v/>
          </cell>
          <cell r="BH3517" t="str">
            <v/>
          </cell>
        </row>
        <row r="3518">
          <cell r="AA3518">
            <v>2</v>
          </cell>
          <cell r="BC3518" t="str">
            <v/>
          </cell>
          <cell r="BH3518" t="str">
            <v/>
          </cell>
        </row>
        <row r="3519">
          <cell r="AA3519">
            <v>2</v>
          </cell>
          <cell r="BC3519" t="str">
            <v/>
          </cell>
          <cell r="BH3519" t="str">
            <v/>
          </cell>
        </row>
        <row r="3520">
          <cell r="AA3520">
            <v>2</v>
          </cell>
          <cell r="BC3520" t="str">
            <v/>
          </cell>
          <cell r="BH3520" t="str">
            <v/>
          </cell>
        </row>
        <row r="3521">
          <cell r="AA3521">
            <v>2</v>
          </cell>
          <cell r="BC3521" t="str">
            <v/>
          </cell>
          <cell r="BH3521" t="str">
            <v/>
          </cell>
        </row>
        <row r="3522">
          <cell r="AA3522">
            <v>2</v>
          </cell>
          <cell r="BC3522" t="str">
            <v/>
          </cell>
          <cell r="BH3522" t="str">
            <v/>
          </cell>
        </row>
        <row r="3523">
          <cell r="AA3523">
            <v>2</v>
          </cell>
          <cell r="BC3523" t="str">
            <v/>
          </cell>
          <cell r="BH3523" t="str">
            <v/>
          </cell>
        </row>
        <row r="3524">
          <cell r="AA3524">
            <v>2</v>
          </cell>
          <cell r="AR3524" t="b">
            <v>0</v>
          </cell>
          <cell r="BC3524" t="str">
            <v/>
          </cell>
          <cell r="BH3524" t="str">
            <v/>
          </cell>
        </row>
        <row r="3525">
          <cell r="AA3525">
            <v>2</v>
          </cell>
          <cell r="BC3525" t="str">
            <v/>
          </cell>
          <cell r="BH3525" t="str">
            <v/>
          </cell>
        </row>
        <row r="3526">
          <cell r="AA3526">
            <v>2</v>
          </cell>
          <cell r="BC3526" t="str">
            <v/>
          </cell>
          <cell r="BH3526" t="str">
            <v/>
          </cell>
        </row>
        <row r="3527">
          <cell r="AA3527">
            <v>2</v>
          </cell>
          <cell r="BC3527" t="str">
            <v/>
          </cell>
          <cell r="BH3527" t="str">
            <v/>
          </cell>
        </row>
        <row r="3528">
          <cell r="AA3528">
            <v>2</v>
          </cell>
          <cell r="BC3528" t="str">
            <v/>
          </cell>
          <cell r="BH3528" t="str">
            <v/>
          </cell>
        </row>
        <row r="3529">
          <cell r="AA3529">
            <v>2</v>
          </cell>
          <cell r="AR3529" t="b">
            <v>0</v>
          </cell>
          <cell r="BC3529" t="str">
            <v/>
          </cell>
          <cell r="BH3529" t="str">
            <v/>
          </cell>
        </row>
        <row r="3530">
          <cell r="BC3530" t="str">
            <v/>
          </cell>
          <cell r="BH3530" t="str">
            <v/>
          </cell>
        </row>
        <row r="3531">
          <cell r="BC3531" t="str">
            <v/>
          </cell>
          <cell r="BH3531" t="str">
            <v/>
          </cell>
        </row>
        <row r="3532">
          <cell r="AA3532">
            <v>2</v>
          </cell>
          <cell r="BC3532" t="str">
            <v/>
          </cell>
          <cell r="BH3532" t="str">
            <v/>
          </cell>
        </row>
        <row r="3533">
          <cell r="AA3533">
            <v>2</v>
          </cell>
          <cell r="BC3533" t="str">
            <v/>
          </cell>
          <cell r="BH3533" t="str">
            <v/>
          </cell>
        </row>
        <row r="3534">
          <cell r="AA3534">
            <v>2</v>
          </cell>
          <cell r="BC3534" t="str">
            <v/>
          </cell>
          <cell r="BH3534" t="str">
            <v/>
          </cell>
        </row>
        <row r="3535">
          <cell r="AA3535">
            <v>2</v>
          </cell>
          <cell r="BC3535" t="str">
            <v/>
          </cell>
          <cell r="BH3535" t="str">
            <v/>
          </cell>
        </row>
        <row r="3536">
          <cell r="AA3536">
            <v>2</v>
          </cell>
          <cell r="BC3536" t="str">
            <v/>
          </cell>
          <cell r="BH3536" t="str">
            <v/>
          </cell>
        </row>
        <row r="3537">
          <cell r="AA3537">
            <v>2</v>
          </cell>
          <cell r="AR3537" t="b">
            <v>0</v>
          </cell>
          <cell r="BC3537" t="str">
            <v/>
          </cell>
          <cell r="BH3537" t="str">
            <v/>
          </cell>
        </row>
        <row r="3538">
          <cell r="AA3538">
            <v>2</v>
          </cell>
          <cell r="BC3538" t="str">
            <v/>
          </cell>
          <cell r="BH3538" t="str">
            <v/>
          </cell>
        </row>
        <row r="3539">
          <cell r="AA3539">
            <v>2</v>
          </cell>
          <cell r="BC3539" t="str">
            <v/>
          </cell>
          <cell r="BH3539" t="str">
            <v/>
          </cell>
        </row>
        <row r="3540">
          <cell r="AA3540">
            <v>2</v>
          </cell>
          <cell r="AR3540" t="b">
            <v>0</v>
          </cell>
          <cell r="BC3540" t="str">
            <v/>
          </cell>
          <cell r="BH3540" t="str">
            <v/>
          </cell>
        </row>
        <row r="3541">
          <cell r="AA3541">
            <v>2</v>
          </cell>
          <cell r="BC3541" t="str">
            <v/>
          </cell>
          <cell r="BH3541" t="str">
            <v/>
          </cell>
        </row>
        <row r="3542">
          <cell r="AA3542">
            <v>2</v>
          </cell>
          <cell r="AR3542" t="b">
            <v>0</v>
          </cell>
          <cell r="BC3542" t="str">
            <v/>
          </cell>
          <cell r="BH3542" t="str">
            <v/>
          </cell>
        </row>
        <row r="3543">
          <cell r="AA3543">
            <v>2</v>
          </cell>
          <cell r="BC3543" t="str">
            <v/>
          </cell>
          <cell r="BH3543" t="str">
            <v/>
          </cell>
        </row>
        <row r="3544">
          <cell r="AA3544">
            <v>2</v>
          </cell>
          <cell r="AR3544" t="b">
            <v>0</v>
          </cell>
          <cell r="BC3544" t="str">
            <v/>
          </cell>
          <cell r="BH3544" t="str">
            <v/>
          </cell>
        </row>
        <row r="3545">
          <cell r="AA3545">
            <v>2</v>
          </cell>
          <cell r="BC3545" t="str">
            <v/>
          </cell>
          <cell r="BH3545" t="str">
            <v/>
          </cell>
        </row>
        <row r="3546">
          <cell r="AA3546">
            <v>2</v>
          </cell>
          <cell r="BC3546" t="str">
            <v/>
          </cell>
          <cell r="BH3546" t="str">
            <v/>
          </cell>
        </row>
        <row r="3547">
          <cell r="AA3547">
            <v>2</v>
          </cell>
          <cell r="BC3547" t="str">
            <v/>
          </cell>
          <cell r="BH3547" t="str">
            <v/>
          </cell>
        </row>
        <row r="3548">
          <cell r="AA3548">
            <v>2</v>
          </cell>
          <cell r="BC3548" t="str">
            <v/>
          </cell>
          <cell r="BH3548" t="str">
            <v/>
          </cell>
        </row>
        <row r="3549">
          <cell r="AA3549">
            <v>2</v>
          </cell>
          <cell r="BC3549" t="str">
            <v/>
          </cell>
          <cell r="BH3549" t="str">
            <v/>
          </cell>
        </row>
        <row r="3550">
          <cell r="AA3550">
            <v>2</v>
          </cell>
          <cell r="AR3550" t="b">
            <v>0</v>
          </cell>
          <cell r="BC3550" t="str">
            <v/>
          </cell>
          <cell r="BH3550" t="str">
            <v/>
          </cell>
        </row>
        <row r="3551">
          <cell r="AA3551">
            <v>2</v>
          </cell>
          <cell r="AR3551" t="b">
            <v>0</v>
          </cell>
          <cell r="BC3551" t="str">
            <v/>
          </cell>
          <cell r="BH3551" t="str">
            <v/>
          </cell>
        </row>
        <row r="3552">
          <cell r="AA3552">
            <v>2</v>
          </cell>
          <cell r="BC3552" t="str">
            <v/>
          </cell>
          <cell r="BH3552" t="str">
            <v/>
          </cell>
        </row>
        <row r="3553">
          <cell r="AA3553">
            <v>2</v>
          </cell>
          <cell r="BC3553" t="str">
            <v/>
          </cell>
          <cell r="BH3553" t="str">
            <v/>
          </cell>
        </row>
        <row r="3554">
          <cell r="AA3554">
            <v>2</v>
          </cell>
          <cell r="BC3554" t="str">
            <v/>
          </cell>
          <cell r="BH3554" t="str">
            <v/>
          </cell>
        </row>
        <row r="3555">
          <cell r="AA3555">
            <v>2</v>
          </cell>
          <cell r="BC3555" t="str">
            <v/>
          </cell>
          <cell r="BH3555" t="str">
            <v/>
          </cell>
        </row>
        <row r="3556">
          <cell r="BC3556" t="str">
            <v/>
          </cell>
          <cell r="BH3556" t="str">
            <v/>
          </cell>
        </row>
        <row r="3557">
          <cell r="AA3557">
            <v>2</v>
          </cell>
          <cell r="BC3557" t="str">
            <v/>
          </cell>
          <cell r="BH3557" t="str">
            <v/>
          </cell>
        </row>
        <row r="3558">
          <cell r="AA3558">
            <v>2</v>
          </cell>
          <cell r="BC3558" t="str">
            <v/>
          </cell>
          <cell r="BH3558" t="str">
            <v/>
          </cell>
        </row>
        <row r="3559">
          <cell r="AA3559">
            <v>2</v>
          </cell>
          <cell r="BC3559" t="str">
            <v/>
          </cell>
          <cell r="BH3559" t="str">
            <v/>
          </cell>
        </row>
        <row r="3560">
          <cell r="AA3560">
            <v>2</v>
          </cell>
          <cell r="BC3560" t="str">
            <v/>
          </cell>
          <cell r="BH3560" t="str">
            <v/>
          </cell>
        </row>
        <row r="3561">
          <cell r="BC3561" t="str">
            <v/>
          </cell>
          <cell r="BH3561" t="str">
            <v/>
          </cell>
        </row>
        <row r="3562">
          <cell r="BC3562" t="str">
            <v/>
          </cell>
          <cell r="BH3562" t="str">
            <v/>
          </cell>
        </row>
        <row r="3563">
          <cell r="AA3563">
            <v>2</v>
          </cell>
          <cell r="BC3563" t="str">
            <v/>
          </cell>
          <cell r="BH3563" t="str">
            <v/>
          </cell>
        </row>
        <row r="3564">
          <cell r="BC3564" t="str">
            <v/>
          </cell>
          <cell r="BH3564" t="str">
            <v/>
          </cell>
        </row>
        <row r="3565">
          <cell r="BC3565" t="str">
            <v/>
          </cell>
          <cell r="BH3565" t="str">
            <v/>
          </cell>
        </row>
        <row r="3566">
          <cell r="AA3566">
            <v>2</v>
          </cell>
          <cell r="AR3566" t="b">
            <v>0</v>
          </cell>
          <cell r="BC3566" t="str">
            <v/>
          </cell>
          <cell r="BH3566" t="str">
            <v/>
          </cell>
        </row>
        <row r="3567">
          <cell r="AA3567">
            <v>2</v>
          </cell>
          <cell r="BC3567" t="str">
            <v/>
          </cell>
          <cell r="BH3567" t="str">
            <v/>
          </cell>
        </row>
        <row r="3568">
          <cell r="AA3568">
            <v>2</v>
          </cell>
          <cell r="BC3568" t="str">
            <v/>
          </cell>
          <cell r="BH3568" t="str">
            <v/>
          </cell>
        </row>
        <row r="3569">
          <cell r="BC3569" t="str">
            <v/>
          </cell>
          <cell r="BH3569" t="str">
            <v/>
          </cell>
        </row>
        <row r="3570">
          <cell r="BC3570" t="str">
            <v/>
          </cell>
          <cell r="BH3570" t="str">
            <v/>
          </cell>
        </row>
        <row r="3571">
          <cell r="AA3571">
            <v>2</v>
          </cell>
          <cell r="AR3571" t="b">
            <v>0</v>
          </cell>
          <cell r="BC3571" t="str">
            <v/>
          </cell>
          <cell r="BH3571" t="str">
            <v/>
          </cell>
        </row>
        <row r="3572">
          <cell r="AA3572">
            <v>2</v>
          </cell>
          <cell r="AR3572" t="b">
            <v>0</v>
          </cell>
          <cell r="BC3572" t="str">
            <v/>
          </cell>
          <cell r="BH3572" t="str">
            <v/>
          </cell>
        </row>
        <row r="3573">
          <cell r="AA3573">
            <v>2</v>
          </cell>
          <cell r="BC3573" t="str">
            <v/>
          </cell>
          <cell r="BH3573" t="str">
            <v/>
          </cell>
        </row>
        <row r="3574">
          <cell r="AA3574">
            <v>2</v>
          </cell>
          <cell r="AR3574" t="b">
            <v>0</v>
          </cell>
          <cell r="BC3574" t="str">
            <v/>
          </cell>
          <cell r="BH3574" t="str">
            <v/>
          </cell>
        </row>
        <row r="3575">
          <cell r="AA3575">
            <v>2</v>
          </cell>
          <cell r="AR3575" t="b">
            <v>0</v>
          </cell>
          <cell r="BC3575" t="str">
            <v/>
          </cell>
          <cell r="BH3575" t="str">
            <v/>
          </cell>
        </row>
        <row r="3576">
          <cell r="AA3576">
            <v>2</v>
          </cell>
          <cell r="BC3576" t="str">
            <v/>
          </cell>
          <cell r="BH3576" t="str">
            <v/>
          </cell>
        </row>
        <row r="3577">
          <cell r="AA3577">
            <v>2</v>
          </cell>
          <cell r="AR3577" t="b">
            <v>0</v>
          </cell>
          <cell r="BC3577" t="str">
            <v/>
          </cell>
          <cell r="BH3577" t="str">
            <v/>
          </cell>
        </row>
        <row r="3578">
          <cell r="AA3578">
            <v>2</v>
          </cell>
          <cell r="AR3578" t="b">
            <v>0</v>
          </cell>
          <cell r="BC3578" t="str">
            <v/>
          </cell>
          <cell r="BH3578" t="str">
            <v/>
          </cell>
        </row>
        <row r="3579">
          <cell r="AA3579">
            <v>2</v>
          </cell>
          <cell r="BC3579" t="str">
            <v/>
          </cell>
          <cell r="BH3579" t="str">
            <v/>
          </cell>
        </row>
        <row r="3580">
          <cell r="AA3580">
            <v>2</v>
          </cell>
          <cell r="AR3580" t="b">
            <v>0</v>
          </cell>
          <cell r="BC3580" t="str">
            <v/>
          </cell>
          <cell r="BH3580" t="str">
            <v/>
          </cell>
        </row>
        <row r="3581">
          <cell r="AA3581">
            <v>2</v>
          </cell>
          <cell r="AR3581" t="b">
            <v>0</v>
          </cell>
          <cell r="BC3581" t="str">
            <v/>
          </cell>
          <cell r="BH3581" t="str">
            <v/>
          </cell>
        </row>
        <row r="3582">
          <cell r="AA3582">
            <v>2</v>
          </cell>
          <cell r="BC3582" t="str">
            <v/>
          </cell>
          <cell r="BH3582" t="str">
            <v/>
          </cell>
        </row>
        <row r="3583">
          <cell r="AA3583">
            <v>2</v>
          </cell>
          <cell r="AR3583" t="b">
            <v>0</v>
          </cell>
          <cell r="BC3583" t="str">
            <v/>
          </cell>
          <cell r="BH3583" t="str">
            <v/>
          </cell>
        </row>
        <row r="3584">
          <cell r="AA3584">
            <v>2</v>
          </cell>
          <cell r="AR3584" t="b">
            <v>0</v>
          </cell>
          <cell r="BC3584" t="str">
            <v/>
          </cell>
          <cell r="BH3584" t="str">
            <v/>
          </cell>
        </row>
        <row r="3585">
          <cell r="AA3585">
            <v>2</v>
          </cell>
          <cell r="BC3585" t="str">
            <v/>
          </cell>
          <cell r="BH3585" t="str">
            <v/>
          </cell>
        </row>
        <row r="3586">
          <cell r="AA3586">
            <v>2</v>
          </cell>
          <cell r="BC3586" t="str">
            <v/>
          </cell>
          <cell r="BH3586" t="str">
            <v/>
          </cell>
        </row>
        <row r="3587">
          <cell r="BC3587" t="str">
            <v/>
          </cell>
          <cell r="BH3587" t="str">
            <v/>
          </cell>
        </row>
        <row r="3588">
          <cell r="AA3588">
            <v>2</v>
          </cell>
          <cell r="BC3588" t="str">
            <v/>
          </cell>
          <cell r="BH3588" t="str">
            <v/>
          </cell>
        </row>
        <row r="3589">
          <cell r="AA3589">
            <v>2</v>
          </cell>
          <cell r="BC3589" t="str">
            <v/>
          </cell>
          <cell r="BH3589" t="str">
            <v/>
          </cell>
        </row>
        <row r="3590">
          <cell r="AA3590">
            <v>2</v>
          </cell>
          <cell r="BC3590" t="str">
            <v/>
          </cell>
          <cell r="BH3590" t="str">
            <v/>
          </cell>
        </row>
        <row r="3591">
          <cell r="AA3591">
            <v>2</v>
          </cell>
          <cell r="BC3591" t="str">
            <v/>
          </cell>
          <cell r="BH3591" t="str">
            <v/>
          </cell>
        </row>
        <row r="3592">
          <cell r="AA3592">
            <v>2</v>
          </cell>
          <cell r="BC3592" t="str">
            <v/>
          </cell>
          <cell r="BH3592" t="str">
            <v/>
          </cell>
        </row>
        <row r="3593">
          <cell r="AA3593">
            <v>2</v>
          </cell>
          <cell r="BC3593" t="str">
            <v/>
          </cell>
          <cell r="BH3593" t="str">
            <v/>
          </cell>
        </row>
        <row r="3594">
          <cell r="AA3594">
            <v>2</v>
          </cell>
          <cell r="BC3594" t="str">
            <v/>
          </cell>
          <cell r="BH3594" t="str">
            <v/>
          </cell>
        </row>
        <row r="3595">
          <cell r="AA3595">
            <v>2</v>
          </cell>
          <cell r="BC3595" t="str">
            <v/>
          </cell>
          <cell r="BH3595" t="str">
            <v/>
          </cell>
        </row>
        <row r="3596">
          <cell r="AA3596">
            <v>2</v>
          </cell>
          <cell r="BC3596" t="str">
            <v/>
          </cell>
          <cell r="BH3596" t="str">
            <v/>
          </cell>
        </row>
        <row r="3597">
          <cell r="AA3597">
            <v>2</v>
          </cell>
          <cell r="BC3597" t="str">
            <v/>
          </cell>
          <cell r="BH3597" t="str">
            <v/>
          </cell>
        </row>
        <row r="3598">
          <cell r="AA3598">
            <v>2</v>
          </cell>
          <cell r="BC3598" t="str">
            <v/>
          </cell>
          <cell r="BH3598" t="str">
            <v/>
          </cell>
        </row>
        <row r="3599">
          <cell r="AA3599">
            <v>2</v>
          </cell>
          <cell r="BC3599" t="str">
            <v/>
          </cell>
          <cell r="BH3599" t="str">
            <v/>
          </cell>
        </row>
        <row r="3600">
          <cell r="AA3600">
            <v>2</v>
          </cell>
          <cell r="BC3600" t="str">
            <v/>
          </cell>
          <cell r="BH3600" t="str">
            <v/>
          </cell>
        </row>
        <row r="3601">
          <cell r="BC3601" t="str">
            <v/>
          </cell>
          <cell r="BH3601" t="str">
            <v/>
          </cell>
        </row>
        <row r="3602">
          <cell r="AA3602">
            <v>2</v>
          </cell>
          <cell r="BC3602" t="str">
            <v/>
          </cell>
          <cell r="BH3602" t="str">
            <v/>
          </cell>
        </row>
        <row r="3603">
          <cell r="AA3603">
            <v>2</v>
          </cell>
          <cell r="BC3603" t="str">
            <v/>
          </cell>
          <cell r="BH3603" t="str">
            <v/>
          </cell>
        </row>
        <row r="3604">
          <cell r="AA3604">
            <v>2</v>
          </cell>
          <cell r="BC3604" t="str">
            <v/>
          </cell>
          <cell r="BH3604" t="str">
            <v/>
          </cell>
        </row>
        <row r="3605">
          <cell r="AA3605">
            <v>2</v>
          </cell>
          <cell r="BC3605" t="str">
            <v/>
          </cell>
          <cell r="BH3605" t="str">
            <v/>
          </cell>
        </row>
        <row r="3606">
          <cell r="AA3606">
            <v>2</v>
          </cell>
          <cell r="BC3606" t="str">
            <v/>
          </cell>
          <cell r="BH3606" t="str">
            <v/>
          </cell>
        </row>
        <row r="3607">
          <cell r="AA3607">
            <v>2</v>
          </cell>
          <cell r="BC3607" t="str">
            <v/>
          </cell>
          <cell r="BH3607" t="str">
            <v/>
          </cell>
        </row>
        <row r="3608">
          <cell r="AA3608">
            <v>2</v>
          </cell>
          <cell r="BC3608" t="str">
            <v/>
          </cell>
          <cell r="BH3608" t="str">
            <v/>
          </cell>
        </row>
        <row r="3609">
          <cell r="AA3609">
            <v>2</v>
          </cell>
          <cell r="BC3609" t="str">
            <v/>
          </cell>
          <cell r="BH3609" t="str">
            <v/>
          </cell>
        </row>
        <row r="3610">
          <cell r="AA3610">
            <v>2</v>
          </cell>
          <cell r="BC3610" t="str">
            <v/>
          </cell>
          <cell r="BH3610" t="str">
            <v/>
          </cell>
        </row>
        <row r="3611">
          <cell r="AA3611">
            <v>2</v>
          </cell>
          <cell r="BC3611" t="str">
            <v/>
          </cell>
          <cell r="BH3611" t="str">
            <v/>
          </cell>
        </row>
        <row r="3612">
          <cell r="AA3612">
            <v>2</v>
          </cell>
          <cell r="BC3612" t="str">
            <v/>
          </cell>
          <cell r="BH3612" t="str">
            <v/>
          </cell>
        </row>
        <row r="3613">
          <cell r="AA3613">
            <v>2</v>
          </cell>
          <cell r="BC3613" t="str">
            <v/>
          </cell>
          <cell r="BH3613" t="str">
            <v/>
          </cell>
        </row>
        <row r="3614">
          <cell r="AA3614">
            <v>2</v>
          </cell>
          <cell r="BC3614" t="str">
            <v/>
          </cell>
          <cell r="BH3614" t="str">
            <v/>
          </cell>
        </row>
        <row r="3615">
          <cell r="AA3615">
            <v>2</v>
          </cell>
          <cell r="BC3615" t="str">
            <v/>
          </cell>
          <cell r="BH3615" t="str">
            <v/>
          </cell>
        </row>
        <row r="3616">
          <cell r="AA3616">
            <v>2</v>
          </cell>
          <cell r="BC3616" t="str">
            <v/>
          </cell>
          <cell r="BH3616" t="str">
            <v/>
          </cell>
        </row>
        <row r="3617">
          <cell r="AA3617">
            <v>2</v>
          </cell>
          <cell r="AR3617" t="b">
            <v>0</v>
          </cell>
          <cell r="BC3617" t="str">
            <v/>
          </cell>
          <cell r="BH3617" t="str">
            <v/>
          </cell>
        </row>
        <row r="3618">
          <cell r="AA3618">
            <v>2</v>
          </cell>
          <cell r="BC3618" t="str">
            <v/>
          </cell>
          <cell r="BH3618" t="str">
            <v/>
          </cell>
        </row>
        <row r="3619">
          <cell r="AA3619">
            <v>2</v>
          </cell>
          <cell r="BC3619" t="str">
            <v/>
          </cell>
          <cell r="BH3619" t="str">
            <v/>
          </cell>
        </row>
        <row r="3620">
          <cell r="AA3620">
            <v>2</v>
          </cell>
          <cell r="BC3620" t="str">
            <v/>
          </cell>
          <cell r="BH3620" t="str">
            <v/>
          </cell>
        </row>
        <row r="3621">
          <cell r="AA3621">
            <v>2</v>
          </cell>
          <cell r="BC3621" t="str">
            <v/>
          </cell>
          <cell r="BH3621" t="str">
            <v/>
          </cell>
        </row>
        <row r="3622">
          <cell r="AA3622">
            <v>2</v>
          </cell>
          <cell r="BC3622" t="str">
            <v/>
          </cell>
          <cell r="BH3622" t="str">
            <v/>
          </cell>
        </row>
        <row r="3623">
          <cell r="AA3623">
            <v>2</v>
          </cell>
          <cell r="BC3623" t="str">
            <v/>
          </cell>
          <cell r="BH3623" t="str">
            <v/>
          </cell>
        </row>
        <row r="3624">
          <cell r="AA3624">
            <v>2</v>
          </cell>
          <cell r="BC3624" t="str">
            <v/>
          </cell>
          <cell r="BH3624" t="str">
            <v/>
          </cell>
        </row>
        <row r="3625">
          <cell r="AA3625">
            <v>2</v>
          </cell>
          <cell r="BC3625" t="str">
            <v/>
          </cell>
          <cell r="BH3625" t="str">
            <v/>
          </cell>
        </row>
        <row r="3626">
          <cell r="BC3626" t="str">
            <v/>
          </cell>
          <cell r="BH3626" t="str">
            <v/>
          </cell>
        </row>
        <row r="3627">
          <cell r="BC3627" t="str">
            <v/>
          </cell>
          <cell r="BH3627" t="str">
            <v/>
          </cell>
        </row>
        <row r="3628">
          <cell r="BC3628" t="str">
            <v/>
          </cell>
          <cell r="BH3628" t="str">
            <v/>
          </cell>
        </row>
        <row r="3629">
          <cell r="BC3629" t="str">
            <v/>
          </cell>
          <cell r="BH3629" t="str">
            <v/>
          </cell>
        </row>
        <row r="3630">
          <cell r="BC3630" t="str">
            <v/>
          </cell>
          <cell r="BH3630" t="str">
            <v/>
          </cell>
        </row>
        <row r="3631">
          <cell r="BC3631" t="str">
            <v/>
          </cell>
          <cell r="BH3631" t="str">
            <v/>
          </cell>
        </row>
        <row r="3632">
          <cell r="BC3632" t="str">
            <v/>
          </cell>
          <cell r="BH3632" t="str">
            <v/>
          </cell>
        </row>
        <row r="3633">
          <cell r="BC3633" t="str">
            <v/>
          </cell>
          <cell r="BH3633" t="str">
            <v/>
          </cell>
        </row>
        <row r="3634">
          <cell r="BC3634" t="str">
            <v/>
          </cell>
          <cell r="BH3634" t="str">
            <v/>
          </cell>
        </row>
      </sheetData>
      <sheetData sheetId="36">
        <row r="1">
          <cell r="H1" t="str">
            <v>(none)</v>
          </cell>
          <cell r="J1">
            <v>0</v>
          </cell>
          <cell r="K1" t="str">
            <v>Light</v>
          </cell>
          <cell r="L1" t="b">
            <v>1</v>
          </cell>
          <cell r="M1">
            <v>0</v>
          </cell>
          <cell r="N1">
            <v>-1</v>
          </cell>
          <cell r="O1">
            <v>0</v>
          </cell>
          <cell r="P1">
            <v>0</v>
          </cell>
          <cell r="Q1">
            <v>0</v>
          </cell>
          <cell r="R1">
            <v>20</v>
          </cell>
          <cell r="S1" t="str">
            <v>20 ft/x4</v>
          </cell>
        </row>
        <row r="3">
          <cell r="V3">
            <v>0</v>
          </cell>
          <cell r="W3" t="str">
            <v/>
          </cell>
        </row>
        <row r="4">
          <cell r="V4">
            <v>0</v>
          </cell>
        </row>
        <row r="6">
          <cell r="U6" t="str">
            <v/>
          </cell>
        </row>
        <row r="11">
          <cell r="AA11" t="str">
            <v>(-1 dex), touch 9, flat-footed 9</v>
          </cell>
        </row>
        <row r="12">
          <cell r="R12">
            <v>-1</v>
          </cell>
        </row>
        <row r="14">
          <cell r="R14">
            <v>0</v>
          </cell>
        </row>
        <row r="29">
          <cell r="T29">
            <v>0</v>
          </cell>
        </row>
        <row r="61">
          <cell r="H61" t="str">
            <v/>
          </cell>
        </row>
        <row r="62">
          <cell r="J62">
            <v>0</v>
          </cell>
          <cell r="L62" t="b">
            <v>1</v>
          </cell>
          <cell r="M62">
            <v>0</v>
          </cell>
          <cell r="N62">
            <v>-1</v>
          </cell>
          <cell r="O62">
            <v>0</v>
          </cell>
          <cell r="P62">
            <v>0</v>
          </cell>
          <cell r="Q62">
            <v>0</v>
          </cell>
        </row>
        <row r="80">
          <cell r="N80">
            <v>-1</v>
          </cell>
        </row>
        <row r="81">
          <cell r="N81">
            <v>0</v>
          </cell>
          <cell r="P81" t="str">
            <v/>
          </cell>
        </row>
        <row r="82">
          <cell r="N82">
            <v>0</v>
          </cell>
        </row>
        <row r="85">
          <cell r="N85">
            <v>0</v>
          </cell>
        </row>
        <row r="88">
          <cell r="I88">
            <v>1</v>
          </cell>
          <cell r="J88" t="str">
            <v>Light</v>
          </cell>
          <cell r="K88" t="str">
            <v/>
          </cell>
          <cell r="M88" t="str">
            <v/>
          </cell>
        </row>
        <row r="90">
          <cell r="I90">
            <v>1</v>
          </cell>
          <cell r="J90" t="str">
            <v>Light</v>
          </cell>
          <cell r="K90" t="str">
            <v>Normal</v>
          </cell>
          <cell r="M90" t="str">
            <v>Normal</v>
          </cell>
        </row>
        <row r="106">
          <cell r="H106" t="str">
            <v>Normal</v>
          </cell>
        </row>
        <row r="107">
          <cell r="H107" t="str">
            <v>Adamantine</v>
          </cell>
        </row>
        <row r="108">
          <cell r="H108" t="str">
            <v>Bronzewood</v>
          </cell>
        </row>
        <row r="109">
          <cell r="H109" t="str">
            <v>Darkwood</v>
          </cell>
        </row>
        <row r="110">
          <cell r="H110" t="str">
            <v>Dragonhide</v>
          </cell>
        </row>
        <row r="111">
          <cell r="H111" t="str">
            <v>Dragonmetal</v>
          </cell>
        </row>
        <row r="112">
          <cell r="H112" t="str">
            <v>Firebrass</v>
          </cell>
        </row>
        <row r="113">
          <cell r="H113" t="str">
            <v>Flametouched Iron</v>
          </cell>
        </row>
        <row r="114">
          <cell r="H114" t="str">
            <v>Mithral</v>
          </cell>
        </row>
        <row r="115">
          <cell r="H115" t="str">
            <v>Susalian Chainweave</v>
          </cell>
        </row>
        <row r="116">
          <cell r="H116" t="str">
            <v>Deep Crystal</v>
          </cell>
        </row>
        <row r="117">
          <cell r="H117" t="str">
            <v>Mundane Crystal</v>
          </cell>
        </row>
        <row r="118">
          <cell r="H118" t="str">
            <v>Darkleaf</v>
          </cell>
        </row>
        <row r="119">
          <cell r="H119" t="str">
            <v>Astral Driftmetal</v>
          </cell>
        </row>
        <row r="120">
          <cell r="H120" t="str">
            <v>Leafweave</v>
          </cell>
        </row>
        <row r="121">
          <cell r="H121" t="str">
            <v>Thistledown</v>
          </cell>
        </row>
        <row r="122">
          <cell r="H122" t="str">
            <v>Wildwood</v>
          </cell>
        </row>
        <row r="124">
          <cell r="H124" t="str">
            <v>–– Exotic Light Armor ––</v>
          </cell>
        </row>
        <row r="125">
          <cell r="H125" t="str">
            <v>Twist cloth, Gnome</v>
          </cell>
        </row>
        <row r="126">
          <cell r="H126" t="str">
            <v>Mammoth leather</v>
          </cell>
        </row>
        <row r="127">
          <cell r="H127" t="str">
            <v>Resin Suit, Kaorti</v>
          </cell>
        </row>
        <row r="128">
          <cell r="H128" t="str">
            <v>–– Exotic Medium Armor ––</v>
          </cell>
        </row>
        <row r="129">
          <cell r="H129" t="str">
            <v>Interlocking scale</v>
          </cell>
        </row>
        <row r="130">
          <cell r="H130" t="str">
            <v>Tumbler's breastplate</v>
          </cell>
        </row>
        <row r="131">
          <cell r="H131" t="str">
            <v>–– Exotic Heavy Armor ––</v>
          </cell>
        </row>
        <row r="132">
          <cell r="H132" t="str">
            <v>Interlocking plate</v>
          </cell>
        </row>
        <row r="133">
          <cell r="H133" t="str">
            <v>Battle plate</v>
          </cell>
        </row>
        <row r="134">
          <cell r="H134" t="str">
            <v>Mountain plate</v>
          </cell>
        </row>
        <row r="136">
          <cell r="H136" t="str">
            <v>–– Exotic Shields ––</v>
          </cell>
        </row>
        <row r="137">
          <cell r="H137" t="str">
            <v>Battle cloak, Gnome</v>
          </cell>
        </row>
        <row r="138">
          <cell r="H138" t="str">
            <v>Extreme shield</v>
          </cell>
        </row>
        <row r="139">
          <cell r="H139" t="str">
            <v>Gauntlet shield</v>
          </cell>
        </row>
        <row r="140">
          <cell r="H140" t="str">
            <v>Rider's shield</v>
          </cell>
        </row>
      </sheetData>
      <sheetData sheetId="37">
        <row r="7">
          <cell r="B7" t="str">
            <v>Select A Weapon</v>
          </cell>
          <cell r="Q7" t="str">
            <v>Select A Weapon</v>
          </cell>
          <cell r="AF7" t="str">
            <v>Select A Weapon</v>
          </cell>
          <cell r="AU7" t="str">
            <v>Select A Weapon</v>
          </cell>
          <cell r="BJ7" t="str">
            <v>Select A Weapon</v>
          </cell>
          <cell r="BY7" t="str">
            <v>Select A Weapon</v>
          </cell>
        </row>
        <row r="17">
          <cell r="C17">
            <v>1</v>
          </cell>
        </row>
        <row r="34">
          <cell r="L34" t="b">
            <v>0</v>
          </cell>
        </row>
        <row r="35">
          <cell r="B35" t="str">
            <v/>
          </cell>
          <cell r="D35" t="str">
            <v/>
          </cell>
          <cell r="L35" t="b">
            <v>0</v>
          </cell>
          <cell r="Q35" t="str">
            <v/>
          </cell>
          <cell r="S35" t="str">
            <v/>
          </cell>
          <cell r="AF35" t="str">
            <v/>
          </cell>
          <cell r="AH35" t="str">
            <v/>
          </cell>
          <cell r="AU35" t="str">
            <v/>
          </cell>
          <cell r="AW35" t="str">
            <v/>
          </cell>
          <cell r="BJ35" t="str">
            <v/>
          </cell>
          <cell r="BL35" t="str">
            <v/>
          </cell>
          <cell r="BY35" t="str">
            <v/>
          </cell>
          <cell r="CA35" t="str">
            <v/>
          </cell>
        </row>
        <row r="36">
          <cell r="B36" t="str">
            <v/>
          </cell>
          <cell r="L36">
            <v>5</v>
          </cell>
          <cell r="Q36" t="str">
            <v/>
          </cell>
          <cell r="AF36" t="str">
            <v/>
          </cell>
          <cell r="AU36" t="str">
            <v/>
          </cell>
          <cell r="BJ36" t="str">
            <v/>
          </cell>
          <cell r="BY36" t="str">
            <v/>
          </cell>
        </row>
        <row r="37">
          <cell r="B37" t="str">
            <v/>
          </cell>
          <cell r="D37" t="str">
            <v/>
          </cell>
          <cell r="Q37" t="str">
            <v/>
          </cell>
          <cell r="AF37" t="str">
            <v/>
          </cell>
          <cell r="AU37" t="str">
            <v/>
          </cell>
          <cell r="BJ37" t="str">
            <v/>
          </cell>
          <cell r="BY37" t="str">
            <v/>
          </cell>
        </row>
        <row r="38">
          <cell r="B38" t="str">
            <v/>
          </cell>
          <cell r="Q38" t="str">
            <v/>
          </cell>
          <cell r="AF38" t="str">
            <v/>
          </cell>
          <cell r="AU38" t="str">
            <v/>
          </cell>
          <cell r="BJ38" t="str">
            <v/>
          </cell>
          <cell r="BY38" t="str">
            <v/>
          </cell>
        </row>
        <row r="39">
          <cell r="B39" t="str">
            <v/>
          </cell>
          <cell r="Q39" t="str">
            <v/>
          </cell>
          <cell r="AF39" t="str">
            <v/>
          </cell>
          <cell r="AU39" t="str">
            <v/>
          </cell>
          <cell r="BJ39" t="str">
            <v/>
          </cell>
          <cell r="BY39" t="str">
            <v/>
          </cell>
        </row>
        <row r="40">
          <cell r="B40" t="str">
            <v/>
          </cell>
          <cell r="Q40" t="str">
            <v/>
          </cell>
          <cell r="AF40" t="str">
            <v/>
          </cell>
          <cell r="AU40" t="str">
            <v/>
          </cell>
          <cell r="BJ40" t="str">
            <v/>
          </cell>
          <cell r="BY40" t="str">
            <v/>
          </cell>
        </row>
        <row r="41">
          <cell r="B41" t="str">
            <v/>
          </cell>
          <cell r="Q41" t="str">
            <v/>
          </cell>
          <cell r="AF41" t="str">
            <v/>
          </cell>
          <cell r="AU41" t="str">
            <v/>
          </cell>
          <cell r="BJ41" t="str">
            <v/>
          </cell>
          <cell r="BY41" t="str">
            <v/>
          </cell>
        </row>
        <row r="42">
          <cell r="B42" t="str">
            <v/>
          </cell>
          <cell r="Q42" t="str">
            <v/>
          </cell>
          <cell r="AF42" t="str">
            <v/>
          </cell>
          <cell r="AU42" t="str">
            <v/>
          </cell>
          <cell r="BJ42" t="str">
            <v/>
          </cell>
          <cell r="BY42" t="str">
            <v/>
          </cell>
        </row>
        <row r="43">
          <cell r="B43" t="str">
            <v/>
          </cell>
          <cell r="Q43" t="str">
            <v/>
          </cell>
          <cell r="AF43" t="str">
            <v/>
          </cell>
          <cell r="AU43" t="str">
            <v/>
          </cell>
          <cell r="BJ43" t="str">
            <v/>
          </cell>
          <cell r="BY43" t="str">
            <v/>
          </cell>
        </row>
        <row r="45">
          <cell r="J45" t="str">
            <v>Normal</v>
          </cell>
          <cell r="M45" t="str">
            <v>Normal</v>
          </cell>
          <cell r="N45" t="str">
            <v>N</v>
          </cell>
          <cell r="O45">
            <v>1</v>
          </cell>
        </row>
        <row r="46">
          <cell r="J46" t="str">
            <v>--Melee--</v>
          </cell>
          <cell r="M46" t="str">
            <v>Adamantine</v>
          </cell>
          <cell r="N46" t="str">
            <v>M</v>
          </cell>
          <cell r="O46">
            <v>1</v>
          </cell>
        </row>
        <row r="47">
          <cell r="J47" t="str">
            <v>Flurry of Blows</v>
          </cell>
          <cell r="M47" t="str">
            <v>Darkwood</v>
          </cell>
          <cell r="N47" t="str">
            <v>M</v>
          </cell>
          <cell r="O47">
            <v>0.5</v>
          </cell>
        </row>
        <row r="48">
          <cell r="J48" t="str">
            <v>Eagle's Fury</v>
          </cell>
          <cell r="M48" t="str">
            <v>Dragonmetal</v>
          </cell>
          <cell r="N48" t="str">
            <v>S</v>
          </cell>
          <cell r="O48">
            <v>0.5</v>
          </cell>
        </row>
        <row r="49">
          <cell r="J49" t="str">
            <v>Slashing Fury</v>
          </cell>
          <cell r="M49" t="str">
            <v>Cold Iron</v>
          </cell>
          <cell r="N49" t="str">
            <v>N</v>
          </cell>
          <cell r="O49">
            <v>1</v>
          </cell>
        </row>
        <row r="50">
          <cell r="J50" t="str">
            <v>--Ranged--</v>
          </cell>
          <cell r="M50" t="str">
            <v>Mithral</v>
          </cell>
          <cell r="N50" t="str">
            <v>M</v>
          </cell>
          <cell r="O50">
            <v>0.5</v>
          </cell>
        </row>
        <row r="51">
          <cell r="J51" t="str">
            <v>Within 30'</v>
          </cell>
          <cell r="M51" t="str">
            <v>Silver</v>
          </cell>
          <cell r="N51" t="str">
            <v>N</v>
          </cell>
          <cell r="O51">
            <v>1</v>
          </cell>
        </row>
        <row r="52">
          <cell r="J52" t="str">
            <v>Rapid Shot</v>
          </cell>
          <cell r="M52" t="str">
            <v>Abyssal Bloodiron</v>
          </cell>
          <cell r="N52" t="str">
            <v>M</v>
          </cell>
          <cell r="O52">
            <v>1</v>
          </cell>
        </row>
        <row r="53">
          <cell r="J53" t="str">
            <v>Rapid Shot, Within 30'</v>
          </cell>
          <cell r="M53" t="str">
            <v>Pandemonic Silver</v>
          </cell>
          <cell r="N53" t="str">
            <v>N</v>
          </cell>
          <cell r="O53">
            <v>1</v>
          </cell>
        </row>
        <row r="54">
          <cell r="J54" t="str">
            <v>Manyshot(2)</v>
          </cell>
          <cell r="M54" t="str">
            <v>Thinaun</v>
          </cell>
          <cell r="N54" t="str">
            <v>N</v>
          </cell>
          <cell r="O54">
            <v>1</v>
          </cell>
        </row>
        <row r="55">
          <cell r="J55" t="str">
            <v>Manyshot(3)</v>
          </cell>
          <cell r="M55" t="str">
            <v>Deep Crystal</v>
          </cell>
          <cell r="N55" t="str">
            <v>M</v>
          </cell>
          <cell r="O55">
            <v>1</v>
          </cell>
        </row>
        <row r="56">
          <cell r="J56" t="str">
            <v>Manyshot(4)</v>
          </cell>
          <cell r="M56" t="str">
            <v>Mundane Crystal</v>
          </cell>
          <cell r="N56" t="str">
            <v>M</v>
          </cell>
          <cell r="O56">
            <v>1</v>
          </cell>
        </row>
        <row r="57">
          <cell r="M57" t="str">
            <v>Firebrass</v>
          </cell>
          <cell r="N57" t="str">
            <v>M</v>
          </cell>
          <cell r="O57">
            <v>0.5</v>
          </cell>
        </row>
        <row r="58">
          <cell r="M58" t="str">
            <v>Bronzewood</v>
          </cell>
          <cell r="N58" t="str">
            <v>M</v>
          </cell>
          <cell r="O58">
            <v>0.9</v>
          </cell>
        </row>
        <row r="59">
          <cell r="M59" t="str">
            <v>Byeshk</v>
          </cell>
          <cell r="N59" t="str">
            <v>M</v>
          </cell>
          <cell r="O59">
            <v>1.5</v>
          </cell>
        </row>
        <row r="60">
          <cell r="M60" t="str">
            <v>Flametouched Iron</v>
          </cell>
          <cell r="N60" t="str">
            <v>M</v>
          </cell>
          <cell r="O60">
            <v>1</v>
          </cell>
        </row>
        <row r="61">
          <cell r="M61" t="str">
            <v>Riedran Crysteel</v>
          </cell>
          <cell r="N61" t="str">
            <v>M</v>
          </cell>
          <cell r="O61">
            <v>1</v>
          </cell>
        </row>
        <row r="62">
          <cell r="M62" t="str">
            <v>Targath</v>
          </cell>
          <cell r="N62" t="str">
            <v>N</v>
          </cell>
          <cell r="O62">
            <v>1</v>
          </cell>
        </row>
        <row r="63">
          <cell r="M63" t="str">
            <v/>
          </cell>
          <cell r="N63" t="str">
            <v>M</v>
          </cell>
          <cell r="O63">
            <v>0.9</v>
          </cell>
        </row>
      </sheetData>
      <sheetData sheetId="38">
        <row r="2">
          <cell r="C2">
            <v>0</v>
          </cell>
        </row>
        <row r="3">
          <cell r="C3">
            <v>0</v>
          </cell>
        </row>
        <row r="4">
          <cell r="C4">
            <v>0</v>
          </cell>
        </row>
        <row r="5">
          <cell r="C5">
            <v>0</v>
          </cell>
        </row>
        <row r="6">
          <cell r="C6">
            <v>0</v>
          </cell>
        </row>
        <row r="7">
          <cell r="C7">
            <v>0</v>
          </cell>
        </row>
        <row r="8">
          <cell r="C8">
            <v>0</v>
          </cell>
        </row>
        <row r="9">
          <cell r="C9">
            <v>0</v>
          </cell>
        </row>
        <row r="10">
          <cell r="C10">
            <v>0</v>
          </cell>
        </row>
        <row r="11">
          <cell r="C11">
            <v>0</v>
          </cell>
        </row>
        <row r="12">
          <cell r="C12">
            <v>0</v>
          </cell>
        </row>
        <row r="13">
          <cell r="C13">
            <v>0</v>
          </cell>
        </row>
        <row r="14">
          <cell r="C14">
            <v>0</v>
          </cell>
        </row>
        <row r="15">
          <cell r="C15">
            <v>0</v>
          </cell>
        </row>
        <row r="16">
          <cell r="C16">
            <v>0</v>
          </cell>
        </row>
        <row r="17">
          <cell r="C17">
            <v>0</v>
          </cell>
          <cell r="H17">
            <v>0</v>
          </cell>
          <cell r="I17">
            <v>0</v>
          </cell>
          <cell r="J17">
            <v>0</v>
          </cell>
          <cell r="K17">
            <v>0</v>
          </cell>
          <cell r="L17">
            <v>0</v>
          </cell>
          <cell r="M17">
            <v>0</v>
          </cell>
          <cell r="N17">
            <v>0</v>
          </cell>
          <cell r="R17">
            <v>0</v>
          </cell>
          <cell r="S17">
            <v>0</v>
          </cell>
          <cell r="T17">
            <v>0</v>
          </cell>
          <cell r="U17">
            <v>0</v>
          </cell>
          <cell r="V17">
            <v>0</v>
          </cell>
          <cell r="W17">
            <v>0</v>
          </cell>
        </row>
        <row r="18">
          <cell r="C18">
            <v>0</v>
          </cell>
        </row>
        <row r="19">
          <cell r="C19">
            <v>0</v>
          </cell>
          <cell r="H19">
            <v>0</v>
          </cell>
        </row>
        <row r="20">
          <cell r="C20">
            <v>0</v>
          </cell>
        </row>
        <row r="21">
          <cell r="C21">
            <v>0</v>
          </cell>
        </row>
        <row r="24">
          <cell r="C24">
            <v>0</v>
          </cell>
        </row>
        <row r="27">
          <cell r="A27" t="str">
            <v>STR</v>
          </cell>
          <cell r="C27">
            <v>0</v>
          </cell>
        </row>
        <row r="28">
          <cell r="A28" t="str">
            <v>DEX</v>
          </cell>
          <cell r="C28">
            <v>0</v>
          </cell>
        </row>
        <row r="29">
          <cell r="A29" t="str">
            <v>CON</v>
          </cell>
          <cell r="C29">
            <v>0</v>
          </cell>
        </row>
        <row r="30">
          <cell r="A30" t="str">
            <v>INT</v>
          </cell>
          <cell r="C30">
            <v>0</v>
          </cell>
        </row>
        <row r="31">
          <cell r="A31" t="str">
            <v>WIS</v>
          </cell>
          <cell r="C31">
            <v>0</v>
          </cell>
        </row>
        <row r="32">
          <cell r="A32" t="str">
            <v>CHA</v>
          </cell>
          <cell r="C32">
            <v>0</v>
          </cell>
        </row>
      </sheetData>
      <sheetData sheetId="39">
        <row r="2">
          <cell r="J2" t="str">
            <v>(none)</v>
          </cell>
          <cell r="P2" t="str">
            <v>(none)</v>
          </cell>
          <cell r="R2" t="str">
            <v>(none)</v>
          </cell>
          <cell r="U2" t="str">
            <v>(none)</v>
          </cell>
          <cell r="V2" t="str">
            <v/>
          </cell>
          <cell r="W2" t="str">
            <v/>
          </cell>
          <cell r="Z2" t="str">
            <v>(none)</v>
          </cell>
          <cell r="AE2" t="str">
            <v>(none)</v>
          </cell>
          <cell r="AJ2" t="str">
            <v>(none)</v>
          </cell>
          <cell r="AO2" t="str">
            <v>(none)</v>
          </cell>
          <cell r="AT2" t="str">
            <v>(none)</v>
          </cell>
          <cell r="AY2" t="str">
            <v>(none)</v>
          </cell>
          <cell r="BD2" t="str">
            <v>(none)</v>
          </cell>
          <cell r="BI2" t="str">
            <v>(none)</v>
          </cell>
          <cell r="BN2" t="str">
            <v>(none)</v>
          </cell>
          <cell r="BS2" t="str">
            <v>(none)</v>
          </cell>
          <cell r="BX2" t="b">
            <v>0</v>
          </cell>
        </row>
        <row r="3">
          <cell r="U3" t="str">
            <v>Animal friendship</v>
          </cell>
          <cell r="V3" t="str">
            <v/>
          </cell>
          <cell r="W3" t="str">
            <v/>
          </cell>
          <cell r="X3">
            <v>10800</v>
          </cell>
          <cell r="Z3" t="str">
            <v>Gauntlets of ogre power</v>
          </cell>
          <cell r="AA3">
            <v>2</v>
          </cell>
          <cell r="AB3" t="str">
            <v/>
          </cell>
          <cell r="AC3">
            <v>4000</v>
          </cell>
          <cell r="AE3" t="str">
            <v>Circlet of Blasting, minor</v>
          </cell>
          <cell r="AF3">
            <v>0</v>
          </cell>
          <cell r="AG3" t="str">
            <v/>
          </cell>
          <cell r="AH3">
            <v>6480</v>
          </cell>
          <cell r="AJ3" t="str">
            <v>Eyes of charming</v>
          </cell>
          <cell r="AK3">
            <v>0</v>
          </cell>
          <cell r="AM3">
            <v>56000</v>
          </cell>
          <cell r="AO3" t="str">
            <v>Amulet of health</v>
          </cell>
          <cell r="AP3">
            <v>0</v>
          </cell>
          <cell r="AQ3" t="str">
            <v/>
          </cell>
          <cell r="AR3">
            <v>0</v>
          </cell>
          <cell r="AT3" t="str">
            <v>Cape of the mountebank</v>
          </cell>
          <cell r="AU3">
            <v>1</v>
          </cell>
          <cell r="AV3" t="str">
            <v/>
          </cell>
          <cell r="AW3">
            <v>10080</v>
          </cell>
          <cell r="AY3" t="str">
            <v>Bracelets of Friends</v>
          </cell>
          <cell r="AZ3">
            <v>0</v>
          </cell>
          <cell r="BA3" t="str">
            <v/>
          </cell>
          <cell r="BB3">
            <v>19000</v>
          </cell>
          <cell r="BD3" t="str">
            <v>Robe of the archmagi</v>
          </cell>
          <cell r="BE3">
            <v>1</v>
          </cell>
          <cell r="BG3">
            <v>75000</v>
          </cell>
          <cell r="BI3" t="str">
            <v>Vest of escape</v>
          </cell>
          <cell r="BJ3">
            <v>0</v>
          </cell>
          <cell r="BK3" t="str">
            <v/>
          </cell>
          <cell r="BL3">
            <v>5200</v>
          </cell>
          <cell r="BN3" t="str">
            <v>Belt, monk's</v>
          </cell>
          <cell r="BO3">
            <v>1</v>
          </cell>
          <cell r="BP3" t="str">
            <v/>
          </cell>
          <cell r="BQ3">
            <v>13000</v>
          </cell>
          <cell r="BS3" t="str">
            <v>Boots of elvenkind</v>
          </cell>
          <cell r="BT3">
            <v>1</v>
          </cell>
          <cell r="BV3">
            <v>2500</v>
          </cell>
          <cell r="BX3" t="b">
            <v>0</v>
          </cell>
        </row>
        <row r="4">
          <cell r="U4" t="str">
            <v>Blinking</v>
          </cell>
          <cell r="V4" t="str">
            <v/>
          </cell>
          <cell r="W4" t="str">
            <v/>
          </cell>
          <cell r="X4">
            <v>27000</v>
          </cell>
          <cell r="Z4" t="str">
            <v>Gauntlet of rust</v>
          </cell>
          <cell r="AA4">
            <v>2</v>
          </cell>
          <cell r="AB4" t="str">
            <v/>
          </cell>
          <cell r="AC4">
            <v>11500</v>
          </cell>
          <cell r="AE4" t="str">
            <v>Circlet of Blasting, major</v>
          </cell>
          <cell r="AF4">
            <v>0</v>
          </cell>
          <cell r="AG4" t="str">
            <v/>
          </cell>
          <cell r="AH4">
            <v>23760</v>
          </cell>
          <cell r="AJ4" t="str">
            <v>Eyes of doom</v>
          </cell>
          <cell r="AK4">
            <v>0</v>
          </cell>
          <cell r="AM4">
            <v>25000</v>
          </cell>
          <cell r="AO4" t="str">
            <v>Amulet of mighty fists</v>
          </cell>
          <cell r="AP4">
            <v>0</v>
          </cell>
          <cell r="AQ4" t="str">
            <v/>
          </cell>
          <cell r="AR4">
            <v>0</v>
          </cell>
          <cell r="AT4" t="str">
            <v>Cloak of arachnida</v>
          </cell>
          <cell r="AU4">
            <v>1</v>
          </cell>
          <cell r="AV4" t="str">
            <v/>
          </cell>
          <cell r="AW4">
            <v>14000</v>
          </cell>
          <cell r="AY4" t="str">
            <v>Bracers of archery, Lesser</v>
          </cell>
          <cell r="AZ4">
            <v>1</v>
          </cell>
          <cell r="BA4" t="str">
            <v/>
          </cell>
          <cell r="BB4">
            <v>5000</v>
          </cell>
          <cell r="BD4" t="str">
            <v>Robe of blending</v>
          </cell>
          <cell r="BE4">
            <v>1</v>
          </cell>
          <cell r="BG4">
            <v>30000</v>
          </cell>
          <cell r="BI4" t="str">
            <v xml:space="preserve">Vestment, Druid's </v>
          </cell>
          <cell r="BJ4">
            <v>0</v>
          </cell>
          <cell r="BK4" t="str">
            <v/>
          </cell>
          <cell r="BL4">
            <v>10000</v>
          </cell>
          <cell r="BN4" t="str">
            <v>Belt of dwarvenkind</v>
          </cell>
          <cell r="BO4">
            <v>1</v>
          </cell>
          <cell r="BP4" t="str">
            <v/>
          </cell>
          <cell r="BQ4">
            <v>14900</v>
          </cell>
          <cell r="BS4" t="str">
            <v>Boots of levitation</v>
          </cell>
          <cell r="BT4">
            <v>1</v>
          </cell>
          <cell r="BV4">
            <v>7500</v>
          </cell>
          <cell r="BX4" t="b">
            <v>0</v>
          </cell>
        </row>
        <row r="5">
          <cell r="U5" t="str">
            <v>Chameleon power</v>
          </cell>
          <cell r="V5" t="str">
            <v/>
          </cell>
          <cell r="W5" t="str">
            <v/>
          </cell>
          <cell r="X5">
            <v>12700</v>
          </cell>
          <cell r="Z5" t="str">
            <v>Gloves of arrow snaring</v>
          </cell>
          <cell r="AA5">
            <v>0</v>
          </cell>
          <cell r="AB5" t="str">
            <v/>
          </cell>
          <cell r="AC5">
            <v>4000</v>
          </cell>
          <cell r="AE5" t="str">
            <v>Circlet of persuasion</v>
          </cell>
          <cell r="AF5">
            <v>0</v>
          </cell>
          <cell r="AG5" t="str">
            <v/>
          </cell>
          <cell r="AH5">
            <v>4500</v>
          </cell>
          <cell r="AJ5" t="str">
            <v>Eyes of petrification</v>
          </cell>
          <cell r="AK5">
            <v>0</v>
          </cell>
          <cell r="AM5">
            <v>98000</v>
          </cell>
          <cell r="AO5" t="str">
            <v>Amulet of natural armor</v>
          </cell>
          <cell r="AP5">
            <v>0</v>
          </cell>
          <cell r="AQ5" t="str">
            <v/>
          </cell>
          <cell r="AR5">
            <v>0</v>
          </cell>
          <cell r="AT5" t="str">
            <v>Cloak of the bat</v>
          </cell>
          <cell r="AU5">
            <v>1</v>
          </cell>
          <cell r="AV5" t="str">
            <v/>
          </cell>
          <cell r="AW5">
            <v>26000</v>
          </cell>
          <cell r="AY5" t="str">
            <v>Bracers of archery, Greater</v>
          </cell>
          <cell r="AZ5">
            <v>1</v>
          </cell>
          <cell r="BA5" t="str">
            <v/>
          </cell>
          <cell r="BB5">
            <v>25000</v>
          </cell>
          <cell r="BD5" t="str">
            <v>Robe of bones</v>
          </cell>
          <cell r="BE5">
            <v>1</v>
          </cell>
          <cell r="BG5">
            <v>2400</v>
          </cell>
          <cell r="BI5" t="str">
            <v>--Magic Item Compendium--</v>
          </cell>
          <cell r="BK5" t="str">
            <v/>
          </cell>
          <cell r="BN5" t="str">
            <v>Belt of giant strength</v>
          </cell>
          <cell r="BO5">
            <v>1</v>
          </cell>
          <cell r="BP5" t="str">
            <v/>
          </cell>
          <cell r="BQ5">
            <v>0</v>
          </cell>
          <cell r="BS5" t="str">
            <v>Boots of speed</v>
          </cell>
          <cell r="BT5">
            <v>1</v>
          </cell>
          <cell r="BV5">
            <v>12000</v>
          </cell>
          <cell r="BX5" t="b">
            <v>0</v>
          </cell>
        </row>
        <row r="6">
          <cell r="U6" t="str">
            <v>Climbing</v>
          </cell>
          <cell r="V6" t="str">
            <v/>
          </cell>
          <cell r="W6" t="str">
            <v/>
          </cell>
          <cell r="X6">
            <v>2500</v>
          </cell>
          <cell r="Z6" t="str">
            <v>Gloves of dexterity</v>
          </cell>
          <cell r="AA6">
            <v>0</v>
          </cell>
          <cell r="AB6" t="str">
            <v/>
          </cell>
          <cell r="AC6">
            <v>0</v>
          </cell>
          <cell r="AE6" t="str">
            <v>Hat of disguise</v>
          </cell>
          <cell r="AF6">
            <v>0</v>
          </cell>
          <cell r="AG6" t="str">
            <v/>
          </cell>
          <cell r="AH6">
            <v>1800</v>
          </cell>
          <cell r="AJ6" t="str">
            <v>Eyes of the eagle</v>
          </cell>
          <cell r="AK6">
            <v>0</v>
          </cell>
          <cell r="AM6">
            <v>2500</v>
          </cell>
          <cell r="AO6" t="str">
            <v>Amulet of the Planes</v>
          </cell>
          <cell r="AP6">
            <v>0</v>
          </cell>
          <cell r="AQ6" t="str">
            <v/>
          </cell>
          <cell r="AR6">
            <v>120000</v>
          </cell>
          <cell r="AT6" t="str">
            <v>Cloak of charisma</v>
          </cell>
          <cell r="AU6">
            <v>2</v>
          </cell>
          <cell r="AV6" t="str">
            <v/>
          </cell>
          <cell r="AW6">
            <v>0</v>
          </cell>
          <cell r="AY6" t="str">
            <v>Bracers of armor</v>
          </cell>
          <cell r="AZ6">
            <v>1</v>
          </cell>
          <cell r="BA6" t="str">
            <v/>
          </cell>
          <cell r="BB6">
            <v>0</v>
          </cell>
          <cell r="BD6" t="str">
            <v>Robe of eyes</v>
          </cell>
          <cell r="BE6">
            <v>1</v>
          </cell>
          <cell r="BG6">
            <v>120000</v>
          </cell>
          <cell r="BI6" t="str">
            <v>Bolt shirt</v>
          </cell>
          <cell r="BJ6">
            <v>0</v>
          </cell>
          <cell r="BK6" t="str">
            <v/>
          </cell>
          <cell r="BL6">
            <v>5000</v>
          </cell>
          <cell r="BN6" t="str">
            <v>--Magic Item Compendium--</v>
          </cell>
          <cell r="BP6" t="str">
            <v/>
          </cell>
          <cell r="BS6" t="str">
            <v>Boots of striding and springing</v>
          </cell>
          <cell r="BT6">
            <v>1</v>
          </cell>
          <cell r="BV6">
            <v>5500</v>
          </cell>
        </row>
        <row r="7">
          <cell r="J7" t="str">
            <v>(none)</v>
          </cell>
          <cell r="P7" t="str">
            <v>(none)</v>
          </cell>
          <cell r="R7" t="str">
            <v>(none)</v>
          </cell>
          <cell r="U7" t="str">
            <v>Counterspells</v>
          </cell>
          <cell r="V7" t="str">
            <v/>
          </cell>
          <cell r="W7" t="str">
            <v/>
          </cell>
          <cell r="X7">
            <v>4000</v>
          </cell>
          <cell r="Z7" t="str">
            <v>Glove of storing</v>
          </cell>
          <cell r="AA7">
            <v>0</v>
          </cell>
          <cell r="AB7" t="str">
            <v/>
          </cell>
          <cell r="AC7">
            <v>10000</v>
          </cell>
          <cell r="AE7" t="str">
            <v>Headband of intellect</v>
          </cell>
          <cell r="AF7">
            <v>0</v>
          </cell>
          <cell r="AG7" t="str">
            <v/>
          </cell>
          <cell r="AH7">
            <v>0</v>
          </cell>
          <cell r="AJ7" t="str">
            <v>Goggles of minute seeing</v>
          </cell>
          <cell r="AK7">
            <v>0</v>
          </cell>
          <cell r="AM7">
            <v>1250</v>
          </cell>
          <cell r="AO7" t="str">
            <v>Amulet of proof against detection and location</v>
          </cell>
          <cell r="AP7">
            <v>0</v>
          </cell>
          <cell r="AQ7" t="str">
            <v/>
          </cell>
          <cell r="AR7">
            <v>35000</v>
          </cell>
          <cell r="AT7" t="str">
            <v>Cloak of displacement, minor</v>
          </cell>
          <cell r="AU7">
            <v>1</v>
          </cell>
          <cell r="AV7" t="str">
            <v/>
          </cell>
          <cell r="AW7">
            <v>24000</v>
          </cell>
          <cell r="AY7" t="str">
            <v>--Magic Item Compendium--</v>
          </cell>
          <cell r="BA7" t="str">
            <v/>
          </cell>
          <cell r="BD7" t="str">
            <v>Robe of scintillating colors</v>
          </cell>
          <cell r="BE7">
            <v>1</v>
          </cell>
          <cell r="BG7">
            <v>27000</v>
          </cell>
          <cell r="BI7" t="str">
            <v>Burnoose of 1,001 thorns</v>
          </cell>
          <cell r="BJ7">
            <v>2</v>
          </cell>
          <cell r="BK7" t="str">
            <v/>
          </cell>
          <cell r="BL7">
            <v>3000</v>
          </cell>
          <cell r="BN7" t="str">
            <v>Belt of battle</v>
          </cell>
          <cell r="BO7">
            <v>0</v>
          </cell>
          <cell r="BP7" t="str">
            <v/>
          </cell>
          <cell r="BQ7">
            <v>12000</v>
          </cell>
          <cell r="BS7" t="str">
            <v>Boots, winged</v>
          </cell>
          <cell r="BT7">
            <v>1</v>
          </cell>
          <cell r="BV7">
            <v>16000</v>
          </cell>
        </row>
        <row r="8">
          <cell r="U8" t="str">
            <v>Djinni calling</v>
          </cell>
          <cell r="V8" t="str">
            <v/>
          </cell>
          <cell r="W8" t="str">
            <v/>
          </cell>
          <cell r="X8">
            <v>125000</v>
          </cell>
          <cell r="Z8" t="str">
            <v>Gloves of swimming and climbing</v>
          </cell>
          <cell r="AA8">
            <v>0</v>
          </cell>
          <cell r="AB8" t="str">
            <v/>
          </cell>
          <cell r="AC8">
            <v>6250</v>
          </cell>
          <cell r="AE8" t="str">
            <v>Helm of brilliance</v>
          </cell>
          <cell r="AF8">
            <v>3</v>
          </cell>
          <cell r="AG8" t="str">
            <v/>
          </cell>
          <cell r="AH8">
            <v>125000</v>
          </cell>
          <cell r="AJ8" t="str">
            <v>Goggles of night</v>
          </cell>
          <cell r="AK8">
            <v>0</v>
          </cell>
          <cell r="AM8">
            <v>12000</v>
          </cell>
          <cell r="AO8" t="str">
            <v>Brooch of Shielding</v>
          </cell>
          <cell r="AP8">
            <v>0</v>
          </cell>
          <cell r="AQ8" t="str">
            <v/>
          </cell>
          <cell r="AR8">
            <v>1500</v>
          </cell>
          <cell r="AT8" t="str">
            <v>Cloak of displacement, major</v>
          </cell>
          <cell r="AU8">
            <v>1</v>
          </cell>
          <cell r="AV8" t="str">
            <v/>
          </cell>
          <cell r="AW8">
            <v>50000</v>
          </cell>
          <cell r="AY8" t="str">
            <v>Armband of confrontation</v>
          </cell>
          <cell r="AZ8">
            <v>1</v>
          </cell>
          <cell r="BA8" t="str">
            <v/>
          </cell>
          <cell r="BB8">
            <v>1400</v>
          </cell>
          <cell r="BD8" t="str">
            <v>Robe of stars</v>
          </cell>
          <cell r="BE8">
            <v>1</v>
          </cell>
          <cell r="BG8">
            <v>58000</v>
          </cell>
          <cell r="BI8" t="str">
            <v>Dispelling cord</v>
          </cell>
          <cell r="BJ8">
            <v>0</v>
          </cell>
          <cell r="BK8" t="str">
            <v/>
          </cell>
          <cell r="BL8">
            <v>1000</v>
          </cell>
          <cell r="BN8" t="str">
            <v>Belt of growth</v>
          </cell>
          <cell r="BO8">
            <v>0</v>
          </cell>
          <cell r="BP8" t="str">
            <v/>
          </cell>
          <cell r="BQ8">
            <v>3000</v>
          </cell>
          <cell r="BS8" t="str">
            <v>Boots of  the winterlands</v>
          </cell>
          <cell r="BT8">
            <v>1</v>
          </cell>
          <cell r="BV8">
            <v>2500</v>
          </cell>
        </row>
        <row r="9">
          <cell r="U9" t="str">
            <v>Elemental command (air)</v>
          </cell>
          <cell r="V9" t="str">
            <v/>
          </cell>
          <cell r="W9" t="str">
            <v/>
          </cell>
          <cell r="X9">
            <v>200000</v>
          </cell>
          <cell r="Z9" t="str">
            <v>--Magic Item Compendium--</v>
          </cell>
          <cell r="AB9" t="str">
            <v/>
          </cell>
          <cell r="AE9" t="str">
            <v>Helm of comprehend languages</v>
          </cell>
          <cell r="AF9">
            <v>3</v>
          </cell>
          <cell r="AG9" t="str">
            <v/>
          </cell>
          <cell r="AH9">
            <v>5200</v>
          </cell>
          <cell r="AJ9" t="str">
            <v>Lens of detection</v>
          </cell>
          <cell r="AK9">
            <v>0</v>
          </cell>
          <cell r="AM9">
            <v>3500</v>
          </cell>
          <cell r="AO9" t="str">
            <v>Golembane scarab</v>
          </cell>
          <cell r="AP9">
            <v>0</v>
          </cell>
          <cell r="AQ9" t="str">
            <v/>
          </cell>
          <cell r="AR9">
            <v>2500</v>
          </cell>
          <cell r="AT9" t="str">
            <v>Cloak of elvenkind</v>
          </cell>
          <cell r="AU9">
            <v>1</v>
          </cell>
          <cell r="AV9" t="str">
            <v/>
          </cell>
          <cell r="AW9">
            <v>2500</v>
          </cell>
          <cell r="AY9" t="str">
            <v>Armband of elusive action</v>
          </cell>
          <cell r="AZ9">
            <v>1</v>
          </cell>
          <cell r="BA9" t="str">
            <v/>
          </cell>
          <cell r="BB9">
            <v>800</v>
          </cell>
          <cell r="BD9" t="str">
            <v>Robe of useful items</v>
          </cell>
          <cell r="BE9">
            <v>1</v>
          </cell>
          <cell r="BG9">
            <v>7000</v>
          </cell>
          <cell r="BI9" t="str">
            <v>Ephod of authority</v>
          </cell>
          <cell r="BJ9">
            <v>2</v>
          </cell>
          <cell r="BK9" t="str">
            <v/>
          </cell>
          <cell r="BL9">
            <v>800</v>
          </cell>
          <cell r="BN9" t="str">
            <v>Belt of hidden pouches</v>
          </cell>
          <cell r="BO9">
            <v>1</v>
          </cell>
          <cell r="BP9" t="str">
            <v/>
          </cell>
          <cell r="BQ9">
            <v>5000</v>
          </cell>
          <cell r="BS9" t="str">
            <v>Slippers of spider climbing</v>
          </cell>
          <cell r="BT9">
            <v>0.5</v>
          </cell>
          <cell r="BV9">
            <v>4800</v>
          </cell>
        </row>
        <row r="10">
          <cell r="U10" t="str">
            <v>Elemental command (earth)</v>
          </cell>
          <cell r="V10" t="str">
            <v/>
          </cell>
          <cell r="W10" t="str">
            <v/>
          </cell>
          <cell r="X10">
            <v>200000</v>
          </cell>
          <cell r="Z10" t="str">
            <v>Adamantine mind blade gauntlets</v>
          </cell>
          <cell r="AA10">
            <v>1</v>
          </cell>
          <cell r="AB10" t="str">
            <v/>
          </cell>
          <cell r="AC10">
            <v>2000</v>
          </cell>
          <cell r="AE10" t="str">
            <v>Helm of telepathy</v>
          </cell>
          <cell r="AF10">
            <v>3</v>
          </cell>
          <cell r="AG10" t="str">
            <v/>
          </cell>
          <cell r="AH10">
            <v>27000</v>
          </cell>
          <cell r="AJ10" t="str">
            <v>Mask of the skull</v>
          </cell>
          <cell r="AK10">
            <v>3</v>
          </cell>
          <cell r="AM10">
            <v>22000</v>
          </cell>
          <cell r="AO10" t="str">
            <v>Hand of glory</v>
          </cell>
          <cell r="AP10">
            <v>2</v>
          </cell>
          <cell r="AQ10" t="str">
            <v/>
          </cell>
          <cell r="AR10">
            <v>8000</v>
          </cell>
          <cell r="AT10" t="str">
            <v>Cloak of etherealness</v>
          </cell>
          <cell r="AU10">
            <v>1</v>
          </cell>
          <cell r="AV10" t="str">
            <v/>
          </cell>
          <cell r="AW10">
            <v>55000</v>
          </cell>
          <cell r="AY10" t="str">
            <v>Armband of maximized healing</v>
          </cell>
          <cell r="AZ10">
            <v>1</v>
          </cell>
          <cell r="BA10" t="str">
            <v/>
          </cell>
          <cell r="BB10">
            <v>7200</v>
          </cell>
          <cell r="BD10" t="str">
            <v>--Magic Item Compendium--</v>
          </cell>
          <cell r="BI10" t="str">
            <v>Fiery tunic</v>
          </cell>
          <cell r="BJ10">
            <v>2</v>
          </cell>
          <cell r="BK10" t="str">
            <v/>
          </cell>
          <cell r="BL10">
            <v>5000</v>
          </cell>
          <cell r="BN10" t="str">
            <v>Belt of one mighty blow</v>
          </cell>
          <cell r="BO10">
            <v>1</v>
          </cell>
          <cell r="BP10" t="str">
            <v/>
          </cell>
          <cell r="BQ10">
            <v>1500</v>
          </cell>
          <cell r="BS10" t="str">
            <v>--Magic Item Compendium--</v>
          </cell>
        </row>
        <row r="11">
          <cell r="U11" t="str">
            <v>Elemental command (fire)</v>
          </cell>
          <cell r="V11" t="str">
            <v/>
          </cell>
          <cell r="W11" t="str">
            <v/>
          </cell>
          <cell r="X11">
            <v>200000</v>
          </cell>
          <cell r="Z11" t="str">
            <v>Arcanist’s gloves</v>
          </cell>
          <cell r="AA11">
            <v>0</v>
          </cell>
          <cell r="AB11" t="str">
            <v/>
          </cell>
          <cell r="AC11">
            <v>500</v>
          </cell>
          <cell r="AE11" t="str">
            <v>Helm of teleportation</v>
          </cell>
          <cell r="AF11">
            <v>3</v>
          </cell>
          <cell r="AG11" t="str">
            <v/>
          </cell>
          <cell r="AH11">
            <v>73500</v>
          </cell>
          <cell r="AJ11" t="str">
            <v>--Magic Item Compendium--</v>
          </cell>
          <cell r="AO11" t="str">
            <v>Hand of the mage</v>
          </cell>
          <cell r="AP11">
            <v>2</v>
          </cell>
          <cell r="AQ11" t="str">
            <v/>
          </cell>
          <cell r="AR11">
            <v>900</v>
          </cell>
          <cell r="AT11" t="str">
            <v>Cloak of the manta ray</v>
          </cell>
          <cell r="AU11">
            <v>1</v>
          </cell>
          <cell r="AV11" t="str">
            <v/>
          </cell>
          <cell r="AW11">
            <v>7200</v>
          </cell>
          <cell r="AY11" t="str">
            <v>Armbands of might</v>
          </cell>
          <cell r="AZ11">
            <v>2</v>
          </cell>
          <cell r="BA11" t="str">
            <v/>
          </cell>
          <cell r="BB11">
            <v>4100</v>
          </cell>
          <cell r="BD11" t="str">
            <v>Ghost shroud</v>
          </cell>
          <cell r="BE11">
            <v>0</v>
          </cell>
          <cell r="BG11">
            <v>5000</v>
          </cell>
          <cell r="BI11" t="str">
            <v>Formless vest</v>
          </cell>
          <cell r="BJ11">
            <v>0</v>
          </cell>
          <cell r="BK11" t="str">
            <v/>
          </cell>
          <cell r="BL11">
            <v>3200</v>
          </cell>
          <cell r="BN11" t="str">
            <v>Belt of priestly might</v>
          </cell>
          <cell r="BO11">
            <v>1</v>
          </cell>
          <cell r="BP11" t="str">
            <v/>
          </cell>
          <cell r="BQ11">
            <v>6000</v>
          </cell>
          <cell r="BS11" t="str">
            <v>Acrobat boots</v>
          </cell>
          <cell r="BT11">
            <v>1</v>
          </cell>
          <cell r="BV11">
            <v>900</v>
          </cell>
        </row>
        <row r="12">
          <cell r="J12" t="str">
            <v>(none)</v>
          </cell>
          <cell r="P12" t="str">
            <v>(none)</v>
          </cell>
          <cell r="R12" t="str">
            <v>(none)</v>
          </cell>
          <cell r="U12" t="str">
            <v>Elemental command (water)</v>
          </cell>
          <cell r="X12">
            <v>200000</v>
          </cell>
          <cell r="Z12" t="str">
            <v>Barbs of retribution</v>
          </cell>
          <cell r="AA12">
            <v>1</v>
          </cell>
          <cell r="AB12" t="str">
            <v/>
          </cell>
          <cell r="AC12">
            <v>4500</v>
          </cell>
          <cell r="AE12" t="str">
            <v>Helm of underwater action</v>
          </cell>
          <cell r="AF12">
            <v>3</v>
          </cell>
          <cell r="AG12" t="str">
            <v/>
          </cell>
          <cell r="AH12">
            <v>24000</v>
          </cell>
          <cell r="AJ12" t="str">
            <v>Artificer’s monocle</v>
          </cell>
          <cell r="AK12">
            <v>0</v>
          </cell>
          <cell r="AM12">
            <v>1500</v>
          </cell>
          <cell r="AO12" t="str">
            <v>Medallion of thoughts</v>
          </cell>
          <cell r="AP12">
            <v>0</v>
          </cell>
          <cell r="AQ12" t="str">
            <v/>
          </cell>
          <cell r="AR12">
            <v>12000</v>
          </cell>
          <cell r="AT12" t="str">
            <v>Cloak of resistance</v>
          </cell>
          <cell r="AU12">
            <v>1</v>
          </cell>
          <cell r="AV12" t="str">
            <v/>
          </cell>
          <cell r="AW12">
            <v>0</v>
          </cell>
          <cell r="AY12" t="str">
            <v>Bands of blood rage</v>
          </cell>
          <cell r="AZ12">
            <v>2</v>
          </cell>
          <cell r="BA12" t="str">
            <v/>
          </cell>
          <cell r="BB12">
            <v>2600</v>
          </cell>
          <cell r="BD12" t="str">
            <v>Incarnum focus (robe)</v>
          </cell>
          <cell r="BE12">
            <v>2</v>
          </cell>
          <cell r="BG12">
            <v>15000</v>
          </cell>
          <cell r="BI12" t="str">
            <v>Hair shirt of suffering</v>
          </cell>
          <cell r="BJ12">
            <v>1</v>
          </cell>
          <cell r="BK12" t="str">
            <v/>
          </cell>
          <cell r="BL12">
            <v>3400</v>
          </cell>
          <cell r="BN12" t="str">
            <v>Belt of the champion</v>
          </cell>
          <cell r="BO12">
            <v>1</v>
          </cell>
          <cell r="BQ12">
            <v>4500</v>
          </cell>
          <cell r="BS12" t="str">
            <v>Anklet of translocation</v>
          </cell>
          <cell r="BT12">
            <v>0</v>
          </cell>
          <cell r="BV12">
            <v>1400</v>
          </cell>
        </row>
        <row r="13">
          <cell r="U13" t="str">
            <v>Energy resistance, greater</v>
          </cell>
          <cell r="X13">
            <v>44000</v>
          </cell>
          <cell r="Z13" t="str">
            <v>Brawler’s gauntlets</v>
          </cell>
          <cell r="AA13">
            <v>2</v>
          </cell>
          <cell r="AC13">
            <v>1000</v>
          </cell>
          <cell r="AE13" t="str">
            <v>Phylactery of faithfulness</v>
          </cell>
          <cell r="AF13">
            <v>0</v>
          </cell>
          <cell r="AH13">
            <v>1000</v>
          </cell>
          <cell r="AJ13" t="str">
            <v>Blighter’s hex-eye</v>
          </cell>
          <cell r="AK13">
            <v>0</v>
          </cell>
          <cell r="AM13">
            <v>1400</v>
          </cell>
          <cell r="AO13" t="str">
            <v>Necklace of adaptation</v>
          </cell>
          <cell r="AP13">
            <v>0</v>
          </cell>
          <cell r="AR13">
            <v>9000</v>
          </cell>
          <cell r="AT13" t="str">
            <v>Mantle of spell resistance</v>
          </cell>
          <cell r="AU13">
            <v>0.5</v>
          </cell>
          <cell r="AW13">
            <v>90000</v>
          </cell>
          <cell r="AY13" t="str">
            <v>Bracers of accuracy</v>
          </cell>
          <cell r="AZ13">
            <v>1</v>
          </cell>
          <cell r="BA13" t="str">
            <v/>
          </cell>
          <cell r="BB13">
            <v>4000</v>
          </cell>
          <cell r="BD13" t="str">
            <v>Robe of arcane might</v>
          </cell>
          <cell r="BE13">
            <v>1</v>
          </cell>
          <cell r="BG13">
            <v>21000</v>
          </cell>
          <cell r="BI13" t="str">
            <v>Impervious vestment</v>
          </cell>
          <cell r="BJ13">
            <v>3</v>
          </cell>
          <cell r="BL13">
            <v>34000</v>
          </cell>
          <cell r="BN13" t="str">
            <v>Belt of the wide earth</v>
          </cell>
          <cell r="BO13">
            <v>0</v>
          </cell>
          <cell r="BQ13">
            <v>8000</v>
          </cell>
          <cell r="BS13" t="str">
            <v>Boots of agile leaping</v>
          </cell>
          <cell r="BT13">
            <v>2</v>
          </cell>
          <cell r="BV13">
            <v>600</v>
          </cell>
        </row>
        <row r="14">
          <cell r="U14" t="str">
            <v>Energy resistance, major</v>
          </cell>
          <cell r="X14">
            <v>28000</v>
          </cell>
          <cell r="Z14" t="str">
            <v>Brute gauntlets</v>
          </cell>
          <cell r="AA14">
            <v>0</v>
          </cell>
          <cell r="AC14">
            <v>500</v>
          </cell>
          <cell r="AE14" t="str">
            <v>Phylactery of undead turning</v>
          </cell>
          <cell r="AF14">
            <v>0</v>
          </cell>
          <cell r="AH14">
            <v>11000</v>
          </cell>
          <cell r="AJ14" t="str">
            <v>Blindfold of true darkness</v>
          </cell>
          <cell r="AK14">
            <v>0</v>
          </cell>
          <cell r="AM14">
            <v>9000</v>
          </cell>
          <cell r="AO14" t="str">
            <v>Periapt of health</v>
          </cell>
          <cell r="AP14">
            <v>0</v>
          </cell>
          <cell r="AR14">
            <v>7400</v>
          </cell>
          <cell r="AT14" t="str">
            <v>Mantle of faith</v>
          </cell>
          <cell r="AU14">
            <v>2</v>
          </cell>
          <cell r="AW14">
            <v>76000</v>
          </cell>
          <cell r="AY14" t="str">
            <v>Bracers of aerial combat</v>
          </cell>
          <cell r="AZ14">
            <v>1</v>
          </cell>
          <cell r="BA14" t="str">
            <v/>
          </cell>
          <cell r="BB14">
            <v>5000</v>
          </cell>
          <cell r="BD14" t="str">
            <v>Robe of mysterious conjuration</v>
          </cell>
          <cell r="BE14">
            <v>2</v>
          </cell>
          <cell r="BG14">
            <v>10000</v>
          </cell>
          <cell r="BI14" t="str">
            <v>Incarnum focus (vestments)</v>
          </cell>
          <cell r="BJ14">
            <v>1</v>
          </cell>
          <cell r="BL14">
            <v>15000</v>
          </cell>
          <cell r="BN14" t="str">
            <v>Belt of theft-healing</v>
          </cell>
          <cell r="BO14">
            <v>1</v>
          </cell>
          <cell r="BP14">
            <v>0</v>
          </cell>
          <cell r="BQ14">
            <v>2000</v>
          </cell>
          <cell r="BS14" t="str">
            <v>Boots of big stepping</v>
          </cell>
          <cell r="BT14">
            <v>2</v>
          </cell>
          <cell r="BV14">
            <v>6000</v>
          </cell>
        </row>
        <row r="15">
          <cell r="U15" t="str">
            <v>Energy resistance, minor</v>
          </cell>
          <cell r="V15">
            <v>0</v>
          </cell>
          <cell r="X15">
            <v>12000</v>
          </cell>
          <cell r="Z15" t="str">
            <v>Casting glove</v>
          </cell>
          <cell r="AA15">
            <v>0</v>
          </cell>
          <cell r="AB15">
            <v>0</v>
          </cell>
          <cell r="AC15">
            <v>20000</v>
          </cell>
          <cell r="AE15" t="str">
            <v>-- Magic Item Compendium --</v>
          </cell>
          <cell r="AJ15" t="str">
            <v>Cannith goggles</v>
          </cell>
          <cell r="AK15">
            <v>0</v>
          </cell>
          <cell r="AM15">
            <v>13000</v>
          </cell>
          <cell r="AO15" t="str">
            <v>Periapt of proof against poison</v>
          </cell>
          <cell r="AP15">
            <v>0</v>
          </cell>
          <cell r="AR15">
            <v>27000</v>
          </cell>
          <cell r="AT15" t="str">
            <v>Wings of flying</v>
          </cell>
          <cell r="AU15">
            <v>2</v>
          </cell>
          <cell r="AW15">
            <v>54000</v>
          </cell>
          <cell r="AY15" t="str">
            <v>Bracers of arcane freedom</v>
          </cell>
          <cell r="AZ15">
            <v>0.5</v>
          </cell>
          <cell r="BA15" t="str">
            <v/>
          </cell>
          <cell r="BB15">
            <v>2300</v>
          </cell>
          <cell r="BD15" t="str">
            <v>Robe of retaliation</v>
          </cell>
          <cell r="BE15">
            <v>2</v>
          </cell>
          <cell r="BG15">
            <v>6500</v>
          </cell>
          <cell r="BI15" t="str">
            <v>Lightning tunic</v>
          </cell>
          <cell r="BJ15">
            <v>1</v>
          </cell>
          <cell r="BL15">
            <v>8000</v>
          </cell>
          <cell r="BN15" t="str">
            <v>Belt of ultimate athleticism</v>
          </cell>
          <cell r="BO15">
            <v>0</v>
          </cell>
          <cell r="BQ15">
            <v>3600</v>
          </cell>
          <cell r="BS15" t="str">
            <v>Boots of desperation</v>
          </cell>
          <cell r="BT15">
            <v>0</v>
          </cell>
          <cell r="BV15">
            <v>2800</v>
          </cell>
        </row>
        <row r="16">
          <cell r="U16" t="str">
            <v>Evasion</v>
          </cell>
          <cell r="V16">
            <v>0</v>
          </cell>
          <cell r="X16">
            <v>25000</v>
          </cell>
          <cell r="Z16" t="str">
            <v>Claw gloves</v>
          </cell>
          <cell r="AA16">
            <v>1</v>
          </cell>
          <cell r="AB16">
            <v>0</v>
          </cell>
          <cell r="AC16">
            <v>5604</v>
          </cell>
          <cell r="AE16" t="str">
            <v>Angelhelm</v>
          </cell>
          <cell r="AF16">
            <v>2</v>
          </cell>
          <cell r="AG16">
            <v>0</v>
          </cell>
          <cell r="AH16">
            <v>10000</v>
          </cell>
          <cell r="AJ16" t="str">
            <v>Corsair’s eyepatch</v>
          </cell>
          <cell r="AK16">
            <v>0</v>
          </cell>
          <cell r="AM16">
            <v>3000</v>
          </cell>
          <cell r="AO16" t="str">
            <v>Periapt of wisdom</v>
          </cell>
          <cell r="AP16">
            <v>0</v>
          </cell>
          <cell r="AQ16">
            <v>0</v>
          </cell>
          <cell r="AR16">
            <v>0</v>
          </cell>
          <cell r="AT16" t="str">
            <v>--Magic Item Compendium--</v>
          </cell>
          <cell r="AY16" t="str">
            <v>Bracers of blinding strike</v>
          </cell>
          <cell r="AZ16">
            <v>1</v>
          </cell>
          <cell r="BA16" t="str">
            <v/>
          </cell>
          <cell r="BB16">
            <v>5000</v>
          </cell>
          <cell r="BD16" t="str">
            <v>Robe of the inferno</v>
          </cell>
          <cell r="BE16">
            <v>1</v>
          </cell>
          <cell r="BG16">
            <v>37000</v>
          </cell>
          <cell r="BI16" t="str">
            <v>Rags of restraint</v>
          </cell>
          <cell r="BJ16">
            <v>0</v>
          </cell>
          <cell r="BK16">
            <v>0</v>
          </cell>
          <cell r="BL16">
            <v>3200</v>
          </cell>
          <cell r="BN16" t="str">
            <v>Caustic veil</v>
          </cell>
          <cell r="BO16">
            <v>0</v>
          </cell>
          <cell r="BQ16">
            <v>2000</v>
          </cell>
          <cell r="BS16" t="str">
            <v>Boots of dragonstriding</v>
          </cell>
          <cell r="BT16">
            <v>1</v>
          </cell>
          <cell r="BV16">
            <v>1500</v>
          </cell>
        </row>
        <row r="17">
          <cell r="J17" t="str">
            <v>(none)</v>
          </cell>
          <cell r="P17" t="str">
            <v>(none)</v>
          </cell>
          <cell r="R17" t="str">
            <v>(none)</v>
          </cell>
          <cell r="U17" t="str">
            <v>Feather falling</v>
          </cell>
          <cell r="V17">
            <v>0</v>
          </cell>
          <cell r="X17">
            <v>2200</v>
          </cell>
          <cell r="Z17" t="str">
            <v>Devastation gauntlets</v>
          </cell>
          <cell r="AA17">
            <v>0</v>
          </cell>
          <cell r="AC17">
            <v>2000</v>
          </cell>
          <cell r="AE17" t="str">
            <v>Bear helm</v>
          </cell>
          <cell r="AF17">
            <v>0</v>
          </cell>
          <cell r="AG17">
            <v>0</v>
          </cell>
          <cell r="AH17">
            <v>1500</v>
          </cell>
          <cell r="AJ17" t="str">
            <v>Crystal mask of detection</v>
          </cell>
          <cell r="AK17">
            <v>0.5</v>
          </cell>
          <cell r="AM17">
            <v>10000</v>
          </cell>
          <cell r="AO17" t="str">
            <v>Periapt of wound closure</v>
          </cell>
          <cell r="AP17">
            <v>0</v>
          </cell>
          <cell r="AQ17">
            <v>0</v>
          </cell>
          <cell r="AR17">
            <v>15000</v>
          </cell>
          <cell r="AT17" t="str">
            <v>Cape of the viper</v>
          </cell>
          <cell r="AU17">
            <v>1</v>
          </cell>
          <cell r="AV17">
            <v>0</v>
          </cell>
          <cell r="AW17">
            <v>2000</v>
          </cell>
          <cell r="AY17" t="str">
            <v>Bracers of dawn</v>
          </cell>
          <cell r="AZ17">
            <v>1</v>
          </cell>
          <cell r="BA17" t="str">
            <v/>
          </cell>
          <cell r="BB17">
            <v>26000</v>
          </cell>
          <cell r="BD17" t="str">
            <v>Robe of thunder</v>
          </cell>
          <cell r="BE17">
            <v>1</v>
          </cell>
          <cell r="BG17">
            <v>38000</v>
          </cell>
          <cell r="BI17" t="str">
            <v>Rogue’s vest</v>
          </cell>
          <cell r="BJ17">
            <v>1</v>
          </cell>
          <cell r="BL17">
            <v>18000</v>
          </cell>
          <cell r="BN17" t="str">
            <v>Cord of favor</v>
          </cell>
          <cell r="BO17">
            <v>1</v>
          </cell>
          <cell r="BQ17">
            <v>3000</v>
          </cell>
          <cell r="BS17" t="str">
            <v>Boots of jumping</v>
          </cell>
          <cell r="BT17">
            <v>2</v>
          </cell>
          <cell r="BV17">
            <v>2500</v>
          </cell>
        </row>
        <row r="18">
          <cell r="U18" t="str">
            <v>Force shield</v>
          </cell>
          <cell r="X18">
            <v>8500</v>
          </cell>
          <cell r="Z18" t="str">
            <v>Dragonfang gauntlets</v>
          </cell>
          <cell r="AA18">
            <v>1</v>
          </cell>
          <cell r="AC18">
            <v>8610</v>
          </cell>
          <cell r="AE18" t="str">
            <v>Beholder crown</v>
          </cell>
          <cell r="AF18">
            <v>1</v>
          </cell>
          <cell r="AG18">
            <v>0</v>
          </cell>
          <cell r="AH18">
            <v>20000</v>
          </cell>
          <cell r="AJ18" t="str">
            <v>Crystal mask of discernment</v>
          </cell>
          <cell r="AK18">
            <v>0.5</v>
          </cell>
          <cell r="AM18">
            <v>10000</v>
          </cell>
          <cell r="AO18" t="str">
            <v>Scarab of protection</v>
          </cell>
          <cell r="AP18">
            <v>0</v>
          </cell>
          <cell r="AQ18">
            <v>0</v>
          </cell>
          <cell r="AR18">
            <v>38000</v>
          </cell>
          <cell r="AT18" t="str">
            <v>Cloak of battle</v>
          </cell>
          <cell r="AU18">
            <v>1</v>
          </cell>
          <cell r="AV18">
            <v>0</v>
          </cell>
          <cell r="AW18">
            <v>22000</v>
          </cell>
          <cell r="AY18" t="str">
            <v>Bracers of great collision</v>
          </cell>
          <cell r="AZ18">
            <v>0</v>
          </cell>
          <cell r="BA18" t="str">
            <v/>
          </cell>
          <cell r="BB18">
            <v>1500</v>
          </cell>
          <cell r="BD18" t="str">
            <v>Shadow veil</v>
          </cell>
          <cell r="BE18">
            <v>0</v>
          </cell>
          <cell r="BG18">
            <v>16000</v>
          </cell>
          <cell r="BI18" t="str">
            <v>Sepulchral vest</v>
          </cell>
          <cell r="BJ18">
            <v>0</v>
          </cell>
          <cell r="BL18">
            <v>2000</v>
          </cell>
          <cell r="BN18" t="str">
            <v>Desperation chain</v>
          </cell>
          <cell r="BO18">
            <v>5</v>
          </cell>
          <cell r="BQ18">
            <v>15000</v>
          </cell>
          <cell r="BS18" t="str">
            <v>Boots of landing</v>
          </cell>
          <cell r="BT18">
            <v>1</v>
          </cell>
          <cell r="BV18">
            <v>500</v>
          </cell>
        </row>
        <row r="19">
          <cell r="U19" t="str">
            <v>Freedom of movement</v>
          </cell>
          <cell r="X19">
            <v>40000</v>
          </cell>
          <cell r="Z19" t="str">
            <v>Finned gauntlets</v>
          </cell>
          <cell r="AA19">
            <v>0</v>
          </cell>
          <cell r="AC19">
            <v>3500</v>
          </cell>
          <cell r="AE19" t="str">
            <v>Blindhelm</v>
          </cell>
          <cell r="AF19">
            <v>0.5</v>
          </cell>
          <cell r="AH19">
            <v>15000</v>
          </cell>
          <cell r="AJ19" t="str">
            <v>Crystal mask of dread</v>
          </cell>
          <cell r="AK19">
            <v>0.5</v>
          </cell>
          <cell r="AM19">
            <v>10000</v>
          </cell>
          <cell r="AO19" t="str">
            <v>--Magic Item Compendium--</v>
          </cell>
          <cell r="AQ19">
            <v>0</v>
          </cell>
          <cell r="AT19" t="str">
            <v>Cloak of elemental protection</v>
          </cell>
          <cell r="AU19">
            <v>1</v>
          </cell>
          <cell r="AV19" t="str">
            <v/>
          </cell>
          <cell r="AW19">
            <v>1000</v>
          </cell>
          <cell r="AY19" t="str">
            <v>Bracers of lightning</v>
          </cell>
          <cell r="AZ19">
            <v>1</v>
          </cell>
          <cell r="BA19" t="str">
            <v/>
          </cell>
          <cell r="BB19">
            <v>11000</v>
          </cell>
          <cell r="BD19" t="str">
            <v>Shroud of scales</v>
          </cell>
          <cell r="BE19">
            <v>10</v>
          </cell>
          <cell r="BG19">
            <v>24000</v>
          </cell>
          <cell r="BI19" t="str">
            <v>Shiftweave</v>
          </cell>
          <cell r="BJ19">
            <v>5</v>
          </cell>
          <cell r="BL19">
            <v>500</v>
          </cell>
          <cell r="BN19" t="str">
            <v>Dragon spirit cincture</v>
          </cell>
          <cell r="BO19">
            <v>0</v>
          </cell>
          <cell r="BQ19">
            <v>2000</v>
          </cell>
          <cell r="BS19" t="str">
            <v>Boots of sidestepping</v>
          </cell>
          <cell r="BT19">
            <v>0</v>
          </cell>
          <cell r="BV19">
            <v>6000</v>
          </cell>
        </row>
        <row r="20">
          <cell r="U20" t="str">
            <v>Friend shield</v>
          </cell>
          <cell r="X20">
            <v>50000</v>
          </cell>
          <cell r="Z20" t="str">
            <v>Gauntlet of Gruumsh</v>
          </cell>
          <cell r="AA20">
            <v>1</v>
          </cell>
          <cell r="AC20">
            <v>8302</v>
          </cell>
          <cell r="AE20" t="str">
            <v>Burning veil</v>
          </cell>
          <cell r="AF20">
            <v>0</v>
          </cell>
          <cell r="AH20">
            <v>1000</v>
          </cell>
          <cell r="AJ20" t="str">
            <v>Crystal mask of insight</v>
          </cell>
          <cell r="AK20">
            <v>0.5</v>
          </cell>
          <cell r="AM20">
            <v>20000</v>
          </cell>
          <cell r="AO20" t="str">
            <v>Amber amulet of vermin, giant bee</v>
          </cell>
          <cell r="AP20">
            <v>0</v>
          </cell>
          <cell r="AR20">
            <v>500</v>
          </cell>
          <cell r="AT20" t="str">
            <v>Cloak of predatory vigor</v>
          </cell>
          <cell r="AU20">
            <v>2</v>
          </cell>
          <cell r="AW20">
            <v>1000</v>
          </cell>
          <cell r="AY20" t="str">
            <v>Bracers of opportunity</v>
          </cell>
          <cell r="AZ20">
            <v>0.5</v>
          </cell>
          <cell r="BA20" t="str">
            <v/>
          </cell>
          <cell r="BB20">
            <v>2300</v>
          </cell>
          <cell r="BD20" t="str">
            <v>-- Complete Mage --</v>
          </cell>
          <cell r="BI20" t="str">
            <v>Shirt of angels</v>
          </cell>
          <cell r="BJ20">
            <v>1</v>
          </cell>
          <cell r="BL20">
            <v>15000</v>
          </cell>
          <cell r="BN20" t="str">
            <v>Gwaeron’s belt</v>
          </cell>
          <cell r="BO20">
            <v>1</v>
          </cell>
          <cell r="BQ20">
            <v>21000</v>
          </cell>
          <cell r="BS20" t="str">
            <v>Boots of skating</v>
          </cell>
          <cell r="BT20">
            <v>2</v>
          </cell>
          <cell r="BV20">
            <v>7000</v>
          </cell>
        </row>
        <row r="21">
          <cell r="U21" t="str">
            <v>Improved climbing</v>
          </cell>
          <cell r="X21">
            <v>10000</v>
          </cell>
          <cell r="Z21" t="str">
            <v>Gauntlet of infinite blades</v>
          </cell>
          <cell r="AA21">
            <v>1</v>
          </cell>
          <cell r="AC21">
            <v>6500</v>
          </cell>
          <cell r="AE21" t="str">
            <v>Circlet of mages</v>
          </cell>
          <cell r="AF21">
            <v>0</v>
          </cell>
          <cell r="AH21">
            <v>5000</v>
          </cell>
          <cell r="AJ21" t="str">
            <v>Crystal mask of knowledge</v>
          </cell>
          <cell r="AK21">
            <v>0.5</v>
          </cell>
          <cell r="AM21">
            <v>2500</v>
          </cell>
          <cell r="AO21" t="str">
            <v>Amber amulet of vermin, giant praying mantis</v>
          </cell>
          <cell r="AP21">
            <v>0</v>
          </cell>
          <cell r="AR21">
            <v>700</v>
          </cell>
          <cell r="AT21" t="str">
            <v>Cloak of quills</v>
          </cell>
          <cell r="AU21">
            <v>1</v>
          </cell>
          <cell r="AW21">
            <v>2500</v>
          </cell>
          <cell r="AY21" t="str">
            <v>Bracers of quick strike</v>
          </cell>
          <cell r="AZ21">
            <v>1</v>
          </cell>
          <cell r="BA21" t="str">
            <v/>
          </cell>
          <cell r="BB21">
            <v>1400</v>
          </cell>
          <cell r="BD21" t="str">
            <v>Steadying robe</v>
          </cell>
          <cell r="BE21">
            <v>1</v>
          </cell>
          <cell r="BG21">
            <v>1000</v>
          </cell>
          <cell r="BI21" t="str">
            <v>Shirt of bone</v>
          </cell>
          <cell r="BJ21">
            <v>1</v>
          </cell>
          <cell r="BL21">
            <v>9000</v>
          </cell>
          <cell r="BN21" t="str">
            <v>Healing belt</v>
          </cell>
          <cell r="BO21">
            <v>1</v>
          </cell>
          <cell r="BQ21">
            <v>750</v>
          </cell>
          <cell r="BS21" t="str">
            <v>Boots of stomping</v>
          </cell>
          <cell r="BT21">
            <v>1</v>
          </cell>
          <cell r="BV21">
            <v>600</v>
          </cell>
        </row>
        <row r="22">
          <cell r="U22" t="str">
            <v>Improved jumping</v>
          </cell>
          <cell r="X22">
            <v>10000</v>
          </cell>
          <cell r="Z22" t="str">
            <v>Gauntlets of arrow reflection</v>
          </cell>
          <cell r="AA22">
            <v>1</v>
          </cell>
          <cell r="AC22">
            <v>2000</v>
          </cell>
          <cell r="AE22" t="str">
            <v>Circlet of rapid casting</v>
          </cell>
          <cell r="AF22">
            <v>0</v>
          </cell>
          <cell r="AH22">
            <v>15000</v>
          </cell>
          <cell r="AJ22" t="str">
            <v>Crystal mask of languages</v>
          </cell>
          <cell r="AK22">
            <v>0.5</v>
          </cell>
          <cell r="AM22">
            <v>2500</v>
          </cell>
          <cell r="AO22" t="str">
            <v>Amber amulet of vermin, giant queen ant</v>
          </cell>
          <cell r="AP22">
            <v>0</v>
          </cell>
          <cell r="AR22">
            <v>700</v>
          </cell>
          <cell r="AT22" t="str">
            <v>Cloak of soulbound resistance</v>
          </cell>
          <cell r="AU22">
            <v>1</v>
          </cell>
          <cell r="AW22">
            <v>5000</v>
          </cell>
          <cell r="AY22" t="str">
            <v>Bracers of repulsion</v>
          </cell>
          <cell r="AZ22">
            <v>0</v>
          </cell>
          <cell r="BA22" t="str">
            <v/>
          </cell>
          <cell r="BB22">
            <v>4000</v>
          </cell>
          <cell r="BI22" t="str">
            <v>Shirt of chains</v>
          </cell>
          <cell r="BJ22">
            <v>1</v>
          </cell>
          <cell r="BL22">
            <v>9000</v>
          </cell>
          <cell r="BN22" t="str">
            <v>Incarnum focus (belt)</v>
          </cell>
          <cell r="BO22">
            <v>1</v>
          </cell>
          <cell r="BQ22">
            <v>15000</v>
          </cell>
          <cell r="BS22" t="str">
            <v>Boots of swift passage</v>
          </cell>
          <cell r="BT22">
            <v>1</v>
          </cell>
          <cell r="BV22">
            <v>5000</v>
          </cell>
        </row>
        <row r="23">
          <cell r="U23" t="str">
            <v>Improved swimming</v>
          </cell>
          <cell r="X23">
            <v>10000</v>
          </cell>
          <cell r="Z23" t="str">
            <v>Gauntlets of destruction</v>
          </cell>
          <cell r="AA23">
            <v>2</v>
          </cell>
          <cell r="AC23">
            <v>6610</v>
          </cell>
          <cell r="AE23" t="str">
            <v>Circlet of solace</v>
          </cell>
          <cell r="AF23">
            <v>0</v>
          </cell>
          <cell r="AH23">
            <v>3000</v>
          </cell>
          <cell r="AJ23" t="str">
            <v>Crystal mask of mindarmor</v>
          </cell>
          <cell r="AK23">
            <v>0.5</v>
          </cell>
          <cell r="AM23">
            <v>10000</v>
          </cell>
          <cell r="AO23" t="str">
            <v>Amber amulet of vermin, giant stag beetle</v>
          </cell>
          <cell r="AP23">
            <v>0</v>
          </cell>
          <cell r="AR23">
            <v>1200</v>
          </cell>
          <cell r="AT23" t="str">
            <v>Cloak of soulbound resistance, greater</v>
          </cell>
          <cell r="AU23">
            <v>1</v>
          </cell>
          <cell r="AW23">
            <v>13000</v>
          </cell>
          <cell r="AY23" t="str">
            <v>Bracers of retaliation</v>
          </cell>
          <cell r="AZ23">
            <v>1</v>
          </cell>
          <cell r="BB23">
            <v>5000</v>
          </cell>
          <cell r="BI23" t="str">
            <v>Shirt of demonskin</v>
          </cell>
          <cell r="BJ23">
            <v>1</v>
          </cell>
          <cell r="BL23">
            <v>15000</v>
          </cell>
          <cell r="BN23" t="str">
            <v>Ruby cincture of immutability</v>
          </cell>
          <cell r="BO23">
            <v>0</v>
          </cell>
          <cell r="BQ23">
            <v>12000</v>
          </cell>
          <cell r="BS23" t="str">
            <v>Boots of temporal acceleration</v>
          </cell>
          <cell r="BT23">
            <v>1</v>
          </cell>
          <cell r="BV23">
            <v>43000</v>
          </cell>
        </row>
        <row r="24">
          <cell r="U24" t="str">
            <v>Invisibility</v>
          </cell>
          <cell r="X24">
            <v>20000</v>
          </cell>
          <cell r="Z24" t="str">
            <v>Gauntlets of eldritch energy</v>
          </cell>
          <cell r="AA24">
            <v>0.5</v>
          </cell>
          <cell r="AC24">
            <v>5000</v>
          </cell>
          <cell r="AE24" t="str">
            <v>Circlet of wild surging</v>
          </cell>
          <cell r="AF24">
            <v>1</v>
          </cell>
          <cell r="AH24">
            <v>4200</v>
          </cell>
          <cell r="AJ24" t="str">
            <v>Crystal mask of psionic craft</v>
          </cell>
          <cell r="AK24">
            <v>0.5</v>
          </cell>
          <cell r="AM24">
            <v>10000</v>
          </cell>
          <cell r="AO24" t="str">
            <v>Amber amulet of vermin, giant wasp</v>
          </cell>
          <cell r="AP24">
            <v>0</v>
          </cell>
          <cell r="AR24">
            <v>800</v>
          </cell>
          <cell r="AT24" t="str">
            <v>Cloak of stone</v>
          </cell>
          <cell r="AU24">
            <v>1</v>
          </cell>
          <cell r="AW24">
            <v>8000</v>
          </cell>
          <cell r="AY24" t="str">
            <v>Bracers of the blast barrier</v>
          </cell>
          <cell r="AZ24">
            <v>1</v>
          </cell>
          <cell r="BA24">
            <v>0</v>
          </cell>
          <cell r="BB24">
            <v>3200</v>
          </cell>
          <cell r="BE24">
            <v>0</v>
          </cell>
          <cell r="BG24">
            <v>0</v>
          </cell>
          <cell r="BI24" t="str">
            <v>Shirt of ironskin</v>
          </cell>
          <cell r="BJ24">
            <v>10</v>
          </cell>
          <cell r="BL24">
            <v>15000</v>
          </cell>
          <cell r="BN24" t="str">
            <v>Silkslick belt</v>
          </cell>
          <cell r="BO24">
            <v>0</v>
          </cell>
          <cell r="BQ24">
            <v>2000</v>
          </cell>
          <cell r="BS24" t="str">
            <v>Boots of the battle charger</v>
          </cell>
          <cell r="BT24">
            <v>2</v>
          </cell>
          <cell r="BV24">
            <v>2000</v>
          </cell>
        </row>
        <row r="25">
          <cell r="U25" t="str">
            <v>Jumping</v>
          </cell>
          <cell r="X25">
            <v>2500</v>
          </cell>
          <cell r="Z25" t="str">
            <v>Gauntlets of energy transformation</v>
          </cell>
          <cell r="AA25">
            <v>0</v>
          </cell>
          <cell r="AC25">
            <v>1000</v>
          </cell>
          <cell r="AE25" t="str">
            <v>Crown of flames</v>
          </cell>
          <cell r="AF25">
            <v>0</v>
          </cell>
          <cell r="AH25">
            <v>8500</v>
          </cell>
          <cell r="AJ25" t="str">
            <v>Crystal mask of visual insight</v>
          </cell>
          <cell r="AK25">
            <v>0.5</v>
          </cell>
          <cell r="AM25">
            <v>10000</v>
          </cell>
          <cell r="AO25" t="str">
            <v>Amber amulet of vermin, Huge monstrous centipede</v>
          </cell>
          <cell r="AP25">
            <v>0</v>
          </cell>
          <cell r="AR25">
            <v>700</v>
          </cell>
          <cell r="AT25" t="str">
            <v>Cloak of the salamander</v>
          </cell>
          <cell r="AU25">
            <v>1</v>
          </cell>
          <cell r="AW25">
            <v>6000</v>
          </cell>
          <cell r="AY25" t="str">
            <v>Bracers of the entangling blast</v>
          </cell>
          <cell r="AZ25">
            <v>1</v>
          </cell>
          <cell r="BB25">
            <v>2000</v>
          </cell>
          <cell r="BI25" t="str">
            <v>Shirt of resilience</v>
          </cell>
          <cell r="BJ25">
            <v>3</v>
          </cell>
          <cell r="BL25">
            <v>12000</v>
          </cell>
          <cell r="BN25" t="str">
            <v>Spare hand</v>
          </cell>
          <cell r="BO25">
            <v>5</v>
          </cell>
          <cell r="BQ25">
            <v>12000</v>
          </cell>
          <cell r="BS25" t="str">
            <v>Boots of the mountain king</v>
          </cell>
          <cell r="BT25">
            <v>1</v>
          </cell>
          <cell r="BV25">
            <v>1500</v>
          </cell>
        </row>
        <row r="26">
          <cell r="U26" t="str">
            <v>Mind shielding</v>
          </cell>
          <cell r="X26">
            <v>8000</v>
          </cell>
          <cell r="Z26" t="str">
            <v>Gauntlets of extended range</v>
          </cell>
          <cell r="AA26">
            <v>0.5</v>
          </cell>
          <cell r="AC26">
            <v>2000</v>
          </cell>
          <cell r="AE26" t="str">
            <v>Essentia helm</v>
          </cell>
          <cell r="AF26">
            <v>3</v>
          </cell>
          <cell r="AH26">
            <v>3000</v>
          </cell>
          <cell r="AJ26" t="str">
            <v>Dragon mask</v>
          </cell>
          <cell r="AK26">
            <v>2</v>
          </cell>
          <cell r="AM26">
            <v>4000</v>
          </cell>
          <cell r="AO26" t="str">
            <v>Amber amulet of vermin, Huge monstrous scorpion</v>
          </cell>
          <cell r="AP26">
            <v>0</v>
          </cell>
          <cell r="AR26">
            <v>700</v>
          </cell>
          <cell r="AT26" t="str">
            <v>Cloak of the salamander, greater</v>
          </cell>
          <cell r="AU26">
            <v>1</v>
          </cell>
          <cell r="AW26">
            <v>36000</v>
          </cell>
          <cell r="AY26" t="str">
            <v>Bracers of wind</v>
          </cell>
          <cell r="AZ26">
            <v>1</v>
          </cell>
          <cell r="BB26">
            <v>10000</v>
          </cell>
          <cell r="BI26" t="str">
            <v>Shirt of slaadskin</v>
          </cell>
          <cell r="BJ26">
            <v>1</v>
          </cell>
          <cell r="BL26">
            <v>15000</v>
          </cell>
          <cell r="BN26" t="str">
            <v>-- Complete Mage --</v>
          </cell>
          <cell r="BS26" t="str">
            <v>Boots of the mountain king, greater</v>
          </cell>
          <cell r="BT26">
            <v>1</v>
          </cell>
          <cell r="BV26">
            <v>21500</v>
          </cell>
        </row>
        <row r="27">
          <cell r="U27" t="str">
            <v>Protection</v>
          </cell>
          <cell r="X27">
            <v>0</v>
          </cell>
          <cell r="Z27" t="str">
            <v>Gauntlets of ghost fighting</v>
          </cell>
          <cell r="AA27">
            <v>0.5</v>
          </cell>
          <cell r="AC27">
            <v>4000</v>
          </cell>
          <cell r="AE27" t="str">
            <v>Executioner’s hood</v>
          </cell>
          <cell r="AF27">
            <v>0</v>
          </cell>
          <cell r="AH27">
            <v>6000</v>
          </cell>
          <cell r="AJ27" t="str">
            <v>Dreaming blindfold</v>
          </cell>
          <cell r="AK27">
            <v>0</v>
          </cell>
          <cell r="AM27">
            <v>7500</v>
          </cell>
          <cell r="AO27" t="str">
            <v>Amber amulet of vermin, Large monstrous spider</v>
          </cell>
          <cell r="AP27">
            <v>0</v>
          </cell>
          <cell r="AR27">
            <v>700</v>
          </cell>
          <cell r="AT27" t="str">
            <v>Cloak of thorns</v>
          </cell>
          <cell r="AU27">
            <v>1</v>
          </cell>
          <cell r="AW27">
            <v>26000</v>
          </cell>
          <cell r="AY27" t="str">
            <v>Caduceus bracers</v>
          </cell>
          <cell r="AZ27">
            <v>1</v>
          </cell>
          <cell r="BB27">
            <v>2000</v>
          </cell>
          <cell r="BI27" t="str">
            <v>Shirt of the fey</v>
          </cell>
          <cell r="BJ27">
            <v>1</v>
          </cell>
          <cell r="BL27">
            <v>15000</v>
          </cell>
          <cell r="BN27" t="str">
            <v>Familiar's belt</v>
          </cell>
          <cell r="BO27">
            <v>3</v>
          </cell>
          <cell r="BQ27">
            <v>6000</v>
          </cell>
          <cell r="BS27" t="str">
            <v>Boots of the unending journey</v>
          </cell>
          <cell r="BT27">
            <v>1</v>
          </cell>
          <cell r="BV27">
            <v>4000</v>
          </cell>
        </row>
        <row r="28">
          <cell r="U28" t="str">
            <v>Ram</v>
          </cell>
          <cell r="X28">
            <v>8600</v>
          </cell>
          <cell r="Z28" t="str">
            <v>Gauntlets of giantfelling</v>
          </cell>
          <cell r="AA28">
            <v>0</v>
          </cell>
          <cell r="AC28">
            <v>2000</v>
          </cell>
          <cell r="AE28" t="str">
            <v>Fiendhelm</v>
          </cell>
          <cell r="AF28">
            <v>2</v>
          </cell>
          <cell r="AH28">
            <v>10000</v>
          </cell>
          <cell r="AJ28" t="str">
            <v>Eyes of expanded vision</v>
          </cell>
          <cell r="AK28">
            <v>0</v>
          </cell>
          <cell r="AM28">
            <v>3200</v>
          </cell>
          <cell r="AO28" t="str">
            <v>Amulet of aquatic salvation</v>
          </cell>
          <cell r="AP28">
            <v>0</v>
          </cell>
          <cell r="AR28">
            <v>500</v>
          </cell>
          <cell r="AT28" t="str">
            <v>Cloak of turn resistance</v>
          </cell>
          <cell r="AU28">
            <v>1</v>
          </cell>
          <cell r="AW28">
            <v>11000</v>
          </cell>
          <cell r="AY28" t="str">
            <v>Counterstrike bracers</v>
          </cell>
          <cell r="AZ28">
            <v>0</v>
          </cell>
          <cell r="BB28">
            <v>2500</v>
          </cell>
          <cell r="BI28" t="str">
            <v>Shirt of the inevitable</v>
          </cell>
          <cell r="BJ28">
            <v>10</v>
          </cell>
          <cell r="BL28">
            <v>15000</v>
          </cell>
          <cell r="BS28" t="str">
            <v>Boots of tracklessness</v>
          </cell>
          <cell r="BT28">
            <v>1</v>
          </cell>
          <cell r="BV28">
            <v>11000</v>
          </cell>
        </row>
        <row r="29">
          <cell r="U29" t="str">
            <v>Regeneration</v>
          </cell>
          <cell r="X29">
            <v>90000</v>
          </cell>
          <cell r="Z29" t="str">
            <v>Gauntlets of lassitude</v>
          </cell>
          <cell r="AA29">
            <v>2</v>
          </cell>
          <cell r="AC29">
            <v>5000</v>
          </cell>
          <cell r="AE29" t="str">
            <v>Hat of anonymity</v>
          </cell>
          <cell r="AF29">
            <v>0</v>
          </cell>
          <cell r="AH29">
            <v>12500</v>
          </cell>
          <cell r="AJ29" t="str">
            <v>Eyes of power leech</v>
          </cell>
          <cell r="AK29">
            <v>0</v>
          </cell>
          <cell r="AM29">
            <v>10000</v>
          </cell>
          <cell r="AO29" t="str">
            <v>Amulet of catapsi</v>
          </cell>
          <cell r="AP29">
            <v>0</v>
          </cell>
          <cell r="AR29">
            <v>16000</v>
          </cell>
          <cell r="AT29" t="str">
            <v>Cloak of weaponry</v>
          </cell>
          <cell r="AU29">
            <v>1</v>
          </cell>
          <cell r="AW29">
            <v>2300</v>
          </cell>
          <cell r="AY29" t="str">
            <v>Crimson dragonhide bracers</v>
          </cell>
          <cell r="AZ29">
            <v>1</v>
          </cell>
          <cell r="BB29">
            <v>5000</v>
          </cell>
          <cell r="BI29" t="str">
            <v>Shirt of the leech</v>
          </cell>
          <cell r="BJ29">
            <v>1</v>
          </cell>
          <cell r="BL29">
            <v>8000</v>
          </cell>
          <cell r="BS29" t="str">
            <v>Boots of tremorsense</v>
          </cell>
          <cell r="BT29">
            <v>1</v>
          </cell>
          <cell r="BV29">
            <v>5000</v>
          </cell>
        </row>
        <row r="30">
          <cell r="U30" t="str">
            <v>Shooting stars</v>
          </cell>
          <cell r="X30">
            <v>50000</v>
          </cell>
          <cell r="Z30" t="str">
            <v>Gauntlets of mindfire</v>
          </cell>
          <cell r="AA30">
            <v>0.5</v>
          </cell>
          <cell r="AC30">
            <v>11000</v>
          </cell>
          <cell r="AE30" t="str">
            <v>Headband of conscious effort</v>
          </cell>
          <cell r="AF30">
            <v>0</v>
          </cell>
          <cell r="AH30">
            <v>2000</v>
          </cell>
          <cell r="AJ30" t="str">
            <v>Eyes of power leech, vampiric</v>
          </cell>
          <cell r="AK30">
            <v>0</v>
          </cell>
          <cell r="AM30">
            <v>20000</v>
          </cell>
          <cell r="AO30" t="str">
            <v>Amulet of emergency healing</v>
          </cell>
          <cell r="AP30">
            <v>0</v>
          </cell>
          <cell r="AR30">
            <v>6000</v>
          </cell>
          <cell r="AT30" t="str">
            <v>Dragonscale cloak</v>
          </cell>
          <cell r="AU30">
            <v>2</v>
          </cell>
          <cell r="AW30">
            <v>5000</v>
          </cell>
          <cell r="AY30" t="str">
            <v>Deathguardian bracers</v>
          </cell>
          <cell r="AZ30">
            <v>3</v>
          </cell>
          <cell r="BB30">
            <v>6000</v>
          </cell>
          <cell r="BI30" t="str">
            <v>Shirt of the moon</v>
          </cell>
          <cell r="BJ30">
            <v>1</v>
          </cell>
          <cell r="BL30">
            <v>15000</v>
          </cell>
          <cell r="BO30">
            <v>0</v>
          </cell>
          <cell r="BQ30">
            <v>0</v>
          </cell>
          <cell r="BS30" t="str">
            <v>Cloudwalker anklets</v>
          </cell>
          <cell r="BT30">
            <v>1</v>
          </cell>
          <cell r="BV30">
            <v>50000</v>
          </cell>
        </row>
        <row r="31">
          <cell r="U31" t="str">
            <v>Spell storing</v>
          </cell>
          <cell r="X31">
            <v>50000</v>
          </cell>
          <cell r="Z31" t="str">
            <v>Gauntlets of the blazing arc</v>
          </cell>
          <cell r="AA31">
            <v>0.5</v>
          </cell>
          <cell r="AC31">
            <v>6300</v>
          </cell>
          <cell r="AE31" t="str">
            <v>Headband of the lorebinder</v>
          </cell>
          <cell r="AF31">
            <v>0</v>
          </cell>
          <cell r="AH31">
            <v>1600</v>
          </cell>
          <cell r="AJ31" t="str">
            <v>Eyes of truth</v>
          </cell>
          <cell r="AK31">
            <v>0</v>
          </cell>
          <cell r="AM31">
            <v>5500</v>
          </cell>
          <cell r="AO31" t="str">
            <v>Amulet of fortune prevailing</v>
          </cell>
          <cell r="AP31">
            <v>1</v>
          </cell>
          <cell r="AR31">
            <v>5000</v>
          </cell>
          <cell r="AT31" t="str">
            <v>Greater piwafwi</v>
          </cell>
          <cell r="AU31">
            <v>1</v>
          </cell>
          <cell r="AW31">
            <v>6500</v>
          </cell>
          <cell r="AY31" t="str">
            <v>Deathstrike bracers</v>
          </cell>
          <cell r="AZ31">
            <v>2</v>
          </cell>
          <cell r="BB31">
            <v>5000</v>
          </cell>
          <cell r="BI31" t="str">
            <v>Shirt of the treant</v>
          </cell>
          <cell r="BJ31">
            <v>1</v>
          </cell>
          <cell r="BL31">
            <v>9000</v>
          </cell>
          <cell r="BS31" t="str">
            <v>Cobra straps</v>
          </cell>
          <cell r="BT31">
            <v>0</v>
          </cell>
          <cell r="BV31">
            <v>1400</v>
          </cell>
        </row>
        <row r="32">
          <cell r="U32" t="str">
            <v>Spell storing, major</v>
          </cell>
          <cell r="X32">
            <v>200000</v>
          </cell>
          <cell r="Z32" t="str">
            <v>Gauntlets of the blood-lord</v>
          </cell>
          <cell r="AA32">
            <v>2</v>
          </cell>
          <cell r="AC32">
            <v>5120</v>
          </cell>
          <cell r="AE32" t="str">
            <v>Helm of battle</v>
          </cell>
          <cell r="AF32">
            <v>0</v>
          </cell>
          <cell r="AH32">
            <v>2000</v>
          </cell>
          <cell r="AJ32" t="str">
            <v>Fanged mask</v>
          </cell>
          <cell r="AK32">
            <v>1</v>
          </cell>
          <cell r="AM32">
            <v>8300</v>
          </cell>
          <cell r="AO32" t="str">
            <v>Amulet of incarnum shielding</v>
          </cell>
          <cell r="AP32">
            <v>1</v>
          </cell>
          <cell r="AR32">
            <v>2100</v>
          </cell>
          <cell r="AT32" t="str">
            <v>Incarnum focus (cloak)</v>
          </cell>
          <cell r="AU32">
            <v>1</v>
          </cell>
          <cell r="AW32">
            <v>15000</v>
          </cell>
          <cell r="AY32" t="str">
            <v>Goodberry bracelet</v>
          </cell>
          <cell r="AZ32">
            <v>0</v>
          </cell>
          <cell r="BB32">
            <v>2000</v>
          </cell>
          <cell r="BI32" t="str">
            <v>Shirt of wraith stalking</v>
          </cell>
          <cell r="BJ32">
            <v>1</v>
          </cell>
          <cell r="BL32">
            <v>6000</v>
          </cell>
          <cell r="BS32" t="str">
            <v>Dimension stride boots</v>
          </cell>
          <cell r="BT32">
            <v>1</v>
          </cell>
          <cell r="BV32">
            <v>2000</v>
          </cell>
        </row>
        <row r="33">
          <cell r="U33" t="str">
            <v>Spell storing, minor</v>
          </cell>
          <cell r="X33">
            <v>18000</v>
          </cell>
          <cell r="Z33" t="str">
            <v>Gauntlets of the talon</v>
          </cell>
          <cell r="AA33">
            <v>2</v>
          </cell>
          <cell r="AC33">
            <v>4000</v>
          </cell>
          <cell r="AE33" t="str">
            <v>Helm of gazes</v>
          </cell>
          <cell r="AF33">
            <v>3</v>
          </cell>
          <cell r="AH33">
            <v>5000</v>
          </cell>
          <cell r="AJ33" t="str">
            <v>Goggles of day</v>
          </cell>
          <cell r="AK33">
            <v>0</v>
          </cell>
          <cell r="AM33">
            <v>4500</v>
          </cell>
          <cell r="AO33" t="str">
            <v>Amulet of inviolate form</v>
          </cell>
          <cell r="AP33">
            <v>1</v>
          </cell>
          <cell r="AR33">
            <v>11000</v>
          </cell>
          <cell r="AT33" t="str">
            <v>Mantle of second chances</v>
          </cell>
          <cell r="AU33">
            <v>2</v>
          </cell>
          <cell r="AW33">
            <v>12000</v>
          </cell>
          <cell r="AY33" t="str">
            <v>Greatreach bracers</v>
          </cell>
          <cell r="AZ33">
            <v>5</v>
          </cell>
          <cell r="BB33">
            <v>2000</v>
          </cell>
          <cell r="BI33" t="str">
            <v>Surcoat of valor</v>
          </cell>
          <cell r="BJ33">
            <v>1</v>
          </cell>
          <cell r="BL33">
            <v>4000</v>
          </cell>
          <cell r="BS33" t="str">
            <v>Gwaeron’s boots</v>
          </cell>
          <cell r="BT33">
            <v>1</v>
          </cell>
          <cell r="BV33">
            <v>6000</v>
          </cell>
        </row>
        <row r="34">
          <cell r="U34" t="str">
            <v>Spell turning</v>
          </cell>
          <cell r="X34">
            <v>98280</v>
          </cell>
          <cell r="Z34" t="str">
            <v>Gauntlets of throwing</v>
          </cell>
          <cell r="AA34">
            <v>0</v>
          </cell>
          <cell r="AC34">
            <v>2000</v>
          </cell>
          <cell r="AE34" t="str">
            <v>Helm of glorious recovery</v>
          </cell>
          <cell r="AF34">
            <v>3</v>
          </cell>
          <cell r="AH34">
            <v>5600</v>
          </cell>
          <cell r="AJ34" t="str">
            <v>Goggles of draconic vision</v>
          </cell>
          <cell r="AK34">
            <v>0</v>
          </cell>
          <cell r="AM34">
            <v>16000</v>
          </cell>
          <cell r="AO34" t="str">
            <v>Amulet of retributive healing</v>
          </cell>
          <cell r="AP34">
            <v>1</v>
          </cell>
          <cell r="AR34">
            <v>2000</v>
          </cell>
          <cell r="AT34" t="str">
            <v>Mantle of the predator</v>
          </cell>
          <cell r="AU34">
            <v>2</v>
          </cell>
          <cell r="AW34">
            <v>8000</v>
          </cell>
          <cell r="AY34" t="str">
            <v>Hexbands</v>
          </cell>
          <cell r="AZ34">
            <v>3</v>
          </cell>
          <cell r="BB34">
            <v>3100</v>
          </cell>
          <cell r="BI34" t="str">
            <v>Tabard of the disembodied</v>
          </cell>
          <cell r="BJ34">
            <v>1</v>
          </cell>
          <cell r="BL34">
            <v>6000</v>
          </cell>
          <cell r="BS34" t="str">
            <v>Incarnum focus (boots)</v>
          </cell>
          <cell r="BT34">
            <v>2</v>
          </cell>
          <cell r="BV34">
            <v>15000</v>
          </cell>
        </row>
        <row r="35">
          <cell r="U35" t="str">
            <v>Sustenance</v>
          </cell>
          <cell r="X35">
            <v>2500</v>
          </cell>
          <cell r="Z35" t="str">
            <v>Gauntlets of weaponry arcane</v>
          </cell>
          <cell r="AA35">
            <v>1</v>
          </cell>
          <cell r="AC35">
            <v>6000</v>
          </cell>
          <cell r="AE35" t="str">
            <v>Helm of heroes</v>
          </cell>
          <cell r="AF35">
            <v>1</v>
          </cell>
          <cell r="AH35">
            <v>5600</v>
          </cell>
          <cell r="AJ35" t="str">
            <v>Goggles of foefinding</v>
          </cell>
          <cell r="AK35">
            <v>0</v>
          </cell>
          <cell r="AM35">
            <v>2500</v>
          </cell>
          <cell r="AO35" t="str">
            <v>Amulet of second chances</v>
          </cell>
          <cell r="AP35">
            <v>0</v>
          </cell>
          <cell r="AR35">
            <v>40000</v>
          </cell>
          <cell r="AT35" t="str">
            <v>Phoenix cloak</v>
          </cell>
          <cell r="AU35">
            <v>1</v>
          </cell>
          <cell r="AW35">
            <v>50000</v>
          </cell>
          <cell r="AY35" t="str">
            <v>Incarnum focus (bracers)</v>
          </cell>
          <cell r="AZ35">
            <v>1</v>
          </cell>
          <cell r="BB35">
            <v>15000</v>
          </cell>
          <cell r="BI35" t="str">
            <v>Tabard of the great crusade</v>
          </cell>
          <cell r="BJ35">
            <v>1</v>
          </cell>
          <cell r="BL35">
            <v>5500</v>
          </cell>
          <cell r="BS35" t="str">
            <v>Quicksilver boots</v>
          </cell>
          <cell r="BT35">
            <v>0</v>
          </cell>
          <cell r="BV35">
            <v>3500</v>
          </cell>
        </row>
        <row r="36">
          <cell r="U36" t="str">
            <v>Swimming</v>
          </cell>
          <cell r="X36">
            <v>2500</v>
          </cell>
          <cell r="Z36" t="str">
            <v>Ghoul gauntlets</v>
          </cell>
          <cell r="AA36">
            <v>1</v>
          </cell>
          <cell r="AC36">
            <v>10000</v>
          </cell>
          <cell r="AE36" t="str">
            <v>Helm of tactics</v>
          </cell>
          <cell r="AF36">
            <v>1</v>
          </cell>
          <cell r="AH36">
            <v>2000</v>
          </cell>
          <cell r="AJ36" t="str">
            <v>Goggles of lifesight</v>
          </cell>
          <cell r="AK36">
            <v>0</v>
          </cell>
          <cell r="AM36">
            <v>2000</v>
          </cell>
          <cell r="AO36" t="str">
            <v>Amulet of teamwork</v>
          </cell>
          <cell r="AP36">
            <v>0</v>
          </cell>
          <cell r="AR36">
            <v>2000</v>
          </cell>
          <cell r="AT36" t="str">
            <v>Piercer cloak</v>
          </cell>
          <cell r="AU36">
            <v>0</v>
          </cell>
          <cell r="AW36">
            <v>900</v>
          </cell>
          <cell r="AY36" t="str">
            <v>Inquisitor bracers</v>
          </cell>
          <cell r="AZ36">
            <v>1</v>
          </cell>
          <cell r="BB36">
            <v>1500</v>
          </cell>
          <cell r="BI36" t="str">
            <v>Tunic of steady spellcasting</v>
          </cell>
          <cell r="BJ36">
            <v>1</v>
          </cell>
          <cell r="BL36">
            <v>2500</v>
          </cell>
          <cell r="BS36" t="str">
            <v>Riding boots</v>
          </cell>
          <cell r="BT36">
            <v>2</v>
          </cell>
          <cell r="BV36">
            <v>12000</v>
          </cell>
        </row>
        <row r="37">
          <cell r="U37" t="str">
            <v>Telekinesis</v>
          </cell>
          <cell r="X37">
            <v>75000</v>
          </cell>
          <cell r="Z37" t="str">
            <v>Gloves of agile striking</v>
          </cell>
          <cell r="AA37">
            <v>0</v>
          </cell>
          <cell r="AC37">
            <v>2200</v>
          </cell>
          <cell r="AE37" t="str">
            <v>Helm of the hunter</v>
          </cell>
          <cell r="AF37">
            <v>1</v>
          </cell>
          <cell r="AH37">
            <v>9000</v>
          </cell>
          <cell r="AJ37" t="str">
            <v>Goggles of the ebon hunter</v>
          </cell>
          <cell r="AK37">
            <v>0</v>
          </cell>
          <cell r="AM37">
            <v>18000</v>
          </cell>
          <cell r="AO37" t="str">
            <v>Amulet of tears</v>
          </cell>
          <cell r="AP37">
            <v>0</v>
          </cell>
          <cell r="AR37">
            <v>2300</v>
          </cell>
          <cell r="AT37" t="str">
            <v>Rearguard’s cape</v>
          </cell>
          <cell r="AU37">
            <v>3</v>
          </cell>
          <cell r="AW37">
            <v>2000</v>
          </cell>
          <cell r="AY37" t="str">
            <v>Mithral bells</v>
          </cell>
          <cell r="AZ37">
            <v>1</v>
          </cell>
          <cell r="BB37">
            <v>3700</v>
          </cell>
          <cell r="BI37" t="str">
            <v>Veil of storms</v>
          </cell>
          <cell r="BJ37">
            <v>0</v>
          </cell>
          <cell r="BL37">
            <v>4000</v>
          </cell>
          <cell r="BS37" t="str">
            <v>Rock boots</v>
          </cell>
          <cell r="BT37">
            <v>1</v>
          </cell>
          <cell r="BV37">
            <v>2000</v>
          </cell>
        </row>
        <row r="38">
          <cell r="U38" t="str">
            <v>Three wishes</v>
          </cell>
          <cell r="X38">
            <v>97950</v>
          </cell>
          <cell r="Z38" t="str">
            <v>Gloves of eldritch admixture</v>
          </cell>
          <cell r="AA38">
            <v>0</v>
          </cell>
          <cell r="AC38">
            <v>2500</v>
          </cell>
          <cell r="AE38" t="str">
            <v>Helm of the purple plume</v>
          </cell>
          <cell r="AF38">
            <v>4</v>
          </cell>
          <cell r="AH38">
            <v>4500</v>
          </cell>
          <cell r="AJ38" t="str">
            <v>Goggles of the golden sun</v>
          </cell>
          <cell r="AK38">
            <v>0</v>
          </cell>
          <cell r="AM38">
            <v>4000</v>
          </cell>
          <cell r="AO38" t="str">
            <v>Amulet of toxin delay</v>
          </cell>
          <cell r="AP38">
            <v>0</v>
          </cell>
          <cell r="AR38">
            <v>400</v>
          </cell>
          <cell r="AT38" t="str">
            <v>Scry shroud</v>
          </cell>
          <cell r="AU38">
            <v>0</v>
          </cell>
          <cell r="AW38">
            <v>4000</v>
          </cell>
          <cell r="AY38" t="str">
            <v>Rapidstrike bracers</v>
          </cell>
          <cell r="AZ38">
            <v>0</v>
          </cell>
          <cell r="BB38">
            <v>3100</v>
          </cell>
          <cell r="BI38" t="str">
            <v>Vest of defense</v>
          </cell>
          <cell r="BJ38">
            <v>1</v>
          </cell>
          <cell r="BL38">
            <v>2000</v>
          </cell>
          <cell r="BS38" t="str">
            <v>Sandals of springing</v>
          </cell>
          <cell r="BT38">
            <v>1</v>
          </cell>
          <cell r="BV38">
            <v>10000</v>
          </cell>
        </row>
        <row r="39">
          <cell r="U39" t="str">
            <v>Water walking</v>
          </cell>
          <cell r="X39">
            <v>15000</v>
          </cell>
          <cell r="Z39" t="str">
            <v>Gloves of endless javelins</v>
          </cell>
          <cell r="AA39">
            <v>0.5</v>
          </cell>
          <cell r="AC39">
            <v>7000</v>
          </cell>
          <cell r="AE39" t="str">
            <v>Helm of wounding sight</v>
          </cell>
          <cell r="AF39">
            <v>1</v>
          </cell>
          <cell r="AH39">
            <v>6500</v>
          </cell>
          <cell r="AJ39" t="str">
            <v>Incarnum focus (goggles)</v>
          </cell>
          <cell r="AK39">
            <v>1</v>
          </cell>
          <cell r="AM39">
            <v>15000</v>
          </cell>
          <cell r="AO39" t="str">
            <v>Amulet of wordtwisting</v>
          </cell>
          <cell r="AP39">
            <v>0</v>
          </cell>
          <cell r="AR39">
            <v>6000</v>
          </cell>
          <cell r="AT39" t="str">
            <v>Standard of valor</v>
          </cell>
          <cell r="AU39">
            <v>4</v>
          </cell>
          <cell r="AW39">
            <v>1400</v>
          </cell>
          <cell r="AY39" t="str">
            <v>Reciprocal bracers</v>
          </cell>
          <cell r="AZ39">
            <v>0</v>
          </cell>
          <cell r="BB39">
            <v>5000</v>
          </cell>
          <cell r="BI39" t="str">
            <v>Vest of free movement</v>
          </cell>
          <cell r="BJ39">
            <v>0</v>
          </cell>
          <cell r="BL39">
            <v>12000</v>
          </cell>
          <cell r="BS39" t="str">
            <v>Sandals of sprinting</v>
          </cell>
          <cell r="BT39">
            <v>0.5</v>
          </cell>
          <cell r="BV39">
            <v>2300</v>
          </cell>
        </row>
        <row r="40">
          <cell r="U40" t="str">
            <v xml:space="preserve">Wizardry </v>
          </cell>
          <cell r="X40">
            <v>0</v>
          </cell>
          <cell r="Z40" t="str">
            <v>Gloves of flame</v>
          </cell>
          <cell r="AA40">
            <v>0.5</v>
          </cell>
          <cell r="AC40">
            <v>7000</v>
          </cell>
          <cell r="AE40" t="str">
            <v>Horned helm</v>
          </cell>
          <cell r="AF40">
            <v>1</v>
          </cell>
          <cell r="AH40">
            <v>8000</v>
          </cell>
          <cell r="AJ40" t="str">
            <v>Lenses of bright vision</v>
          </cell>
          <cell r="AK40">
            <v>0</v>
          </cell>
          <cell r="AM40">
            <v>600</v>
          </cell>
          <cell r="AO40" t="str">
            <v>Ankh of ascension</v>
          </cell>
          <cell r="AP40">
            <v>3</v>
          </cell>
          <cell r="AR40">
            <v>9000</v>
          </cell>
          <cell r="AT40" t="str">
            <v>Transposer cloak</v>
          </cell>
          <cell r="AU40">
            <v>0</v>
          </cell>
          <cell r="AW40">
            <v>6000</v>
          </cell>
          <cell r="AY40" t="str">
            <v>Shadow maniple</v>
          </cell>
          <cell r="AZ40">
            <v>0</v>
          </cell>
          <cell r="BB40">
            <v>3700</v>
          </cell>
          <cell r="BI40" t="str">
            <v>Vest of resistance</v>
          </cell>
          <cell r="BJ40">
            <v>1</v>
          </cell>
          <cell r="BL40">
            <v>0</v>
          </cell>
          <cell r="BS40" t="str">
            <v>Sandals of the light step</v>
          </cell>
          <cell r="BT40">
            <v>1</v>
          </cell>
          <cell r="BV40">
            <v>9000</v>
          </cell>
        </row>
        <row r="41">
          <cell r="U41" t="str">
            <v>X-ray vision</v>
          </cell>
          <cell r="X41">
            <v>25000</v>
          </cell>
          <cell r="Z41" t="str">
            <v>Gloves of fortunate striking</v>
          </cell>
          <cell r="AA41">
            <v>0</v>
          </cell>
          <cell r="AC41">
            <v>2000</v>
          </cell>
          <cell r="AE41" t="str">
            <v>Incarnum focus (circlet)</v>
          </cell>
          <cell r="AF41">
            <v>0</v>
          </cell>
          <cell r="AH41">
            <v>15000</v>
          </cell>
          <cell r="AJ41" t="str">
            <v>Lenses of revelation</v>
          </cell>
          <cell r="AK41">
            <v>0</v>
          </cell>
          <cell r="AM41">
            <v>1400</v>
          </cell>
          <cell r="AO41" t="str">
            <v>Badge of glory</v>
          </cell>
          <cell r="AP41">
            <v>0</v>
          </cell>
          <cell r="AR41">
            <v>3400</v>
          </cell>
          <cell r="AT41" t="str">
            <v>Vanisher cloak</v>
          </cell>
          <cell r="AU41">
            <v>1</v>
          </cell>
          <cell r="AW41">
            <v>2500</v>
          </cell>
          <cell r="AY41" t="str">
            <v>Spellmight bracers</v>
          </cell>
          <cell r="AZ41">
            <v>1</v>
          </cell>
          <cell r="BB41">
            <v>3300</v>
          </cell>
          <cell r="BI41" t="str">
            <v>Vest of the archmagi</v>
          </cell>
          <cell r="BJ41">
            <v>2</v>
          </cell>
          <cell r="BL41">
            <v>200000</v>
          </cell>
          <cell r="BS41" t="str">
            <v>Skirmisher boots</v>
          </cell>
          <cell r="BT41">
            <v>1</v>
          </cell>
          <cell r="BV41">
            <v>3200</v>
          </cell>
        </row>
        <row r="42">
          <cell r="U42" t="str">
            <v>--Magic Item Compendium--</v>
          </cell>
          <cell r="Z42" t="str">
            <v>Gloves of incarnum theft</v>
          </cell>
          <cell r="AA42">
            <v>1</v>
          </cell>
          <cell r="AC42">
            <v>8000</v>
          </cell>
          <cell r="AE42" t="str">
            <v>Lore gem</v>
          </cell>
          <cell r="AF42">
            <v>0</v>
          </cell>
          <cell r="AH42">
            <v>7500</v>
          </cell>
          <cell r="AJ42" t="str">
            <v>Lenses of true form</v>
          </cell>
          <cell r="AK42">
            <v>0</v>
          </cell>
          <cell r="AM42">
            <v>10000</v>
          </cell>
          <cell r="AO42" t="str">
            <v>Badge of the svirfneblin</v>
          </cell>
          <cell r="AP42">
            <v>0</v>
          </cell>
          <cell r="AR42">
            <v>15000</v>
          </cell>
          <cell r="AT42" t="str">
            <v>Veil of doors</v>
          </cell>
          <cell r="AU42">
            <v>0</v>
          </cell>
          <cell r="AW42">
            <v>11000</v>
          </cell>
          <cell r="AY42" t="str">
            <v>Strongarm bracers</v>
          </cell>
          <cell r="AZ42">
            <v>1</v>
          </cell>
          <cell r="BB42">
            <v>6000</v>
          </cell>
          <cell r="BI42" t="str">
            <v>Vest of the master evoker</v>
          </cell>
          <cell r="BJ42">
            <v>2</v>
          </cell>
          <cell r="BL42">
            <v>10000</v>
          </cell>
          <cell r="BS42" t="str">
            <v>Steadfast boots</v>
          </cell>
          <cell r="BT42">
            <v>1</v>
          </cell>
          <cell r="BV42">
            <v>1400</v>
          </cell>
        </row>
        <row r="43">
          <cell r="U43" t="str">
            <v>Adamantine touch</v>
          </cell>
          <cell r="X43">
            <v>6000</v>
          </cell>
          <cell r="Z43" t="str">
            <v>Gloves of lightning</v>
          </cell>
          <cell r="AA43">
            <v>0</v>
          </cell>
          <cell r="AC43">
            <v>2000</v>
          </cell>
          <cell r="AE43" t="str">
            <v>Mindvault</v>
          </cell>
          <cell r="AF43">
            <v>0</v>
          </cell>
          <cell r="AH43">
            <v>8000</v>
          </cell>
          <cell r="AJ43" t="str">
            <v>Mask of blood</v>
          </cell>
          <cell r="AK43">
            <v>1</v>
          </cell>
          <cell r="AM43">
            <v>3300</v>
          </cell>
          <cell r="AO43" t="str">
            <v>Badge of valor</v>
          </cell>
          <cell r="AP43">
            <v>0</v>
          </cell>
          <cell r="AR43">
            <v>1400</v>
          </cell>
          <cell r="AT43" t="str">
            <v>War wizard cloak</v>
          </cell>
          <cell r="AU43">
            <v>1</v>
          </cell>
          <cell r="AW43">
            <v>16000</v>
          </cell>
          <cell r="AY43" t="str">
            <v>Vambraces of warding</v>
          </cell>
          <cell r="AZ43">
            <v>1</v>
          </cell>
          <cell r="BB43">
            <v>8000</v>
          </cell>
          <cell r="BI43" t="str">
            <v>Vestments of ebonsilk</v>
          </cell>
          <cell r="BJ43">
            <v>1</v>
          </cell>
          <cell r="BL43">
            <v>5000</v>
          </cell>
          <cell r="BS43" t="str">
            <v>Vanguard treads</v>
          </cell>
          <cell r="BT43">
            <v>1</v>
          </cell>
          <cell r="BV43">
            <v>3100</v>
          </cell>
        </row>
        <row r="44">
          <cell r="U44" t="str">
            <v>Antivenom</v>
          </cell>
          <cell r="X44">
            <v>8000</v>
          </cell>
          <cell r="Z44" t="str">
            <v>Gloves of manual prowess</v>
          </cell>
          <cell r="AA44">
            <v>0</v>
          </cell>
          <cell r="AC44">
            <v>3000</v>
          </cell>
          <cell r="AE44" t="str">
            <v>Phoenix helm</v>
          </cell>
          <cell r="AF44">
            <v>3</v>
          </cell>
          <cell r="AH44">
            <v>6500</v>
          </cell>
          <cell r="AJ44" t="str">
            <v>Mask of lies</v>
          </cell>
          <cell r="AK44">
            <v>1</v>
          </cell>
          <cell r="AM44">
            <v>4500</v>
          </cell>
          <cell r="AO44" t="str">
            <v>Blood claw choker</v>
          </cell>
          <cell r="AP44">
            <v>0</v>
          </cell>
          <cell r="AR44">
            <v>12000</v>
          </cell>
          <cell r="AT44" t="str">
            <v>Water Cloak</v>
          </cell>
          <cell r="AU44">
            <v>1</v>
          </cell>
          <cell r="AW44">
            <v>12000</v>
          </cell>
          <cell r="AY44" t="str">
            <v>Wand bracelet</v>
          </cell>
          <cell r="AZ44">
            <v>0</v>
          </cell>
          <cell r="BB44">
            <v>12000</v>
          </cell>
          <cell r="BI44" t="str">
            <v>Winged vest</v>
          </cell>
          <cell r="BJ44">
            <v>2</v>
          </cell>
          <cell r="BL44">
            <v>12000</v>
          </cell>
          <cell r="BS44" t="str">
            <v>-- Complete Mage --</v>
          </cell>
        </row>
        <row r="45">
          <cell r="U45" t="str">
            <v>Arcane might</v>
          </cell>
          <cell r="X45">
            <v>20000</v>
          </cell>
          <cell r="Z45" t="str">
            <v>Gloves of object reading</v>
          </cell>
          <cell r="AA45">
            <v>0</v>
          </cell>
          <cell r="AC45">
            <v>3000</v>
          </cell>
          <cell r="AE45" t="str">
            <v>Phylactery of virtue</v>
          </cell>
          <cell r="AF45">
            <v>0</v>
          </cell>
          <cell r="AH45">
            <v>6500</v>
          </cell>
          <cell r="AJ45" t="str">
            <v>Mask of mastery</v>
          </cell>
          <cell r="AK45">
            <v>1</v>
          </cell>
          <cell r="AM45">
            <v>3500</v>
          </cell>
          <cell r="AO45" t="str">
            <v>Brooch of avoidance</v>
          </cell>
          <cell r="AP45">
            <v>0</v>
          </cell>
          <cell r="AR45">
            <v>3100</v>
          </cell>
          <cell r="AT45" t="str">
            <v>White cloak of the spider</v>
          </cell>
          <cell r="AU45">
            <v>1</v>
          </cell>
          <cell r="AW45">
            <v>4200</v>
          </cell>
          <cell r="AY45" t="str">
            <v>-- Complete Scoundrel --</v>
          </cell>
          <cell r="BI45" t="str">
            <v>-- Complete Champion --</v>
          </cell>
          <cell r="BS45" t="str">
            <v>Stormrider boots</v>
          </cell>
          <cell r="BT45">
            <v>2</v>
          </cell>
          <cell r="BV45">
            <v>18000</v>
          </cell>
        </row>
        <row r="46">
          <cell r="U46" t="str">
            <v>Arming</v>
          </cell>
          <cell r="X46">
            <v>5000</v>
          </cell>
          <cell r="Z46" t="str">
            <v>Gloves of spell disruption</v>
          </cell>
          <cell r="AA46">
            <v>0</v>
          </cell>
          <cell r="AC46">
            <v>1000</v>
          </cell>
          <cell r="AE46" t="str">
            <v>Platinum helm</v>
          </cell>
          <cell r="AF46">
            <v>3</v>
          </cell>
          <cell r="AH46">
            <v>5000</v>
          </cell>
          <cell r="AJ46" t="str">
            <v>Mask of mental armor</v>
          </cell>
          <cell r="AK46">
            <v>0</v>
          </cell>
          <cell r="AM46">
            <v>4000</v>
          </cell>
          <cell r="AO46" t="str">
            <v>Brooch of stability</v>
          </cell>
          <cell r="AP46">
            <v>0</v>
          </cell>
          <cell r="AR46">
            <v>1000</v>
          </cell>
          <cell r="AT46" t="str">
            <v>-- Complete Mage --</v>
          </cell>
          <cell r="AY46" t="str">
            <v>Bands of fortune</v>
          </cell>
          <cell r="AZ46">
            <v>0</v>
          </cell>
          <cell r="BB46">
            <v>2000</v>
          </cell>
          <cell r="BI46" t="str">
            <v>Robe of the vagabond</v>
          </cell>
          <cell r="BJ46">
            <v>1</v>
          </cell>
          <cell r="BL46">
            <v>6000</v>
          </cell>
          <cell r="BS46" t="str">
            <v>-- Complete Champion --</v>
          </cell>
        </row>
        <row r="47">
          <cell r="U47" t="str">
            <v>Avoidance</v>
          </cell>
          <cell r="X47">
            <v>10000</v>
          </cell>
          <cell r="Z47" t="str">
            <v>Gloves of the balanced hand</v>
          </cell>
          <cell r="AA47">
            <v>0</v>
          </cell>
          <cell r="AC47">
            <v>8000</v>
          </cell>
          <cell r="AE47" t="str">
            <v>Scout’s headband</v>
          </cell>
          <cell r="AF47">
            <v>0</v>
          </cell>
          <cell r="AH47">
            <v>3400</v>
          </cell>
          <cell r="AJ47" t="str">
            <v>Mask of silent trickery</v>
          </cell>
          <cell r="AK47">
            <v>0</v>
          </cell>
          <cell r="AM47">
            <v>5000</v>
          </cell>
          <cell r="AO47" t="str">
            <v>Cat’s-eye brooch</v>
          </cell>
          <cell r="AP47">
            <v>0</v>
          </cell>
          <cell r="AR47">
            <v>9000</v>
          </cell>
          <cell r="AT47" t="str">
            <v>Cloak of comfort</v>
          </cell>
          <cell r="AU47">
            <v>2</v>
          </cell>
          <cell r="AW47">
            <v>0</v>
          </cell>
          <cell r="AY47" t="str">
            <v>-- Complete Champion --</v>
          </cell>
          <cell r="BS47" t="str">
            <v>Lancer's spurs</v>
          </cell>
          <cell r="BT47">
            <v>0.5</v>
          </cell>
          <cell r="BV47">
            <v>12000</v>
          </cell>
        </row>
        <row r="48">
          <cell r="U48" t="str">
            <v>Bone ring</v>
          </cell>
          <cell r="X48">
            <v>20000</v>
          </cell>
          <cell r="Z48" t="str">
            <v>Gloves of the starry sky</v>
          </cell>
          <cell r="AA48">
            <v>0</v>
          </cell>
          <cell r="AC48">
            <v>1100</v>
          </cell>
          <cell r="AE48" t="str">
            <v>Surge crystal</v>
          </cell>
          <cell r="AF48">
            <v>0</v>
          </cell>
          <cell r="AH48">
            <v>18000</v>
          </cell>
          <cell r="AJ48" t="str">
            <v>Mask of sweet air</v>
          </cell>
          <cell r="AK48">
            <v>0</v>
          </cell>
          <cell r="AM48">
            <v>2000</v>
          </cell>
          <cell r="AO48" t="str">
            <v>Charm of countersong</v>
          </cell>
          <cell r="AP48">
            <v>0</v>
          </cell>
          <cell r="AR48">
            <v>400</v>
          </cell>
          <cell r="AT48" t="str">
            <v>-- Complete Champion --</v>
          </cell>
          <cell r="AY48" t="str">
            <v>Bracers of divine luck</v>
          </cell>
          <cell r="AZ48">
            <v>2</v>
          </cell>
          <cell r="BB48">
            <v>8000</v>
          </cell>
          <cell r="BS48" t="str">
            <v>Sandels of the vagabond</v>
          </cell>
          <cell r="BT48">
            <v>0.5</v>
          </cell>
          <cell r="BV48">
            <v>4000</v>
          </cell>
        </row>
        <row r="49">
          <cell r="U49" t="str">
            <v>Brief blessing</v>
          </cell>
          <cell r="X49">
            <v>1000</v>
          </cell>
          <cell r="Z49" t="str">
            <v>Gloves of the titan’s grip</v>
          </cell>
          <cell r="AA49">
            <v>2</v>
          </cell>
          <cell r="AC49">
            <v>14000</v>
          </cell>
          <cell r="AE49" t="str">
            <v>Watch lamp</v>
          </cell>
          <cell r="AF49">
            <v>0</v>
          </cell>
          <cell r="AH49">
            <v>500</v>
          </cell>
          <cell r="AJ49" t="str">
            <v>Mask of the tiger</v>
          </cell>
          <cell r="AK49">
            <v>1</v>
          </cell>
          <cell r="AM49">
            <v>4000</v>
          </cell>
          <cell r="AO49" t="str">
            <v>Chasuble of fell power</v>
          </cell>
          <cell r="AP49">
            <v>0</v>
          </cell>
          <cell r="AR49">
            <v>8000</v>
          </cell>
          <cell r="AT49" t="str">
            <v>Cloak of the dragon</v>
          </cell>
          <cell r="AU49">
            <v>1</v>
          </cell>
          <cell r="AW49">
            <v>6000</v>
          </cell>
          <cell r="BJ49">
            <v>0</v>
          </cell>
          <cell r="BL49">
            <v>0</v>
          </cell>
          <cell r="BS49" t="str">
            <v>-- Dragon Magic --</v>
          </cell>
        </row>
        <row r="50">
          <cell r="U50" t="str">
            <v>Brute ring</v>
          </cell>
          <cell r="X50">
            <v>2300</v>
          </cell>
          <cell r="Z50" t="str">
            <v>Gloves of the uldra savant</v>
          </cell>
          <cell r="AA50">
            <v>2</v>
          </cell>
          <cell r="AC50">
            <v>3100</v>
          </cell>
          <cell r="AE50" t="str">
            <v>-- Complete Champion --</v>
          </cell>
          <cell r="AJ50" t="str">
            <v>Monocle of perusal</v>
          </cell>
          <cell r="AK50">
            <v>0</v>
          </cell>
          <cell r="AM50">
            <v>6500</v>
          </cell>
          <cell r="AO50" t="str">
            <v>Chasuble of fell power, greater</v>
          </cell>
          <cell r="AP50">
            <v>0</v>
          </cell>
          <cell r="AR50">
            <v>18000</v>
          </cell>
          <cell r="AT50" t="str">
            <v>Cloak of the vagabond</v>
          </cell>
          <cell r="AU50">
            <v>0.5</v>
          </cell>
          <cell r="AW50">
            <v>9000</v>
          </cell>
          <cell r="BS50" t="str">
            <v>Tailbands of impact</v>
          </cell>
          <cell r="BT50">
            <v>10</v>
          </cell>
          <cell r="BV50">
            <v>6000</v>
          </cell>
        </row>
        <row r="51">
          <cell r="U51" t="str">
            <v>Communication</v>
          </cell>
          <cell r="X51">
            <v>2000</v>
          </cell>
          <cell r="Z51" t="str">
            <v>Hellcat gauntlets</v>
          </cell>
          <cell r="AA51">
            <v>0</v>
          </cell>
          <cell r="AC51">
            <v>3200</v>
          </cell>
          <cell r="AE51" t="str">
            <v>Crest of valor</v>
          </cell>
          <cell r="AF51">
            <v>0</v>
          </cell>
          <cell r="AH51">
            <v>2000</v>
          </cell>
          <cell r="AJ51" t="str">
            <v>Moonstone mask</v>
          </cell>
          <cell r="AK51">
            <v>1</v>
          </cell>
          <cell r="AM51">
            <v>15000</v>
          </cell>
          <cell r="AO51" t="str">
            <v>Choker of life protection</v>
          </cell>
          <cell r="AP51">
            <v>0</v>
          </cell>
          <cell r="AR51">
            <v>14000</v>
          </cell>
          <cell r="AT51" t="str">
            <v>Mantle of the beast</v>
          </cell>
          <cell r="AU51">
            <v>2</v>
          </cell>
          <cell r="AW51">
            <v>18000</v>
          </cell>
          <cell r="AZ51">
            <v>0</v>
          </cell>
          <cell r="BB51">
            <v>0</v>
          </cell>
        </row>
        <row r="52">
          <cell r="U52" t="str">
            <v>Divergence</v>
          </cell>
          <cell r="X52">
            <v>18000</v>
          </cell>
          <cell r="Z52" t="str">
            <v>Ki straps</v>
          </cell>
          <cell r="AA52">
            <v>0</v>
          </cell>
          <cell r="AC52">
            <v>5000</v>
          </cell>
          <cell r="AE52" t="str">
            <v>Helm of righteous war</v>
          </cell>
          <cell r="AF52">
            <v>3</v>
          </cell>
          <cell r="AH52">
            <v>5000</v>
          </cell>
          <cell r="AJ52" t="str">
            <v>Panther mask</v>
          </cell>
          <cell r="AK52">
            <v>0</v>
          </cell>
          <cell r="AM52">
            <v>2700</v>
          </cell>
          <cell r="AO52" t="str">
            <v>Chronocharm of the celestial wanderer</v>
          </cell>
          <cell r="AP52">
            <v>0</v>
          </cell>
          <cell r="AR52">
            <v>500</v>
          </cell>
          <cell r="AT52" t="str">
            <v>-- Dragon Magic --</v>
          </cell>
        </row>
        <row r="53">
          <cell r="U53" t="str">
            <v>Dragon friendship</v>
          </cell>
          <cell r="X53">
            <v>16000</v>
          </cell>
          <cell r="Z53" t="str">
            <v>Lightning gauntlets</v>
          </cell>
          <cell r="AA53">
            <v>1</v>
          </cell>
          <cell r="AC53">
            <v>1000</v>
          </cell>
          <cell r="AJ53" t="str">
            <v>Pearl of speech</v>
          </cell>
          <cell r="AK53">
            <v>0</v>
          </cell>
          <cell r="AM53">
            <v>600</v>
          </cell>
          <cell r="AO53" t="str">
            <v>Chronocharm of the fateweaver</v>
          </cell>
          <cell r="AP53">
            <v>0</v>
          </cell>
          <cell r="AR53">
            <v>500</v>
          </cell>
          <cell r="AT53" t="str">
            <v>Cloak of mysterious emergence</v>
          </cell>
          <cell r="AU53">
            <v>1</v>
          </cell>
          <cell r="AW53">
            <v>13000</v>
          </cell>
          <cell r="BT53">
            <v>0</v>
          </cell>
          <cell r="BV53">
            <v>0</v>
          </cell>
        </row>
        <row r="54">
          <cell r="U54" t="str">
            <v>Entropic deflection</v>
          </cell>
          <cell r="X54">
            <v>8000</v>
          </cell>
          <cell r="Z54" t="str">
            <v>Mesmerist’s gloves</v>
          </cell>
          <cell r="AA54">
            <v>1</v>
          </cell>
          <cell r="AC54">
            <v>8000</v>
          </cell>
          <cell r="AJ54" t="str">
            <v>Raptor’s mask</v>
          </cell>
          <cell r="AK54">
            <v>0</v>
          </cell>
          <cell r="AM54">
            <v>3500</v>
          </cell>
          <cell r="AO54" t="str">
            <v>Chronocharm of the grand master</v>
          </cell>
          <cell r="AP54">
            <v>0</v>
          </cell>
          <cell r="AR54">
            <v>500</v>
          </cell>
        </row>
        <row r="55">
          <cell r="U55" t="str">
            <v>Essentia</v>
          </cell>
          <cell r="X55">
            <v>6000</v>
          </cell>
          <cell r="Z55" t="str">
            <v>Mind blade gauntlet</v>
          </cell>
          <cell r="AA55">
            <v>1</v>
          </cell>
          <cell r="AC55">
            <v>24000</v>
          </cell>
          <cell r="AF55">
            <v>0</v>
          </cell>
          <cell r="AH55">
            <v>0</v>
          </cell>
          <cell r="AJ55" t="str">
            <v>Snakeblood tooth</v>
          </cell>
          <cell r="AK55">
            <v>0</v>
          </cell>
          <cell r="AM55">
            <v>1350</v>
          </cell>
          <cell r="AO55" t="str">
            <v>Chronocharm of the horizon walker</v>
          </cell>
          <cell r="AP55">
            <v>0</v>
          </cell>
          <cell r="AR55">
            <v>500</v>
          </cell>
        </row>
        <row r="56">
          <cell r="U56" t="str">
            <v>Floating</v>
          </cell>
          <cell r="X56">
            <v>2000</v>
          </cell>
          <cell r="Z56" t="str">
            <v>Mind blade gauntlet, greater</v>
          </cell>
          <cell r="AA56">
            <v>1</v>
          </cell>
          <cell r="AC56">
            <v>42000</v>
          </cell>
          <cell r="AJ56" t="str">
            <v>Soulstone</v>
          </cell>
          <cell r="AK56">
            <v>0</v>
          </cell>
          <cell r="AM56">
            <v>10000</v>
          </cell>
          <cell r="AO56" t="str">
            <v>Chronocharm of the laughing rogue</v>
          </cell>
          <cell r="AP56">
            <v>0</v>
          </cell>
          <cell r="AR56">
            <v>500</v>
          </cell>
          <cell r="AU56">
            <v>0</v>
          </cell>
          <cell r="AW56">
            <v>0</v>
          </cell>
        </row>
        <row r="57">
          <cell r="U57" t="str">
            <v>Force armor (pair)</v>
          </cell>
          <cell r="X57">
            <v>30000</v>
          </cell>
          <cell r="Z57" t="str">
            <v>Mind blade gauntlet, lesser</v>
          </cell>
          <cell r="AA57">
            <v>1</v>
          </cell>
          <cell r="AC57">
            <v>10000</v>
          </cell>
          <cell r="AJ57" t="str">
            <v>Spellsight spectacles</v>
          </cell>
          <cell r="AK57">
            <v>0</v>
          </cell>
          <cell r="AM57">
            <v>2500</v>
          </cell>
          <cell r="AO57" t="str">
            <v>Chronocharm of the uncaring archmage</v>
          </cell>
          <cell r="AP57">
            <v>0</v>
          </cell>
          <cell r="AR57">
            <v>500</v>
          </cell>
        </row>
        <row r="58">
          <cell r="U58" t="str">
            <v>Four winds</v>
          </cell>
          <cell r="X58">
            <v>2000</v>
          </cell>
          <cell r="Z58" t="str">
            <v>Reach gauntlets</v>
          </cell>
          <cell r="AA58">
            <v>0</v>
          </cell>
          <cell r="AC58">
            <v>500</v>
          </cell>
          <cell r="AJ58" t="str">
            <v>Third eye aware</v>
          </cell>
          <cell r="AK58">
            <v>0</v>
          </cell>
          <cell r="AM58">
            <v>10000</v>
          </cell>
          <cell r="AO58" t="str">
            <v>Collar of Healing</v>
          </cell>
          <cell r="AP58">
            <v>0</v>
          </cell>
          <cell r="AR58">
            <v>5000</v>
          </cell>
        </row>
        <row r="59">
          <cell r="U59" t="str">
            <v>Greater counterspells</v>
          </cell>
          <cell r="X59">
            <v>16000</v>
          </cell>
          <cell r="Z59" t="str">
            <v>Rending gauntlets</v>
          </cell>
          <cell r="AA59">
            <v>0</v>
          </cell>
          <cell r="AC59">
            <v>3610</v>
          </cell>
          <cell r="AJ59" t="str">
            <v>Third eye clarity</v>
          </cell>
          <cell r="AK59">
            <v>0</v>
          </cell>
          <cell r="AM59">
            <v>3000</v>
          </cell>
          <cell r="AO59" t="str">
            <v>Contact Medallion</v>
          </cell>
          <cell r="AP59">
            <v>0</v>
          </cell>
          <cell r="AR59">
            <v>3000</v>
          </cell>
        </row>
        <row r="60">
          <cell r="U60" t="str">
            <v>Lightning flashes</v>
          </cell>
          <cell r="X60">
            <v>11500</v>
          </cell>
          <cell r="Z60" t="str">
            <v>Repelling gauntlets</v>
          </cell>
          <cell r="AA60">
            <v>0</v>
          </cell>
          <cell r="AC60">
            <v>2300</v>
          </cell>
          <cell r="AJ60" t="str">
            <v>Third eye conceal</v>
          </cell>
          <cell r="AK60">
            <v>0</v>
          </cell>
          <cell r="AM60">
            <v>120000</v>
          </cell>
          <cell r="AO60" t="str">
            <v>Crest of Bravery</v>
          </cell>
          <cell r="AP60">
            <v>0</v>
          </cell>
          <cell r="AR60">
            <v>750</v>
          </cell>
        </row>
        <row r="61">
          <cell r="U61" t="str">
            <v>Lockpicking ring</v>
          </cell>
          <cell r="X61">
            <v>3500</v>
          </cell>
          <cell r="Z61" t="str">
            <v>Soulsmite gauntlets</v>
          </cell>
          <cell r="AA61">
            <v>2</v>
          </cell>
          <cell r="AC61">
            <v>3000</v>
          </cell>
          <cell r="AJ61" t="str">
            <v>Third eye concentrate</v>
          </cell>
          <cell r="AK61">
            <v>0</v>
          </cell>
          <cell r="AM61">
            <v>10000</v>
          </cell>
          <cell r="AO61" t="str">
            <v>Dragon spirit amulet</v>
          </cell>
          <cell r="AP61">
            <v>0</v>
          </cell>
          <cell r="AR61">
            <v>2000</v>
          </cell>
        </row>
        <row r="62">
          <cell r="U62" t="str">
            <v>Master artifice</v>
          </cell>
          <cell r="X62">
            <v>25000</v>
          </cell>
          <cell r="Z62" t="str">
            <v>Storm gauntlets</v>
          </cell>
          <cell r="AA62">
            <v>1</v>
          </cell>
          <cell r="AC62">
            <v>10604</v>
          </cell>
          <cell r="AJ62" t="str">
            <v>Third eye dampening</v>
          </cell>
          <cell r="AK62">
            <v>0</v>
          </cell>
          <cell r="AM62">
            <v>2500</v>
          </cell>
          <cell r="AO62" t="str">
            <v>Dragon’s-eye amulet</v>
          </cell>
          <cell r="AP62">
            <v>1</v>
          </cell>
          <cell r="AR62">
            <v>55000</v>
          </cell>
        </row>
        <row r="63">
          <cell r="U63" t="str">
            <v>Master artifice, greater</v>
          </cell>
          <cell r="X63">
            <v>61000</v>
          </cell>
          <cell r="Z63" t="str">
            <v>Toxic gloves</v>
          </cell>
          <cell r="AA63">
            <v>0</v>
          </cell>
          <cell r="AC63">
            <v>6000</v>
          </cell>
          <cell r="AJ63" t="str">
            <v>Third eye dominate</v>
          </cell>
          <cell r="AK63">
            <v>0</v>
          </cell>
          <cell r="AM63">
            <v>120000</v>
          </cell>
          <cell r="AO63" t="str">
            <v>Eagle claw talisman</v>
          </cell>
          <cell r="AP63">
            <v>0</v>
          </cell>
          <cell r="AR63">
            <v>1000</v>
          </cell>
        </row>
        <row r="64">
          <cell r="U64" t="str">
            <v>Master artifice, lesser</v>
          </cell>
          <cell r="X64">
            <v>5000</v>
          </cell>
          <cell r="Z64" t="str">
            <v>True strike gauntlets</v>
          </cell>
          <cell r="AA64">
            <v>0</v>
          </cell>
          <cell r="AC64">
            <v>3500</v>
          </cell>
          <cell r="AJ64" t="str">
            <v>Third eye expose</v>
          </cell>
          <cell r="AK64">
            <v>0</v>
          </cell>
          <cell r="AM64">
            <v>2500</v>
          </cell>
          <cell r="AO64" t="str">
            <v>Empowered spellshard, 1st-level spell</v>
          </cell>
          <cell r="AP64">
            <v>0.25</v>
          </cell>
          <cell r="AR64">
            <v>1500</v>
          </cell>
        </row>
        <row r="65">
          <cell r="U65" t="str">
            <v>Mystic defiance</v>
          </cell>
          <cell r="X65">
            <v>7500</v>
          </cell>
          <cell r="Z65" t="str">
            <v>Incarnum focus (gauntlets)</v>
          </cell>
          <cell r="AA65">
            <v>0</v>
          </cell>
          <cell r="AC65">
            <v>15000</v>
          </cell>
          <cell r="AJ65" t="str">
            <v>Third eye freedom</v>
          </cell>
          <cell r="AK65">
            <v>0</v>
          </cell>
          <cell r="AM65">
            <v>2600</v>
          </cell>
          <cell r="AO65" t="str">
            <v>Empowered spellshard, 2nd-level spell</v>
          </cell>
          <cell r="AP65">
            <v>0.25</v>
          </cell>
          <cell r="AR65">
            <v>3000</v>
          </cell>
        </row>
        <row r="66">
          <cell r="U66" t="str">
            <v>Mystic fire</v>
          </cell>
          <cell r="X66">
            <v>7500</v>
          </cell>
          <cell r="Z66" t="str">
            <v>-- Complete Mage --</v>
          </cell>
          <cell r="AJ66" t="str">
            <v>Third eye gather</v>
          </cell>
          <cell r="AK66">
            <v>0</v>
          </cell>
          <cell r="AM66">
            <v>10000</v>
          </cell>
          <cell r="AO66" t="str">
            <v>Empowered spellshard, 3rd-level spell</v>
          </cell>
          <cell r="AP66">
            <v>0.25</v>
          </cell>
          <cell r="AR66">
            <v>6000</v>
          </cell>
        </row>
        <row r="67">
          <cell r="U67" t="str">
            <v>Mystic healing</v>
          </cell>
          <cell r="X67">
            <v>3500</v>
          </cell>
          <cell r="Z67" t="str">
            <v>Murderer's gloves</v>
          </cell>
          <cell r="AA67">
            <v>1</v>
          </cell>
          <cell r="AC67">
            <v>16000</v>
          </cell>
          <cell r="AJ67" t="str">
            <v>Third eye improvisation</v>
          </cell>
          <cell r="AK67">
            <v>0</v>
          </cell>
          <cell r="AM67">
            <v>1000</v>
          </cell>
          <cell r="AO67" t="str">
            <v>Enduring amulet</v>
          </cell>
          <cell r="AP67">
            <v>0</v>
          </cell>
          <cell r="AR67">
            <v>1500</v>
          </cell>
        </row>
        <row r="68">
          <cell r="U68" t="str">
            <v>Mystic lightning</v>
          </cell>
          <cell r="X68">
            <v>7500</v>
          </cell>
          <cell r="Z68" t="str">
            <v>-- Complete Champion --</v>
          </cell>
          <cell r="AJ68" t="str">
            <v>Third eye penetrate</v>
          </cell>
          <cell r="AK68">
            <v>0</v>
          </cell>
          <cell r="AM68">
            <v>8000</v>
          </cell>
          <cell r="AO68" t="str">
            <v>Enemy spirit pouch</v>
          </cell>
          <cell r="AP68">
            <v>1</v>
          </cell>
          <cell r="AR68">
            <v>2100</v>
          </cell>
        </row>
        <row r="69">
          <cell r="U69" t="str">
            <v>Negative protection</v>
          </cell>
          <cell r="X69">
            <v>36000</v>
          </cell>
          <cell r="Z69" t="str">
            <v>Guantlets of war</v>
          </cell>
          <cell r="AA69">
            <v>4</v>
          </cell>
          <cell r="AC69">
            <v>4000</v>
          </cell>
          <cell r="AJ69" t="str">
            <v>Third eye powerthieve</v>
          </cell>
          <cell r="AK69">
            <v>0</v>
          </cell>
          <cell r="AM69">
            <v>10000</v>
          </cell>
          <cell r="AO69" t="str">
            <v>Farspeaking amulet</v>
          </cell>
          <cell r="AP69">
            <v>0</v>
          </cell>
          <cell r="AR69">
            <v>6000</v>
          </cell>
        </row>
        <row r="70">
          <cell r="U70" t="str">
            <v>Nine lives</v>
          </cell>
          <cell r="X70">
            <v>45000</v>
          </cell>
          <cell r="Z70" t="str">
            <v>-- Dragon Magic --</v>
          </cell>
          <cell r="AJ70" t="str">
            <v>Third eye repudiate</v>
          </cell>
          <cell r="AK70">
            <v>0</v>
          </cell>
          <cell r="AM70">
            <v>15000</v>
          </cell>
          <cell r="AO70" t="str">
            <v>Fireflower pendant</v>
          </cell>
          <cell r="AP70">
            <v>0</v>
          </cell>
          <cell r="AR70">
            <v>12000</v>
          </cell>
        </row>
        <row r="71">
          <cell r="U71" t="str">
            <v>Piercing spells</v>
          </cell>
          <cell r="X71">
            <v>2000</v>
          </cell>
          <cell r="Z71" t="str">
            <v>Dragonslayer claws</v>
          </cell>
          <cell r="AA71">
            <v>6</v>
          </cell>
          <cell r="AC71">
            <v>2500</v>
          </cell>
          <cell r="AJ71" t="str">
            <v>Third eye sense</v>
          </cell>
          <cell r="AK71">
            <v>0</v>
          </cell>
          <cell r="AM71">
            <v>24000</v>
          </cell>
          <cell r="AO71" t="str">
            <v>Flesh ring of scorn</v>
          </cell>
          <cell r="AP71">
            <v>0</v>
          </cell>
          <cell r="AR71">
            <v>8000</v>
          </cell>
        </row>
        <row r="72">
          <cell r="U72" t="str">
            <v>Positive protection</v>
          </cell>
          <cell r="X72">
            <v>36000</v>
          </cell>
          <cell r="AJ72" t="str">
            <v>Third eye surge</v>
          </cell>
          <cell r="AK72">
            <v>0</v>
          </cell>
          <cell r="AM72">
            <v>2100</v>
          </cell>
          <cell r="AO72" t="str">
            <v>Gem of the glitterdepth</v>
          </cell>
          <cell r="AP72">
            <v>0</v>
          </cell>
          <cell r="AR72">
            <v>4500</v>
          </cell>
        </row>
        <row r="73">
          <cell r="U73" t="str">
            <v>Self-sufficiency</v>
          </cell>
          <cell r="X73">
            <v>10000</v>
          </cell>
          <cell r="AA73">
            <v>0</v>
          </cell>
          <cell r="AC73">
            <v>0</v>
          </cell>
          <cell r="AJ73" t="str">
            <v>Turquoise veil</v>
          </cell>
          <cell r="AK73">
            <v>0</v>
          </cell>
          <cell r="AM73">
            <v>22000</v>
          </cell>
          <cell r="AO73" t="str">
            <v>Githborn talisman</v>
          </cell>
          <cell r="AP73">
            <v>0</v>
          </cell>
          <cell r="AR73">
            <v>1800</v>
          </cell>
        </row>
        <row r="74">
          <cell r="U74" t="str">
            <v>Silent spells</v>
          </cell>
          <cell r="X74">
            <v>2000</v>
          </cell>
          <cell r="AJ74" t="str">
            <v>Veil of allure</v>
          </cell>
          <cell r="AK74">
            <v>0</v>
          </cell>
          <cell r="AM74">
            <v>14000</v>
          </cell>
          <cell r="AO74" t="str">
            <v>Hand of the oak father</v>
          </cell>
          <cell r="AP74">
            <v>1</v>
          </cell>
          <cell r="AR74">
            <v>5000</v>
          </cell>
        </row>
        <row r="75">
          <cell r="U75" t="str">
            <v>Soulbound protection</v>
          </cell>
          <cell r="X75">
            <v>10000</v>
          </cell>
          <cell r="AJ75" t="str">
            <v>Veil of whispers</v>
          </cell>
          <cell r="AK75">
            <v>0</v>
          </cell>
          <cell r="AM75">
            <v>7000</v>
          </cell>
          <cell r="AO75" t="str">
            <v>Heartseeking amulet</v>
          </cell>
          <cell r="AP75">
            <v>0</v>
          </cell>
          <cell r="AR75">
            <v>3000</v>
          </cell>
        </row>
        <row r="76">
          <cell r="U76" t="str">
            <v>Soulbound protection, greater</v>
          </cell>
          <cell r="X76">
            <v>26000</v>
          </cell>
          <cell r="AJ76" t="str">
            <v>-- Complete Mage --</v>
          </cell>
          <cell r="AO76" t="str">
            <v>Incarnum focus (amulet)</v>
          </cell>
          <cell r="AP76">
            <v>0</v>
          </cell>
          <cell r="AR76">
            <v>15000</v>
          </cell>
        </row>
        <row r="77">
          <cell r="U77" t="str">
            <v>Spell-battle</v>
          </cell>
          <cell r="X77">
            <v>12000</v>
          </cell>
          <cell r="AJ77" t="str">
            <v>Horizion googles</v>
          </cell>
          <cell r="AM77">
            <v>8000</v>
          </cell>
          <cell r="AO77" t="str">
            <v>Medal of gallantry</v>
          </cell>
          <cell r="AP77">
            <v>0</v>
          </cell>
          <cell r="AR77">
            <v>1350</v>
          </cell>
        </row>
        <row r="78">
          <cell r="U78" t="str">
            <v>Stormfire ring</v>
          </cell>
          <cell r="X78">
            <v>4000</v>
          </cell>
          <cell r="AJ78" t="str">
            <v>-- Tome of Magic --</v>
          </cell>
          <cell r="AO78" t="str">
            <v>Medal of steadfast honor</v>
          </cell>
          <cell r="AP78">
            <v>0</v>
          </cell>
          <cell r="AR78">
            <v>1500</v>
          </cell>
        </row>
        <row r="79">
          <cell r="U79" t="str">
            <v>The darkhidden</v>
          </cell>
          <cell r="X79">
            <v>2000</v>
          </cell>
          <cell r="AJ79" t="str">
            <v>Soul Lens</v>
          </cell>
          <cell r="AK79">
            <v>0</v>
          </cell>
          <cell r="AM79">
            <v>12000</v>
          </cell>
          <cell r="AO79" t="str">
            <v>Medallion of aerial defense</v>
          </cell>
          <cell r="AP79">
            <v>0</v>
          </cell>
          <cell r="AR79">
            <v>8000</v>
          </cell>
        </row>
        <row r="80">
          <cell r="U80" t="str">
            <v>The forcewall</v>
          </cell>
          <cell r="X80">
            <v>5100</v>
          </cell>
          <cell r="AO80" t="str">
            <v>Necklace of copper dragon scales</v>
          </cell>
          <cell r="AP80">
            <v>1</v>
          </cell>
          <cell r="AR80">
            <v>570</v>
          </cell>
        </row>
        <row r="81">
          <cell r="U81" t="str">
            <v>The icy soul</v>
          </cell>
          <cell r="X81">
            <v>18000</v>
          </cell>
          <cell r="AK81">
            <v>0</v>
          </cell>
          <cell r="AM81">
            <v>0</v>
          </cell>
          <cell r="AO81" t="str">
            <v>Necklace of warning</v>
          </cell>
          <cell r="AP81">
            <v>0</v>
          </cell>
          <cell r="AR81">
            <v>4000</v>
          </cell>
        </row>
        <row r="82">
          <cell r="U82" t="str">
            <v>Thunderclaps</v>
          </cell>
          <cell r="X82">
            <v>6000</v>
          </cell>
          <cell r="AO82" t="str">
            <v>Pendant of joy</v>
          </cell>
          <cell r="AP82">
            <v>0</v>
          </cell>
          <cell r="AR82">
            <v>4000</v>
          </cell>
        </row>
        <row r="83">
          <cell r="U83" t="str">
            <v>Universal energy resistance, greater</v>
          </cell>
          <cell r="X83">
            <v>180000</v>
          </cell>
          <cell r="AO83" t="str">
            <v>Periapt of the sullen sea</v>
          </cell>
          <cell r="AP83">
            <v>0</v>
          </cell>
          <cell r="AR83">
            <v>6000</v>
          </cell>
        </row>
        <row r="84">
          <cell r="U84" t="str">
            <v>Universal energy resistance, major</v>
          </cell>
          <cell r="X84">
            <v>120000</v>
          </cell>
          <cell r="AO84" t="str">
            <v>Psionatrix</v>
          </cell>
          <cell r="AP84">
            <v>0</v>
          </cell>
          <cell r="AR84">
            <v>8000</v>
          </cell>
        </row>
        <row r="85">
          <cell r="U85" t="str">
            <v>Universal energy resistance, minor</v>
          </cell>
          <cell r="X85">
            <v>60000</v>
          </cell>
          <cell r="AO85" t="str">
            <v>Reins of ascension</v>
          </cell>
          <cell r="AP85">
            <v>1</v>
          </cell>
          <cell r="AR85">
            <v>3300</v>
          </cell>
        </row>
        <row r="86">
          <cell r="U86" t="str">
            <v>Vanishing</v>
          </cell>
          <cell r="X86">
            <v>30000</v>
          </cell>
          <cell r="AO86" t="str">
            <v>Reliquary holy symbol</v>
          </cell>
          <cell r="AP86">
            <v>0</v>
          </cell>
          <cell r="AR86">
            <v>1000</v>
          </cell>
        </row>
        <row r="87">
          <cell r="U87" t="str">
            <v>Vengeance</v>
          </cell>
          <cell r="X87">
            <v>4500</v>
          </cell>
          <cell r="AO87" t="str">
            <v>Retributive amulet</v>
          </cell>
          <cell r="AP87">
            <v>0.5</v>
          </cell>
          <cell r="AR87">
            <v>9000</v>
          </cell>
        </row>
        <row r="88">
          <cell r="U88" t="str">
            <v>Water breathing</v>
          </cell>
          <cell r="X88">
            <v>6000</v>
          </cell>
          <cell r="AO88" t="str">
            <v>Safewing emblem</v>
          </cell>
          <cell r="AP88">
            <v>0</v>
          </cell>
          <cell r="AR88">
            <v>250</v>
          </cell>
        </row>
        <row r="89">
          <cell r="U89" t="str">
            <v>-- Complete Mage --</v>
          </cell>
          <cell r="AO89" t="str">
            <v>Scarab of invulnerability</v>
          </cell>
          <cell r="AP89">
            <v>0</v>
          </cell>
          <cell r="AR89">
            <v>40000</v>
          </cell>
        </row>
        <row r="90">
          <cell r="U90" t="str">
            <v>Darkwalker's ring</v>
          </cell>
          <cell r="X90">
            <v>4000</v>
          </cell>
          <cell r="AO90" t="str">
            <v>Scarab of stabilization</v>
          </cell>
          <cell r="AP90">
            <v>0</v>
          </cell>
          <cell r="AR90">
            <v>20000</v>
          </cell>
        </row>
        <row r="91">
          <cell r="U91" t="str">
            <v>Spellguard rings</v>
          </cell>
          <cell r="X91">
            <v>4000</v>
          </cell>
          <cell r="AO91" t="str">
            <v>Scentblinder</v>
          </cell>
          <cell r="AP91">
            <v>0</v>
          </cell>
          <cell r="AR91">
            <v>8000</v>
          </cell>
        </row>
        <row r="92">
          <cell r="U92" t="str">
            <v>Ring of enduring arcana</v>
          </cell>
          <cell r="X92">
            <v>6000</v>
          </cell>
          <cell r="AO92" t="str">
            <v>Serpent veil</v>
          </cell>
          <cell r="AP92">
            <v>0</v>
          </cell>
          <cell r="AR92">
            <v>16000</v>
          </cell>
        </row>
        <row r="93">
          <cell r="U93" t="str">
            <v>Ring of arcane supremacy</v>
          </cell>
          <cell r="X93">
            <v>12000</v>
          </cell>
          <cell r="AO93" t="str">
            <v>Skull plaque</v>
          </cell>
          <cell r="AP93">
            <v>2</v>
          </cell>
          <cell r="AR93">
            <v>6200</v>
          </cell>
        </row>
        <row r="94">
          <cell r="U94" t="str">
            <v>Ring of mighty summons</v>
          </cell>
          <cell r="X94">
            <v>14000</v>
          </cell>
          <cell r="AO94" t="str">
            <v>Spellsink scarab</v>
          </cell>
          <cell r="AP94">
            <v>0</v>
          </cell>
          <cell r="AR94">
            <v>2000</v>
          </cell>
        </row>
        <row r="95">
          <cell r="U95" t="str">
            <v>Ring of instant escape</v>
          </cell>
          <cell r="X95">
            <v>18000</v>
          </cell>
          <cell r="AO95" t="str">
            <v>Symbol of transfiguration</v>
          </cell>
          <cell r="AP95">
            <v>0</v>
          </cell>
          <cell r="AR95">
            <v>500</v>
          </cell>
        </row>
        <row r="96">
          <cell r="U96" t="str">
            <v>Ring of elusive escape</v>
          </cell>
          <cell r="X96">
            <v>32000</v>
          </cell>
          <cell r="AO96" t="str">
            <v>Torc of displacement</v>
          </cell>
          <cell r="AP96">
            <v>0</v>
          </cell>
          <cell r="AR96">
            <v>2000</v>
          </cell>
        </row>
        <row r="97">
          <cell r="U97" t="str">
            <v>-- Complete Champion --</v>
          </cell>
          <cell r="AO97" t="str">
            <v>Torc of heroic sacrifice</v>
          </cell>
          <cell r="AP97">
            <v>0</v>
          </cell>
          <cell r="AR97">
            <v>6000</v>
          </cell>
        </row>
        <row r="98">
          <cell r="U98" t="str">
            <v>Ring of the beast</v>
          </cell>
          <cell r="X98">
            <v>8000</v>
          </cell>
          <cell r="AO98" t="str">
            <v>Torc of power preservation</v>
          </cell>
          <cell r="AP98">
            <v>0</v>
          </cell>
          <cell r="AR98">
            <v>4000</v>
          </cell>
        </row>
        <row r="99">
          <cell r="U99" t="str">
            <v>-- Dragon Magic --</v>
          </cell>
          <cell r="AO99" t="str">
            <v>Torc of the titans</v>
          </cell>
          <cell r="AP99">
            <v>1</v>
          </cell>
          <cell r="AR99">
            <v>3300</v>
          </cell>
        </row>
        <row r="100">
          <cell r="U100" t="str">
            <v>Ring of draconic zeal, lesser</v>
          </cell>
          <cell r="X100">
            <v>2000</v>
          </cell>
          <cell r="AO100" t="str">
            <v>Unicorn pendant</v>
          </cell>
          <cell r="AP100">
            <v>1</v>
          </cell>
          <cell r="AR100">
            <v>6000</v>
          </cell>
        </row>
        <row r="101">
          <cell r="U101" t="str">
            <v>Ring of draconic zeal, greater</v>
          </cell>
          <cell r="X101">
            <v>6000</v>
          </cell>
          <cell r="AO101" t="str">
            <v>Vampire torc</v>
          </cell>
          <cell r="AP101">
            <v>0</v>
          </cell>
          <cell r="AR101">
            <v>5000</v>
          </cell>
        </row>
        <row r="102">
          <cell r="X102">
            <v>0</v>
          </cell>
          <cell r="AO102" t="str">
            <v>Wink brooch</v>
          </cell>
          <cell r="AP102">
            <v>0</v>
          </cell>
          <cell r="AR102">
            <v>600</v>
          </cell>
        </row>
        <row r="103">
          <cell r="X103">
            <v>0</v>
          </cell>
          <cell r="AO103" t="str">
            <v>Wyrmfang amulet</v>
          </cell>
          <cell r="AP103">
            <v>1</v>
          </cell>
          <cell r="AR103">
            <v>1350</v>
          </cell>
        </row>
        <row r="104">
          <cell r="AO104" t="str">
            <v>-- Complete Mage --</v>
          </cell>
        </row>
        <row r="105">
          <cell r="AO105" t="str">
            <v>Amulet of spell conversion</v>
          </cell>
          <cell r="AP105">
            <v>1</v>
          </cell>
          <cell r="AR105">
            <v>18000</v>
          </cell>
        </row>
        <row r="106">
          <cell r="AO106" t="str">
            <v>-- Complete Champion --</v>
          </cell>
        </row>
        <row r="107">
          <cell r="AO107" t="str">
            <v>Pendent of redemption</v>
          </cell>
          <cell r="AP107">
            <v>1</v>
          </cell>
          <cell r="AR107">
            <v>8000</v>
          </cell>
        </row>
        <row r="108">
          <cell r="AO108" t="str">
            <v>Pendent of valor</v>
          </cell>
          <cell r="AP108">
            <v>0</v>
          </cell>
          <cell r="AR108">
            <v>4000</v>
          </cell>
        </row>
        <row r="109">
          <cell r="AO109" t="str">
            <v>-- Dragon Magic --</v>
          </cell>
        </row>
        <row r="110">
          <cell r="AO110" t="str">
            <v>Amulet of fearsome might</v>
          </cell>
          <cell r="AP110">
            <v>1</v>
          </cell>
          <cell r="AR110">
            <v>1000</v>
          </cell>
        </row>
        <row r="111">
          <cell r="AP111">
            <v>0</v>
          </cell>
          <cell r="AR111">
            <v>0</v>
          </cell>
        </row>
      </sheetData>
      <sheetData sheetId="40">
        <row r="2">
          <cell r="W2" t="b">
            <v>0</v>
          </cell>
          <cell r="Y2">
            <v>0</v>
          </cell>
        </row>
        <row r="3">
          <cell r="B3" t="b">
            <v>0</v>
          </cell>
          <cell r="G3">
            <v>0</v>
          </cell>
          <cell r="M3" t="b">
            <v>0</v>
          </cell>
          <cell r="Q3">
            <v>0</v>
          </cell>
          <cell r="R3">
            <v>0</v>
          </cell>
          <cell r="S3">
            <v>0</v>
          </cell>
          <cell r="T3">
            <v>0</v>
          </cell>
          <cell r="W3" t="b">
            <v>0</v>
          </cell>
          <cell r="Y3">
            <v>0</v>
          </cell>
        </row>
        <row r="4">
          <cell r="M4" t="b">
            <v>0</v>
          </cell>
          <cell r="Q4">
            <v>0</v>
          </cell>
          <cell r="R4">
            <v>0</v>
          </cell>
          <cell r="S4">
            <v>0</v>
          </cell>
          <cell r="T4">
            <v>0</v>
          </cell>
          <cell r="W4" t="b">
            <v>0</v>
          </cell>
          <cell r="Y4">
            <v>0</v>
          </cell>
        </row>
        <row r="5">
          <cell r="B5" t="b">
            <v>0</v>
          </cell>
          <cell r="G5">
            <v>0</v>
          </cell>
          <cell r="M5" t="b">
            <v>0</v>
          </cell>
          <cell r="Q5">
            <v>0</v>
          </cell>
          <cell r="R5">
            <v>0</v>
          </cell>
          <cell r="S5">
            <v>0</v>
          </cell>
          <cell r="W5" t="b">
            <v>0</v>
          </cell>
          <cell r="Y5">
            <v>0</v>
          </cell>
        </row>
        <row r="6">
          <cell r="B6" t="b">
            <v>0</v>
          </cell>
          <cell r="G6">
            <v>0</v>
          </cell>
          <cell r="W6" t="b">
            <v>0</v>
          </cell>
          <cell r="Y6">
            <v>0</v>
          </cell>
        </row>
        <row r="7">
          <cell r="B7" t="b">
            <v>0</v>
          </cell>
          <cell r="G7">
            <v>0</v>
          </cell>
          <cell r="W7" t="b">
            <v>0</v>
          </cell>
          <cell r="Y7">
            <v>0</v>
          </cell>
          <cell r="Z7">
            <v>0</v>
          </cell>
        </row>
        <row r="8">
          <cell r="B8" t="b">
            <v>0</v>
          </cell>
          <cell r="G8">
            <v>0</v>
          </cell>
          <cell r="W8" t="b">
            <v>0</v>
          </cell>
          <cell r="Y8">
            <v>0</v>
          </cell>
        </row>
        <row r="9">
          <cell r="B9" t="b">
            <v>0</v>
          </cell>
          <cell r="G9">
            <v>0</v>
          </cell>
          <cell r="H9">
            <v>0</v>
          </cell>
          <cell r="W9" t="b">
            <v>0</v>
          </cell>
          <cell r="Y9">
            <v>0</v>
          </cell>
        </row>
        <row r="10">
          <cell r="B10" t="b">
            <v>0</v>
          </cell>
          <cell r="G10">
            <v>0</v>
          </cell>
          <cell r="W10" t="b">
            <v>0</v>
          </cell>
          <cell r="Y10">
            <v>0</v>
          </cell>
        </row>
        <row r="11">
          <cell r="B11" t="b">
            <v>0</v>
          </cell>
          <cell r="G11">
            <v>0</v>
          </cell>
          <cell r="Y11">
            <v>0</v>
          </cell>
        </row>
        <row r="12">
          <cell r="B12" t="b">
            <v>0</v>
          </cell>
          <cell r="G12">
            <v>0</v>
          </cell>
          <cell r="W12" t="b">
            <v>0</v>
          </cell>
          <cell r="Y12">
            <v>0</v>
          </cell>
        </row>
        <row r="13">
          <cell r="B13" t="b">
            <v>0</v>
          </cell>
          <cell r="G13">
            <v>0</v>
          </cell>
          <cell r="H13">
            <v>0</v>
          </cell>
          <cell r="W13" t="b">
            <v>0</v>
          </cell>
          <cell r="Y13">
            <v>0</v>
          </cell>
        </row>
        <row r="14">
          <cell r="B14" t="b">
            <v>0</v>
          </cell>
          <cell r="G14">
            <v>0</v>
          </cell>
          <cell r="M14" t="b">
            <v>0</v>
          </cell>
          <cell r="W14" t="b">
            <v>0</v>
          </cell>
          <cell r="Y14">
            <v>0</v>
          </cell>
        </row>
        <row r="15">
          <cell r="B15" t="b">
            <v>0</v>
          </cell>
          <cell r="G15">
            <v>0</v>
          </cell>
          <cell r="M15" t="b">
            <v>0</v>
          </cell>
          <cell r="W15" t="b">
            <v>0</v>
          </cell>
          <cell r="Y15">
            <v>0</v>
          </cell>
        </row>
        <row r="16">
          <cell r="W16" t="b">
            <v>0</v>
          </cell>
          <cell r="Y16">
            <v>0</v>
          </cell>
        </row>
        <row r="17">
          <cell r="B17" t="b">
            <v>0</v>
          </cell>
          <cell r="G17">
            <v>0</v>
          </cell>
        </row>
        <row r="18">
          <cell r="B18" t="b">
            <v>0</v>
          </cell>
          <cell r="G18">
            <v>0</v>
          </cell>
          <cell r="W18" t="b">
            <v>0</v>
          </cell>
          <cell r="Y18">
            <v>0</v>
          </cell>
        </row>
        <row r="19">
          <cell r="B19" t="b">
            <v>0</v>
          </cell>
          <cell r="G19">
            <v>0</v>
          </cell>
        </row>
        <row r="20">
          <cell r="B20" t="b">
            <v>0</v>
          </cell>
          <cell r="G20">
            <v>0</v>
          </cell>
        </row>
        <row r="21">
          <cell r="B21" t="b">
            <v>0</v>
          </cell>
          <cell r="G21">
            <v>0</v>
          </cell>
        </row>
        <row r="22">
          <cell r="B22" t="b">
            <v>0</v>
          </cell>
          <cell r="G22">
            <v>0</v>
          </cell>
        </row>
        <row r="23">
          <cell r="B23" t="b">
            <v>0</v>
          </cell>
          <cell r="G23">
            <v>0</v>
          </cell>
        </row>
        <row r="24">
          <cell r="B24" t="b">
            <v>0</v>
          </cell>
          <cell r="G24">
            <v>0</v>
          </cell>
        </row>
        <row r="25">
          <cell r="B25" t="b">
            <v>0</v>
          </cell>
          <cell r="G25">
            <v>0</v>
          </cell>
        </row>
        <row r="26">
          <cell r="B26" t="b">
            <v>0</v>
          </cell>
          <cell r="G26">
            <v>0</v>
          </cell>
        </row>
        <row r="27">
          <cell r="B27" t="b">
            <v>0</v>
          </cell>
          <cell r="G27">
            <v>0</v>
          </cell>
        </row>
        <row r="28">
          <cell r="B28" t="b">
            <v>0</v>
          </cell>
          <cell r="G28">
            <v>0</v>
          </cell>
        </row>
        <row r="29">
          <cell r="B29" t="b">
            <v>0</v>
          </cell>
          <cell r="G29">
            <v>0</v>
          </cell>
        </row>
        <row r="30">
          <cell r="B30" t="b">
            <v>0</v>
          </cell>
          <cell r="G30">
            <v>0</v>
          </cell>
        </row>
        <row r="32">
          <cell r="B32" t="b">
            <v>0</v>
          </cell>
          <cell r="G32">
            <v>0</v>
          </cell>
        </row>
        <row r="33">
          <cell r="B33" t="b">
            <v>0</v>
          </cell>
          <cell r="G33">
            <v>0</v>
          </cell>
        </row>
        <row r="34">
          <cell r="B34" t="b">
            <v>0</v>
          </cell>
          <cell r="G34">
            <v>0</v>
          </cell>
        </row>
        <row r="35">
          <cell r="B35" t="b">
            <v>0</v>
          </cell>
          <cell r="G35">
            <v>0</v>
          </cell>
          <cell r="M35" t="b">
            <v>0</v>
          </cell>
          <cell r="Q35">
            <v>0</v>
          </cell>
          <cell r="R35">
            <v>0</v>
          </cell>
          <cell r="S35">
            <v>0</v>
          </cell>
          <cell r="T35">
            <v>0</v>
          </cell>
        </row>
        <row r="36">
          <cell r="B36" t="b">
            <v>0</v>
          </cell>
          <cell r="G36">
            <v>0</v>
          </cell>
        </row>
        <row r="37">
          <cell r="B37" t="b">
            <v>0</v>
          </cell>
          <cell r="G37">
            <v>0</v>
          </cell>
          <cell r="H37">
            <v>0</v>
          </cell>
          <cell r="M37" t="b">
            <v>0</v>
          </cell>
          <cell r="Q37">
            <v>0</v>
          </cell>
          <cell r="R37">
            <v>0</v>
          </cell>
        </row>
        <row r="38">
          <cell r="B38" t="b">
            <v>0</v>
          </cell>
          <cell r="G38">
            <v>0</v>
          </cell>
          <cell r="H38">
            <v>0</v>
          </cell>
          <cell r="I38">
            <v>0</v>
          </cell>
          <cell r="J38">
            <v>0</v>
          </cell>
        </row>
        <row r="39">
          <cell r="B39" t="b">
            <v>0</v>
          </cell>
          <cell r="G39">
            <v>0</v>
          </cell>
          <cell r="H39">
            <v>0</v>
          </cell>
          <cell r="I39">
            <v>0</v>
          </cell>
          <cell r="M39" t="b">
            <v>0</v>
          </cell>
          <cell r="Q39">
            <v>0</v>
          </cell>
          <cell r="R39">
            <v>0</v>
          </cell>
        </row>
        <row r="40">
          <cell r="B40" t="b">
            <v>0</v>
          </cell>
          <cell r="G40">
            <v>0</v>
          </cell>
        </row>
        <row r="41">
          <cell r="B41" t="b">
            <v>0</v>
          </cell>
          <cell r="G41">
            <v>0</v>
          </cell>
        </row>
        <row r="42">
          <cell r="B42" t="b">
            <v>0</v>
          </cell>
          <cell r="G42">
            <v>0</v>
          </cell>
          <cell r="H42">
            <v>0</v>
          </cell>
          <cell r="I42">
            <v>0</v>
          </cell>
          <cell r="J42">
            <v>0</v>
          </cell>
        </row>
        <row r="43">
          <cell r="B43" t="b">
            <v>0</v>
          </cell>
          <cell r="G43">
            <v>0</v>
          </cell>
          <cell r="Q43" t="b">
            <v>0</v>
          </cell>
          <cell r="R43">
            <v>0</v>
          </cell>
        </row>
        <row r="44">
          <cell r="B44" t="b">
            <v>0</v>
          </cell>
          <cell r="G44">
            <v>0</v>
          </cell>
        </row>
        <row r="46">
          <cell r="B46" t="b">
            <v>0</v>
          </cell>
          <cell r="G46">
            <v>0</v>
          </cell>
          <cell r="M46" t="b">
            <v>0</v>
          </cell>
          <cell r="P46" t="b">
            <v>0</v>
          </cell>
          <cell r="Q46">
            <v>0</v>
          </cell>
          <cell r="R46">
            <v>0</v>
          </cell>
        </row>
        <row r="47">
          <cell r="B47" t="b">
            <v>0</v>
          </cell>
          <cell r="G47">
            <v>0</v>
          </cell>
          <cell r="M47" t="b">
            <v>0</v>
          </cell>
          <cell r="Q47">
            <v>0</v>
          </cell>
        </row>
        <row r="48">
          <cell r="B48" t="b">
            <v>0</v>
          </cell>
          <cell r="G48">
            <v>0</v>
          </cell>
          <cell r="M48" t="b">
            <v>0</v>
          </cell>
          <cell r="Q48">
            <v>0</v>
          </cell>
        </row>
        <row r="49">
          <cell r="B49" t="b">
            <v>0</v>
          </cell>
          <cell r="G49">
            <v>0</v>
          </cell>
        </row>
        <row r="50">
          <cell r="B50" t="b">
            <v>0</v>
          </cell>
          <cell r="E50" t="b">
            <v>0</v>
          </cell>
          <cell r="I50">
            <v>0</v>
          </cell>
        </row>
        <row r="52">
          <cell r="B52" t="b">
            <v>0</v>
          </cell>
          <cell r="G52">
            <v>0</v>
          </cell>
        </row>
        <row r="53">
          <cell r="B53" t="b">
            <v>0</v>
          </cell>
          <cell r="G53">
            <v>0</v>
          </cell>
          <cell r="M53" t="b">
            <v>0</v>
          </cell>
        </row>
        <row r="54">
          <cell r="B54" t="b">
            <v>0</v>
          </cell>
        </row>
        <row r="55">
          <cell r="B55" t="b">
            <v>0</v>
          </cell>
          <cell r="G55">
            <v>0</v>
          </cell>
        </row>
        <row r="56">
          <cell r="B56" t="b">
            <v>0</v>
          </cell>
          <cell r="G56">
            <v>0</v>
          </cell>
          <cell r="M56" t="b">
            <v>0</v>
          </cell>
        </row>
        <row r="57">
          <cell r="B57" t="b">
            <v>0</v>
          </cell>
          <cell r="G57">
            <v>0</v>
          </cell>
          <cell r="H57">
            <v>0</v>
          </cell>
          <cell r="I57">
            <v>0</v>
          </cell>
          <cell r="J57">
            <v>0</v>
          </cell>
          <cell r="M57" t="b">
            <v>0</v>
          </cell>
          <cell r="Q57">
            <v>0</v>
          </cell>
          <cell r="R57">
            <v>0</v>
          </cell>
        </row>
        <row r="58">
          <cell r="B58" t="b">
            <v>0</v>
          </cell>
          <cell r="G58">
            <v>0</v>
          </cell>
          <cell r="H58">
            <v>0</v>
          </cell>
          <cell r="I58">
            <v>0</v>
          </cell>
          <cell r="J58">
            <v>0</v>
          </cell>
          <cell r="M58" t="b">
            <v>0</v>
          </cell>
          <cell r="Q58">
            <v>0</v>
          </cell>
        </row>
        <row r="59">
          <cell r="B59" t="b">
            <v>0</v>
          </cell>
          <cell r="G59">
            <v>0</v>
          </cell>
          <cell r="M59" t="b">
            <v>0</v>
          </cell>
        </row>
        <row r="60">
          <cell r="B60" t="b">
            <v>0</v>
          </cell>
          <cell r="G60">
            <v>0</v>
          </cell>
          <cell r="M60" t="b">
            <v>0</v>
          </cell>
          <cell r="Q60">
            <v>0</v>
          </cell>
        </row>
        <row r="61">
          <cell r="B61" t="b">
            <v>0</v>
          </cell>
          <cell r="G61">
            <v>0</v>
          </cell>
          <cell r="M61" t="b">
            <v>0</v>
          </cell>
          <cell r="Q61">
            <v>0</v>
          </cell>
        </row>
        <row r="62">
          <cell r="B62" t="b">
            <v>0</v>
          </cell>
          <cell r="G62">
            <v>0</v>
          </cell>
          <cell r="H62">
            <v>0</v>
          </cell>
          <cell r="M62" t="b">
            <v>0</v>
          </cell>
          <cell r="Q62">
            <v>0</v>
          </cell>
        </row>
        <row r="63">
          <cell r="B63" t="b">
            <v>0</v>
          </cell>
          <cell r="G63">
            <v>0</v>
          </cell>
          <cell r="H63">
            <v>0</v>
          </cell>
          <cell r="M63" t="b">
            <v>0</v>
          </cell>
          <cell r="Q63">
            <v>0</v>
          </cell>
        </row>
        <row r="64">
          <cell r="B64" t="b">
            <v>0</v>
          </cell>
          <cell r="G64">
            <v>0</v>
          </cell>
          <cell r="M64" t="b">
            <v>0</v>
          </cell>
          <cell r="Q64">
            <v>0</v>
          </cell>
        </row>
        <row r="65">
          <cell r="M65" t="b">
            <v>0</v>
          </cell>
          <cell r="Q65">
            <v>0</v>
          </cell>
        </row>
        <row r="66">
          <cell r="B66" t="b">
            <v>0</v>
          </cell>
          <cell r="G66">
            <v>0</v>
          </cell>
          <cell r="M66" t="b">
            <v>0</v>
          </cell>
          <cell r="Q66">
            <v>0</v>
          </cell>
        </row>
        <row r="67">
          <cell r="B67" t="b">
            <v>0</v>
          </cell>
          <cell r="G67">
            <v>0</v>
          </cell>
          <cell r="M67" t="b">
            <v>0</v>
          </cell>
          <cell r="Q67">
            <v>0</v>
          </cell>
        </row>
        <row r="68">
          <cell r="B68" t="b">
            <v>0</v>
          </cell>
          <cell r="G68">
            <v>0</v>
          </cell>
          <cell r="M68" t="b">
            <v>0</v>
          </cell>
          <cell r="Q68">
            <v>0</v>
          </cell>
        </row>
        <row r="69">
          <cell r="B69" t="b">
            <v>0</v>
          </cell>
          <cell r="G69">
            <v>0</v>
          </cell>
          <cell r="H69">
            <v>0</v>
          </cell>
        </row>
        <row r="70">
          <cell r="B70" t="b">
            <v>0</v>
          </cell>
          <cell r="G70">
            <v>0</v>
          </cell>
          <cell r="H70">
            <v>0</v>
          </cell>
        </row>
        <row r="71">
          <cell r="B71" t="b">
            <v>0</v>
          </cell>
          <cell r="G71">
            <v>0</v>
          </cell>
        </row>
        <row r="73">
          <cell r="B73" t="b">
            <v>0</v>
          </cell>
          <cell r="G73">
            <v>0</v>
          </cell>
        </row>
        <row r="75">
          <cell r="B75" t="b">
            <v>0</v>
          </cell>
          <cell r="G75">
            <v>0</v>
          </cell>
        </row>
        <row r="76">
          <cell r="B76" t="b">
            <v>0</v>
          </cell>
          <cell r="G76">
            <v>0</v>
          </cell>
        </row>
        <row r="77">
          <cell r="B77" t="b">
            <v>0</v>
          </cell>
          <cell r="G77">
            <v>0</v>
          </cell>
          <cell r="H77">
            <v>0</v>
          </cell>
          <cell r="I77">
            <v>0</v>
          </cell>
          <cell r="J77">
            <v>0</v>
          </cell>
        </row>
        <row r="78">
          <cell r="B78" t="b">
            <v>0</v>
          </cell>
          <cell r="G78">
            <v>0</v>
          </cell>
        </row>
        <row r="79">
          <cell r="B79" t="b">
            <v>0</v>
          </cell>
          <cell r="G79">
            <v>0</v>
          </cell>
        </row>
      </sheetData>
      <sheetData sheetId="41">
        <row r="19">
          <cell r="CJ19" t="str">
            <v/>
          </cell>
        </row>
      </sheetData>
      <sheetData sheetId="42">
        <row r="63">
          <cell r="BA63">
            <v>0</v>
          </cell>
        </row>
      </sheetData>
      <sheetData sheetId="43" refreshError="1"/>
      <sheetData sheetId="44">
        <row r="3">
          <cell r="CZ3" t="str">
            <v>strmod</v>
          </cell>
          <cell r="DA3" t="e">
            <v>#N/A</v>
          </cell>
        </row>
        <row r="4">
          <cell r="CZ4" t="str">
            <v>dexmod</v>
          </cell>
          <cell r="DA4" t="e">
            <v>#N/A</v>
          </cell>
        </row>
        <row r="5">
          <cell r="CZ5" t="str">
            <v>conmod</v>
          </cell>
          <cell r="DA5" t="e">
            <v>#N/A</v>
          </cell>
        </row>
        <row r="6">
          <cell r="CZ6" t="str">
            <v>intmod</v>
          </cell>
          <cell r="DA6" t="e">
            <v>#N/A</v>
          </cell>
        </row>
        <row r="7">
          <cell r="CZ7" t="str">
            <v>wismod</v>
          </cell>
          <cell r="DA7" t="e">
            <v>#N/A</v>
          </cell>
          <cell r="DH7">
            <v>0</v>
          </cell>
        </row>
        <row r="8">
          <cell r="CZ8" t="str">
            <v>chamod</v>
          </cell>
          <cell r="DA8" t="e">
            <v>#N/A</v>
          </cell>
          <cell r="DH8" t="e">
            <v>#N/A</v>
          </cell>
        </row>
        <row r="9">
          <cell r="DH9" t="e">
            <v>#N/A</v>
          </cell>
        </row>
        <row r="10">
          <cell r="CZ10" t="str">
            <v>Balance¹</v>
          </cell>
          <cell r="DA10">
            <v>1</v>
          </cell>
          <cell r="DB10" t="e">
            <v>#N/A</v>
          </cell>
          <cell r="DC10" t="e">
            <v>#N/A</v>
          </cell>
          <cell r="DH10" t="e">
            <v>#N/A</v>
          </cell>
        </row>
        <row r="11">
          <cell r="CZ11" t="str">
            <v>Bluff¹</v>
          </cell>
          <cell r="DA11">
            <v>2</v>
          </cell>
          <cell r="DB11" t="e">
            <v>#N/A</v>
          </cell>
          <cell r="DC11" t="e">
            <v>#N/A</v>
          </cell>
          <cell r="DH11" t="e">
            <v>#N/A</v>
          </cell>
        </row>
        <row r="12">
          <cell r="CZ12" t="str">
            <v>Climb¹</v>
          </cell>
          <cell r="DA12">
            <v>3</v>
          </cell>
          <cell r="DB12" t="e">
            <v>#N/A</v>
          </cell>
          <cell r="DC12" t="e">
            <v>#N/A</v>
          </cell>
        </row>
        <row r="13">
          <cell r="CZ13" t="str">
            <v>Diplomacy¹</v>
          </cell>
          <cell r="DA13">
            <v>4</v>
          </cell>
          <cell r="DB13" t="e">
            <v>#N/A</v>
          </cell>
          <cell r="DC13" t="e">
            <v>#N/A</v>
          </cell>
        </row>
        <row r="14">
          <cell r="CZ14" t="str">
            <v>Disguise¹</v>
          </cell>
          <cell r="DA14">
            <v>5</v>
          </cell>
          <cell r="DB14" t="e">
            <v>#N/A</v>
          </cell>
          <cell r="DC14" t="e">
            <v>#N/A</v>
          </cell>
        </row>
        <row r="15">
          <cell r="CZ15" t="str">
            <v>Hide¹</v>
          </cell>
          <cell r="DA15">
            <v>6</v>
          </cell>
          <cell r="DB15" t="e">
            <v>#N/A</v>
          </cell>
          <cell r="DC15" t="e">
            <v>#N/A</v>
          </cell>
        </row>
        <row r="16">
          <cell r="CZ16" t="str">
            <v>Intimidate¹</v>
          </cell>
          <cell r="DA16">
            <v>7</v>
          </cell>
          <cell r="DB16" t="e">
            <v>#VALUE!</v>
          </cell>
          <cell r="DC16" t="e">
            <v>#VALUE!</v>
          </cell>
        </row>
        <row r="17">
          <cell r="CZ17" t="str">
            <v>Jump¹</v>
          </cell>
          <cell r="DA17">
            <v>8</v>
          </cell>
          <cell r="DB17" t="e">
            <v>#N/A</v>
          </cell>
          <cell r="DC17" t="e">
            <v>#N/A</v>
          </cell>
        </row>
        <row r="18">
          <cell r="CZ18" t="str">
            <v>Listen¹</v>
          </cell>
          <cell r="DA18">
            <v>9</v>
          </cell>
          <cell r="DB18" t="e">
            <v>#N/A</v>
          </cell>
          <cell r="DC18" t="e">
            <v>#N/A</v>
          </cell>
        </row>
        <row r="19">
          <cell r="CZ19" t="str">
            <v>Move Silently¹</v>
          </cell>
          <cell r="DA19">
            <v>10</v>
          </cell>
          <cell r="DB19" t="e">
            <v>#N/A</v>
          </cell>
          <cell r="DC19" t="e">
            <v>#N/A</v>
          </cell>
        </row>
        <row r="20">
          <cell r="CZ20" t="str">
            <v>Search¹</v>
          </cell>
          <cell r="DA20">
            <v>11</v>
          </cell>
          <cell r="DB20" t="e">
            <v>#N/A</v>
          </cell>
          <cell r="DC20" t="e">
            <v>#N/A</v>
          </cell>
        </row>
        <row r="21">
          <cell r="CZ21" t="str">
            <v>Sense Motive¹</v>
          </cell>
          <cell r="DA21">
            <v>12</v>
          </cell>
          <cell r="DB21" t="e">
            <v>#N/A</v>
          </cell>
          <cell r="DC21" t="e">
            <v>#N/A</v>
          </cell>
        </row>
        <row r="22">
          <cell r="CZ22" t="str">
            <v>Spellcraft</v>
          </cell>
          <cell r="DA22">
            <v>13</v>
          </cell>
          <cell r="DB22" t="e">
            <v>#N/A</v>
          </cell>
          <cell r="DC22" t="e">
            <v>#N/A</v>
          </cell>
        </row>
        <row r="23">
          <cell r="CZ23" t="str">
            <v>Spot¹</v>
          </cell>
          <cell r="DA23">
            <v>14</v>
          </cell>
          <cell r="DB23" t="e">
            <v>#N/A</v>
          </cell>
          <cell r="DC23" t="e">
            <v>#N/A</v>
          </cell>
        </row>
        <row r="24">
          <cell r="CZ24" t="str">
            <v>Survival¹</v>
          </cell>
          <cell r="DA24">
            <v>15</v>
          </cell>
          <cell r="DB24" t="e">
            <v>#N/A</v>
          </cell>
          <cell r="DC24" t="e">
            <v>#N/A</v>
          </cell>
        </row>
        <row r="25">
          <cell r="CZ25" t="str">
            <v>Swim¹</v>
          </cell>
          <cell r="DA25">
            <v>16</v>
          </cell>
          <cell r="DB25" t="e">
            <v>#N/A</v>
          </cell>
          <cell r="DC25" t="e">
            <v>#N/A</v>
          </cell>
        </row>
      </sheetData>
      <sheetData sheetId="45" refreshError="1"/>
      <sheetData sheetId="46" refreshError="1"/>
      <sheetData sheetId="47">
        <row r="3">
          <cell r="DB3" t="e">
            <v>#N/A</v>
          </cell>
        </row>
      </sheetData>
      <sheetData sheetId="48">
        <row r="1">
          <cell r="B1" t="str">
            <v/>
          </cell>
        </row>
        <row r="2">
          <cell r="B2" t="str">
            <v>Wizard</v>
          </cell>
          <cell r="D2">
            <v>8</v>
          </cell>
          <cell r="E2">
            <v>-1</v>
          </cell>
          <cell r="F2" t="str">
            <v/>
          </cell>
          <cell r="G2" t="str">
            <v/>
          </cell>
          <cell r="S2" t="str">
            <v xml:space="preserve">–– RACIAL ABILITIES ––
× Constitution+2, Charisma-2
× Base land speed of 20 feet.
× Spell Resistance 
× Stonecunning: +2 racial bonus on checks to notice unusual stonework. Can find such by passing within 10 feet, and can find stonework traps as a rogue can. Can intuit depth. 
× Weapon Familiarity: You treat dwarven waraxes and dwarven urgroshes as martial weapons, rather than exotic weapons.
× Stability: Dwarves are exceptionally stable on their feet. A dwarf gains a +4 bonus on ability checks made to resist being bull rushed or tripped when standing on the ground.
× +2 racial bonus on saving throws against spells and spell-like effects
× +1 racial bonus on attack rolls against orcs and goblinoids
× +4 dodge bonus against creatures of the giant type.
× +2 racial bonus on Appraise and Craft checks that deal with stone or metal.
× Favored Class: Fighter
–– CLASS ABILITIES ––
× Proficient with Club, Crossbow, Heavy, Crossbow, Light, Dagger, Quarterstaff.
× Familiar: You may call a familiar as a magical companion.
–– FEATS ––
× Scribe Scroll(PH 99)² : Create magic scrolls.
</v>
          </cell>
        </row>
        <row r="3">
          <cell r="B3" t="str">
            <v>1</v>
          </cell>
          <cell r="D3">
            <v>8</v>
          </cell>
          <cell r="E3">
            <v>-1</v>
          </cell>
          <cell r="G3" t="str">
            <v/>
          </cell>
          <cell r="S3" t="str">
            <v xml:space="preserve">–– RACIAL ABILITIES ––
× Constitution+2, Charisma-2
× Base land speed of 20 feet.
× Spell Resistance 
× Stonecunning: +2 racial bonus on checks to notice unusual stonework.
   Can find such by passing within 10 feet, and can find stonework traps as a
   rogue can. Can intuit depth. 
× Weapon Familiarity: You treat dwarven waraxes and dwarven urgroshes
   as martial weapons, rather than exotic weapons.
× Stability: Dwarves are exceptionally stable on their feet. A dwarf gains a
   +4 bonus on ability checks made to resist being bull rushed or tripped when
   standing on the ground.
× +2 racial bonus on saving throws against spells and spell-like effects
× +1 racial bonus on attack rolls against orcs and goblinoids
× +4 dodge bonus against creatures of the giant type.
× +2 racial bonus on Appraise and Craft checks that deal with stone or metal.
× Favored Class: Fighter
–– CLASS ABILITIES ––
× Proficient in all armor, and all shields (including tower shields)
× Proficient with all simple and martial weapons.
–– FEATS ––
</v>
          </cell>
        </row>
        <row r="4">
          <cell r="B4" t="str">
            <v>Dwarf, Hill</v>
          </cell>
          <cell r="D4">
            <v>10</v>
          </cell>
          <cell r="E4">
            <v>0</v>
          </cell>
          <cell r="G4" t="str">
            <v/>
          </cell>
          <cell r="S4" t="str">
            <v/>
          </cell>
        </row>
        <row r="5">
          <cell r="B5" t="str">
            <v>Humanoid (dwarf)</v>
          </cell>
          <cell r="D5">
            <v>8</v>
          </cell>
          <cell r="E5">
            <v>-1</v>
          </cell>
          <cell r="G5" t="str">
            <v/>
          </cell>
          <cell r="L5" t="str">
            <v>S</v>
          </cell>
          <cell r="M5" t="str">
            <v>Appraise¹</v>
          </cell>
          <cell r="N5" t="str">
            <v>INT</v>
          </cell>
          <cell r="O5">
            <v>-1</v>
          </cell>
          <cell r="P5">
            <v>-1</v>
          </cell>
          <cell r="Q5">
            <v>0</v>
          </cell>
          <cell r="R5">
            <v>0</v>
          </cell>
        </row>
        <row r="6">
          <cell r="B6" t="str">
            <v>Medium</v>
          </cell>
          <cell r="D6">
            <v>8</v>
          </cell>
          <cell r="E6">
            <v>-1</v>
          </cell>
          <cell r="G6" t="str">
            <v/>
          </cell>
          <cell r="L6" t="str">
            <v>S</v>
          </cell>
          <cell r="M6" t="str">
            <v>Balance¹</v>
          </cell>
          <cell r="N6" t="str">
            <v>DEX*</v>
          </cell>
          <cell r="O6">
            <v>-1</v>
          </cell>
          <cell r="P6">
            <v>-1</v>
          </cell>
          <cell r="Q6">
            <v>0</v>
          </cell>
          <cell r="R6">
            <v>0</v>
          </cell>
          <cell r="S6" t="str">
            <v xml:space="preserve">–– RACIAL ABILITIES ––
× Constitution+2, Charisma-2
× Base land speed of 20 feet.
× Spell Resistance 
× Stonecunning: +2 racial bonus on checks to notice unusual stonework. Can find such by passing within 10 feet, and can find stonework traps as a rogue can. Can intuit depth. 
× Weapon Familiarity: You treat dwarven waraxes and dwarven urgroshes as martial weapons, rather than exotic weapons.
× Stability: Dwarves are exceptionally stable on their feet. A dwarf gains a +4 bonus on ability checks made to resist being bull rushed or tripped when standing on the ground.
× +2 racial bonus on saving throws against spells and spell-like effects
× +1 racial bonus on attack rolls against orcs and goblinoids
× +4 dodge bonus against creatures of the giant type.
× +2 racial bonus on Appraise and Craft checks that deal with stone or metal.
× Favored Class: Fighter
–– CLASS ABILITIES ––
× Proficient with Club, Crossbow, Heavy, Crossbow, Light, Dagger, Quarterstaff.
× Familiar: You may call a familiar as a magical companion.
</v>
          </cell>
        </row>
        <row r="7">
          <cell r="D7">
            <v>6</v>
          </cell>
          <cell r="E7">
            <v>-2</v>
          </cell>
          <cell r="G7" t="str">
            <v/>
          </cell>
          <cell r="L7" t="str">
            <v>S</v>
          </cell>
          <cell r="M7" t="str">
            <v>Bluff¹</v>
          </cell>
          <cell r="N7" t="str">
            <v>CHA</v>
          </cell>
          <cell r="O7">
            <v>-2</v>
          </cell>
          <cell r="P7">
            <v>-2</v>
          </cell>
          <cell r="Q7">
            <v>0</v>
          </cell>
          <cell r="R7">
            <v>0</v>
          </cell>
          <cell r="S7" t="str">
            <v xml:space="preserve">–– FEATS ––
× Scribe Scroll(PH 99)² : Create magic scrolls.
</v>
          </cell>
        </row>
        <row r="8">
          <cell r="B8" t="str">
            <v/>
          </cell>
          <cell r="L8" t="str">
            <v>S</v>
          </cell>
          <cell r="M8" t="str">
            <v>Climb¹</v>
          </cell>
          <cell r="N8" t="str">
            <v>STR*</v>
          </cell>
          <cell r="O8">
            <v>-1</v>
          </cell>
          <cell r="P8">
            <v>-1</v>
          </cell>
          <cell r="Q8">
            <v>0</v>
          </cell>
          <cell r="R8">
            <v>0</v>
          </cell>
        </row>
        <row r="9">
          <cell r="B9" t="str">
            <v/>
          </cell>
          <cell r="D9">
            <v>4</v>
          </cell>
          <cell r="I9" t="str">
            <v/>
          </cell>
          <cell r="L9" t="str">
            <v>£</v>
          </cell>
          <cell r="M9" t="str">
            <v>Concentration¹</v>
          </cell>
          <cell r="N9" t="str">
            <v>CON</v>
          </cell>
          <cell r="O9">
            <v>0</v>
          </cell>
          <cell r="P9">
            <v>0</v>
          </cell>
          <cell r="Q9">
            <v>0</v>
          </cell>
          <cell r="R9">
            <v>0</v>
          </cell>
        </row>
        <row r="10">
          <cell r="B10" t="str">
            <v/>
          </cell>
          <cell r="D10" t="str">
            <v>20 ft/x4</v>
          </cell>
          <cell r="L10" t="str">
            <v>£</v>
          </cell>
          <cell r="M10" t="str">
            <v>Craft skills…¹</v>
          </cell>
          <cell r="N10" t="str">
            <v>INT</v>
          </cell>
          <cell r="O10">
            <v>-1</v>
          </cell>
          <cell r="P10">
            <v>-1</v>
          </cell>
          <cell r="Q10">
            <v>0</v>
          </cell>
          <cell r="R10">
            <v>0</v>
          </cell>
        </row>
        <row r="11">
          <cell r="B11" t="str">
            <v/>
          </cell>
          <cell r="D11" t="str">
            <v/>
          </cell>
          <cell r="L11" t="str">
            <v>S</v>
          </cell>
          <cell r="M11" t="str">
            <v>Diplomacy¹</v>
          </cell>
          <cell r="N11" t="str">
            <v>CHA</v>
          </cell>
          <cell r="O11">
            <v>-2</v>
          </cell>
          <cell r="P11">
            <v>-2</v>
          </cell>
          <cell r="Q11">
            <v>0</v>
          </cell>
          <cell r="R11">
            <v>0</v>
          </cell>
        </row>
        <row r="12">
          <cell r="B12" t="str">
            <v/>
          </cell>
          <cell r="D12">
            <v>0</v>
          </cell>
          <cell r="L12" t="str">
            <v>S</v>
          </cell>
          <cell r="M12" t="str">
            <v>Disguise¹</v>
          </cell>
          <cell r="N12" t="str">
            <v>CHA</v>
          </cell>
          <cell r="O12">
            <v>-2</v>
          </cell>
          <cell r="P12">
            <v>-2</v>
          </cell>
          <cell r="Q12">
            <v>0</v>
          </cell>
          <cell r="R12">
            <v>0</v>
          </cell>
        </row>
        <row r="13">
          <cell r="B13" t="str">
            <v/>
          </cell>
          <cell r="D13" t="str">
            <v/>
          </cell>
          <cell r="H13" t="str">
            <v/>
          </cell>
          <cell r="I13">
            <v>0</v>
          </cell>
          <cell r="L13" t="str">
            <v>S</v>
          </cell>
          <cell r="M13" t="str">
            <v>Escape Artist¹</v>
          </cell>
          <cell r="N13" t="str">
            <v>DEX*</v>
          </cell>
          <cell r="O13">
            <v>-1</v>
          </cell>
          <cell r="P13">
            <v>-1</v>
          </cell>
          <cell r="Q13">
            <v>0</v>
          </cell>
          <cell r="R13">
            <v>0</v>
          </cell>
        </row>
        <row r="14">
          <cell r="B14" t="str">
            <v/>
          </cell>
          <cell r="D14" t="str">
            <v/>
          </cell>
          <cell r="L14" t="str">
            <v>S</v>
          </cell>
          <cell r="M14" t="str">
            <v>Forgery¹</v>
          </cell>
          <cell r="N14" t="str">
            <v>INT</v>
          </cell>
          <cell r="O14">
            <v>-1</v>
          </cell>
          <cell r="P14">
            <v>-1</v>
          </cell>
          <cell r="Q14">
            <v>0</v>
          </cell>
          <cell r="R14">
            <v>0</v>
          </cell>
        </row>
        <row r="15">
          <cell r="B15" t="str">
            <v/>
          </cell>
          <cell r="L15" t="str">
            <v>S</v>
          </cell>
          <cell r="M15" t="str">
            <v>Gather Information¹</v>
          </cell>
          <cell r="N15" t="str">
            <v>CHA</v>
          </cell>
          <cell r="O15">
            <v>-2</v>
          </cell>
          <cell r="P15">
            <v>-2</v>
          </cell>
          <cell r="Q15">
            <v>0</v>
          </cell>
          <cell r="R15">
            <v>0</v>
          </cell>
        </row>
        <row r="16">
          <cell r="B16" t="str">
            <v/>
          </cell>
          <cell r="L16" t="str">
            <v>S</v>
          </cell>
          <cell r="M16" t="str">
            <v>Heal¹</v>
          </cell>
          <cell r="N16" t="str">
            <v>WIS</v>
          </cell>
          <cell r="O16">
            <v>-1</v>
          </cell>
          <cell r="P16">
            <v>-1</v>
          </cell>
          <cell r="Q16">
            <v>0</v>
          </cell>
          <cell r="R16">
            <v>0</v>
          </cell>
        </row>
        <row r="17">
          <cell r="L17" t="str">
            <v>S</v>
          </cell>
          <cell r="M17" t="str">
            <v>Hide¹</v>
          </cell>
          <cell r="N17" t="str">
            <v>DEX*</v>
          </cell>
          <cell r="O17">
            <v>-1</v>
          </cell>
          <cell r="P17">
            <v>-1</v>
          </cell>
          <cell r="Q17">
            <v>0</v>
          </cell>
          <cell r="R17">
            <v>0</v>
          </cell>
        </row>
        <row r="18">
          <cell r="L18" t="str">
            <v>S</v>
          </cell>
          <cell r="M18" t="str">
            <v>Intimidate¹</v>
          </cell>
          <cell r="N18" t="str">
            <v>CHA</v>
          </cell>
          <cell r="O18">
            <v>-2</v>
          </cell>
          <cell r="P18">
            <v>-2</v>
          </cell>
          <cell r="Q18">
            <v>0</v>
          </cell>
          <cell r="R18">
            <v>0</v>
          </cell>
        </row>
        <row r="19">
          <cell r="B19">
            <v>0</v>
          </cell>
          <cell r="C19">
            <v>-1</v>
          </cell>
          <cell r="D19">
            <v>1</v>
          </cell>
          <cell r="E19" t="str">
            <v>SV Fort +0, Ref -1, Will +1</v>
          </cell>
          <cell r="H19">
            <v>-1</v>
          </cell>
          <cell r="I19" t="str">
            <v>–1</v>
          </cell>
          <cell r="J19" t="str">
            <v>–1</v>
          </cell>
          <cell r="L19" t="str">
            <v>S</v>
          </cell>
          <cell r="M19" t="str">
            <v>Jump¹</v>
          </cell>
          <cell r="N19" t="str">
            <v>STR*</v>
          </cell>
          <cell r="O19">
            <v>-7</v>
          </cell>
          <cell r="P19">
            <v>-1</v>
          </cell>
          <cell r="Q19">
            <v>0</v>
          </cell>
          <cell r="R19">
            <v>-6</v>
          </cell>
        </row>
        <row r="20">
          <cell r="B20">
            <v>0</v>
          </cell>
          <cell r="C20">
            <v>0</v>
          </cell>
          <cell r="D20">
            <v>2</v>
          </cell>
          <cell r="H20">
            <v>0</v>
          </cell>
          <cell r="I20">
            <v>0</v>
          </cell>
          <cell r="J20">
            <v>0</v>
          </cell>
          <cell r="L20" t="str">
            <v>S</v>
          </cell>
          <cell r="M20" t="str">
            <v>Listen¹</v>
          </cell>
          <cell r="N20" t="str">
            <v>WIS</v>
          </cell>
          <cell r="O20">
            <v>1</v>
          </cell>
          <cell r="P20">
            <v>-1</v>
          </cell>
          <cell r="Q20">
            <v>0</v>
          </cell>
          <cell r="R20">
            <v>2</v>
          </cell>
        </row>
        <row r="21">
          <cell r="B21">
            <v>0</v>
          </cell>
          <cell r="C21">
            <v>-1</v>
          </cell>
          <cell r="D21">
            <v>-1</v>
          </cell>
          <cell r="I21">
            <v>-1</v>
          </cell>
          <cell r="J21">
            <v>-1</v>
          </cell>
          <cell r="L21" t="str">
            <v>S</v>
          </cell>
          <cell r="M21" t="str">
            <v>Move Silently¹</v>
          </cell>
          <cell r="N21" t="str">
            <v>DEX*</v>
          </cell>
          <cell r="O21">
            <v>-1</v>
          </cell>
          <cell r="P21">
            <v>-1</v>
          </cell>
          <cell r="Q21">
            <v>0</v>
          </cell>
          <cell r="R21">
            <v>0</v>
          </cell>
        </row>
        <row r="22">
          <cell r="F22">
            <v>-1</v>
          </cell>
          <cell r="H22">
            <v>0</v>
          </cell>
          <cell r="I22">
            <v>0</v>
          </cell>
          <cell r="L22" t="str">
            <v>S</v>
          </cell>
          <cell r="M22" t="str">
            <v>Perform skills ...¹</v>
          </cell>
          <cell r="N22" t="str">
            <v>CHA</v>
          </cell>
          <cell r="O22">
            <v>-2</v>
          </cell>
          <cell r="P22">
            <v>-2</v>
          </cell>
          <cell r="Q22">
            <v>0</v>
          </cell>
          <cell r="R22">
            <v>0</v>
          </cell>
        </row>
        <row r="23">
          <cell r="F23">
            <v>-1</v>
          </cell>
          <cell r="I23">
            <v>0</v>
          </cell>
          <cell r="J23">
            <v>0</v>
          </cell>
          <cell r="L23" t="str">
            <v>S</v>
          </cell>
          <cell r="M23" t="str">
            <v>Ride¹</v>
          </cell>
          <cell r="N23" t="str">
            <v>DEX</v>
          </cell>
          <cell r="O23">
            <v>-1</v>
          </cell>
          <cell r="P23">
            <v>-1</v>
          </cell>
          <cell r="Q23">
            <v>0</v>
          </cell>
          <cell r="R23">
            <v>0</v>
          </cell>
        </row>
        <row r="24">
          <cell r="B24">
            <v>0</v>
          </cell>
          <cell r="C24">
            <v>0</v>
          </cell>
          <cell r="D24">
            <v>0</v>
          </cell>
          <cell r="F24">
            <v>0</v>
          </cell>
          <cell r="H24">
            <v>0</v>
          </cell>
          <cell r="I24">
            <v>0</v>
          </cell>
          <cell r="J24">
            <v>0</v>
          </cell>
          <cell r="L24" t="str">
            <v>S</v>
          </cell>
          <cell r="M24" t="str">
            <v>Search¹</v>
          </cell>
          <cell r="N24" t="str">
            <v>INT</v>
          </cell>
          <cell r="O24">
            <v>-1</v>
          </cell>
          <cell r="P24">
            <v>-1</v>
          </cell>
          <cell r="Q24">
            <v>0</v>
          </cell>
          <cell r="R24">
            <v>0</v>
          </cell>
        </row>
        <row r="25">
          <cell r="L25" t="str">
            <v>S</v>
          </cell>
          <cell r="M25" t="str">
            <v>Sense Motive¹</v>
          </cell>
          <cell r="N25" t="str">
            <v>WIS</v>
          </cell>
          <cell r="O25">
            <v>-1</v>
          </cell>
          <cell r="P25">
            <v>-1</v>
          </cell>
          <cell r="Q25">
            <v>0</v>
          </cell>
          <cell r="R25">
            <v>0</v>
          </cell>
        </row>
        <row r="26">
          <cell r="L26" t="str">
            <v>S</v>
          </cell>
          <cell r="M26" t="str">
            <v>Spot¹</v>
          </cell>
          <cell r="N26" t="str">
            <v>WIS</v>
          </cell>
          <cell r="O26">
            <v>1</v>
          </cell>
          <cell r="P26">
            <v>-1</v>
          </cell>
          <cell r="Q26">
            <v>0</v>
          </cell>
          <cell r="R26">
            <v>2</v>
          </cell>
        </row>
        <row r="27">
          <cell r="L27" t="str">
            <v>S</v>
          </cell>
          <cell r="M27" t="str">
            <v>Survival¹</v>
          </cell>
          <cell r="N27" t="str">
            <v>WIS</v>
          </cell>
          <cell r="O27">
            <v>-1</v>
          </cell>
          <cell r="P27">
            <v>-1</v>
          </cell>
          <cell r="Q27">
            <v>0</v>
          </cell>
          <cell r="R27">
            <v>0</v>
          </cell>
        </row>
        <row r="28">
          <cell r="L28" t="str">
            <v>S</v>
          </cell>
          <cell r="M28" t="str">
            <v>Swim¹</v>
          </cell>
          <cell r="N28" t="str">
            <v>STR**</v>
          </cell>
          <cell r="O28">
            <v>-1</v>
          </cell>
          <cell r="P28">
            <v>-1</v>
          </cell>
          <cell r="Q28">
            <v>0</v>
          </cell>
          <cell r="R28">
            <v>0</v>
          </cell>
        </row>
        <row r="29">
          <cell r="L29" t="str">
            <v>S</v>
          </cell>
          <cell r="M29" t="str">
            <v>Use Rope¹</v>
          </cell>
          <cell r="N29" t="str">
            <v>DEX</v>
          </cell>
          <cell r="O29">
            <v>-1</v>
          </cell>
          <cell r="P29">
            <v>-1</v>
          </cell>
          <cell r="Q29">
            <v>0</v>
          </cell>
          <cell r="R29">
            <v>0</v>
          </cell>
        </row>
        <row r="30">
          <cell r="L30" t="str">
            <v/>
          </cell>
          <cell r="M30" t="str">
            <v/>
          </cell>
          <cell r="N30" t="str">
            <v/>
          </cell>
          <cell r="O30" t="str">
            <v/>
          </cell>
          <cell r="P30" t="str">
            <v/>
          </cell>
          <cell r="Q30" t="str">
            <v/>
          </cell>
          <cell r="R30" t="str">
            <v/>
          </cell>
        </row>
        <row r="31">
          <cell r="L31" t="str">
            <v/>
          </cell>
          <cell r="M31" t="str">
            <v/>
          </cell>
          <cell r="N31" t="str">
            <v/>
          </cell>
          <cell r="O31" t="str">
            <v/>
          </cell>
          <cell r="P31" t="str">
            <v/>
          </cell>
          <cell r="Q31" t="str">
            <v/>
          </cell>
          <cell r="R31" t="str">
            <v/>
          </cell>
        </row>
        <row r="32">
          <cell r="L32" t="str">
            <v/>
          </cell>
          <cell r="M32" t="str">
            <v/>
          </cell>
          <cell r="N32" t="str">
            <v/>
          </cell>
          <cell r="O32" t="str">
            <v/>
          </cell>
          <cell r="P32" t="str">
            <v/>
          </cell>
          <cell r="Q32" t="str">
            <v/>
          </cell>
          <cell r="R32" t="str">
            <v/>
          </cell>
        </row>
        <row r="33">
          <cell r="L33" t="str">
            <v/>
          </cell>
          <cell r="M33" t="str">
            <v/>
          </cell>
          <cell r="N33" t="str">
            <v/>
          </cell>
          <cell r="O33" t="str">
            <v/>
          </cell>
          <cell r="P33" t="str">
            <v/>
          </cell>
          <cell r="Q33" t="str">
            <v/>
          </cell>
          <cell r="R33" t="str">
            <v/>
          </cell>
        </row>
        <row r="34">
          <cell r="L34" t="str">
            <v/>
          </cell>
          <cell r="M34" t="str">
            <v/>
          </cell>
          <cell r="N34" t="str">
            <v/>
          </cell>
          <cell r="O34" t="str">
            <v/>
          </cell>
          <cell r="P34" t="str">
            <v/>
          </cell>
          <cell r="Q34" t="str">
            <v/>
          </cell>
          <cell r="R34" t="str">
            <v/>
          </cell>
        </row>
        <row r="35">
          <cell r="L35" t="str">
            <v/>
          </cell>
          <cell r="M35" t="str">
            <v/>
          </cell>
          <cell r="N35" t="str">
            <v/>
          </cell>
          <cell r="O35" t="str">
            <v/>
          </cell>
          <cell r="P35" t="str">
            <v/>
          </cell>
          <cell r="Q35" t="str">
            <v/>
          </cell>
          <cell r="R35" t="str">
            <v/>
          </cell>
        </row>
        <row r="36">
          <cell r="L36" t="str">
            <v/>
          </cell>
          <cell r="M36" t="str">
            <v/>
          </cell>
          <cell r="N36" t="str">
            <v/>
          </cell>
          <cell r="O36" t="str">
            <v/>
          </cell>
          <cell r="P36" t="str">
            <v/>
          </cell>
          <cell r="Q36" t="str">
            <v/>
          </cell>
          <cell r="R36" t="str">
            <v/>
          </cell>
        </row>
        <row r="37">
          <cell r="L37" t="str">
            <v/>
          </cell>
          <cell r="M37" t="str">
            <v/>
          </cell>
          <cell r="N37" t="str">
            <v/>
          </cell>
          <cell r="O37" t="str">
            <v/>
          </cell>
          <cell r="P37" t="str">
            <v/>
          </cell>
          <cell r="Q37" t="str">
            <v/>
          </cell>
          <cell r="R37" t="str">
            <v/>
          </cell>
        </row>
        <row r="38">
          <cell r="L38" t="str">
            <v/>
          </cell>
          <cell r="M38" t="str">
            <v/>
          </cell>
          <cell r="N38" t="str">
            <v/>
          </cell>
          <cell r="O38" t="str">
            <v/>
          </cell>
          <cell r="P38" t="str">
            <v/>
          </cell>
          <cell r="Q38" t="str">
            <v/>
          </cell>
          <cell r="R38" t="str">
            <v/>
          </cell>
        </row>
        <row r="39">
          <cell r="L39" t="str">
            <v/>
          </cell>
          <cell r="M39" t="str">
            <v/>
          </cell>
          <cell r="N39" t="str">
            <v/>
          </cell>
          <cell r="O39" t="str">
            <v/>
          </cell>
          <cell r="P39" t="str">
            <v/>
          </cell>
          <cell r="Q39" t="str">
            <v/>
          </cell>
          <cell r="R39" t="str">
            <v/>
          </cell>
        </row>
        <row r="40">
          <cell r="L40" t="str">
            <v/>
          </cell>
          <cell r="M40" t="str">
            <v/>
          </cell>
          <cell r="N40" t="str">
            <v/>
          </cell>
          <cell r="O40" t="str">
            <v/>
          </cell>
          <cell r="P40" t="str">
            <v/>
          </cell>
          <cell r="Q40" t="str">
            <v/>
          </cell>
          <cell r="R40" t="str">
            <v/>
          </cell>
        </row>
        <row r="41">
          <cell r="A41">
            <v>9</v>
          </cell>
          <cell r="C41">
            <v>9</v>
          </cell>
          <cell r="D41">
            <v>9</v>
          </cell>
          <cell r="L41" t="str">
            <v/>
          </cell>
          <cell r="M41" t="str">
            <v/>
          </cell>
          <cell r="N41" t="str">
            <v/>
          </cell>
          <cell r="O41" t="str">
            <v/>
          </cell>
          <cell r="P41" t="str">
            <v/>
          </cell>
          <cell r="Q41" t="str">
            <v/>
          </cell>
          <cell r="R41" t="str">
            <v/>
          </cell>
        </row>
        <row r="42">
          <cell r="L42" t="str">
            <v/>
          </cell>
          <cell r="M42" t="str">
            <v/>
          </cell>
          <cell r="N42" t="str">
            <v/>
          </cell>
          <cell r="O42" t="str">
            <v/>
          </cell>
          <cell r="P42" t="str">
            <v/>
          </cell>
          <cell r="Q42" t="str">
            <v/>
          </cell>
          <cell r="R42" t="str">
            <v/>
          </cell>
        </row>
        <row r="43">
          <cell r="A43">
            <v>0</v>
          </cell>
          <cell r="B43">
            <v>0</v>
          </cell>
          <cell r="C43">
            <v>-1</v>
          </cell>
          <cell r="D43">
            <v>0</v>
          </cell>
          <cell r="E43">
            <v>0</v>
          </cell>
          <cell r="F43">
            <v>0</v>
          </cell>
          <cell r="G43">
            <v>0</v>
          </cell>
          <cell r="L43" t="str">
            <v/>
          </cell>
          <cell r="M43" t="str">
            <v/>
          </cell>
          <cell r="N43" t="str">
            <v/>
          </cell>
          <cell r="O43" t="str">
            <v/>
          </cell>
          <cell r="P43" t="str">
            <v/>
          </cell>
          <cell r="Q43" t="str">
            <v/>
          </cell>
          <cell r="R43" t="str">
            <v/>
          </cell>
        </row>
        <row r="44">
          <cell r="E44">
            <v>0</v>
          </cell>
          <cell r="L44" t="str">
            <v/>
          </cell>
          <cell r="M44" t="str">
            <v/>
          </cell>
          <cell r="N44" t="str">
            <v/>
          </cell>
          <cell r="O44" t="str">
            <v/>
          </cell>
          <cell r="P44" t="str">
            <v/>
          </cell>
          <cell r="Q44" t="str">
            <v/>
          </cell>
          <cell r="R44" t="str">
            <v/>
          </cell>
        </row>
        <row r="45">
          <cell r="L45" t="str">
            <v/>
          </cell>
          <cell r="M45" t="str">
            <v/>
          </cell>
          <cell r="N45" t="str">
            <v/>
          </cell>
          <cell r="O45" t="str">
            <v/>
          </cell>
          <cell r="P45" t="str">
            <v/>
          </cell>
          <cell r="Q45" t="str">
            <v/>
          </cell>
          <cell r="R45" t="str">
            <v/>
          </cell>
        </row>
        <row r="46">
          <cell r="L46" t="str">
            <v/>
          </cell>
          <cell r="M46" t="str">
            <v/>
          </cell>
          <cell r="N46" t="str">
            <v/>
          </cell>
          <cell r="O46" t="str">
            <v/>
          </cell>
          <cell r="P46" t="str">
            <v/>
          </cell>
          <cell r="Q46" t="str">
            <v/>
          </cell>
          <cell r="R46" t="str">
            <v/>
          </cell>
        </row>
        <row r="47">
          <cell r="L47" t="str">
            <v/>
          </cell>
          <cell r="M47" t="str">
            <v/>
          </cell>
          <cell r="N47" t="str">
            <v/>
          </cell>
          <cell r="O47" t="str">
            <v/>
          </cell>
          <cell r="P47" t="str">
            <v/>
          </cell>
          <cell r="Q47" t="str">
            <v/>
          </cell>
          <cell r="R47" t="str">
            <v/>
          </cell>
        </row>
        <row r="48">
          <cell r="L48" t="str">
            <v/>
          </cell>
          <cell r="M48" t="str">
            <v/>
          </cell>
          <cell r="N48" t="str">
            <v/>
          </cell>
          <cell r="O48" t="str">
            <v/>
          </cell>
          <cell r="P48" t="str">
            <v/>
          </cell>
          <cell r="Q48" t="str">
            <v/>
          </cell>
          <cell r="R48" t="str">
            <v/>
          </cell>
        </row>
        <row r="49">
          <cell r="L49" t="str">
            <v/>
          </cell>
          <cell r="M49" t="str">
            <v/>
          </cell>
          <cell r="N49" t="str">
            <v/>
          </cell>
          <cell r="O49" t="str">
            <v/>
          </cell>
          <cell r="P49" t="str">
            <v/>
          </cell>
          <cell r="Q49" t="str">
            <v/>
          </cell>
          <cell r="R49" t="str">
            <v/>
          </cell>
        </row>
        <row r="50">
          <cell r="L50" t="str">
            <v/>
          </cell>
          <cell r="M50" t="str">
            <v/>
          </cell>
          <cell r="N50" t="str">
            <v/>
          </cell>
          <cell r="O50" t="str">
            <v/>
          </cell>
          <cell r="P50" t="str">
            <v/>
          </cell>
          <cell r="Q50" t="str">
            <v/>
          </cell>
          <cell r="R50" t="str">
            <v/>
          </cell>
        </row>
        <row r="51">
          <cell r="L51" t="str">
            <v/>
          </cell>
          <cell r="M51" t="str">
            <v/>
          </cell>
          <cell r="N51" t="str">
            <v/>
          </cell>
          <cell r="O51" t="str">
            <v/>
          </cell>
          <cell r="P51" t="str">
            <v/>
          </cell>
          <cell r="Q51" t="str">
            <v/>
          </cell>
          <cell r="R51" t="str">
            <v/>
          </cell>
        </row>
        <row r="52">
          <cell r="L52" t="str">
            <v/>
          </cell>
          <cell r="M52" t="str">
            <v/>
          </cell>
          <cell r="N52" t="str">
            <v/>
          </cell>
          <cell r="O52" t="str">
            <v/>
          </cell>
          <cell r="P52" t="str">
            <v/>
          </cell>
          <cell r="Q52" t="str">
            <v/>
          </cell>
          <cell r="R52" t="str">
            <v/>
          </cell>
        </row>
        <row r="53">
          <cell r="L53" t="str">
            <v/>
          </cell>
          <cell r="M53" t="str">
            <v/>
          </cell>
          <cell r="N53" t="str">
            <v/>
          </cell>
          <cell r="O53" t="str">
            <v/>
          </cell>
          <cell r="P53" t="str">
            <v/>
          </cell>
          <cell r="Q53" t="str">
            <v/>
          </cell>
          <cell r="R53" t="str">
            <v/>
          </cell>
        </row>
        <row r="54">
          <cell r="L54" t="str">
            <v/>
          </cell>
          <cell r="M54" t="str">
            <v/>
          </cell>
          <cell r="N54" t="str">
            <v/>
          </cell>
          <cell r="O54" t="str">
            <v/>
          </cell>
          <cell r="P54" t="str">
            <v/>
          </cell>
          <cell r="Q54" t="str">
            <v/>
          </cell>
          <cell r="R54" t="str">
            <v/>
          </cell>
        </row>
        <row r="55">
          <cell r="B55" t="str">
            <v/>
          </cell>
          <cell r="F55" t="str">
            <v>Common</v>
          </cell>
          <cell r="H55" t="str">
            <v/>
          </cell>
          <cell r="L55" t="str">
            <v/>
          </cell>
          <cell r="M55" t="str">
            <v/>
          </cell>
          <cell r="N55" t="str">
            <v/>
          </cell>
          <cell r="O55" t="str">
            <v/>
          </cell>
          <cell r="P55" t="str">
            <v/>
          </cell>
          <cell r="Q55" t="str">
            <v/>
          </cell>
          <cell r="R55" t="str">
            <v/>
          </cell>
        </row>
        <row r="56">
          <cell r="B56" t="str">
            <v/>
          </cell>
          <cell r="F56" t="str">
            <v>Dwarven</v>
          </cell>
          <cell r="L56" t="str">
            <v/>
          </cell>
          <cell r="M56" t="str">
            <v/>
          </cell>
          <cell r="N56" t="str">
            <v/>
          </cell>
          <cell r="O56" t="str">
            <v/>
          </cell>
          <cell r="P56" t="str">
            <v/>
          </cell>
          <cell r="Q56" t="str">
            <v/>
          </cell>
          <cell r="R56" t="str">
            <v/>
          </cell>
        </row>
        <row r="57">
          <cell r="B57" t="str">
            <v/>
          </cell>
          <cell r="F57" t="str">
            <v/>
          </cell>
          <cell r="L57" t="str">
            <v/>
          </cell>
          <cell r="M57" t="str">
            <v/>
          </cell>
          <cell r="N57" t="str">
            <v/>
          </cell>
          <cell r="O57" t="str">
            <v/>
          </cell>
          <cell r="P57" t="str">
            <v/>
          </cell>
          <cell r="Q57" t="str">
            <v/>
          </cell>
          <cell r="R57" t="str">
            <v/>
          </cell>
        </row>
        <row r="58">
          <cell r="B58" t="str">
            <v/>
          </cell>
          <cell r="F58" t="str">
            <v/>
          </cell>
          <cell r="L58" t="str">
            <v/>
          </cell>
          <cell r="M58" t="str">
            <v/>
          </cell>
          <cell r="N58" t="str">
            <v/>
          </cell>
          <cell r="O58" t="str">
            <v/>
          </cell>
          <cell r="P58" t="str">
            <v/>
          </cell>
          <cell r="Q58" t="str">
            <v/>
          </cell>
          <cell r="R58" t="str">
            <v/>
          </cell>
        </row>
        <row r="59">
          <cell r="B59" t="str">
            <v/>
          </cell>
          <cell r="F59" t="str">
            <v/>
          </cell>
          <cell r="L59" t="str">
            <v/>
          </cell>
          <cell r="M59" t="str">
            <v/>
          </cell>
          <cell r="N59" t="str">
            <v/>
          </cell>
          <cell r="O59" t="str">
            <v/>
          </cell>
          <cell r="P59" t="str">
            <v/>
          </cell>
          <cell r="Q59" t="str">
            <v/>
          </cell>
          <cell r="R59" t="str">
            <v/>
          </cell>
        </row>
        <row r="60">
          <cell r="B60" t="str">
            <v/>
          </cell>
          <cell r="F60" t="str">
            <v/>
          </cell>
          <cell r="H60" t="str">
            <v/>
          </cell>
          <cell r="L60" t="str">
            <v/>
          </cell>
          <cell r="M60" t="str">
            <v/>
          </cell>
          <cell r="N60" t="str">
            <v/>
          </cell>
          <cell r="O60" t="str">
            <v/>
          </cell>
          <cell r="P60" t="str">
            <v/>
          </cell>
          <cell r="Q60" t="str">
            <v/>
          </cell>
          <cell r="R60" t="str">
            <v/>
          </cell>
        </row>
        <row r="61">
          <cell r="B61" t="str">
            <v/>
          </cell>
          <cell r="F61" t="str">
            <v/>
          </cell>
          <cell r="H61" t="str">
            <v/>
          </cell>
          <cell r="L61" t="str">
            <v/>
          </cell>
          <cell r="M61" t="str">
            <v/>
          </cell>
          <cell r="N61" t="str">
            <v/>
          </cell>
          <cell r="O61" t="str">
            <v/>
          </cell>
          <cell r="P61" t="str">
            <v/>
          </cell>
          <cell r="Q61" t="str">
            <v/>
          </cell>
          <cell r="R61" t="str">
            <v/>
          </cell>
        </row>
        <row r="62">
          <cell r="B62" t="str">
            <v/>
          </cell>
          <cell r="F62" t="str">
            <v/>
          </cell>
          <cell r="H62" t="str">
            <v>2d6</v>
          </cell>
          <cell r="L62" t="str">
            <v/>
          </cell>
          <cell r="M62" t="str">
            <v/>
          </cell>
          <cell r="N62" t="str">
            <v/>
          </cell>
          <cell r="O62" t="str">
            <v/>
          </cell>
          <cell r="P62" t="str">
            <v/>
          </cell>
          <cell r="Q62" t="str">
            <v/>
          </cell>
          <cell r="R62" t="str">
            <v/>
          </cell>
        </row>
        <row r="63">
          <cell r="B63" t="str">
            <v/>
          </cell>
          <cell r="F63" t="str">
            <v/>
          </cell>
          <cell r="L63" t="str">
            <v/>
          </cell>
          <cell r="M63" t="str">
            <v/>
          </cell>
          <cell r="N63" t="str">
            <v/>
          </cell>
          <cell r="O63" t="str">
            <v/>
          </cell>
          <cell r="P63" t="str">
            <v/>
          </cell>
          <cell r="Q63" t="str">
            <v/>
          </cell>
          <cell r="R63" t="str">
            <v/>
          </cell>
        </row>
        <row r="64">
          <cell r="F64" t="str">
            <v/>
          </cell>
          <cell r="L64" t="str">
            <v/>
          </cell>
          <cell r="M64" t="str">
            <v/>
          </cell>
          <cell r="N64" t="str">
            <v/>
          </cell>
          <cell r="O64" t="str">
            <v/>
          </cell>
          <cell r="P64" t="str">
            <v/>
          </cell>
          <cell r="Q64" t="str">
            <v/>
          </cell>
          <cell r="R64" t="str">
            <v/>
          </cell>
        </row>
        <row r="65">
          <cell r="F65" t="str">
            <v/>
          </cell>
        </row>
        <row r="66">
          <cell r="F66" t="str">
            <v/>
          </cell>
          <cell r="H66" t="str">
            <v/>
          </cell>
        </row>
        <row r="67">
          <cell r="B67" t="str">
            <v/>
          </cell>
          <cell r="F67" t="str">
            <v/>
          </cell>
          <cell r="H67" t="str">
            <v/>
          </cell>
        </row>
        <row r="68">
          <cell r="B68" t="str">
            <v/>
          </cell>
          <cell r="F68" t="str">
            <v/>
          </cell>
          <cell r="H68" t="str">
            <v/>
          </cell>
        </row>
        <row r="69">
          <cell r="B69" t="str">
            <v/>
          </cell>
          <cell r="F69" t="str">
            <v/>
          </cell>
          <cell r="H69" t="str">
            <v/>
          </cell>
        </row>
        <row r="70">
          <cell r="B70" t="str">
            <v/>
          </cell>
          <cell r="F70" t="str">
            <v/>
          </cell>
          <cell r="H70" t="str">
            <v/>
          </cell>
        </row>
        <row r="71">
          <cell r="B71" t="str">
            <v/>
          </cell>
          <cell r="F71" t="str">
            <v/>
          </cell>
          <cell r="H71" t="str">
            <v/>
          </cell>
        </row>
        <row r="72">
          <cell r="F72" t="str">
            <v/>
          </cell>
          <cell r="H72" t="str">
            <v/>
          </cell>
        </row>
        <row r="73">
          <cell r="F73" t="str">
            <v/>
          </cell>
          <cell r="H73" t="str">
            <v/>
          </cell>
        </row>
        <row r="74">
          <cell r="F74" t="str">
            <v/>
          </cell>
          <cell r="H74" t="str">
            <v/>
          </cell>
        </row>
        <row r="76">
          <cell r="B76">
            <v>10</v>
          </cell>
          <cell r="D76" t="str">
            <v>(none) (0 GP)</v>
          </cell>
          <cell r="H76" t="str">
            <v/>
          </cell>
        </row>
        <row r="77">
          <cell r="B77">
            <v>5</v>
          </cell>
          <cell r="D77" t="str">
            <v>(none) (0 GP)</v>
          </cell>
          <cell r="H77" t="str">
            <v/>
          </cell>
        </row>
        <row r="78">
          <cell r="B78">
            <v>16</v>
          </cell>
          <cell r="D78" t="str">
            <v>(none) (0 GP)</v>
          </cell>
          <cell r="E78">
            <v>0</v>
          </cell>
          <cell r="H78" t="str">
            <v/>
          </cell>
        </row>
        <row r="79">
          <cell r="B79">
            <v>16</v>
          </cell>
          <cell r="D79" t="str">
            <v>(none) (0 GP)</v>
          </cell>
          <cell r="E79">
            <v>0</v>
          </cell>
          <cell r="H79" t="str">
            <v/>
          </cell>
        </row>
        <row r="80">
          <cell r="B80">
            <v>33</v>
          </cell>
          <cell r="D80" t="str">
            <v>(none) (0 GP)</v>
          </cell>
          <cell r="E80">
            <v>0</v>
          </cell>
          <cell r="H80" t="str">
            <v/>
          </cell>
        </row>
        <row r="81">
          <cell r="B81">
            <v>50</v>
          </cell>
          <cell r="D81" t="str">
            <v>(none) (0 GP)</v>
          </cell>
          <cell r="E81">
            <v>0</v>
          </cell>
          <cell r="H81" t="str">
            <v/>
          </cell>
        </row>
        <row r="82">
          <cell r="B82">
            <v>8</v>
          </cell>
          <cell r="D82" t="str">
            <v>(none) (0 GP)</v>
          </cell>
          <cell r="E82">
            <v>0</v>
          </cell>
          <cell r="H82" t="str">
            <v/>
          </cell>
        </row>
        <row r="83">
          <cell r="B83">
            <v>10</v>
          </cell>
          <cell r="D83" t="str">
            <v>(none) (0 GP)</v>
          </cell>
          <cell r="E83">
            <v>0</v>
          </cell>
        </row>
        <row r="84">
          <cell r="B84">
            <v>5</v>
          </cell>
          <cell r="D84" t="str">
            <v>(none) (0 GP)</v>
          </cell>
          <cell r="E84">
            <v>0</v>
          </cell>
        </row>
        <row r="85">
          <cell r="D85" t="str">
            <v>(none) (0 GP)</v>
          </cell>
          <cell r="E85">
            <v>0</v>
          </cell>
        </row>
        <row r="86">
          <cell r="D86" t="str">
            <v>(none) (0 GP)</v>
          </cell>
          <cell r="E86">
            <v>0</v>
          </cell>
        </row>
        <row r="87">
          <cell r="D87" t="str">
            <v>(none) (0 GP)</v>
          </cell>
          <cell r="E87">
            <v>0</v>
          </cell>
        </row>
        <row r="90">
          <cell r="B90">
            <v>0</v>
          </cell>
          <cell r="C90">
            <v>2</v>
          </cell>
          <cell r="D90">
            <v>4</v>
          </cell>
        </row>
        <row r="91">
          <cell r="C91">
            <v>4</v>
          </cell>
        </row>
        <row r="93">
          <cell r="A93" t="str">
            <v xml:space="preserve">× Fighting Defensively:
   × AC 11 (Touch: 11; Flat-Footed: 11)
× Total Defense:
   × AC 13 (Touch: 13; Flat-Footed: 13)
</v>
          </cell>
        </row>
        <row r="96">
          <cell r="D96" t="b">
            <v>0</v>
          </cell>
          <cell r="E96" t="b">
            <v>0</v>
          </cell>
          <cell r="K96">
            <v>0</v>
          </cell>
          <cell r="M96" t="str">
            <v/>
          </cell>
          <cell r="N96">
            <v>97</v>
          </cell>
        </row>
        <row r="97">
          <cell r="A97" t="str">
            <v>Type</v>
          </cell>
          <cell r="B97" t="str">
            <v>Category</v>
          </cell>
          <cell r="C97" t="str">
            <v>Ex/Su</v>
          </cell>
          <cell r="D97" t="str">
            <v>Race,Template</v>
          </cell>
          <cell r="E97" t="str">
            <v>Classes</v>
          </cell>
          <cell r="F97" t="str">
            <v>Feats</v>
          </cell>
          <cell r="G97" t="str">
            <v>Equipment</v>
          </cell>
          <cell r="H97" t="str">
            <v>Magic Items</v>
          </cell>
          <cell r="I97" t="str">
            <v>Buffs</v>
          </cell>
          <cell r="J97" t="str">
            <v>Total</v>
          </cell>
          <cell r="K97" t="str">
            <v>Extra</v>
          </cell>
          <cell r="L97" t="str">
            <v>DR</v>
          </cell>
          <cell r="N97">
            <v>97</v>
          </cell>
          <cell r="O97" t="str">
            <v>List</v>
          </cell>
        </row>
        <row r="98">
          <cell r="A98" t="str">
            <v>-</v>
          </cell>
          <cell r="B98" t="str">
            <v>Nothing</v>
          </cell>
          <cell r="C98" t="str">
            <v>Ex</v>
          </cell>
          <cell r="D98">
            <v>0</v>
          </cell>
          <cell r="E98">
            <v>0</v>
          </cell>
          <cell r="F98">
            <v>0</v>
          </cell>
          <cell r="G98">
            <v>0</v>
          </cell>
          <cell r="I98">
            <v>0</v>
          </cell>
          <cell r="J98">
            <v>0</v>
          </cell>
          <cell r="K98">
            <v>0</v>
          </cell>
          <cell r="L98" t="b">
            <v>0</v>
          </cell>
          <cell r="M98" t="str">
            <v/>
          </cell>
          <cell r="N98">
            <v>97</v>
          </cell>
          <cell r="O98" t="str">
            <v/>
          </cell>
        </row>
        <row r="99">
          <cell r="A99" t="str">
            <v xml:space="preserve"> and </v>
          </cell>
          <cell r="B99" t="str">
            <v>Combined</v>
          </cell>
          <cell r="C99" t="str">
            <v>Ex or Su</v>
          </cell>
          <cell r="D99">
            <v>0</v>
          </cell>
          <cell r="E99">
            <v>0</v>
          </cell>
          <cell r="J99">
            <v>0</v>
          </cell>
          <cell r="K99">
            <v>0</v>
          </cell>
          <cell r="L99" t="b">
            <v>0</v>
          </cell>
          <cell r="M99" t="str">
            <v/>
          </cell>
          <cell r="N99">
            <v>97</v>
          </cell>
          <cell r="O99" t="str">
            <v/>
          </cell>
        </row>
        <row r="100">
          <cell r="A100" t="str">
            <v xml:space="preserve"> or </v>
          </cell>
          <cell r="B100" t="str">
            <v>Combined</v>
          </cell>
          <cell r="C100" t="str">
            <v>Ex or Su</v>
          </cell>
          <cell r="D100">
            <v>0</v>
          </cell>
          <cell r="E100">
            <v>0</v>
          </cell>
          <cell r="J100">
            <v>0</v>
          </cell>
          <cell r="K100">
            <v>0</v>
          </cell>
          <cell r="L100" t="b">
            <v>0</v>
          </cell>
          <cell r="M100" t="str">
            <v/>
          </cell>
          <cell r="N100">
            <v>97</v>
          </cell>
          <cell r="O100" t="str">
            <v/>
          </cell>
        </row>
        <row r="101">
          <cell r="A101" t="str">
            <v>adamantine</v>
          </cell>
          <cell r="B101" t="str">
            <v>Material</v>
          </cell>
          <cell r="C101" t="str">
            <v>Ex</v>
          </cell>
          <cell r="D101">
            <v>0</v>
          </cell>
          <cell r="E101">
            <v>0</v>
          </cell>
          <cell r="F101">
            <v>0</v>
          </cell>
          <cell r="H101">
            <v>0</v>
          </cell>
          <cell r="I101">
            <v>0</v>
          </cell>
          <cell r="J101">
            <v>0</v>
          </cell>
          <cell r="K101">
            <v>0</v>
          </cell>
          <cell r="L101" t="b">
            <v>0</v>
          </cell>
          <cell r="M101" t="str">
            <v/>
          </cell>
          <cell r="N101">
            <v>97</v>
          </cell>
          <cell r="O101" t="str">
            <v/>
          </cell>
        </row>
        <row r="102">
          <cell r="A102" t="str">
            <v>bludgeoning</v>
          </cell>
          <cell r="B102" t="str">
            <v>Type</v>
          </cell>
          <cell r="C102" t="str">
            <v>Ex</v>
          </cell>
          <cell r="D102">
            <v>0</v>
          </cell>
          <cell r="E102">
            <v>0</v>
          </cell>
          <cell r="H102">
            <v>0</v>
          </cell>
          <cell r="J102">
            <v>0</v>
          </cell>
          <cell r="K102">
            <v>0</v>
          </cell>
          <cell r="L102" t="b">
            <v>0</v>
          </cell>
          <cell r="M102" t="str">
            <v/>
          </cell>
          <cell r="N102">
            <v>97</v>
          </cell>
          <cell r="O102" t="str">
            <v/>
          </cell>
        </row>
        <row r="103">
          <cell r="A103" t="str">
            <v>chaotic</v>
          </cell>
          <cell r="B103" t="str">
            <v>Aligned</v>
          </cell>
          <cell r="C103" t="str">
            <v>Su</v>
          </cell>
          <cell r="D103">
            <v>0</v>
          </cell>
          <cell r="E103">
            <v>0</v>
          </cell>
          <cell r="I103">
            <v>0</v>
          </cell>
          <cell r="J103">
            <v>0</v>
          </cell>
          <cell r="K103">
            <v>0</v>
          </cell>
          <cell r="L103" t="b">
            <v>0</v>
          </cell>
          <cell r="M103" t="str">
            <v/>
          </cell>
          <cell r="N103">
            <v>97</v>
          </cell>
          <cell r="O103" t="str">
            <v/>
          </cell>
        </row>
        <row r="104">
          <cell r="A104" t="str">
            <v>cold iron</v>
          </cell>
          <cell r="B104" t="str">
            <v>Material</v>
          </cell>
          <cell r="C104" t="str">
            <v>Su</v>
          </cell>
          <cell r="D104">
            <v>0</v>
          </cell>
          <cell r="E104">
            <v>0</v>
          </cell>
          <cell r="F104">
            <v>0</v>
          </cell>
          <cell r="H104">
            <v>0</v>
          </cell>
          <cell r="J104">
            <v>0</v>
          </cell>
          <cell r="K104">
            <v>0</v>
          </cell>
          <cell r="L104" t="b">
            <v>0</v>
          </cell>
          <cell r="M104" t="str">
            <v/>
          </cell>
          <cell r="N104">
            <v>97</v>
          </cell>
          <cell r="O104" t="str">
            <v/>
          </cell>
        </row>
        <row r="105">
          <cell r="A105" t="str">
            <v>epic</v>
          </cell>
          <cell r="B105" t="str">
            <v>Epic</v>
          </cell>
          <cell r="C105" t="str">
            <v>Su</v>
          </cell>
          <cell r="D105">
            <v>0</v>
          </cell>
          <cell r="E105">
            <v>0</v>
          </cell>
          <cell r="J105">
            <v>0</v>
          </cell>
          <cell r="K105">
            <v>0</v>
          </cell>
          <cell r="L105" t="b">
            <v>0</v>
          </cell>
          <cell r="M105" t="str">
            <v/>
          </cell>
          <cell r="N105">
            <v>97</v>
          </cell>
          <cell r="O105" t="str">
            <v/>
          </cell>
        </row>
        <row r="106">
          <cell r="A106" t="str">
            <v>evil</v>
          </cell>
          <cell r="B106" t="str">
            <v>Aligned</v>
          </cell>
          <cell r="C106" t="str">
            <v>Su</v>
          </cell>
          <cell r="D106">
            <v>0</v>
          </cell>
          <cell r="E106">
            <v>0</v>
          </cell>
          <cell r="F106">
            <v>0</v>
          </cell>
          <cell r="H106">
            <v>0</v>
          </cell>
          <cell r="I106">
            <v>0</v>
          </cell>
          <cell r="J106">
            <v>0</v>
          </cell>
          <cell r="K106">
            <v>0</v>
          </cell>
          <cell r="L106" t="b">
            <v>0</v>
          </cell>
          <cell r="M106" t="str">
            <v/>
          </cell>
          <cell r="N106">
            <v>97</v>
          </cell>
          <cell r="O106" t="str">
            <v/>
          </cell>
        </row>
        <row r="107">
          <cell r="A107" t="str">
            <v>good</v>
          </cell>
          <cell r="B107" t="str">
            <v>Aligned</v>
          </cell>
          <cell r="C107" t="str">
            <v>Su</v>
          </cell>
          <cell r="D107">
            <v>0</v>
          </cell>
          <cell r="E107">
            <v>0</v>
          </cell>
          <cell r="H107">
            <v>0</v>
          </cell>
          <cell r="I107">
            <v>0</v>
          </cell>
          <cell r="J107">
            <v>0</v>
          </cell>
          <cell r="K107">
            <v>0</v>
          </cell>
          <cell r="L107" t="b">
            <v>0</v>
          </cell>
          <cell r="M107" t="str">
            <v/>
          </cell>
          <cell r="N107">
            <v>97</v>
          </cell>
          <cell r="O107" t="str">
            <v/>
          </cell>
        </row>
        <row r="108">
          <cell r="A108" t="str">
            <v>lawful</v>
          </cell>
          <cell r="B108" t="str">
            <v>Aligned</v>
          </cell>
          <cell r="C108" t="str">
            <v>Su</v>
          </cell>
          <cell r="D108">
            <v>0</v>
          </cell>
          <cell r="E108">
            <v>0</v>
          </cell>
          <cell r="I108">
            <v>0</v>
          </cell>
          <cell r="J108">
            <v>0</v>
          </cell>
          <cell r="K108">
            <v>0</v>
          </cell>
          <cell r="L108" t="b">
            <v>0</v>
          </cell>
          <cell r="M108" t="str">
            <v/>
          </cell>
          <cell r="N108">
            <v>97</v>
          </cell>
          <cell r="O108" t="str">
            <v/>
          </cell>
        </row>
        <row r="109">
          <cell r="A109" t="str">
            <v>magic</v>
          </cell>
          <cell r="B109" t="str">
            <v>Magic</v>
          </cell>
          <cell r="C109" t="str">
            <v>Su</v>
          </cell>
          <cell r="D109">
            <v>0</v>
          </cell>
          <cell r="E109">
            <v>0</v>
          </cell>
          <cell r="F109">
            <v>0</v>
          </cell>
          <cell r="H109">
            <v>0</v>
          </cell>
          <cell r="I109">
            <v>0</v>
          </cell>
          <cell r="J109">
            <v>0</v>
          </cell>
          <cell r="K109">
            <v>0</v>
          </cell>
          <cell r="L109" t="b">
            <v>0</v>
          </cell>
          <cell r="M109" t="str">
            <v/>
          </cell>
          <cell r="N109">
            <v>97</v>
          </cell>
          <cell r="O109" t="str">
            <v/>
          </cell>
        </row>
        <row r="110">
          <cell r="A110" t="str">
            <v>nonlethal</v>
          </cell>
          <cell r="B110" t="str">
            <v>Type</v>
          </cell>
          <cell r="C110" t="str">
            <v>Ex</v>
          </cell>
          <cell r="D110">
            <v>0</v>
          </cell>
          <cell r="E110">
            <v>0</v>
          </cell>
          <cell r="J110">
            <v>0</v>
          </cell>
          <cell r="K110">
            <v>0</v>
          </cell>
          <cell r="L110" t="b">
            <v>0</v>
          </cell>
          <cell r="M110" t="str">
            <v/>
          </cell>
          <cell r="N110">
            <v>97</v>
          </cell>
          <cell r="O110" t="str">
            <v/>
          </cell>
        </row>
        <row r="111">
          <cell r="A111" t="str">
            <v>piercing</v>
          </cell>
          <cell r="B111" t="str">
            <v>Type</v>
          </cell>
          <cell r="C111" t="str">
            <v>Ex</v>
          </cell>
          <cell r="D111">
            <v>0</v>
          </cell>
          <cell r="E111">
            <v>0</v>
          </cell>
          <cell r="G111">
            <v>0</v>
          </cell>
          <cell r="J111">
            <v>0</v>
          </cell>
          <cell r="K111">
            <v>0</v>
          </cell>
          <cell r="L111" t="b">
            <v>0</v>
          </cell>
          <cell r="M111" t="str">
            <v/>
          </cell>
          <cell r="N111">
            <v>97</v>
          </cell>
          <cell r="O111" t="str">
            <v/>
          </cell>
        </row>
        <row r="112">
          <cell r="A112" t="str">
            <v>silver</v>
          </cell>
          <cell r="B112" t="str">
            <v>Material</v>
          </cell>
          <cell r="C112" t="str">
            <v>Su</v>
          </cell>
          <cell r="D112">
            <v>0</v>
          </cell>
          <cell r="E112">
            <v>0</v>
          </cell>
          <cell r="H112">
            <v>0</v>
          </cell>
          <cell r="I112">
            <v>0</v>
          </cell>
          <cell r="J112">
            <v>0</v>
          </cell>
          <cell r="K112">
            <v>0</v>
          </cell>
          <cell r="L112" t="b">
            <v>0</v>
          </cell>
          <cell r="M112" t="str">
            <v/>
          </cell>
          <cell r="N112">
            <v>97</v>
          </cell>
          <cell r="O112" t="str">
            <v/>
          </cell>
        </row>
        <row r="113">
          <cell r="A113" t="str">
            <v>slashing</v>
          </cell>
          <cell r="B113" t="str">
            <v>Type</v>
          </cell>
          <cell r="C113" t="str">
            <v>Ex</v>
          </cell>
          <cell r="D113">
            <v>0</v>
          </cell>
          <cell r="E113">
            <v>0</v>
          </cell>
          <cell r="F113">
            <v>0</v>
          </cell>
          <cell r="J113">
            <v>0</v>
          </cell>
          <cell r="K113">
            <v>0</v>
          </cell>
          <cell r="L113" t="b">
            <v>0</v>
          </cell>
          <cell r="M113" t="str">
            <v/>
          </cell>
          <cell r="N113">
            <v>97</v>
          </cell>
          <cell r="O113" t="str">
            <v/>
          </cell>
        </row>
        <row r="117">
          <cell r="B117">
            <v>0</v>
          </cell>
        </row>
      </sheetData>
      <sheetData sheetId="49">
        <row r="1">
          <cell r="B1" t="str">
            <v/>
          </cell>
          <cell r="D1" t="str">
            <v xml:space="preserve">× Familiar: You may call a familiar as a magical companion.
</v>
          </cell>
          <cell r="F1">
            <v>0</v>
          </cell>
          <cell r="K1">
            <v>0</v>
          </cell>
        </row>
        <row r="2">
          <cell r="B2" t="str">
            <v/>
          </cell>
          <cell r="D2" t="str">
            <v>Familiar</v>
          </cell>
        </row>
        <row r="3">
          <cell r="B3" t="str">
            <v/>
          </cell>
        </row>
        <row r="4">
          <cell r="B4" t="str">
            <v/>
          </cell>
        </row>
        <row r="5">
          <cell r="B5" t="str">
            <v/>
          </cell>
          <cell r="AL5" t="b">
            <v>0</v>
          </cell>
        </row>
        <row r="6">
          <cell r="B6" t="str">
            <v/>
          </cell>
        </row>
        <row r="7">
          <cell r="B7" t="str">
            <v/>
          </cell>
          <cell r="E7">
            <v>0</v>
          </cell>
          <cell r="AL7">
            <v>0</v>
          </cell>
          <cell r="AM7">
            <v>0</v>
          </cell>
        </row>
        <row r="8">
          <cell r="B8" t="str">
            <v/>
          </cell>
          <cell r="AL8" t="b">
            <v>0</v>
          </cell>
          <cell r="AM8" t="b">
            <v>0</v>
          </cell>
        </row>
        <row r="9">
          <cell r="B9" t="str">
            <v/>
          </cell>
          <cell r="AL9" t="b">
            <v>0</v>
          </cell>
        </row>
        <row r="10">
          <cell r="B10" t="str">
            <v/>
          </cell>
        </row>
        <row r="11">
          <cell r="B11" t="str">
            <v/>
          </cell>
        </row>
        <row r="12">
          <cell r="B12" t="str">
            <v/>
          </cell>
          <cell r="E12" t="b">
            <v>0</v>
          </cell>
        </row>
        <row r="13">
          <cell r="B13" t="str">
            <v/>
          </cell>
          <cell r="E13" t="b">
            <v>0</v>
          </cell>
          <cell r="F13">
            <v>0</v>
          </cell>
        </row>
        <row r="14">
          <cell r="B14" t="str">
            <v/>
          </cell>
        </row>
        <row r="15">
          <cell r="B15" t="str">
            <v/>
          </cell>
        </row>
        <row r="16">
          <cell r="B16" t="str">
            <v/>
          </cell>
        </row>
        <row r="17">
          <cell r="B17" t="str">
            <v/>
          </cell>
        </row>
        <row r="18">
          <cell r="B18" t="str">
            <v/>
          </cell>
        </row>
        <row r="19">
          <cell r="B19" t="str">
            <v/>
          </cell>
        </row>
        <row r="20">
          <cell r="B20" t="str">
            <v/>
          </cell>
        </row>
        <row r="21">
          <cell r="B21" t="str">
            <v/>
          </cell>
        </row>
        <row r="22">
          <cell r="B22" t="str">
            <v/>
          </cell>
        </row>
        <row r="23">
          <cell r="B23" t="str">
            <v/>
          </cell>
          <cell r="F23" t="str">
            <v/>
          </cell>
        </row>
        <row r="24">
          <cell r="B24" t="str">
            <v/>
          </cell>
          <cell r="F24" t="str">
            <v/>
          </cell>
        </row>
        <row r="25">
          <cell r="B25" t="str">
            <v/>
          </cell>
        </row>
        <row r="26">
          <cell r="B26" t="str">
            <v/>
          </cell>
        </row>
        <row r="27">
          <cell r="B27" t="str">
            <v/>
          </cell>
        </row>
        <row r="28">
          <cell r="B28" t="str">
            <v/>
          </cell>
        </row>
        <row r="29">
          <cell r="B29" t="str">
            <v/>
          </cell>
        </row>
        <row r="30">
          <cell r="B30" t="str">
            <v/>
          </cell>
        </row>
        <row r="31">
          <cell r="B31" t="str">
            <v/>
          </cell>
        </row>
        <row r="32">
          <cell r="B32" t="str">
            <v/>
          </cell>
          <cell r="E32">
            <v>0</v>
          </cell>
        </row>
        <row r="33">
          <cell r="B33" t="str">
            <v/>
          </cell>
          <cell r="E33">
            <v>0</v>
          </cell>
          <cell r="F33">
            <v>0</v>
          </cell>
          <cell r="H33" t="str">
            <v>Fine</v>
          </cell>
          <cell r="I33" t="b">
            <v>0</v>
          </cell>
          <cell r="J33" t="b">
            <v>0</v>
          </cell>
          <cell r="M33" t="str">
            <v>Animal</v>
          </cell>
          <cell r="N33" t="b">
            <v>0</v>
          </cell>
          <cell r="T33" t="str">
            <v/>
          </cell>
        </row>
        <row r="34">
          <cell r="B34" t="str">
            <v/>
          </cell>
          <cell r="E34">
            <v>0</v>
          </cell>
          <cell r="H34" t="str">
            <v>Diminutive</v>
          </cell>
          <cell r="I34" t="b">
            <v>0</v>
          </cell>
          <cell r="J34" t="b">
            <v>0</v>
          </cell>
          <cell r="M34" t="str">
            <v>Plant</v>
          </cell>
          <cell r="N34" t="b">
            <v>0</v>
          </cell>
        </row>
        <row r="35">
          <cell r="B35" t="str">
            <v/>
          </cell>
          <cell r="H35" t="str">
            <v>Tiny</v>
          </cell>
          <cell r="I35" t="b">
            <v>0</v>
          </cell>
          <cell r="J35" t="b">
            <v>0</v>
          </cell>
          <cell r="M35" t="str">
            <v>Humanoid</v>
          </cell>
          <cell r="N35" t="b">
            <v>0</v>
          </cell>
        </row>
        <row r="36">
          <cell r="B36" t="str">
            <v/>
          </cell>
          <cell r="E36">
            <v>0</v>
          </cell>
          <cell r="F36">
            <v>0</v>
          </cell>
          <cell r="G36" t="e">
            <v>#N/A</v>
          </cell>
          <cell r="H36" t="str">
            <v>Small</v>
          </cell>
          <cell r="I36" t="b">
            <v>0</v>
          </cell>
          <cell r="J36" t="b">
            <v>0</v>
          </cell>
          <cell r="M36" t="str">
            <v>Giant</v>
          </cell>
          <cell r="N36" t="b">
            <v>0</v>
          </cell>
        </row>
        <row r="37">
          <cell r="B37" t="str">
            <v/>
          </cell>
          <cell r="E37">
            <v>0</v>
          </cell>
          <cell r="G37" t="str">
            <v>Colossal</v>
          </cell>
          <cell r="H37" t="str">
            <v>Medium</v>
          </cell>
          <cell r="I37" t="b">
            <v>0</v>
          </cell>
          <cell r="J37" t="b">
            <v>0</v>
          </cell>
          <cell r="M37" t="str">
            <v>Monstrous Humanoid</v>
          </cell>
          <cell r="N37" t="b">
            <v>0</v>
          </cell>
        </row>
        <row r="38">
          <cell r="B38" t="str">
            <v/>
          </cell>
          <cell r="G38" t="e">
            <v>#N/A</v>
          </cell>
          <cell r="H38" t="str">
            <v>Large</v>
          </cell>
          <cell r="I38" t="b">
            <v>0</v>
          </cell>
          <cell r="J38" t="b">
            <v>0</v>
          </cell>
          <cell r="M38" t="str">
            <v>Fey</v>
          </cell>
          <cell r="N38" t="b">
            <v>0</v>
          </cell>
        </row>
        <row r="39">
          <cell r="B39" t="str">
            <v/>
          </cell>
          <cell r="G39" t="str">
            <v>Colossal</v>
          </cell>
          <cell r="H39" t="str">
            <v>Huge</v>
          </cell>
          <cell r="I39" t="b">
            <v>0</v>
          </cell>
          <cell r="J39" t="b">
            <v>0</v>
          </cell>
          <cell r="M39" t="str">
            <v>Vermin</v>
          </cell>
          <cell r="N39" t="b">
            <v>0</v>
          </cell>
        </row>
        <row r="40">
          <cell r="B40" t="str">
            <v/>
          </cell>
          <cell r="H40" t="str">
            <v>Gargantuan</v>
          </cell>
          <cell r="I40" t="b">
            <v>0</v>
          </cell>
          <cell r="J40" t="b">
            <v>0</v>
          </cell>
          <cell r="M40" t="str">
            <v>Aberration</v>
          </cell>
          <cell r="N40" t="b">
            <v>0</v>
          </cell>
        </row>
        <row r="41">
          <cell r="B41" t="str">
            <v/>
          </cell>
          <cell r="H41" t="str">
            <v>Colossal</v>
          </cell>
          <cell r="I41" t="b">
            <v>0</v>
          </cell>
          <cell r="J41" t="b">
            <v>0</v>
          </cell>
          <cell r="M41" t="str">
            <v>Ooze</v>
          </cell>
          <cell r="N41" t="b">
            <v>0</v>
          </cell>
        </row>
        <row r="42">
          <cell r="B42" t="str">
            <v/>
          </cell>
          <cell r="M42" t="str">
            <v>Elemental</v>
          </cell>
          <cell r="N42" t="b">
            <v>0</v>
          </cell>
        </row>
        <row r="43">
          <cell r="B43" t="str">
            <v/>
          </cell>
          <cell r="M43" t="str">
            <v>Dragon</v>
          </cell>
          <cell r="N43" t="b">
            <v>0</v>
          </cell>
        </row>
        <row r="44">
          <cell r="B44" t="str">
            <v/>
          </cell>
          <cell r="M44" t="str">
            <v>Magical Beast</v>
          </cell>
          <cell r="N44" t="b">
            <v>0</v>
          </cell>
        </row>
        <row r="45">
          <cell r="B45" t="str">
            <v/>
          </cell>
          <cell r="M45" t="str">
            <v>Magical Beast (cold)</v>
          </cell>
          <cell r="N45" t="b">
            <v>0</v>
          </cell>
        </row>
        <row r="46">
          <cell r="B46" t="str">
            <v/>
          </cell>
          <cell r="M46" t="str">
            <v>Earth Elemental</v>
          </cell>
          <cell r="N46" t="b">
            <v>0</v>
          </cell>
        </row>
        <row r="47">
          <cell r="B47" t="str">
            <v/>
          </cell>
        </row>
        <row r="48">
          <cell r="B48" t="str">
            <v/>
          </cell>
        </row>
        <row r="49">
          <cell r="B49" t="str">
            <v/>
          </cell>
        </row>
        <row r="50">
          <cell r="B50" t="str">
            <v/>
          </cell>
        </row>
        <row r="51">
          <cell r="B51" t="str">
            <v/>
          </cell>
        </row>
        <row r="52">
          <cell r="B52" t="str">
            <v/>
          </cell>
        </row>
        <row r="53">
          <cell r="B53" t="str">
            <v/>
          </cell>
        </row>
        <row r="54">
          <cell r="B54" t="str">
            <v/>
          </cell>
        </row>
        <row r="55">
          <cell r="B55" t="str">
            <v/>
          </cell>
        </row>
        <row r="56">
          <cell r="B56" t="str">
            <v/>
          </cell>
        </row>
        <row r="57">
          <cell r="B57" t="str">
            <v/>
          </cell>
        </row>
        <row r="58">
          <cell r="B58" t="str">
            <v/>
          </cell>
        </row>
        <row r="59">
          <cell r="B59" t="str">
            <v/>
          </cell>
        </row>
        <row r="60">
          <cell r="B60" t="str">
            <v/>
          </cell>
        </row>
        <row r="61">
          <cell r="B61" t="str">
            <v/>
          </cell>
        </row>
        <row r="62">
          <cell r="B62" t="str">
            <v/>
          </cell>
          <cell r="D62" t="b">
            <v>0</v>
          </cell>
          <cell r="E62" t="b">
            <v>0</v>
          </cell>
          <cell r="G62" t="b">
            <v>0</v>
          </cell>
        </row>
        <row r="63">
          <cell r="B63" t="str">
            <v/>
          </cell>
          <cell r="D63" t="b">
            <v>0</v>
          </cell>
        </row>
        <row r="64">
          <cell r="B64" t="str">
            <v/>
          </cell>
          <cell r="D64">
            <v>0</v>
          </cell>
        </row>
        <row r="65">
          <cell r="B65" t="str">
            <v/>
          </cell>
        </row>
        <row r="66">
          <cell r="B66" t="str">
            <v/>
          </cell>
        </row>
        <row r="67">
          <cell r="B67" t="str">
            <v/>
          </cell>
        </row>
        <row r="68">
          <cell r="B68" t="str">
            <v/>
          </cell>
        </row>
        <row r="69">
          <cell r="B69" t="str">
            <v/>
          </cell>
        </row>
        <row r="70">
          <cell r="B70" t="str">
            <v/>
          </cell>
        </row>
        <row r="71">
          <cell r="B71" t="str">
            <v/>
          </cell>
          <cell r="D71">
            <v>0</v>
          </cell>
        </row>
        <row r="72">
          <cell r="B72" t="str">
            <v/>
          </cell>
          <cell r="D72">
            <v>0</v>
          </cell>
        </row>
        <row r="73">
          <cell r="B73" t="str">
            <v/>
          </cell>
        </row>
        <row r="74">
          <cell r="B74" t="str">
            <v/>
          </cell>
        </row>
        <row r="75">
          <cell r="B75" t="str">
            <v/>
          </cell>
        </row>
        <row r="76">
          <cell r="B76" t="str">
            <v/>
          </cell>
          <cell r="D76" t="str">
            <v/>
          </cell>
        </row>
        <row r="77">
          <cell r="B77" t="str">
            <v/>
          </cell>
        </row>
        <row r="78">
          <cell r="B78" t="str">
            <v/>
          </cell>
          <cell r="D78" t="b">
            <v>0</v>
          </cell>
        </row>
        <row r="79">
          <cell r="B79" t="str">
            <v/>
          </cell>
        </row>
        <row r="80">
          <cell r="B80" t="str">
            <v/>
          </cell>
        </row>
        <row r="81">
          <cell r="B81" t="str">
            <v/>
          </cell>
        </row>
        <row r="82">
          <cell r="B82" t="str">
            <v/>
          </cell>
        </row>
        <row r="83">
          <cell r="B83" t="str">
            <v/>
          </cell>
        </row>
        <row r="84">
          <cell r="B84" t="str">
            <v/>
          </cell>
        </row>
        <row r="85">
          <cell r="B85" t="str">
            <v/>
          </cell>
        </row>
        <row r="86">
          <cell r="B86" t="str">
            <v/>
          </cell>
        </row>
        <row r="87">
          <cell r="B87" t="str">
            <v/>
          </cell>
        </row>
        <row r="88">
          <cell r="B88" t="str">
            <v/>
          </cell>
        </row>
        <row r="89">
          <cell r="B89" t="str">
            <v/>
          </cell>
        </row>
        <row r="90">
          <cell r="B90" t="str">
            <v/>
          </cell>
        </row>
        <row r="91">
          <cell r="B91" t="str">
            <v/>
          </cell>
        </row>
        <row r="92">
          <cell r="B92" t="str">
            <v/>
          </cell>
        </row>
        <row r="93">
          <cell r="B93" t="str">
            <v/>
          </cell>
        </row>
        <row r="94">
          <cell r="B94" t="str">
            <v/>
          </cell>
        </row>
        <row r="95">
          <cell r="B95" t="str">
            <v/>
          </cell>
        </row>
        <row r="96">
          <cell r="B96" t="str">
            <v/>
          </cell>
        </row>
        <row r="97">
          <cell r="B97" t="str">
            <v/>
          </cell>
        </row>
        <row r="98">
          <cell r="B98" t="str">
            <v/>
          </cell>
        </row>
        <row r="99">
          <cell r="B99" t="str">
            <v/>
          </cell>
        </row>
        <row r="100">
          <cell r="B100" t="str">
            <v/>
          </cell>
        </row>
        <row r="101">
          <cell r="B101" t="str">
            <v/>
          </cell>
        </row>
        <row r="102">
          <cell r="B102" t="str">
            <v/>
          </cell>
        </row>
        <row r="103">
          <cell r="B103" t="str">
            <v/>
          </cell>
        </row>
        <row r="104">
          <cell r="B104" t="str">
            <v/>
          </cell>
        </row>
        <row r="105">
          <cell r="B105" t="str">
            <v/>
          </cell>
        </row>
        <row r="106">
          <cell r="B106" t="str">
            <v/>
          </cell>
          <cell r="D106">
            <v>0</v>
          </cell>
        </row>
        <row r="107">
          <cell r="B107" t="str">
            <v/>
          </cell>
        </row>
        <row r="108">
          <cell r="B108" t="str">
            <v/>
          </cell>
          <cell r="D108">
            <v>0</v>
          </cell>
        </row>
        <row r="109">
          <cell r="B109" t="str">
            <v/>
          </cell>
          <cell r="D109" t="str">
            <v/>
          </cell>
        </row>
        <row r="110">
          <cell r="B110" t="str">
            <v/>
          </cell>
        </row>
        <row r="111">
          <cell r="B111" t="str">
            <v/>
          </cell>
          <cell r="D111" t="str">
            <v/>
          </cell>
          <cell r="E111" t="str">
            <v>Select a school</v>
          </cell>
          <cell r="K111" t="str">
            <v/>
          </cell>
          <cell r="M111" t="str">
            <v/>
          </cell>
          <cell r="Q111" t="str">
            <v/>
          </cell>
        </row>
        <row r="112">
          <cell r="B112" t="str">
            <v/>
          </cell>
        </row>
        <row r="113">
          <cell r="B113" t="str">
            <v/>
          </cell>
          <cell r="E113" t="str">
            <v>Select a school</v>
          </cell>
          <cell r="G113" t="str">
            <v/>
          </cell>
          <cell r="I113" t="str">
            <v/>
          </cell>
          <cell r="K113" t="str">
            <v/>
          </cell>
          <cell r="M113" t="str">
            <v/>
          </cell>
          <cell r="Q113" t="str">
            <v/>
          </cell>
        </row>
        <row r="114">
          <cell r="B114" t="str">
            <v/>
          </cell>
          <cell r="E114" t="str">
            <v>Abjuration</v>
          </cell>
          <cell r="G114" t="str">
            <v/>
          </cell>
          <cell r="I114" t="str">
            <v/>
          </cell>
          <cell r="K114" t="str">
            <v/>
          </cell>
          <cell r="M114" t="str">
            <v/>
          </cell>
          <cell r="Q114" t="str">
            <v/>
          </cell>
        </row>
        <row r="115">
          <cell r="B115" t="str">
            <v/>
          </cell>
          <cell r="E115" t="str">
            <v>Conjuration</v>
          </cell>
          <cell r="G115" t="str">
            <v/>
          </cell>
          <cell r="I115" t="str">
            <v/>
          </cell>
          <cell r="K115" t="str">
            <v/>
          </cell>
          <cell r="M115" t="str">
            <v/>
          </cell>
          <cell r="Q115" t="str">
            <v/>
          </cell>
        </row>
        <row r="116">
          <cell r="B116" t="str">
            <v/>
          </cell>
          <cell r="E116" t="str">
            <v>Divination</v>
          </cell>
          <cell r="G116" t="str">
            <v/>
          </cell>
          <cell r="I116" t="str">
            <v/>
          </cell>
          <cell r="K116" t="str">
            <v/>
          </cell>
          <cell r="M116" t="str">
            <v/>
          </cell>
          <cell r="Q116" t="str">
            <v/>
          </cell>
        </row>
        <row r="117">
          <cell r="B117" t="str">
            <v/>
          </cell>
          <cell r="E117" t="str">
            <v>Enchantment</v>
          </cell>
          <cell r="G117" t="str">
            <v/>
          </cell>
          <cell r="I117" t="str">
            <v/>
          </cell>
          <cell r="K117" t="str">
            <v/>
          </cell>
          <cell r="M117" t="str">
            <v/>
          </cell>
          <cell r="Q117" t="str">
            <v/>
          </cell>
        </row>
        <row r="118">
          <cell r="B118" t="str">
            <v/>
          </cell>
          <cell r="E118" t="str">
            <v>Evocation</v>
          </cell>
          <cell r="G118" t="str">
            <v/>
          </cell>
          <cell r="I118" t="str">
            <v/>
          </cell>
          <cell r="K118" t="str">
            <v/>
          </cell>
          <cell r="M118" t="str">
            <v/>
          </cell>
          <cell r="Q118" t="str">
            <v/>
          </cell>
        </row>
        <row r="119">
          <cell r="B119" t="str">
            <v/>
          </cell>
          <cell r="E119" t="str">
            <v>Illusion</v>
          </cell>
          <cell r="G119" t="str">
            <v/>
          </cell>
          <cell r="I119" t="str">
            <v/>
          </cell>
          <cell r="K119" t="str">
            <v/>
          </cell>
          <cell r="M119" t="str">
            <v/>
          </cell>
          <cell r="Q119" t="str">
            <v/>
          </cell>
        </row>
        <row r="120">
          <cell r="B120" t="str">
            <v/>
          </cell>
          <cell r="E120" t="str">
            <v>Necromancy</v>
          </cell>
          <cell r="G120" t="str">
            <v/>
          </cell>
          <cell r="I120" t="str">
            <v/>
          </cell>
          <cell r="K120" t="str">
            <v/>
          </cell>
          <cell r="M120" t="str">
            <v/>
          </cell>
          <cell r="Q120" t="str">
            <v/>
          </cell>
        </row>
        <row r="121">
          <cell r="B121" t="str">
            <v/>
          </cell>
          <cell r="E121" t="str">
            <v>Transmutation</v>
          </cell>
          <cell r="G121" t="str">
            <v/>
          </cell>
          <cell r="I121" t="str">
            <v/>
          </cell>
          <cell r="K121" t="str">
            <v/>
          </cell>
          <cell r="M121" t="str">
            <v/>
          </cell>
          <cell r="Q121" t="str">
            <v/>
          </cell>
        </row>
        <row r="122">
          <cell r="B122" t="str">
            <v/>
          </cell>
        </row>
        <row r="123">
          <cell r="B123" t="str">
            <v/>
          </cell>
        </row>
        <row r="124">
          <cell r="B124" t="str">
            <v/>
          </cell>
          <cell r="D124" t="b">
            <v>0</v>
          </cell>
        </row>
        <row r="125">
          <cell r="B125" t="str">
            <v/>
          </cell>
        </row>
        <row r="126">
          <cell r="B126" t="str">
            <v/>
          </cell>
        </row>
        <row r="127">
          <cell r="B127" t="str">
            <v/>
          </cell>
        </row>
        <row r="128">
          <cell r="B128" t="str">
            <v/>
          </cell>
        </row>
        <row r="129">
          <cell r="B129" t="str">
            <v/>
          </cell>
        </row>
        <row r="130">
          <cell r="B130" t="str">
            <v/>
          </cell>
          <cell r="D130">
            <v>0</v>
          </cell>
        </row>
        <row r="131">
          <cell r="B131" t="str">
            <v/>
          </cell>
        </row>
        <row r="132">
          <cell r="B132" t="str">
            <v/>
          </cell>
        </row>
        <row r="133">
          <cell r="B133" t="str">
            <v/>
          </cell>
        </row>
        <row r="134">
          <cell r="B134" t="str">
            <v/>
          </cell>
        </row>
        <row r="135">
          <cell r="B135" t="str">
            <v/>
          </cell>
        </row>
        <row r="136">
          <cell r="B136" t="str">
            <v/>
          </cell>
        </row>
        <row r="137">
          <cell r="B137" t="str">
            <v/>
          </cell>
        </row>
        <row r="138">
          <cell r="B138" t="str">
            <v/>
          </cell>
        </row>
        <row r="139">
          <cell r="B139" t="str">
            <v/>
          </cell>
        </row>
        <row r="140">
          <cell r="B140" t="str">
            <v/>
          </cell>
        </row>
        <row r="141">
          <cell r="B141" t="str">
            <v/>
          </cell>
        </row>
        <row r="142">
          <cell r="B142" t="str">
            <v/>
          </cell>
        </row>
        <row r="143">
          <cell r="B143" t="str">
            <v/>
          </cell>
        </row>
        <row r="144">
          <cell r="B144" t="str">
            <v/>
          </cell>
        </row>
        <row r="145">
          <cell r="B145" t="str">
            <v/>
          </cell>
        </row>
        <row r="146">
          <cell r="B146" t="str">
            <v/>
          </cell>
        </row>
        <row r="147">
          <cell r="B147" t="str">
            <v/>
          </cell>
        </row>
        <row r="148">
          <cell r="B148" t="str">
            <v/>
          </cell>
        </row>
        <row r="149">
          <cell r="B149" t="str">
            <v/>
          </cell>
        </row>
        <row r="150">
          <cell r="B150" t="str">
            <v/>
          </cell>
        </row>
        <row r="151">
          <cell r="B151" t="str">
            <v/>
          </cell>
        </row>
        <row r="152">
          <cell r="B152" t="str">
            <v/>
          </cell>
        </row>
        <row r="153">
          <cell r="B153" t="str">
            <v/>
          </cell>
        </row>
        <row r="154">
          <cell r="B154" t="str">
            <v/>
          </cell>
        </row>
        <row r="155">
          <cell r="B155" t="str">
            <v/>
          </cell>
        </row>
        <row r="156">
          <cell r="B156" t="str">
            <v/>
          </cell>
        </row>
        <row r="157">
          <cell r="B157" t="str">
            <v/>
          </cell>
        </row>
        <row r="158">
          <cell r="B158" t="str">
            <v/>
          </cell>
        </row>
        <row r="159">
          <cell r="B159" t="str">
            <v/>
          </cell>
        </row>
        <row r="160">
          <cell r="B160" t="str">
            <v/>
          </cell>
        </row>
        <row r="161">
          <cell r="B161" t="str">
            <v>× Familiar: You may call a familiar as a magical companion.</v>
          </cell>
        </row>
        <row r="162">
          <cell r="B162" t="str">
            <v/>
          </cell>
        </row>
        <row r="163">
          <cell r="B163" t="str">
            <v/>
          </cell>
        </row>
        <row r="164">
          <cell r="B164" t="str">
            <v/>
          </cell>
        </row>
        <row r="165">
          <cell r="B165" t="str">
            <v/>
          </cell>
        </row>
        <row r="166">
          <cell r="B166" t="str">
            <v/>
          </cell>
        </row>
        <row r="167">
          <cell r="B167" t="str">
            <v/>
          </cell>
        </row>
        <row r="168">
          <cell r="B168" t="str">
            <v/>
          </cell>
        </row>
        <row r="169">
          <cell r="B169" t="str">
            <v/>
          </cell>
        </row>
        <row r="170">
          <cell r="B170" t="str">
            <v/>
          </cell>
        </row>
        <row r="171">
          <cell r="B171" t="str">
            <v/>
          </cell>
        </row>
        <row r="172">
          <cell r="B172" t="str">
            <v/>
          </cell>
        </row>
        <row r="173">
          <cell r="B173" t="str">
            <v/>
          </cell>
        </row>
        <row r="174">
          <cell r="B174" t="str">
            <v/>
          </cell>
        </row>
        <row r="175">
          <cell r="B175" t="str">
            <v/>
          </cell>
        </row>
        <row r="176">
          <cell r="B176" t="str">
            <v/>
          </cell>
        </row>
        <row r="177">
          <cell r="B177" t="str">
            <v/>
          </cell>
        </row>
        <row r="178">
          <cell r="B178" t="str">
            <v/>
          </cell>
        </row>
        <row r="179">
          <cell r="B179" t="str">
            <v/>
          </cell>
        </row>
        <row r="180">
          <cell r="B180" t="str">
            <v/>
          </cell>
        </row>
        <row r="181">
          <cell r="B181" t="str">
            <v/>
          </cell>
        </row>
        <row r="182">
          <cell r="B182" t="str">
            <v/>
          </cell>
        </row>
        <row r="183">
          <cell r="B183" t="str">
            <v/>
          </cell>
        </row>
        <row r="184">
          <cell r="B184" t="str">
            <v/>
          </cell>
        </row>
        <row r="185">
          <cell r="B185" t="str">
            <v/>
          </cell>
        </row>
        <row r="186">
          <cell r="B186" t="str">
            <v/>
          </cell>
        </row>
        <row r="187">
          <cell r="B187" t="str">
            <v/>
          </cell>
        </row>
        <row r="188">
          <cell r="B188" t="str">
            <v/>
          </cell>
        </row>
        <row r="189">
          <cell r="B189" t="str">
            <v/>
          </cell>
        </row>
        <row r="190">
          <cell r="B190" t="str">
            <v/>
          </cell>
        </row>
        <row r="191">
          <cell r="B191" t="str">
            <v/>
          </cell>
        </row>
        <row r="192">
          <cell r="B192" t="str">
            <v/>
          </cell>
        </row>
        <row r="193">
          <cell r="B193" t="str">
            <v/>
          </cell>
        </row>
        <row r="194">
          <cell r="B194" t="str">
            <v/>
          </cell>
        </row>
        <row r="195">
          <cell r="B195" t="str">
            <v/>
          </cell>
        </row>
        <row r="196">
          <cell r="B196" t="str">
            <v/>
          </cell>
        </row>
        <row r="197">
          <cell r="B197" t="str">
            <v/>
          </cell>
        </row>
        <row r="198">
          <cell r="B198" t="str">
            <v/>
          </cell>
        </row>
        <row r="199">
          <cell r="B199" t="str">
            <v/>
          </cell>
        </row>
        <row r="200">
          <cell r="B200" t="str">
            <v/>
          </cell>
        </row>
        <row r="201">
          <cell r="B201" t="str">
            <v/>
          </cell>
        </row>
        <row r="202">
          <cell r="B202" t="str">
            <v/>
          </cell>
        </row>
        <row r="203">
          <cell r="B203" t="str">
            <v/>
          </cell>
        </row>
        <row r="204">
          <cell r="B204" t="str">
            <v/>
          </cell>
        </row>
        <row r="205">
          <cell r="B205" t="str">
            <v/>
          </cell>
        </row>
        <row r="206">
          <cell r="B206" t="str">
            <v/>
          </cell>
        </row>
        <row r="207">
          <cell r="B207" t="str">
            <v/>
          </cell>
        </row>
        <row r="208">
          <cell r="B208" t="str">
            <v/>
          </cell>
        </row>
        <row r="209">
          <cell r="B209" t="str">
            <v/>
          </cell>
        </row>
        <row r="210">
          <cell r="B210" t="str">
            <v/>
          </cell>
        </row>
        <row r="211">
          <cell r="B211" t="str">
            <v/>
          </cell>
        </row>
        <row r="212">
          <cell r="B212" t="str">
            <v/>
          </cell>
        </row>
        <row r="213">
          <cell r="B213" t="str">
            <v/>
          </cell>
        </row>
        <row r="214">
          <cell r="B214" t="str">
            <v/>
          </cell>
        </row>
        <row r="215">
          <cell r="B215" t="str">
            <v/>
          </cell>
        </row>
        <row r="216">
          <cell r="B216" t="str">
            <v/>
          </cell>
        </row>
        <row r="217">
          <cell r="B217" t="str">
            <v/>
          </cell>
        </row>
        <row r="218">
          <cell r="B218" t="str">
            <v/>
          </cell>
        </row>
        <row r="219">
          <cell r="B219" t="str">
            <v/>
          </cell>
        </row>
        <row r="220">
          <cell r="B220" t="str">
            <v/>
          </cell>
        </row>
        <row r="221">
          <cell r="B221" t="str">
            <v/>
          </cell>
          <cell r="D221">
            <v>0</v>
          </cell>
        </row>
        <row r="222">
          <cell r="B222" t="str">
            <v/>
          </cell>
        </row>
        <row r="223">
          <cell r="B223" t="str">
            <v/>
          </cell>
        </row>
        <row r="224">
          <cell r="B224" t="str">
            <v/>
          </cell>
        </row>
        <row r="225">
          <cell r="B225" t="str">
            <v/>
          </cell>
        </row>
        <row r="226">
          <cell r="B226" t="str">
            <v/>
          </cell>
        </row>
        <row r="227">
          <cell r="B227" t="str">
            <v/>
          </cell>
        </row>
        <row r="228">
          <cell r="B228" t="str">
            <v/>
          </cell>
        </row>
        <row r="229">
          <cell r="B229" t="str">
            <v/>
          </cell>
        </row>
        <row r="230">
          <cell r="B230" t="str">
            <v/>
          </cell>
        </row>
        <row r="231">
          <cell r="B231" t="str">
            <v/>
          </cell>
        </row>
        <row r="232">
          <cell r="B232" t="str">
            <v/>
          </cell>
        </row>
        <row r="233">
          <cell r="B233" t="str">
            <v/>
          </cell>
        </row>
        <row r="234">
          <cell r="B234" t="str">
            <v/>
          </cell>
        </row>
        <row r="235">
          <cell r="B235" t="str">
            <v/>
          </cell>
        </row>
        <row r="236">
          <cell r="B236" t="str">
            <v/>
          </cell>
        </row>
        <row r="237">
          <cell r="B237" t="str">
            <v/>
          </cell>
        </row>
        <row r="238">
          <cell r="B238" t="str">
            <v/>
          </cell>
        </row>
        <row r="239">
          <cell r="B239" t="str">
            <v/>
          </cell>
        </row>
        <row r="240">
          <cell r="B240" t="str">
            <v/>
          </cell>
        </row>
        <row r="241">
          <cell r="B241" t="str">
            <v/>
          </cell>
        </row>
        <row r="242">
          <cell r="B242" t="str">
            <v/>
          </cell>
        </row>
        <row r="243">
          <cell r="B243" t="str">
            <v/>
          </cell>
        </row>
        <row r="244">
          <cell r="B244" t="str">
            <v/>
          </cell>
        </row>
        <row r="245">
          <cell r="B245" t="str">
            <v/>
          </cell>
        </row>
        <row r="246">
          <cell r="B246" t="str">
            <v/>
          </cell>
        </row>
        <row r="247">
          <cell r="B247" t="str">
            <v/>
          </cell>
        </row>
        <row r="248">
          <cell r="B248" t="str">
            <v/>
          </cell>
        </row>
        <row r="249">
          <cell r="B249" t="str">
            <v/>
          </cell>
        </row>
        <row r="250">
          <cell r="B250" t="str">
            <v/>
          </cell>
        </row>
        <row r="251">
          <cell r="B251" t="str">
            <v/>
          </cell>
        </row>
        <row r="252">
          <cell r="B252" t="str">
            <v/>
          </cell>
        </row>
        <row r="253">
          <cell r="B253" t="str">
            <v/>
          </cell>
        </row>
        <row r="254">
          <cell r="B254" t="str">
            <v/>
          </cell>
        </row>
        <row r="255">
          <cell r="B255" t="str">
            <v/>
          </cell>
        </row>
        <row r="256">
          <cell r="B256" t="str">
            <v/>
          </cell>
        </row>
        <row r="257">
          <cell r="B257" t="str">
            <v/>
          </cell>
        </row>
        <row r="258">
          <cell r="B258" t="str">
            <v/>
          </cell>
        </row>
        <row r="259">
          <cell r="B259" t="str">
            <v/>
          </cell>
        </row>
        <row r="260">
          <cell r="B260" t="str">
            <v/>
          </cell>
        </row>
        <row r="261">
          <cell r="B261" t="str">
            <v/>
          </cell>
        </row>
        <row r="262">
          <cell r="B262" t="str">
            <v/>
          </cell>
        </row>
        <row r="263">
          <cell r="B263" t="str">
            <v/>
          </cell>
        </row>
        <row r="264">
          <cell r="B264" t="str">
            <v/>
          </cell>
        </row>
        <row r="265">
          <cell r="B265" t="str">
            <v/>
          </cell>
        </row>
        <row r="266">
          <cell r="B266" t="str">
            <v/>
          </cell>
        </row>
        <row r="267">
          <cell r="B267" t="str">
            <v/>
          </cell>
        </row>
        <row r="268">
          <cell r="B268" t="str">
            <v/>
          </cell>
        </row>
        <row r="269">
          <cell r="B269" t="str">
            <v/>
          </cell>
        </row>
        <row r="270">
          <cell r="B270" t="str">
            <v/>
          </cell>
        </row>
        <row r="271">
          <cell r="B271" t="str">
            <v/>
          </cell>
        </row>
        <row r="272">
          <cell r="B272" t="str">
            <v/>
          </cell>
        </row>
        <row r="273">
          <cell r="B273" t="str">
            <v/>
          </cell>
        </row>
        <row r="274">
          <cell r="B274" t="str">
            <v/>
          </cell>
        </row>
        <row r="275">
          <cell r="B275" t="str">
            <v/>
          </cell>
        </row>
        <row r="276">
          <cell r="B276" t="str">
            <v/>
          </cell>
        </row>
        <row r="277">
          <cell r="B277" t="str">
            <v/>
          </cell>
        </row>
        <row r="278">
          <cell r="B278" t="str">
            <v/>
          </cell>
        </row>
        <row r="279">
          <cell r="B279" t="str">
            <v/>
          </cell>
        </row>
        <row r="280">
          <cell r="B280" t="str">
            <v/>
          </cell>
        </row>
        <row r="281">
          <cell r="B281" t="str">
            <v/>
          </cell>
        </row>
        <row r="282">
          <cell r="B282" t="str">
            <v/>
          </cell>
        </row>
        <row r="283">
          <cell r="B283" t="str">
            <v/>
          </cell>
        </row>
        <row r="284">
          <cell r="B284" t="str">
            <v/>
          </cell>
        </row>
        <row r="285">
          <cell r="B285" t="str">
            <v/>
          </cell>
        </row>
        <row r="286">
          <cell r="B286" t="str">
            <v/>
          </cell>
        </row>
        <row r="287">
          <cell r="B287" t="str">
            <v/>
          </cell>
        </row>
        <row r="288">
          <cell r="B288" t="str">
            <v/>
          </cell>
        </row>
        <row r="289">
          <cell r="B289" t="str">
            <v/>
          </cell>
        </row>
        <row r="290">
          <cell r="B290" t="str">
            <v/>
          </cell>
        </row>
        <row r="291">
          <cell r="B291" t="str">
            <v/>
          </cell>
        </row>
        <row r="292">
          <cell r="B292" t="str">
            <v/>
          </cell>
        </row>
        <row r="293">
          <cell r="B293" t="str">
            <v/>
          </cell>
        </row>
        <row r="294">
          <cell r="B294" t="str">
            <v/>
          </cell>
        </row>
        <row r="295">
          <cell r="B295" t="str">
            <v/>
          </cell>
        </row>
        <row r="296">
          <cell r="B296" t="str">
            <v/>
          </cell>
        </row>
        <row r="297">
          <cell r="B297" t="str">
            <v/>
          </cell>
        </row>
        <row r="298">
          <cell r="B298" t="str">
            <v/>
          </cell>
        </row>
        <row r="299">
          <cell r="B299" t="str">
            <v/>
          </cell>
        </row>
        <row r="300">
          <cell r="B300" t="str">
            <v/>
          </cell>
        </row>
        <row r="301">
          <cell r="B301" t="str">
            <v/>
          </cell>
        </row>
        <row r="302">
          <cell r="B302" t="str">
            <v/>
          </cell>
        </row>
        <row r="303">
          <cell r="B303" t="str">
            <v/>
          </cell>
        </row>
        <row r="304">
          <cell r="B304" t="str">
            <v/>
          </cell>
        </row>
        <row r="305">
          <cell r="B305" t="str">
            <v/>
          </cell>
        </row>
        <row r="306">
          <cell r="B306" t="str">
            <v/>
          </cell>
        </row>
        <row r="307">
          <cell r="B307" t="str">
            <v/>
          </cell>
        </row>
        <row r="308">
          <cell r="B308" t="str">
            <v/>
          </cell>
        </row>
        <row r="309">
          <cell r="B309" t="str">
            <v/>
          </cell>
        </row>
        <row r="310">
          <cell r="B310" t="str">
            <v/>
          </cell>
        </row>
        <row r="311">
          <cell r="B311" t="str">
            <v/>
          </cell>
        </row>
        <row r="312">
          <cell r="B312" t="str">
            <v/>
          </cell>
        </row>
        <row r="313">
          <cell r="B313" t="str">
            <v/>
          </cell>
        </row>
        <row r="314">
          <cell r="B314" t="str">
            <v/>
          </cell>
        </row>
        <row r="315">
          <cell r="B315" t="str">
            <v/>
          </cell>
        </row>
        <row r="316">
          <cell r="B316" t="str">
            <v/>
          </cell>
        </row>
        <row r="317">
          <cell r="B317" t="str">
            <v/>
          </cell>
        </row>
        <row r="318">
          <cell r="B318" t="str">
            <v/>
          </cell>
        </row>
        <row r="319">
          <cell r="B319" t="str">
            <v/>
          </cell>
        </row>
        <row r="320">
          <cell r="B320" t="str">
            <v/>
          </cell>
        </row>
        <row r="321">
          <cell r="B321" t="str">
            <v/>
          </cell>
        </row>
        <row r="322">
          <cell r="B322" t="str">
            <v/>
          </cell>
        </row>
        <row r="323">
          <cell r="B323" t="str">
            <v/>
          </cell>
        </row>
        <row r="324">
          <cell r="B324" t="str">
            <v/>
          </cell>
        </row>
        <row r="325">
          <cell r="B325" t="str">
            <v/>
          </cell>
        </row>
        <row r="326">
          <cell r="B326" t="str">
            <v/>
          </cell>
        </row>
        <row r="327">
          <cell r="B327" t="str">
            <v/>
          </cell>
        </row>
        <row r="328">
          <cell r="B328" t="str">
            <v/>
          </cell>
        </row>
        <row r="329">
          <cell r="B329" t="str">
            <v/>
          </cell>
        </row>
        <row r="330">
          <cell r="B330" t="str">
            <v/>
          </cell>
        </row>
        <row r="331">
          <cell r="B331" t="str">
            <v/>
          </cell>
        </row>
        <row r="332">
          <cell r="B332" t="str">
            <v/>
          </cell>
        </row>
        <row r="333">
          <cell r="B333" t="str">
            <v/>
          </cell>
        </row>
        <row r="334">
          <cell r="B334" t="str">
            <v/>
          </cell>
        </row>
        <row r="335">
          <cell r="B335" t="str">
            <v/>
          </cell>
        </row>
        <row r="336">
          <cell r="B336" t="str">
            <v/>
          </cell>
        </row>
        <row r="337">
          <cell r="B337" t="str">
            <v/>
          </cell>
        </row>
        <row r="338">
          <cell r="B338" t="str">
            <v/>
          </cell>
        </row>
        <row r="339">
          <cell r="B339" t="str">
            <v/>
          </cell>
        </row>
        <row r="340">
          <cell r="B340" t="str">
            <v/>
          </cell>
        </row>
        <row r="341">
          <cell r="B341" t="str">
            <v/>
          </cell>
        </row>
        <row r="342">
          <cell r="B342" t="str">
            <v/>
          </cell>
        </row>
        <row r="343">
          <cell r="B343" t="str">
            <v/>
          </cell>
        </row>
        <row r="344">
          <cell r="B344" t="str">
            <v/>
          </cell>
        </row>
        <row r="345">
          <cell r="B345" t="str">
            <v/>
          </cell>
        </row>
        <row r="346">
          <cell r="B346" t="str">
            <v/>
          </cell>
        </row>
        <row r="347">
          <cell r="B347" t="str">
            <v/>
          </cell>
        </row>
        <row r="348">
          <cell r="B348" t="str">
            <v/>
          </cell>
        </row>
        <row r="349">
          <cell r="B349" t="str">
            <v/>
          </cell>
        </row>
        <row r="350">
          <cell r="B350" t="str">
            <v/>
          </cell>
        </row>
        <row r="351">
          <cell r="B351" t="str">
            <v/>
          </cell>
        </row>
        <row r="352">
          <cell r="B352" t="str">
            <v/>
          </cell>
        </row>
        <row r="353">
          <cell r="B353" t="str">
            <v/>
          </cell>
        </row>
        <row r="354">
          <cell r="B354" t="str">
            <v/>
          </cell>
        </row>
        <row r="355">
          <cell r="B355" t="str">
            <v/>
          </cell>
        </row>
        <row r="356">
          <cell r="B356" t="str">
            <v/>
          </cell>
        </row>
        <row r="357">
          <cell r="B357" t="str">
            <v/>
          </cell>
        </row>
        <row r="358">
          <cell r="B358" t="str">
            <v/>
          </cell>
        </row>
        <row r="359">
          <cell r="B359" t="str">
            <v/>
          </cell>
        </row>
        <row r="360">
          <cell r="B360" t="str">
            <v/>
          </cell>
        </row>
        <row r="361">
          <cell r="B361" t="str">
            <v/>
          </cell>
        </row>
        <row r="362">
          <cell r="B362" t="str">
            <v/>
          </cell>
        </row>
        <row r="363">
          <cell r="B363" t="str">
            <v/>
          </cell>
        </row>
        <row r="364">
          <cell r="B364" t="str">
            <v/>
          </cell>
        </row>
        <row r="365">
          <cell r="B365" t="str">
            <v/>
          </cell>
        </row>
        <row r="366">
          <cell r="B366" t="str">
            <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row r="505">
          <cell r="B505" t="str">
            <v/>
          </cell>
          <cell r="D505" t="str">
            <v>silver</v>
          </cell>
        </row>
        <row r="506">
          <cell r="B506" t="str">
            <v/>
          </cell>
        </row>
        <row r="507">
          <cell r="B507" t="str">
            <v/>
          </cell>
        </row>
        <row r="508">
          <cell r="B508" t="str">
            <v/>
          </cell>
        </row>
        <row r="509">
          <cell r="B509" t="str">
            <v/>
          </cell>
        </row>
        <row r="510">
          <cell r="B510" t="str">
            <v/>
          </cell>
        </row>
        <row r="511">
          <cell r="B511" t="str">
            <v/>
          </cell>
        </row>
        <row r="512">
          <cell r="B512" t="str">
            <v/>
          </cell>
        </row>
        <row r="513">
          <cell r="B513" t="str">
            <v/>
          </cell>
        </row>
        <row r="514">
          <cell r="B514" t="str">
            <v/>
          </cell>
        </row>
        <row r="515">
          <cell r="B515" t="str">
            <v/>
          </cell>
        </row>
        <row r="516">
          <cell r="B516" t="str">
            <v/>
          </cell>
        </row>
        <row r="517">
          <cell r="B517" t="str">
            <v/>
          </cell>
        </row>
        <row r="518">
          <cell r="B518" t="str">
            <v/>
          </cell>
        </row>
        <row r="519">
          <cell r="B519" t="str">
            <v/>
          </cell>
        </row>
        <row r="520">
          <cell r="B520" t="str">
            <v/>
          </cell>
        </row>
        <row r="521">
          <cell r="B521" t="str">
            <v/>
          </cell>
        </row>
        <row r="522">
          <cell r="B522" t="str">
            <v/>
          </cell>
        </row>
        <row r="523">
          <cell r="B523" t="str">
            <v/>
          </cell>
        </row>
        <row r="524">
          <cell r="B524" t="str">
            <v/>
          </cell>
        </row>
        <row r="525">
          <cell r="B525" t="str">
            <v/>
          </cell>
        </row>
        <row r="526">
          <cell r="B526" t="str">
            <v/>
          </cell>
        </row>
        <row r="527">
          <cell r="B527" t="str">
            <v/>
          </cell>
        </row>
        <row r="528">
          <cell r="B528" t="str">
            <v/>
          </cell>
        </row>
        <row r="529">
          <cell r="B529" t="str">
            <v/>
          </cell>
        </row>
        <row r="530">
          <cell r="B530" t="str">
            <v/>
          </cell>
        </row>
        <row r="531">
          <cell r="B531" t="str">
            <v/>
          </cell>
        </row>
        <row r="532">
          <cell r="B532" t="str">
            <v/>
          </cell>
        </row>
        <row r="533">
          <cell r="B533" t="str">
            <v/>
          </cell>
        </row>
        <row r="534">
          <cell r="B534" t="str">
            <v/>
          </cell>
        </row>
        <row r="535">
          <cell r="B535" t="str">
            <v/>
          </cell>
        </row>
        <row r="536">
          <cell r="B536" t="str">
            <v/>
          </cell>
        </row>
        <row r="537">
          <cell r="B537" t="str">
            <v/>
          </cell>
        </row>
        <row r="538">
          <cell r="B538" t="str">
            <v/>
          </cell>
        </row>
        <row r="539">
          <cell r="B539" t="str">
            <v/>
          </cell>
        </row>
        <row r="540">
          <cell r="B540" t="str">
            <v/>
          </cell>
        </row>
        <row r="541">
          <cell r="B541" t="str">
            <v/>
          </cell>
        </row>
        <row r="542">
          <cell r="B542" t="str">
            <v/>
          </cell>
        </row>
        <row r="543">
          <cell r="B543" t="str">
            <v/>
          </cell>
        </row>
        <row r="544">
          <cell r="B544" t="str">
            <v/>
          </cell>
        </row>
        <row r="545">
          <cell r="B545" t="str">
            <v/>
          </cell>
        </row>
        <row r="546">
          <cell r="B546" t="str">
            <v/>
          </cell>
        </row>
        <row r="547">
          <cell r="B547" t="str">
            <v/>
          </cell>
        </row>
        <row r="548">
          <cell r="B548" t="str">
            <v/>
          </cell>
        </row>
        <row r="549">
          <cell r="B549" t="str">
            <v/>
          </cell>
        </row>
        <row r="550">
          <cell r="B550" t="str">
            <v/>
          </cell>
        </row>
        <row r="551">
          <cell r="B551" t="str">
            <v/>
          </cell>
        </row>
        <row r="552">
          <cell r="B552" t="str">
            <v/>
          </cell>
        </row>
        <row r="553">
          <cell r="B553" t="str">
            <v/>
          </cell>
        </row>
        <row r="554">
          <cell r="B554" t="str">
            <v/>
          </cell>
        </row>
        <row r="555">
          <cell r="B555" t="str">
            <v/>
          </cell>
        </row>
        <row r="556">
          <cell r="B556" t="str">
            <v/>
          </cell>
        </row>
        <row r="557">
          <cell r="B557" t="str">
            <v/>
          </cell>
        </row>
        <row r="558">
          <cell r="B558" t="str">
            <v/>
          </cell>
        </row>
        <row r="559">
          <cell r="B559" t="str">
            <v/>
          </cell>
        </row>
        <row r="560">
          <cell r="B560" t="str">
            <v/>
          </cell>
        </row>
        <row r="561">
          <cell r="B561" t="str">
            <v/>
          </cell>
        </row>
        <row r="562">
          <cell r="B562" t="str">
            <v/>
          </cell>
        </row>
        <row r="563">
          <cell r="B563" t="str">
            <v/>
          </cell>
        </row>
        <row r="564">
          <cell r="B564" t="str">
            <v/>
          </cell>
        </row>
        <row r="565">
          <cell r="B565" t="str">
            <v/>
          </cell>
        </row>
        <row r="566">
          <cell r="B566" t="str">
            <v/>
          </cell>
        </row>
        <row r="567">
          <cell r="B567" t="str">
            <v/>
          </cell>
        </row>
        <row r="568">
          <cell r="B568" t="str">
            <v/>
          </cell>
        </row>
        <row r="569">
          <cell r="B569" t="str">
            <v/>
          </cell>
        </row>
        <row r="570">
          <cell r="B570" t="str">
            <v/>
          </cell>
        </row>
        <row r="571">
          <cell r="B571" t="str">
            <v/>
          </cell>
        </row>
        <row r="572">
          <cell r="B572" t="str">
            <v/>
          </cell>
        </row>
        <row r="573">
          <cell r="B573" t="str">
            <v/>
          </cell>
        </row>
        <row r="574">
          <cell r="B574" t="str">
            <v/>
          </cell>
        </row>
        <row r="575">
          <cell r="B575" t="str">
            <v/>
          </cell>
        </row>
        <row r="576">
          <cell r="B576" t="str">
            <v/>
          </cell>
        </row>
        <row r="577">
          <cell r="B577" t="str">
            <v/>
          </cell>
        </row>
        <row r="578">
          <cell r="B578" t="str">
            <v/>
          </cell>
        </row>
        <row r="579">
          <cell r="B579" t="str">
            <v/>
          </cell>
        </row>
        <row r="580">
          <cell r="B580" t="str">
            <v/>
          </cell>
        </row>
        <row r="581">
          <cell r="B581" t="str">
            <v/>
          </cell>
        </row>
        <row r="582">
          <cell r="B582" t="str">
            <v/>
          </cell>
        </row>
        <row r="583">
          <cell r="B583" t="str">
            <v/>
          </cell>
        </row>
        <row r="584">
          <cell r="B584" t="str">
            <v/>
          </cell>
        </row>
        <row r="585">
          <cell r="B585" t="str">
            <v/>
          </cell>
        </row>
        <row r="586">
          <cell r="B586" t="str">
            <v/>
          </cell>
        </row>
        <row r="587">
          <cell r="B587" t="str">
            <v/>
          </cell>
        </row>
        <row r="588">
          <cell r="B588" t="str">
            <v/>
          </cell>
        </row>
        <row r="589">
          <cell r="B589" t="str">
            <v/>
          </cell>
        </row>
        <row r="590">
          <cell r="B590" t="str">
            <v/>
          </cell>
        </row>
        <row r="591">
          <cell r="B591" t="str">
            <v/>
          </cell>
        </row>
        <row r="592">
          <cell r="B592" t="str">
            <v/>
          </cell>
        </row>
        <row r="593">
          <cell r="B593" t="str">
            <v/>
          </cell>
        </row>
        <row r="594">
          <cell r="B594" t="str">
            <v/>
          </cell>
        </row>
        <row r="595">
          <cell r="B595" t="str">
            <v/>
          </cell>
        </row>
        <row r="596">
          <cell r="B596" t="str">
            <v/>
          </cell>
        </row>
        <row r="597">
          <cell r="B597" t="str">
            <v/>
          </cell>
        </row>
        <row r="598">
          <cell r="B598" t="str">
            <v/>
          </cell>
        </row>
        <row r="599">
          <cell r="B599" t="str">
            <v/>
          </cell>
        </row>
        <row r="600">
          <cell r="B600" t="str">
            <v/>
          </cell>
        </row>
        <row r="601">
          <cell r="B601" t="str">
            <v/>
          </cell>
        </row>
        <row r="602">
          <cell r="B602" t="str">
            <v/>
          </cell>
        </row>
        <row r="603">
          <cell r="B603" t="str">
            <v/>
          </cell>
        </row>
        <row r="604">
          <cell r="B604" t="str">
            <v/>
          </cell>
        </row>
        <row r="605">
          <cell r="B605" t="str">
            <v/>
          </cell>
        </row>
        <row r="606">
          <cell r="B606" t="str">
            <v/>
          </cell>
        </row>
        <row r="607">
          <cell r="B607" t="str">
            <v/>
          </cell>
        </row>
        <row r="608">
          <cell r="B608" t="str">
            <v/>
          </cell>
          <cell r="D608">
            <v>0</v>
          </cell>
        </row>
        <row r="609">
          <cell r="B609" t="str">
            <v/>
          </cell>
        </row>
        <row r="610">
          <cell r="B610" t="str">
            <v/>
          </cell>
        </row>
        <row r="611">
          <cell r="B611" t="str">
            <v/>
          </cell>
        </row>
        <row r="612">
          <cell r="B612" t="str">
            <v/>
          </cell>
        </row>
        <row r="613">
          <cell r="B613" t="str">
            <v/>
          </cell>
        </row>
        <row r="614">
          <cell r="B614" t="str">
            <v/>
          </cell>
        </row>
        <row r="615">
          <cell r="B615" t="str">
            <v/>
          </cell>
        </row>
        <row r="616">
          <cell r="B616" t="str">
            <v/>
          </cell>
        </row>
        <row r="617">
          <cell r="B617" t="str">
            <v/>
          </cell>
        </row>
        <row r="618">
          <cell r="B618" t="str">
            <v/>
          </cell>
        </row>
        <row r="619">
          <cell r="B619" t="str">
            <v/>
          </cell>
        </row>
        <row r="620">
          <cell r="B620" t="str">
            <v/>
          </cell>
        </row>
        <row r="621">
          <cell r="B621" t="str">
            <v/>
          </cell>
        </row>
        <row r="622">
          <cell r="B622" t="str">
            <v/>
          </cell>
        </row>
        <row r="623">
          <cell r="B623" t="str">
            <v/>
          </cell>
        </row>
        <row r="624">
          <cell r="B624" t="str">
            <v/>
          </cell>
        </row>
        <row r="625">
          <cell r="B625" t="str">
            <v/>
          </cell>
        </row>
        <row r="626">
          <cell r="B626" t="str">
            <v/>
          </cell>
        </row>
        <row r="627">
          <cell r="B627" t="str">
            <v/>
          </cell>
        </row>
        <row r="628">
          <cell r="B628" t="str">
            <v/>
          </cell>
        </row>
        <row r="629">
          <cell r="B629" t="str">
            <v/>
          </cell>
        </row>
        <row r="630">
          <cell r="B630" t="str">
            <v/>
          </cell>
        </row>
        <row r="631">
          <cell r="B631" t="str">
            <v/>
          </cell>
        </row>
        <row r="632">
          <cell r="B632" t="str">
            <v/>
          </cell>
        </row>
        <row r="633">
          <cell r="B633" t="str">
            <v/>
          </cell>
          <cell r="D633" t="str">
            <v>Blade</v>
          </cell>
        </row>
        <row r="634">
          <cell r="B634" t="str">
            <v/>
          </cell>
        </row>
        <row r="635">
          <cell r="B635" t="str">
            <v/>
          </cell>
        </row>
        <row r="636">
          <cell r="B636" t="str">
            <v/>
          </cell>
        </row>
        <row r="637">
          <cell r="B637" t="str">
            <v/>
          </cell>
        </row>
        <row r="638">
          <cell r="B638" t="str">
            <v/>
          </cell>
        </row>
        <row r="639">
          <cell r="B639" t="str">
            <v/>
          </cell>
        </row>
        <row r="640">
          <cell r="B640" t="str">
            <v/>
          </cell>
        </row>
        <row r="641">
          <cell r="B641" t="str">
            <v/>
          </cell>
        </row>
        <row r="642">
          <cell r="B642" t="str">
            <v/>
          </cell>
        </row>
        <row r="643">
          <cell r="B643" t="str">
            <v/>
          </cell>
        </row>
        <row r="644">
          <cell r="B644" t="str">
            <v/>
          </cell>
        </row>
        <row r="645">
          <cell r="B645" t="str">
            <v/>
          </cell>
        </row>
        <row r="646">
          <cell r="B646" t="str">
            <v/>
          </cell>
        </row>
        <row r="647">
          <cell r="B647" t="str">
            <v/>
          </cell>
        </row>
        <row r="648">
          <cell r="B648" t="str">
            <v/>
          </cell>
        </row>
        <row r="649">
          <cell r="B649" t="str">
            <v/>
          </cell>
        </row>
        <row r="650">
          <cell r="B650" t="str">
            <v/>
          </cell>
        </row>
        <row r="651">
          <cell r="B651" t="str">
            <v/>
          </cell>
        </row>
        <row r="652">
          <cell r="B652" t="str">
            <v/>
          </cell>
        </row>
        <row r="653">
          <cell r="B653" t="str">
            <v/>
          </cell>
        </row>
        <row r="654">
          <cell r="B654" t="str">
            <v/>
          </cell>
        </row>
        <row r="655">
          <cell r="B655" t="str">
            <v/>
          </cell>
        </row>
        <row r="656">
          <cell r="B656" t="str">
            <v/>
          </cell>
        </row>
        <row r="657">
          <cell r="B657" t="str">
            <v/>
          </cell>
        </row>
        <row r="658">
          <cell r="B658" t="str">
            <v/>
          </cell>
        </row>
        <row r="659">
          <cell r="B659" t="str">
            <v/>
          </cell>
        </row>
        <row r="660">
          <cell r="B660" t="str">
            <v/>
          </cell>
        </row>
        <row r="661">
          <cell r="B661" t="str">
            <v/>
          </cell>
          <cell r="G661">
            <v>0</v>
          </cell>
        </row>
        <row r="662">
          <cell r="B662" t="str">
            <v/>
          </cell>
        </row>
        <row r="663">
          <cell r="B663" t="str">
            <v/>
          </cell>
        </row>
        <row r="664">
          <cell r="B664" t="str">
            <v/>
          </cell>
        </row>
        <row r="665">
          <cell r="B665" t="str">
            <v/>
          </cell>
        </row>
        <row r="666">
          <cell r="B666" t="str">
            <v/>
          </cell>
        </row>
        <row r="667">
          <cell r="B667" t="str">
            <v/>
          </cell>
        </row>
        <row r="668">
          <cell r="B668" t="str">
            <v/>
          </cell>
        </row>
        <row r="669">
          <cell r="B669" t="str">
            <v/>
          </cell>
        </row>
        <row r="670">
          <cell r="B670" t="str">
            <v/>
          </cell>
        </row>
        <row r="671">
          <cell r="B671" t="str">
            <v/>
          </cell>
        </row>
        <row r="672">
          <cell r="B672" t="str">
            <v/>
          </cell>
        </row>
        <row r="673">
          <cell r="B673" t="str">
            <v/>
          </cell>
        </row>
        <row r="674">
          <cell r="B674" t="str">
            <v/>
          </cell>
        </row>
        <row r="675">
          <cell r="B675" t="str">
            <v/>
          </cell>
        </row>
        <row r="676">
          <cell r="B676" t="str">
            <v/>
          </cell>
        </row>
        <row r="677">
          <cell r="B677" t="str">
            <v/>
          </cell>
        </row>
        <row r="678">
          <cell r="B678" t="str">
            <v/>
          </cell>
        </row>
        <row r="679">
          <cell r="B679" t="str">
            <v/>
          </cell>
        </row>
        <row r="680">
          <cell r="B680" t="str">
            <v/>
          </cell>
        </row>
        <row r="681">
          <cell r="B681" t="str">
            <v/>
          </cell>
        </row>
        <row r="682">
          <cell r="B682" t="str">
            <v/>
          </cell>
        </row>
        <row r="683">
          <cell r="B683" t="str">
            <v/>
          </cell>
        </row>
        <row r="684">
          <cell r="B684" t="str">
            <v/>
          </cell>
        </row>
        <row r="685">
          <cell r="B685" t="str">
            <v/>
          </cell>
        </row>
        <row r="686">
          <cell r="B686" t="str">
            <v/>
          </cell>
        </row>
        <row r="687">
          <cell r="B687" t="str">
            <v/>
          </cell>
        </row>
        <row r="688">
          <cell r="B688" t="str">
            <v/>
          </cell>
        </row>
        <row r="689">
          <cell r="B689" t="str">
            <v/>
          </cell>
        </row>
        <row r="690">
          <cell r="B690" t="str">
            <v/>
          </cell>
        </row>
        <row r="691">
          <cell r="B691" t="str">
            <v/>
          </cell>
        </row>
        <row r="692">
          <cell r="B692" t="str">
            <v/>
          </cell>
        </row>
        <row r="693">
          <cell r="B693" t="str">
            <v/>
          </cell>
        </row>
        <row r="694">
          <cell r="B694" t="str">
            <v/>
          </cell>
        </row>
        <row r="695">
          <cell r="B695" t="str">
            <v/>
          </cell>
        </row>
        <row r="696">
          <cell r="B696" t="str">
            <v/>
          </cell>
        </row>
        <row r="697">
          <cell r="B697" t="str">
            <v/>
          </cell>
        </row>
        <row r="698">
          <cell r="B698" t="str">
            <v/>
          </cell>
        </row>
        <row r="699">
          <cell r="B699" t="str">
            <v/>
          </cell>
        </row>
        <row r="700">
          <cell r="B700" t="str">
            <v/>
          </cell>
        </row>
        <row r="701">
          <cell r="B701" t="str">
            <v/>
          </cell>
        </row>
        <row r="702">
          <cell r="B702" t="str">
            <v/>
          </cell>
        </row>
        <row r="703">
          <cell r="B703" t="str">
            <v/>
          </cell>
        </row>
        <row r="704">
          <cell r="B704" t="str">
            <v/>
          </cell>
        </row>
        <row r="705">
          <cell r="B705" t="str">
            <v/>
          </cell>
        </row>
        <row r="706">
          <cell r="B706" t="str">
            <v/>
          </cell>
        </row>
        <row r="707">
          <cell r="B707" t="str">
            <v/>
          </cell>
        </row>
        <row r="708">
          <cell r="B708" t="str">
            <v/>
          </cell>
        </row>
        <row r="709">
          <cell r="B709" t="str">
            <v/>
          </cell>
        </row>
        <row r="710">
          <cell r="B710" t="str">
            <v/>
          </cell>
        </row>
        <row r="711">
          <cell r="B711" t="str">
            <v/>
          </cell>
        </row>
        <row r="712">
          <cell r="B712" t="str">
            <v/>
          </cell>
        </row>
        <row r="713">
          <cell r="B713" t="str">
            <v/>
          </cell>
        </row>
        <row r="714">
          <cell r="B714" t="str">
            <v/>
          </cell>
        </row>
        <row r="715">
          <cell r="B715" t="str">
            <v/>
          </cell>
        </row>
        <row r="716">
          <cell r="B716" t="str">
            <v/>
          </cell>
        </row>
        <row r="717">
          <cell r="B717" t="str">
            <v/>
          </cell>
        </row>
        <row r="718">
          <cell r="B718" t="str">
            <v/>
          </cell>
          <cell r="E718">
            <v>0</v>
          </cell>
        </row>
        <row r="719">
          <cell r="B719" t="str">
            <v/>
          </cell>
        </row>
        <row r="720">
          <cell r="B720" t="str">
            <v/>
          </cell>
        </row>
        <row r="721">
          <cell r="B721" t="str">
            <v/>
          </cell>
        </row>
        <row r="722">
          <cell r="B722" t="str">
            <v/>
          </cell>
        </row>
        <row r="723">
          <cell r="B723" t="str">
            <v/>
          </cell>
        </row>
        <row r="724">
          <cell r="B724" t="str">
            <v/>
          </cell>
        </row>
        <row r="725">
          <cell r="B725" t="str">
            <v/>
          </cell>
          <cell r="D725" t="str">
            <v>Air</v>
          </cell>
          <cell r="G725" t="str">
            <v/>
          </cell>
        </row>
        <row r="726">
          <cell r="B726" t="str">
            <v/>
          </cell>
          <cell r="D726" t="str">
            <v>Earth</v>
          </cell>
          <cell r="G726" t="str">
            <v/>
          </cell>
        </row>
        <row r="727">
          <cell r="B727" t="str">
            <v/>
          </cell>
          <cell r="D727" t="str">
            <v>Fire</v>
          </cell>
          <cell r="G727" t="str">
            <v/>
          </cell>
        </row>
        <row r="728">
          <cell r="B728" t="str">
            <v/>
          </cell>
          <cell r="D728" t="str">
            <v>Water</v>
          </cell>
          <cell r="G728" t="str">
            <v/>
          </cell>
        </row>
        <row r="729">
          <cell r="B729" t="str">
            <v/>
          </cell>
        </row>
        <row r="730">
          <cell r="B730" t="str">
            <v/>
          </cell>
        </row>
        <row r="731">
          <cell r="B731" t="str">
            <v/>
          </cell>
        </row>
        <row r="732">
          <cell r="B732" t="str">
            <v/>
          </cell>
        </row>
        <row r="733">
          <cell r="B733" t="str">
            <v/>
          </cell>
        </row>
        <row r="734">
          <cell r="B734" t="str">
            <v/>
          </cell>
        </row>
        <row r="735">
          <cell r="B735" t="str">
            <v/>
          </cell>
        </row>
        <row r="736">
          <cell r="B736" t="str">
            <v/>
          </cell>
        </row>
        <row r="737">
          <cell r="B737" t="str">
            <v/>
          </cell>
        </row>
        <row r="738">
          <cell r="B738" t="str">
            <v/>
          </cell>
        </row>
        <row r="739">
          <cell r="B739" t="str">
            <v/>
          </cell>
        </row>
        <row r="740">
          <cell r="B740" t="str">
            <v/>
          </cell>
        </row>
        <row r="741">
          <cell r="B741" t="str">
            <v/>
          </cell>
        </row>
        <row r="742">
          <cell r="B742" t="str">
            <v/>
          </cell>
        </row>
        <row r="743">
          <cell r="B743" t="str">
            <v/>
          </cell>
        </row>
        <row r="744">
          <cell r="B744" t="str">
            <v/>
          </cell>
        </row>
        <row r="745">
          <cell r="B745" t="str">
            <v/>
          </cell>
        </row>
        <row r="746">
          <cell r="B746" t="str">
            <v/>
          </cell>
        </row>
        <row r="747">
          <cell r="B747" t="str">
            <v/>
          </cell>
        </row>
        <row r="748">
          <cell r="B748" t="str">
            <v/>
          </cell>
        </row>
        <row r="749">
          <cell r="B749" t="str">
            <v/>
          </cell>
        </row>
        <row r="750">
          <cell r="B750" t="str">
            <v/>
          </cell>
        </row>
        <row r="751">
          <cell r="B751" t="str">
            <v/>
          </cell>
        </row>
        <row r="752">
          <cell r="B752" t="str">
            <v/>
          </cell>
        </row>
        <row r="753">
          <cell r="B753" t="str">
            <v/>
          </cell>
        </row>
        <row r="754">
          <cell r="B754" t="str">
            <v/>
          </cell>
        </row>
        <row r="755">
          <cell r="B755" t="str">
            <v/>
          </cell>
        </row>
        <row r="756">
          <cell r="B756" t="str">
            <v/>
          </cell>
        </row>
        <row r="757">
          <cell r="B757" t="str">
            <v/>
          </cell>
        </row>
        <row r="758">
          <cell r="B758" t="str">
            <v/>
          </cell>
        </row>
        <row r="759">
          <cell r="B759" t="str">
            <v/>
          </cell>
        </row>
        <row r="760">
          <cell r="B760" t="str">
            <v/>
          </cell>
        </row>
        <row r="761">
          <cell r="B761" t="str">
            <v/>
          </cell>
        </row>
        <row r="762">
          <cell r="B762" t="str">
            <v/>
          </cell>
        </row>
        <row r="763">
          <cell r="B763" t="str">
            <v/>
          </cell>
        </row>
        <row r="764">
          <cell r="B764" t="str">
            <v/>
          </cell>
        </row>
        <row r="765">
          <cell r="B765" t="str">
            <v/>
          </cell>
        </row>
        <row r="766">
          <cell r="B766" t="str">
            <v/>
          </cell>
        </row>
        <row r="767">
          <cell r="B767" t="str">
            <v/>
          </cell>
        </row>
        <row r="768">
          <cell r="B768" t="str">
            <v/>
          </cell>
        </row>
        <row r="769">
          <cell r="B769" t="str">
            <v/>
          </cell>
        </row>
        <row r="770">
          <cell r="B770" t="str">
            <v/>
          </cell>
        </row>
        <row r="771">
          <cell r="B771" t="str">
            <v/>
          </cell>
        </row>
        <row r="772">
          <cell r="B772" t="str">
            <v/>
          </cell>
        </row>
        <row r="773">
          <cell r="B773" t="str">
            <v/>
          </cell>
        </row>
        <row r="774">
          <cell r="B774" t="str">
            <v/>
          </cell>
        </row>
        <row r="775">
          <cell r="B775" t="str">
            <v/>
          </cell>
        </row>
        <row r="776">
          <cell r="B776" t="str">
            <v/>
          </cell>
        </row>
        <row r="777">
          <cell r="B777" t="str">
            <v/>
          </cell>
        </row>
        <row r="778">
          <cell r="B778" t="str">
            <v/>
          </cell>
        </row>
        <row r="779">
          <cell r="B779" t="str">
            <v/>
          </cell>
        </row>
        <row r="780">
          <cell r="B780" t="str">
            <v/>
          </cell>
        </row>
        <row r="781">
          <cell r="B781" t="str">
            <v/>
          </cell>
        </row>
        <row r="782">
          <cell r="B782" t="str">
            <v/>
          </cell>
        </row>
        <row r="783">
          <cell r="B783" t="str">
            <v/>
          </cell>
        </row>
        <row r="784">
          <cell r="B784" t="str">
            <v/>
          </cell>
        </row>
        <row r="785">
          <cell r="B785" t="str">
            <v/>
          </cell>
        </row>
        <row r="786">
          <cell r="B786" t="str">
            <v/>
          </cell>
        </row>
        <row r="787">
          <cell r="B787" t="str">
            <v/>
          </cell>
        </row>
        <row r="788">
          <cell r="B788" t="str">
            <v/>
          </cell>
        </row>
        <row r="789">
          <cell r="B789" t="str">
            <v/>
          </cell>
        </row>
        <row r="790">
          <cell r="B790" t="str">
            <v/>
          </cell>
        </row>
        <row r="791">
          <cell r="B791" t="str">
            <v/>
          </cell>
        </row>
        <row r="792">
          <cell r="B792" t="str">
            <v/>
          </cell>
        </row>
        <row r="793">
          <cell r="B793" t="str">
            <v/>
          </cell>
        </row>
        <row r="794">
          <cell r="B794" t="str">
            <v/>
          </cell>
        </row>
        <row r="795">
          <cell r="B795" t="str">
            <v/>
          </cell>
        </row>
        <row r="796">
          <cell r="B796" t="str">
            <v/>
          </cell>
        </row>
        <row r="797">
          <cell r="B797" t="str">
            <v/>
          </cell>
        </row>
        <row r="798">
          <cell r="B798" t="str">
            <v/>
          </cell>
        </row>
        <row r="799">
          <cell r="B799" t="str">
            <v/>
          </cell>
        </row>
        <row r="800">
          <cell r="B800" t="str">
            <v/>
          </cell>
        </row>
        <row r="801">
          <cell r="B801" t="str">
            <v/>
          </cell>
        </row>
        <row r="802">
          <cell r="B802" t="str">
            <v/>
          </cell>
        </row>
        <row r="803">
          <cell r="B803" t="str">
            <v/>
          </cell>
        </row>
        <row r="804">
          <cell r="B804" t="str">
            <v/>
          </cell>
        </row>
        <row r="805">
          <cell r="B805" t="str">
            <v/>
          </cell>
        </row>
        <row r="806">
          <cell r="B806" t="str">
            <v/>
          </cell>
        </row>
        <row r="807">
          <cell r="B807" t="str">
            <v/>
          </cell>
        </row>
        <row r="808">
          <cell r="B808" t="str">
            <v/>
          </cell>
        </row>
        <row r="809">
          <cell r="B809" t="str">
            <v/>
          </cell>
        </row>
        <row r="810">
          <cell r="B810" t="str">
            <v/>
          </cell>
        </row>
        <row r="811">
          <cell r="B811" t="str">
            <v/>
          </cell>
        </row>
        <row r="812">
          <cell r="B812" t="str">
            <v/>
          </cell>
        </row>
        <row r="813">
          <cell r="B813" t="str">
            <v/>
          </cell>
        </row>
        <row r="814">
          <cell r="B814" t="str">
            <v/>
          </cell>
        </row>
        <row r="815">
          <cell r="B815" t="str">
            <v/>
          </cell>
        </row>
        <row r="816">
          <cell r="B816" t="str">
            <v/>
          </cell>
        </row>
        <row r="817">
          <cell r="B817" t="str">
            <v/>
          </cell>
        </row>
        <row r="818">
          <cell r="B818" t="str">
            <v/>
          </cell>
        </row>
        <row r="819">
          <cell r="B819" t="str">
            <v/>
          </cell>
        </row>
        <row r="820">
          <cell r="B820" t="str">
            <v/>
          </cell>
        </row>
        <row r="821">
          <cell r="B821" t="str">
            <v/>
          </cell>
        </row>
        <row r="822">
          <cell r="B822" t="str">
            <v/>
          </cell>
        </row>
        <row r="823">
          <cell r="B823" t="str">
            <v/>
          </cell>
        </row>
        <row r="824">
          <cell r="B824" t="str">
            <v/>
          </cell>
        </row>
        <row r="825">
          <cell r="B825" t="str">
            <v/>
          </cell>
        </row>
        <row r="826">
          <cell r="B826" t="str">
            <v/>
          </cell>
        </row>
        <row r="827">
          <cell r="B827" t="str">
            <v/>
          </cell>
        </row>
        <row r="828">
          <cell r="B828" t="str">
            <v/>
          </cell>
        </row>
        <row r="829">
          <cell r="B829" t="str">
            <v/>
          </cell>
        </row>
        <row r="830">
          <cell r="B830" t="str">
            <v/>
          </cell>
        </row>
        <row r="831">
          <cell r="B831" t="str">
            <v/>
          </cell>
        </row>
        <row r="832">
          <cell r="B832" t="str">
            <v/>
          </cell>
        </row>
        <row r="833">
          <cell r="B833" t="str">
            <v/>
          </cell>
        </row>
        <row r="834">
          <cell r="B834" t="str">
            <v/>
          </cell>
        </row>
        <row r="835">
          <cell r="B835" t="str">
            <v/>
          </cell>
        </row>
        <row r="836">
          <cell r="B836" t="str">
            <v/>
          </cell>
        </row>
        <row r="837">
          <cell r="B837" t="str">
            <v/>
          </cell>
        </row>
        <row r="838">
          <cell r="B838" t="str">
            <v/>
          </cell>
          <cell r="D838">
            <v>0</v>
          </cell>
        </row>
        <row r="839">
          <cell r="B839" t="str">
            <v/>
          </cell>
        </row>
        <row r="840">
          <cell r="B840" t="str">
            <v/>
          </cell>
        </row>
        <row r="841">
          <cell r="B841" t="str">
            <v/>
          </cell>
        </row>
        <row r="842">
          <cell r="B842" t="str">
            <v/>
          </cell>
        </row>
        <row r="843">
          <cell r="B843" t="str">
            <v/>
          </cell>
        </row>
        <row r="844">
          <cell r="B844" t="str">
            <v/>
          </cell>
        </row>
        <row r="845">
          <cell r="B845" t="str">
            <v/>
          </cell>
        </row>
        <row r="846">
          <cell r="B846" t="str">
            <v/>
          </cell>
        </row>
        <row r="847">
          <cell r="B847" t="str">
            <v/>
          </cell>
        </row>
        <row r="848">
          <cell r="B848" t="str">
            <v/>
          </cell>
          <cell r="D848">
            <v>0</v>
          </cell>
          <cell r="E848">
            <v>0</v>
          </cell>
        </row>
        <row r="849">
          <cell r="B849" t="str">
            <v/>
          </cell>
        </row>
        <row r="850">
          <cell r="B850" t="str">
            <v/>
          </cell>
          <cell r="D850">
            <v>0</v>
          </cell>
        </row>
        <row r="851">
          <cell r="B851" t="str">
            <v/>
          </cell>
        </row>
        <row r="852">
          <cell r="B852" t="str">
            <v/>
          </cell>
        </row>
        <row r="853">
          <cell r="B853" t="str">
            <v/>
          </cell>
        </row>
        <row r="854">
          <cell r="B854" t="str">
            <v/>
          </cell>
        </row>
        <row r="855">
          <cell r="B855" t="str">
            <v/>
          </cell>
        </row>
        <row r="856">
          <cell r="B856" t="str">
            <v/>
          </cell>
        </row>
        <row r="857">
          <cell r="B857" t="str">
            <v/>
          </cell>
        </row>
        <row r="858">
          <cell r="B858" t="str">
            <v/>
          </cell>
        </row>
        <row r="859">
          <cell r="B859" t="str">
            <v/>
          </cell>
        </row>
        <row r="860">
          <cell r="B860" t="str">
            <v/>
          </cell>
        </row>
        <row r="861">
          <cell r="B861" t="str">
            <v/>
          </cell>
        </row>
        <row r="862">
          <cell r="B862" t="str">
            <v/>
          </cell>
        </row>
        <row r="863">
          <cell r="B863" t="str">
            <v/>
          </cell>
        </row>
        <row r="864">
          <cell r="B864" t="str">
            <v/>
          </cell>
        </row>
        <row r="865">
          <cell r="B865" t="str">
            <v/>
          </cell>
        </row>
        <row r="866">
          <cell r="B866" t="str">
            <v/>
          </cell>
        </row>
        <row r="867">
          <cell r="B867" t="str">
            <v/>
          </cell>
        </row>
        <row r="868">
          <cell r="B868" t="str">
            <v/>
          </cell>
        </row>
        <row r="869">
          <cell r="B869" t="str">
            <v/>
          </cell>
        </row>
        <row r="870">
          <cell r="B870" t="str">
            <v/>
          </cell>
        </row>
        <row r="871">
          <cell r="B871" t="str">
            <v/>
          </cell>
        </row>
        <row r="872">
          <cell r="B872" t="str">
            <v/>
          </cell>
        </row>
        <row r="873">
          <cell r="B873" t="str">
            <v/>
          </cell>
        </row>
        <row r="874">
          <cell r="B874" t="str">
            <v/>
          </cell>
        </row>
        <row r="875">
          <cell r="B875" t="str">
            <v/>
          </cell>
        </row>
        <row r="876">
          <cell r="B876" t="str">
            <v/>
          </cell>
        </row>
        <row r="877">
          <cell r="B877" t="str">
            <v/>
          </cell>
        </row>
        <row r="878">
          <cell r="B878" t="str">
            <v/>
          </cell>
        </row>
        <row r="879">
          <cell r="B879" t="str">
            <v/>
          </cell>
        </row>
        <row r="880">
          <cell r="B880" t="str">
            <v/>
          </cell>
        </row>
        <row r="881">
          <cell r="B881" t="str">
            <v/>
          </cell>
        </row>
        <row r="882">
          <cell r="B882" t="str">
            <v/>
          </cell>
        </row>
        <row r="883">
          <cell r="B883" t="str">
            <v/>
          </cell>
        </row>
        <row r="884">
          <cell r="B884" t="str">
            <v/>
          </cell>
        </row>
        <row r="885">
          <cell r="B885" t="str">
            <v/>
          </cell>
        </row>
        <row r="886">
          <cell r="B886" t="str">
            <v/>
          </cell>
        </row>
        <row r="887">
          <cell r="B887" t="str">
            <v/>
          </cell>
        </row>
        <row r="888">
          <cell r="B888" t="str">
            <v/>
          </cell>
        </row>
        <row r="889">
          <cell r="B889" t="str">
            <v/>
          </cell>
        </row>
        <row r="890">
          <cell r="B890" t="str">
            <v/>
          </cell>
        </row>
        <row r="891">
          <cell r="B891" t="str">
            <v/>
          </cell>
        </row>
        <row r="892">
          <cell r="B892" t="str">
            <v/>
          </cell>
        </row>
        <row r="893">
          <cell r="B893" t="str">
            <v/>
          </cell>
        </row>
        <row r="894">
          <cell r="B894" t="str">
            <v/>
          </cell>
        </row>
        <row r="895">
          <cell r="B895" t="str">
            <v/>
          </cell>
        </row>
        <row r="896">
          <cell r="B896" t="str">
            <v/>
          </cell>
        </row>
        <row r="897">
          <cell r="B897" t="str">
            <v/>
          </cell>
        </row>
        <row r="898">
          <cell r="B898" t="str">
            <v/>
          </cell>
        </row>
        <row r="899">
          <cell r="B899" t="str">
            <v/>
          </cell>
        </row>
        <row r="900">
          <cell r="B900" t="str">
            <v/>
          </cell>
        </row>
        <row r="901">
          <cell r="B901" t="str">
            <v/>
          </cell>
        </row>
        <row r="902">
          <cell r="B902" t="str">
            <v/>
          </cell>
        </row>
        <row r="903">
          <cell r="B903" t="str">
            <v/>
          </cell>
        </row>
        <row r="904">
          <cell r="B904" t="str">
            <v/>
          </cell>
        </row>
        <row r="905">
          <cell r="B905" t="str">
            <v/>
          </cell>
        </row>
        <row r="906">
          <cell r="B906" t="str">
            <v/>
          </cell>
        </row>
        <row r="907">
          <cell r="B907" t="str">
            <v/>
          </cell>
        </row>
        <row r="908">
          <cell r="B908" t="str">
            <v/>
          </cell>
        </row>
        <row r="909">
          <cell r="B909" t="str">
            <v/>
          </cell>
        </row>
        <row r="910">
          <cell r="B910" t="str">
            <v/>
          </cell>
        </row>
        <row r="911">
          <cell r="B911" t="str">
            <v/>
          </cell>
        </row>
        <row r="912">
          <cell r="B912" t="str">
            <v/>
          </cell>
        </row>
        <row r="913">
          <cell r="B913" t="str">
            <v/>
          </cell>
        </row>
        <row r="914">
          <cell r="B914" t="str">
            <v/>
          </cell>
        </row>
        <row r="915">
          <cell r="B915" t="str">
            <v/>
          </cell>
        </row>
        <row r="916">
          <cell r="B916" t="str">
            <v/>
          </cell>
        </row>
        <row r="917">
          <cell r="B917" t="str">
            <v/>
          </cell>
        </row>
        <row r="918">
          <cell r="B918" t="str">
            <v/>
          </cell>
        </row>
        <row r="919">
          <cell r="B919" t="str">
            <v/>
          </cell>
        </row>
        <row r="920">
          <cell r="B920" t="str">
            <v/>
          </cell>
        </row>
        <row r="921">
          <cell r="B921" t="str">
            <v/>
          </cell>
        </row>
        <row r="922">
          <cell r="B922" t="str">
            <v/>
          </cell>
        </row>
        <row r="923">
          <cell r="B923" t="str">
            <v/>
          </cell>
        </row>
        <row r="924">
          <cell r="B924" t="str">
            <v/>
          </cell>
        </row>
        <row r="925">
          <cell r="B925" t="str">
            <v/>
          </cell>
        </row>
        <row r="926">
          <cell r="B926" t="str">
            <v/>
          </cell>
        </row>
        <row r="927">
          <cell r="B927" t="str">
            <v/>
          </cell>
        </row>
        <row r="928">
          <cell r="B928" t="str">
            <v/>
          </cell>
        </row>
        <row r="929">
          <cell r="B929" t="str">
            <v/>
          </cell>
        </row>
        <row r="930">
          <cell r="B930" t="str">
            <v/>
          </cell>
        </row>
        <row r="931">
          <cell r="B931" t="str">
            <v/>
          </cell>
        </row>
        <row r="932">
          <cell r="B932" t="str">
            <v/>
          </cell>
        </row>
        <row r="933">
          <cell r="B933" t="str">
            <v/>
          </cell>
        </row>
        <row r="934">
          <cell r="B934" t="str">
            <v/>
          </cell>
        </row>
        <row r="935">
          <cell r="B935" t="str">
            <v/>
          </cell>
        </row>
        <row r="936">
          <cell r="B936" t="str">
            <v/>
          </cell>
        </row>
        <row r="937">
          <cell r="B937" t="str">
            <v/>
          </cell>
        </row>
        <row r="938">
          <cell r="B938" t="str">
            <v/>
          </cell>
        </row>
        <row r="939">
          <cell r="B939" t="str">
            <v/>
          </cell>
        </row>
        <row r="940">
          <cell r="B940" t="str">
            <v/>
          </cell>
        </row>
        <row r="941">
          <cell r="B941" t="str">
            <v/>
          </cell>
        </row>
        <row r="942">
          <cell r="B942" t="str">
            <v/>
          </cell>
        </row>
        <row r="943">
          <cell r="B943" t="str">
            <v/>
          </cell>
        </row>
        <row r="944">
          <cell r="B944" t="str">
            <v/>
          </cell>
        </row>
        <row r="945">
          <cell r="B945" t="str">
            <v/>
          </cell>
        </row>
        <row r="946">
          <cell r="B946" t="str">
            <v/>
          </cell>
        </row>
        <row r="947">
          <cell r="B947" t="str">
            <v/>
          </cell>
        </row>
        <row r="948">
          <cell r="B948" t="str">
            <v/>
          </cell>
        </row>
        <row r="949">
          <cell r="B949" t="str">
            <v/>
          </cell>
        </row>
        <row r="950">
          <cell r="B950" t="str">
            <v/>
          </cell>
        </row>
        <row r="951">
          <cell r="B951" t="str">
            <v/>
          </cell>
        </row>
        <row r="952">
          <cell r="B952" t="str">
            <v/>
          </cell>
        </row>
        <row r="953">
          <cell r="B953" t="str">
            <v/>
          </cell>
        </row>
        <row r="954">
          <cell r="B954" t="str">
            <v/>
          </cell>
        </row>
        <row r="955">
          <cell r="B955" t="str">
            <v/>
          </cell>
        </row>
        <row r="956">
          <cell r="B956" t="str">
            <v/>
          </cell>
        </row>
        <row r="957">
          <cell r="B957" t="str">
            <v/>
          </cell>
        </row>
        <row r="958">
          <cell r="B958" t="str">
            <v/>
          </cell>
        </row>
        <row r="959">
          <cell r="B959" t="str">
            <v/>
          </cell>
        </row>
        <row r="960">
          <cell r="B960" t="str">
            <v/>
          </cell>
        </row>
        <row r="961">
          <cell r="B961" t="str">
            <v/>
          </cell>
          <cell r="D961">
            <v>0</v>
          </cell>
        </row>
        <row r="962">
          <cell r="B962" t="str">
            <v/>
          </cell>
        </row>
        <row r="963">
          <cell r="B963" t="str">
            <v/>
          </cell>
        </row>
        <row r="964">
          <cell r="B964" t="str">
            <v/>
          </cell>
        </row>
        <row r="965">
          <cell r="B965" t="str">
            <v/>
          </cell>
        </row>
        <row r="966">
          <cell r="B966" t="str">
            <v/>
          </cell>
        </row>
        <row r="967">
          <cell r="B967" t="str">
            <v/>
          </cell>
        </row>
        <row r="968">
          <cell r="B968" t="str">
            <v/>
          </cell>
        </row>
        <row r="969">
          <cell r="B969" t="str">
            <v/>
          </cell>
        </row>
        <row r="970">
          <cell r="B970" t="str">
            <v/>
          </cell>
        </row>
        <row r="971">
          <cell r="B971" t="str">
            <v/>
          </cell>
        </row>
        <row r="972">
          <cell r="B972" t="str">
            <v/>
          </cell>
        </row>
        <row r="973">
          <cell r="B973" t="str">
            <v/>
          </cell>
        </row>
        <row r="974">
          <cell r="B974" t="str">
            <v/>
          </cell>
        </row>
        <row r="975">
          <cell r="B975" t="str">
            <v/>
          </cell>
        </row>
        <row r="976">
          <cell r="B976" t="str">
            <v/>
          </cell>
        </row>
        <row r="977">
          <cell r="B977" t="str">
            <v/>
          </cell>
        </row>
        <row r="978">
          <cell r="B978" t="str">
            <v/>
          </cell>
        </row>
        <row r="979">
          <cell r="B979" t="str">
            <v/>
          </cell>
        </row>
        <row r="980">
          <cell r="B980" t="str">
            <v/>
          </cell>
        </row>
        <row r="981">
          <cell r="B981" t="str">
            <v/>
          </cell>
        </row>
        <row r="982">
          <cell r="B982" t="str">
            <v/>
          </cell>
        </row>
        <row r="983">
          <cell r="B983" t="str">
            <v/>
          </cell>
        </row>
        <row r="984">
          <cell r="B984" t="str">
            <v/>
          </cell>
        </row>
        <row r="985">
          <cell r="B985" t="str">
            <v/>
          </cell>
        </row>
        <row r="986">
          <cell r="B986" t="str">
            <v/>
          </cell>
        </row>
        <row r="987">
          <cell r="B987" t="str">
            <v/>
          </cell>
        </row>
        <row r="988">
          <cell r="B988" t="str">
            <v/>
          </cell>
        </row>
        <row r="989">
          <cell r="B989" t="str">
            <v/>
          </cell>
        </row>
        <row r="990">
          <cell r="B990" t="str">
            <v/>
          </cell>
        </row>
        <row r="991">
          <cell r="B991" t="str">
            <v/>
          </cell>
        </row>
        <row r="992">
          <cell r="B992" t="str">
            <v/>
          </cell>
        </row>
        <row r="993">
          <cell r="B993" t="str">
            <v/>
          </cell>
        </row>
        <row r="994">
          <cell r="B994" t="str">
            <v/>
          </cell>
        </row>
        <row r="995">
          <cell r="B995" t="str">
            <v/>
          </cell>
        </row>
        <row r="996">
          <cell r="B996" t="str">
            <v/>
          </cell>
        </row>
        <row r="997">
          <cell r="B997" t="str">
            <v/>
          </cell>
        </row>
        <row r="998">
          <cell r="B998" t="str">
            <v/>
          </cell>
        </row>
        <row r="999">
          <cell r="B999" t="str">
            <v/>
          </cell>
        </row>
        <row r="1000">
          <cell r="B1000" t="str">
            <v/>
          </cell>
        </row>
        <row r="1001">
          <cell r="B1001" t="str">
            <v/>
          </cell>
        </row>
        <row r="1002">
          <cell r="B1002" t="str">
            <v/>
          </cell>
        </row>
        <row r="1003">
          <cell r="B1003" t="str">
            <v/>
          </cell>
        </row>
        <row r="1004">
          <cell r="B1004" t="str">
            <v/>
          </cell>
        </row>
        <row r="1005">
          <cell r="B1005" t="str">
            <v/>
          </cell>
        </row>
        <row r="1006">
          <cell r="B1006" t="str">
            <v/>
          </cell>
        </row>
        <row r="1007">
          <cell r="B1007" t="str">
            <v/>
          </cell>
        </row>
        <row r="1008">
          <cell r="B1008" t="str">
            <v/>
          </cell>
        </row>
        <row r="1009">
          <cell r="B1009" t="str">
            <v/>
          </cell>
        </row>
        <row r="1010">
          <cell r="B1010" t="str">
            <v/>
          </cell>
        </row>
        <row r="1011">
          <cell r="B1011" t="str">
            <v/>
          </cell>
        </row>
        <row r="1012">
          <cell r="B1012" t="str">
            <v/>
          </cell>
        </row>
        <row r="1013">
          <cell r="B1013" t="str">
            <v/>
          </cell>
        </row>
        <row r="1014">
          <cell r="B1014" t="str">
            <v/>
          </cell>
        </row>
        <row r="1015">
          <cell r="B1015" t="str">
            <v/>
          </cell>
        </row>
        <row r="1016">
          <cell r="B1016" t="str">
            <v/>
          </cell>
        </row>
        <row r="1017">
          <cell r="B1017" t="str">
            <v/>
          </cell>
        </row>
        <row r="1018">
          <cell r="B1018" t="str">
            <v/>
          </cell>
        </row>
        <row r="1019">
          <cell r="B1019" t="str">
            <v/>
          </cell>
        </row>
        <row r="1020">
          <cell r="B1020" t="str">
            <v/>
          </cell>
        </row>
        <row r="1021">
          <cell r="B1021" t="str">
            <v/>
          </cell>
        </row>
        <row r="1022">
          <cell r="B1022" t="str">
            <v/>
          </cell>
        </row>
        <row r="1023">
          <cell r="B1023" t="str">
            <v/>
          </cell>
        </row>
        <row r="1024">
          <cell r="B1024" t="str">
            <v/>
          </cell>
        </row>
        <row r="1025">
          <cell r="B1025" t="str">
            <v/>
          </cell>
        </row>
        <row r="1026">
          <cell r="B1026" t="str">
            <v/>
          </cell>
        </row>
        <row r="1027">
          <cell r="B1027" t="str">
            <v/>
          </cell>
        </row>
        <row r="1028">
          <cell r="B1028" t="str">
            <v/>
          </cell>
        </row>
        <row r="1029">
          <cell r="B1029" t="str">
            <v/>
          </cell>
        </row>
        <row r="1030">
          <cell r="B1030" t="str">
            <v/>
          </cell>
        </row>
        <row r="1031">
          <cell r="B1031" t="str">
            <v/>
          </cell>
        </row>
        <row r="1032">
          <cell r="B1032" t="str">
            <v/>
          </cell>
        </row>
        <row r="1033">
          <cell r="B1033" t="str">
            <v/>
          </cell>
        </row>
        <row r="1034">
          <cell r="B1034" t="str">
            <v/>
          </cell>
        </row>
        <row r="1035">
          <cell r="B1035" t="str">
            <v/>
          </cell>
        </row>
        <row r="1036">
          <cell r="B1036" t="str">
            <v/>
          </cell>
        </row>
        <row r="1037">
          <cell r="B1037" t="str">
            <v/>
          </cell>
        </row>
        <row r="1038">
          <cell r="B1038" t="str">
            <v/>
          </cell>
        </row>
        <row r="1039">
          <cell r="B1039" t="str">
            <v/>
          </cell>
        </row>
        <row r="1040">
          <cell r="B1040" t="str">
            <v/>
          </cell>
        </row>
        <row r="1041">
          <cell r="B1041" t="str">
            <v/>
          </cell>
        </row>
        <row r="1042">
          <cell r="B1042" t="str">
            <v/>
          </cell>
        </row>
        <row r="1043">
          <cell r="B1043" t="str">
            <v/>
          </cell>
        </row>
        <row r="1044">
          <cell r="B1044" t="str">
            <v/>
          </cell>
        </row>
        <row r="1045">
          <cell r="B1045" t="str">
            <v/>
          </cell>
        </row>
        <row r="1046">
          <cell r="B1046" t="str">
            <v/>
          </cell>
        </row>
        <row r="1047">
          <cell r="B1047" t="str">
            <v/>
          </cell>
        </row>
        <row r="1048">
          <cell r="B1048" t="str">
            <v/>
          </cell>
        </row>
        <row r="1049">
          <cell r="B1049" t="str">
            <v/>
          </cell>
        </row>
        <row r="1050">
          <cell r="B1050" t="str">
            <v/>
          </cell>
        </row>
        <row r="1051">
          <cell r="B1051" t="str">
            <v/>
          </cell>
        </row>
        <row r="1052">
          <cell r="B1052" t="str">
            <v/>
          </cell>
        </row>
        <row r="1053">
          <cell r="B1053" t="str">
            <v/>
          </cell>
        </row>
        <row r="1054">
          <cell r="B1054" t="str">
            <v/>
          </cell>
        </row>
        <row r="1055">
          <cell r="B1055" t="str">
            <v/>
          </cell>
        </row>
        <row r="1056">
          <cell r="B1056" t="str">
            <v/>
          </cell>
        </row>
        <row r="1057">
          <cell r="B1057" t="str">
            <v/>
          </cell>
        </row>
        <row r="1058">
          <cell r="B1058" t="str">
            <v/>
          </cell>
        </row>
        <row r="1059">
          <cell r="B1059" t="str">
            <v/>
          </cell>
        </row>
        <row r="1060">
          <cell r="B1060" t="str">
            <v/>
          </cell>
        </row>
        <row r="1061">
          <cell r="B1061" t="str">
            <v/>
          </cell>
        </row>
        <row r="1062">
          <cell r="B1062" t="str">
            <v/>
          </cell>
        </row>
        <row r="1063">
          <cell r="B1063" t="str">
            <v/>
          </cell>
        </row>
        <row r="1064">
          <cell r="B1064" t="str">
            <v/>
          </cell>
        </row>
        <row r="1065">
          <cell r="B1065" t="str">
            <v/>
          </cell>
        </row>
        <row r="1066">
          <cell r="B1066" t="str">
            <v/>
          </cell>
        </row>
        <row r="1067">
          <cell r="B1067" t="str">
            <v/>
          </cell>
        </row>
        <row r="1068">
          <cell r="B1068" t="str">
            <v/>
          </cell>
        </row>
        <row r="1069">
          <cell r="B1069" t="str">
            <v/>
          </cell>
        </row>
        <row r="1070">
          <cell r="B1070" t="str">
            <v/>
          </cell>
        </row>
        <row r="1071">
          <cell r="B1071" t="str">
            <v/>
          </cell>
        </row>
        <row r="1072">
          <cell r="B1072" t="str">
            <v/>
          </cell>
        </row>
        <row r="1073">
          <cell r="B1073" t="str">
            <v/>
          </cell>
        </row>
        <row r="1074">
          <cell r="B1074" t="str">
            <v/>
          </cell>
        </row>
        <row r="1075">
          <cell r="B1075" t="str">
            <v/>
          </cell>
        </row>
        <row r="1076">
          <cell r="B1076" t="str">
            <v/>
          </cell>
        </row>
        <row r="1077">
          <cell r="B1077" t="str">
            <v/>
          </cell>
        </row>
        <row r="1078">
          <cell r="B1078" t="str">
            <v/>
          </cell>
        </row>
        <row r="1079">
          <cell r="B1079" t="str">
            <v/>
          </cell>
        </row>
        <row r="1080">
          <cell r="B1080" t="str">
            <v/>
          </cell>
        </row>
        <row r="1081">
          <cell r="B1081" t="str">
            <v/>
          </cell>
        </row>
        <row r="1082">
          <cell r="B1082" t="str">
            <v/>
          </cell>
        </row>
        <row r="1083">
          <cell r="B1083" t="str">
            <v/>
          </cell>
        </row>
        <row r="1084">
          <cell r="B1084" t="str">
            <v/>
          </cell>
        </row>
        <row r="1085">
          <cell r="B1085" t="str">
            <v/>
          </cell>
        </row>
        <row r="1086">
          <cell r="B1086" t="str">
            <v/>
          </cell>
        </row>
        <row r="1087">
          <cell r="B1087" t="str">
            <v/>
          </cell>
        </row>
        <row r="1088">
          <cell r="B1088" t="str">
            <v/>
          </cell>
        </row>
        <row r="1089">
          <cell r="B1089" t="str">
            <v/>
          </cell>
        </row>
        <row r="1090">
          <cell r="B1090" t="str">
            <v/>
          </cell>
        </row>
        <row r="1091">
          <cell r="B1091" t="str">
            <v/>
          </cell>
        </row>
        <row r="1092">
          <cell r="B1092" t="str">
            <v/>
          </cell>
        </row>
        <row r="1093">
          <cell r="B1093" t="str">
            <v/>
          </cell>
        </row>
        <row r="1094">
          <cell r="B1094" t="str">
            <v/>
          </cell>
        </row>
        <row r="1095">
          <cell r="B1095" t="str">
            <v/>
          </cell>
        </row>
        <row r="1096">
          <cell r="B1096" t="str">
            <v/>
          </cell>
        </row>
        <row r="1097">
          <cell r="B1097" t="str">
            <v/>
          </cell>
        </row>
        <row r="1098">
          <cell r="B1098" t="str">
            <v/>
          </cell>
        </row>
        <row r="1099">
          <cell r="B1099" t="str">
            <v/>
          </cell>
        </row>
        <row r="1100">
          <cell r="B1100" t="str">
            <v/>
          </cell>
        </row>
        <row r="1101">
          <cell r="B1101" t="str">
            <v/>
          </cell>
        </row>
        <row r="1102">
          <cell r="B1102" t="str">
            <v/>
          </cell>
        </row>
        <row r="1103">
          <cell r="B1103" t="str">
            <v/>
          </cell>
        </row>
        <row r="1104">
          <cell r="B1104" t="str">
            <v/>
          </cell>
        </row>
        <row r="1105">
          <cell r="B1105" t="str">
            <v/>
          </cell>
        </row>
        <row r="1106">
          <cell r="B1106" t="str">
            <v/>
          </cell>
        </row>
        <row r="1107">
          <cell r="B1107" t="str">
            <v/>
          </cell>
        </row>
        <row r="1108">
          <cell r="B1108" t="str">
            <v/>
          </cell>
        </row>
        <row r="1109">
          <cell r="B1109" t="str">
            <v/>
          </cell>
        </row>
        <row r="1110">
          <cell r="B1110" t="str">
            <v/>
          </cell>
        </row>
        <row r="1111">
          <cell r="B1111" t="str">
            <v/>
          </cell>
        </row>
        <row r="1112">
          <cell r="B1112" t="str">
            <v/>
          </cell>
        </row>
        <row r="1113">
          <cell r="B1113" t="str">
            <v/>
          </cell>
        </row>
        <row r="1114">
          <cell r="B1114" t="str">
            <v/>
          </cell>
        </row>
        <row r="1115">
          <cell r="B1115" t="str">
            <v/>
          </cell>
        </row>
        <row r="1116">
          <cell r="B1116" t="str">
            <v/>
          </cell>
        </row>
        <row r="1117">
          <cell r="B1117" t="str">
            <v/>
          </cell>
        </row>
        <row r="1118">
          <cell r="B1118" t="str">
            <v/>
          </cell>
        </row>
        <row r="1119">
          <cell r="B1119" t="str">
            <v/>
          </cell>
        </row>
        <row r="1120">
          <cell r="B1120" t="str">
            <v/>
          </cell>
        </row>
        <row r="1121">
          <cell r="B1121" t="str">
            <v/>
          </cell>
        </row>
        <row r="1122">
          <cell r="B1122" t="str">
            <v/>
          </cell>
        </row>
        <row r="1123">
          <cell r="B1123" t="str">
            <v/>
          </cell>
        </row>
        <row r="1124">
          <cell r="B1124" t="str">
            <v/>
          </cell>
        </row>
        <row r="1125">
          <cell r="B1125" t="str">
            <v/>
          </cell>
        </row>
        <row r="1126">
          <cell r="B1126" t="str">
            <v/>
          </cell>
        </row>
        <row r="1127">
          <cell r="B1127" t="str">
            <v/>
          </cell>
        </row>
        <row r="1128">
          <cell r="B1128" t="str">
            <v/>
          </cell>
        </row>
        <row r="1129">
          <cell r="B1129" t="str">
            <v/>
          </cell>
        </row>
        <row r="1130">
          <cell r="B1130" t="str">
            <v/>
          </cell>
        </row>
        <row r="1131">
          <cell r="B1131" t="str">
            <v/>
          </cell>
        </row>
        <row r="1132">
          <cell r="B1132" t="str">
            <v/>
          </cell>
          <cell r="D1132" t="str">
            <v/>
          </cell>
        </row>
        <row r="1133">
          <cell r="B1133" t="str">
            <v/>
          </cell>
          <cell r="D1133" t="str">
            <v/>
          </cell>
        </row>
        <row r="1134">
          <cell r="B1134" t="str">
            <v/>
          </cell>
          <cell r="D1134" t="str">
            <v>Dwarf</v>
          </cell>
        </row>
        <row r="1135">
          <cell r="B1135" t="str">
            <v/>
          </cell>
          <cell r="D1135" t="str">
            <v>Gnome</v>
          </cell>
        </row>
        <row r="1136">
          <cell r="B1136" t="str">
            <v/>
          </cell>
          <cell r="D1136" t="str">
            <v>Goliath</v>
          </cell>
        </row>
        <row r="1137">
          <cell r="B1137" t="str">
            <v/>
          </cell>
        </row>
        <row r="1138">
          <cell r="B1138" t="str">
            <v/>
          </cell>
        </row>
        <row r="1139">
          <cell r="B1139" t="str">
            <v/>
          </cell>
        </row>
        <row r="1140">
          <cell r="B1140" t="str">
            <v/>
          </cell>
        </row>
        <row r="1141">
          <cell r="B1141" t="str">
            <v/>
          </cell>
        </row>
        <row r="1142">
          <cell r="B1142" t="str">
            <v/>
          </cell>
        </row>
        <row r="1143">
          <cell r="B1143" t="str">
            <v/>
          </cell>
        </row>
        <row r="1144">
          <cell r="B1144" t="str">
            <v/>
          </cell>
        </row>
        <row r="1145">
          <cell r="B1145" t="str">
            <v/>
          </cell>
        </row>
        <row r="1146">
          <cell r="B1146" t="str">
            <v/>
          </cell>
        </row>
        <row r="1147">
          <cell r="B1147" t="str">
            <v/>
          </cell>
        </row>
        <row r="1148">
          <cell r="B1148" t="str">
            <v/>
          </cell>
        </row>
        <row r="1149">
          <cell r="B1149" t="str">
            <v/>
          </cell>
        </row>
        <row r="1150">
          <cell r="B1150" t="str">
            <v/>
          </cell>
        </row>
        <row r="1151">
          <cell r="B1151" t="str">
            <v/>
          </cell>
        </row>
        <row r="1152">
          <cell r="B1152" t="str">
            <v/>
          </cell>
        </row>
        <row r="1153">
          <cell r="B1153" t="str">
            <v/>
          </cell>
        </row>
        <row r="1154">
          <cell r="B1154" t="str">
            <v/>
          </cell>
        </row>
        <row r="1155">
          <cell r="B1155" t="str">
            <v/>
          </cell>
        </row>
        <row r="1156">
          <cell r="B1156" t="str">
            <v/>
          </cell>
        </row>
        <row r="1157">
          <cell r="B1157" t="str">
            <v/>
          </cell>
        </row>
        <row r="1158">
          <cell r="B1158" t="str">
            <v/>
          </cell>
        </row>
        <row r="1159">
          <cell r="B1159" t="str">
            <v/>
          </cell>
        </row>
        <row r="1160">
          <cell r="B1160" t="str">
            <v/>
          </cell>
        </row>
        <row r="1161">
          <cell r="B1161" t="str">
            <v/>
          </cell>
        </row>
        <row r="1162">
          <cell r="B1162" t="str">
            <v/>
          </cell>
        </row>
        <row r="1163">
          <cell r="B1163" t="str">
            <v/>
          </cell>
        </row>
        <row r="1164">
          <cell r="B1164" t="str">
            <v/>
          </cell>
        </row>
        <row r="1165">
          <cell r="B1165" t="str">
            <v/>
          </cell>
        </row>
        <row r="1166">
          <cell r="B1166" t="str">
            <v/>
          </cell>
        </row>
        <row r="1167">
          <cell r="B1167" t="str">
            <v/>
          </cell>
        </row>
        <row r="1168">
          <cell r="B1168" t="str">
            <v/>
          </cell>
        </row>
        <row r="1169">
          <cell r="B1169" t="str">
            <v/>
          </cell>
        </row>
        <row r="1170">
          <cell r="B1170" t="str">
            <v/>
          </cell>
        </row>
        <row r="1171">
          <cell r="B1171" t="str">
            <v/>
          </cell>
        </row>
        <row r="1172">
          <cell r="B1172" t="str">
            <v/>
          </cell>
        </row>
        <row r="1173">
          <cell r="B1173" t="str">
            <v/>
          </cell>
        </row>
        <row r="1174">
          <cell r="B1174" t="str">
            <v/>
          </cell>
        </row>
        <row r="1175">
          <cell r="B1175" t="str">
            <v/>
          </cell>
        </row>
        <row r="1176">
          <cell r="B1176" t="str">
            <v/>
          </cell>
        </row>
        <row r="1177">
          <cell r="B1177" t="str">
            <v/>
          </cell>
        </row>
        <row r="1178">
          <cell r="B1178" t="str">
            <v/>
          </cell>
        </row>
        <row r="1179">
          <cell r="B1179" t="str">
            <v/>
          </cell>
        </row>
        <row r="1180">
          <cell r="B1180" t="str">
            <v/>
          </cell>
        </row>
        <row r="1181">
          <cell r="B1181" t="str">
            <v/>
          </cell>
        </row>
        <row r="1182">
          <cell r="B1182" t="str">
            <v/>
          </cell>
        </row>
        <row r="1183">
          <cell r="B1183" t="str">
            <v/>
          </cell>
        </row>
        <row r="1184">
          <cell r="B1184" t="str">
            <v/>
          </cell>
        </row>
        <row r="1185">
          <cell r="B1185" t="str">
            <v/>
          </cell>
        </row>
        <row r="1186">
          <cell r="B1186" t="str">
            <v/>
          </cell>
        </row>
        <row r="1187">
          <cell r="B1187" t="str">
            <v/>
          </cell>
        </row>
        <row r="1188">
          <cell r="B1188" t="str">
            <v/>
          </cell>
        </row>
        <row r="1189">
          <cell r="B1189" t="str">
            <v/>
          </cell>
        </row>
        <row r="1190">
          <cell r="B1190" t="str">
            <v/>
          </cell>
        </row>
        <row r="1191">
          <cell r="B1191" t="str">
            <v/>
          </cell>
        </row>
        <row r="1192">
          <cell r="B1192" t="str">
            <v/>
          </cell>
        </row>
        <row r="1193">
          <cell r="B1193" t="str">
            <v/>
          </cell>
        </row>
        <row r="1194">
          <cell r="B1194" t="str">
            <v/>
          </cell>
        </row>
        <row r="1195">
          <cell r="B1195" t="str">
            <v/>
          </cell>
        </row>
        <row r="1196">
          <cell r="B1196" t="str">
            <v/>
          </cell>
        </row>
        <row r="1197">
          <cell r="B1197" t="str">
            <v/>
          </cell>
        </row>
        <row r="1198">
          <cell r="B1198" t="str">
            <v/>
          </cell>
        </row>
        <row r="1199">
          <cell r="B1199" t="str">
            <v/>
          </cell>
        </row>
        <row r="1200">
          <cell r="B1200" t="str">
            <v/>
          </cell>
        </row>
        <row r="1201">
          <cell r="B1201" t="str">
            <v/>
          </cell>
        </row>
        <row r="1202">
          <cell r="B1202" t="str">
            <v/>
          </cell>
        </row>
        <row r="1203">
          <cell r="B1203" t="str">
            <v/>
          </cell>
        </row>
        <row r="1204">
          <cell r="B1204" t="str">
            <v/>
          </cell>
        </row>
        <row r="1205">
          <cell r="B1205" t="str">
            <v/>
          </cell>
        </row>
        <row r="1206">
          <cell r="B1206" t="str">
            <v/>
          </cell>
        </row>
        <row r="1207">
          <cell r="B1207" t="str">
            <v/>
          </cell>
        </row>
        <row r="1208">
          <cell r="B1208" t="str">
            <v/>
          </cell>
        </row>
        <row r="1209">
          <cell r="B1209" t="str">
            <v/>
          </cell>
        </row>
        <row r="1210">
          <cell r="B1210" t="str">
            <v/>
          </cell>
        </row>
        <row r="1211">
          <cell r="B1211" t="str">
            <v/>
          </cell>
        </row>
        <row r="1212">
          <cell r="B1212" t="str">
            <v/>
          </cell>
        </row>
        <row r="1213">
          <cell r="B1213" t="str">
            <v/>
          </cell>
        </row>
        <row r="1214">
          <cell r="B1214" t="str">
            <v/>
          </cell>
        </row>
        <row r="1215">
          <cell r="B1215" t="str">
            <v/>
          </cell>
        </row>
        <row r="1216">
          <cell r="B1216" t="str">
            <v/>
          </cell>
        </row>
        <row r="1217">
          <cell r="B1217" t="str">
            <v/>
          </cell>
        </row>
        <row r="1218">
          <cell r="B1218" t="str">
            <v/>
          </cell>
        </row>
        <row r="1219">
          <cell r="B1219" t="str">
            <v/>
          </cell>
        </row>
        <row r="1220">
          <cell r="B1220" t="str">
            <v/>
          </cell>
        </row>
        <row r="1221">
          <cell r="B1221" t="str">
            <v/>
          </cell>
        </row>
        <row r="1222">
          <cell r="B1222" t="str">
            <v/>
          </cell>
        </row>
        <row r="1223">
          <cell r="B1223" t="str">
            <v/>
          </cell>
        </row>
        <row r="1224">
          <cell r="B1224" t="str">
            <v/>
          </cell>
        </row>
        <row r="1225">
          <cell r="B1225" t="str">
            <v/>
          </cell>
        </row>
        <row r="1226">
          <cell r="B1226" t="str">
            <v/>
          </cell>
        </row>
        <row r="1227">
          <cell r="B1227" t="str">
            <v/>
          </cell>
        </row>
        <row r="1228">
          <cell r="B1228" t="str">
            <v/>
          </cell>
        </row>
        <row r="1229">
          <cell r="B1229" t="str">
            <v/>
          </cell>
        </row>
        <row r="1230">
          <cell r="B1230" t="str">
            <v/>
          </cell>
        </row>
        <row r="1231">
          <cell r="B1231" t="str">
            <v/>
          </cell>
        </row>
        <row r="1232">
          <cell r="B1232" t="str">
            <v/>
          </cell>
        </row>
        <row r="1233">
          <cell r="B1233" t="str">
            <v/>
          </cell>
        </row>
        <row r="1234">
          <cell r="B1234" t="str">
            <v/>
          </cell>
        </row>
        <row r="1235">
          <cell r="B1235" t="str">
            <v/>
          </cell>
        </row>
        <row r="1236">
          <cell r="B1236" t="str">
            <v/>
          </cell>
        </row>
        <row r="1237">
          <cell r="B1237" t="str">
            <v/>
          </cell>
        </row>
        <row r="1238">
          <cell r="B1238" t="str">
            <v/>
          </cell>
        </row>
        <row r="1239">
          <cell r="B1239" t="str">
            <v/>
          </cell>
        </row>
        <row r="1240">
          <cell r="B1240" t="str">
            <v/>
          </cell>
        </row>
        <row r="1241">
          <cell r="B1241" t="str">
            <v/>
          </cell>
        </row>
        <row r="1242">
          <cell r="B1242" t="str">
            <v/>
          </cell>
        </row>
        <row r="1243">
          <cell r="B1243" t="str">
            <v/>
          </cell>
        </row>
        <row r="1244">
          <cell r="B1244" t="str">
            <v/>
          </cell>
        </row>
        <row r="1245">
          <cell r="B1245" t="str">
            <v/>
          </cell>
        </row>
        <row r="1246">
          <cell r="B1246" t="str">
            <v/>
          </cell>
        </row>
        <row r="1247">
          <cell r="B1247" t="str">
            <v/>
          </cell>
        </row>
        <row r="1248">
          <cell r="B1248" t="str">
            <v/>
          </cell>
        </row>
        <row r="1249">
          <cell r="B1249" t="str">
            <v/>
          </cell>
        </row>
        <row r="1250">
          <cell r="B1250" t="str">
            <v/>
          </cell>
        </row>
        <row r="1251">
          <cell r="B1251" t="str">
            <v/>
          </cell>
        </row>
        <row r="1252">
          <cell r="B1252" t="str">
            <v/>
          </cell>
        </row>
        <row r="1253">
          <cell r="B1253" t="str">
            <v/>
          </cell>
        </row>
        <row r="1254">
          <cell r="B1254" t="str">
            <v/>
          </cell>
        </row>
        <row r="1255">
          <cell r="B1255" t="str">
            <v/>
          </cell>
        </row>
        <row r="1256">
          <cell r="B1256" t="str">
            <v/>
          </cell>
        </row>
        <row r="1257">
          <cell r="B1257" t="str">
            <v/>
          </cell>
        </row>
        <row r="1258">
          <cell r="B1258" t="str">
            <v/>
          </cell>
        </row>
        <row r="1259">
          <cell r="B1259" t="str">
            <v/>
          </cell>
        </row>
        <row r="1260">
          <cell r="B1260" t="str">
            <v/>
          </cell>
        </row>
        <row r="1261">
          <cell r="B1261" t="str">
            <v/>
          </cell>
        </row>
        <row r="1262">
          <cell r="B1262" t="str">
            <v/>
          </cell>
        </row>
        <row r="1263">
          <cell r="B1263" t="str">
            <v/>
          </cell>
        </row>
        <row r="1264">
          <cell r="B1264" t="str">
            <v/>
          </cell>
        </row>
        <row r="1265">
          <cell r="B1265" t="str">
            <v/>
          </cell>
        </row>
        <row r="1266">
          <cell r="B1266" t="str">
            <v/>
          </cell>
        </row>
        <row r="1267">
          <cell r="B1267" t="str">
            <v/>
          </cell>
        </row>
        <row r="1268">
          <cell r="B1268" t="str">
            <v/>
          </cell>
        </row>
        <row r="1269">
          <cell r="B1269" t="str">
            <v/>
          </cell>
        </row>
        <row r="1270">
          <cell r="B1270" t="str">
            <v/>
          </cell>
        </row>
        <row r="1271">
          <cell r="B1271" t="str">
            <v/>
          </cell>
        </row>
        <row r="1272">
          <cell r="B1272" t="str">
            <v/>
          </cell>
        </row>
        <row r="1273">
          <cell r="B1273" t="str">
            <v/>
          </cell>
        </row>
        <row r="1274">
          <cell r="B1274" t="str">
            <v/>
          </cell>
        </row>
        <row r="1275">
          <cell r="B1275" t="str">
            <v/>
          </cell>
        </row>
        <row r="1276">
          <cell r="B1276" t="str">
            <v/>
          </cell>
        </row>
        <row r="1277">
          <cell r="B1277" t="str">
            <v/>
          </cell>
        </row>
        <row r="1278">
          <cell r="B1278" t="str">
            <v/>
          </cell>
        </row>
        <row r="1279">
          <cell r="B1279" t="str">
            <v/>
          </cell>
        </row>
        <row r="1280">
          <cell r="B1280" t="str">
            <v/>
          </cell>
        </row>
        <row r="1281">
          <cell r="B1281" t="str">
            <v/>
          </cell>
        </row>
        <row r="1282">
          <cell r="B1282" t="str">
            <v/>
          </cell>
        </row>
        <row r="1283">
          <cell r="B1283" t="str">
            <v/>
          </cell>
        </row>
        <row r="1284">
          <cell r="B1284" t="str">
            <v/>
          </cell>
        </row>
        <row r="1285">
          <cell r="B1285" t="str">
            <v/>
          </cell>
        </row>
        <row r="1286">
          <cell r="B1286" t="str">
            <v/>
          </cell>
        </row>
        <row r="1287">
          <cell r="B1287" t="str">
            <v/>
          </cell>
        </row>
        <row r="1288">
          <cell r="B1288" t="str">
            <v/>
          </cell>
        </row>
        <row r="1289">
          <cell r="B1289" t="str">
            <v/>
          </cell>
        </row>
        <row r="1290">
          <cell r="B1290" t="str">
            <v/>
          </cell>
        </row>
        <row r="1291">
          <cell r="B1291" t="str">
            <v/>
          </cell>
        </row>
        <row r="1292">
          <cell r="B1292" t="str">
            <v/>
          </cell>
        </row>
        <row r="1293">
          <cell r="B1293" t="str">
            <v/>
          </cell>
        </row>
        <row r="1294">
          <cell r="B1294" t="str">
            <v/>
          </cell>
        </row>
        <row r="1295">
          <cell r="B1295" t="str">
            <v/>
          </cell>
        </row>
        <row r="1296">
          <cell r="B1296" t="str">
            <v/>
          </cell>
        </row>
        <row r="1297">
          <cell r="B1297" t="str">
            <v/>
          </cell>
        </row>
        <row r="1298">
          <cell r="B1298" t="str">
            <v/>
          </cell>
        </row>
        <row r="1299">
          <cell r="B1299" t="str">
            <v/>
          </cell>
        </row>
        <row r="1300">
          <cell r="B1300" t="str">
            <v/>
          </cell>
        </row>
        <row r="1301">
          <cell r="B1301" t="str">
            <v/>
          </cell>
        </row>
        <row r="1302">
          <cell r="B1302" t="str">
            <v/>
          </cell>
        </row>
        <row r="1303">
          <cell r="B1303" t="str">
            <v/>
          </cell>
        </row>
        <row r="1304">
          <cell r="B1304" t="str">
            <v/>
          </cell>
        </row>
        <row r="1305">
          <cell r="B1305" t="str">
            <v/>
          </cell>
        </row>
        <row r="1306">
          <cell r="B1306" t="str">
            <v/>
          </cell>
        </row>
        <row r="1307">
          <cell r="B1307" t="str">
            <v/>
          </cell>
        </row>
        <row r="1308">
          <cell r="B1308" t="str">
            <v/>
          </cell>
        </row>
        <row r="1309">
          <cell r="B1309" t="str">
            <v/>
          </cell>
        </row>
        <row r="1310">
          <cell r="B1310" t="str">
            <v/>
          </cell>
        </row>
        <row r="1311">
          <cell r="B1311" t="str">
            <v/>
          </cell>
        </row>
        <row r="1312">
          <cell r="B1312" t="str">
            <v/>
          </cell>
        </row>
        <row r="1313">
          <cell r="B1313" t="str">
            <v/>
          </cell>
        </row>
        <row r="1314">
          <cell r="B1314" t="str">
            <v/>
          </cell>
        </row>
        <row r="1315">
          <cell r="B1315" t="str">
            <v/>
          </cell>
        </row>
        <row r="1316">
          <cell r="B1316" t="str">
            <v/>
          </cell>
        </row>
        <row r="1317">
          <cell r="B1317" t="str">
            <v/>
          </cell>
        </row>
        <row r="1318">
          <cell r="B1318" t="str">
            <v/>
          </cell>
        </row>
        <row r="1319">
          <cell r="B1319" t="str">
            <v/>
          </cell>
        </row>
        <row r="1320">
          <cell r="B1320" t="str">
            <v/>
          </cell>
        </row>
        <row r="1321">
          <cell r="B1321" t="str">
            <v/>
          </cell>
        </row>
        <row r="1322">
          <cell r="B1322" t="str">
            <v/>
          </cell>
        </row>
        <row r="1323">
          <cell r="B1323" t="str">
            <v/>
          </cell>
        </row>
        <row r="1324">
          <cell r="B1324" t="str">
            <v/>
          </cell>
        </row>
        <row r="1325">
          <cell r="B1325" t="str">
            <v/>
          </cell>
        </row>
        <row r="1326">
          <cell r="B1326" t="str">
            <v/>
          </cell>
        </row>
        <row r="1327">
          <cell r="B1327" t="str">
            <v/>
          </cell>
        </row>
        <row r="1328">
          <cell r="B1328" t="str">
            <v/>
          </cell>
        </row>
        <row r="1329">
          <cell r="B1329" t="str">
            <v/>
          </cell>
        </row>
        <row r="1330">
          <cell r="B1330" t="str">
            <v/>
          </cell>
        </row>
        <row r="1331">
          <cell r="B1331" t="str">
            <v/>
          </cell>
        </row>
        <row r="1332">
          <cell r="B1332" t="str">
            <v/>
          </cell>
        </row>
        <row r="1333">
          <cell r="B1333" t="str">
            <v/>
          </cell>
        </row>
        <row r="1334">
          <cell r="B1334" t="str">
            <v/>
          </cell>
        </row>
        <row r="1335">
          <cell r="B1335" t="str">
            <v/>
          </cell>
        </row>
        <row r="1336">
          <cell r="B1336" t="str">
            <v/>
          </cell>
        </row>
        <row r="1337">
          <cell r="B1337" t="str">
            <v/>
          </cell>
        </row>
        <row r="1338">
          <cell r="B1338" t="str">
            <v/>
          </cell>
        </row>
        <row r="1339">
          <cell r="B1339" t="str">
            <v/>
          </cell>
        </row>
        <row r="1340">
          <cell r="B1340" t="str">
            <v/>
          </cell>
        </row>
        <row r="1341">
          <cell r="B1341" t="str">
            <v/>
          </cell>
        </row>
        <row r="1342">
          <cell r="B1342" t="str">
            <v/>
          </cell>
        </row>
        <row r="1343">
          <cell r="B1343" t="str">
            <v/>
          </cell>
        </row>
        <row r="1344">
          <cell r="B1344" t="str">
            <v/>
          </cell>
        </row>
        <row r="1345">
          <cell r="B1345" t="str">
            <v/>
          </cell>
        </row>
        <row r="1346">
          <cell r="B1346" t="str">
            <v/>
          </cell>
        </row>
        <row r="1347">
          <cell r="B1347" t="str">
            <v/>
          </cell>
        </row>
        <row r="1348">
          <cell r="B1348" t="str">
            <v/>
          </cell>
        </row>
        <row r="1349">
          <cell r="B1349" t="str">
            <v/>
          </cell>
        </row>
        <row r="1350">
          <cell r="B1350" t="str">
            <v/>
          </cell>
        </row>
        <row r="1351">
          <cell r="B1351" t="str">
            <v/>
          </cell>
        </row>
        <row r="1352">
          <cell r="B1352" t="str">
            <v/>
          </cell>
        </row>
        <row r="1353">
          <cell r="B1353" t="str">
            <v/>
          </cell>
        </row>
        <row r="1354">
          <cell r="B1354" t="str">
            <v/>
          </cell>
        </row>
        <row r="1355">
          <cell r="B1355" t="str">
            <v/>
          </cell>
        </row>
        <row r="1356">
          <cell r="B1356" t="str">
            <v/>
          </cell>
        </row>
        <row r="1357">
          <cell r="B1357" t="str">
            <v/>
          </cell>
        </row>
        <row r="1358">
          <cell r="B1358" t="str">
            <v/>
          </cell>
        </row>
        <row r="1359">
          <cell r="B1359" t="str">
            <v/>
          </cell>
        </row>
        <row r="1360">
          <cell r="B1360" t="str">
            <v/>
          </cell>
        </row>
        <row r="1361">
          <cell r="B1361" t="str">
            <v/>
          </cell>
        </row>
        <row r="1362">
          <cell r="B1362" t="str">
            <v/>
          </cell>
        </row>
        <row r="1363">
          <cell r="B1363" t="str">
            <v/>
          </cell>
        </row>
        <row r="1364">
          <cell r="B1364" t="str">
            <v/>
          </cell>
        </row>
        <row r="1365">
          <cell r="B1365" t="str">
            <v/>
          </cell>
        </row>
        <row r="1366">
          <cell r="B1366" t="str">
            <v/>
          </cell>
        </row>
        <row r="1367">
          <cell r="B1367" t="str">
            <v/>
          </cell>
        </row>
        <row r="1368">
          <cell r="B1368" t="str">
            <v/>
          </cell>
        </row>
        <row r="1369">
          <cell r="B1369" t="str">
            <v/>
          </cell>
        </row>
        <row r="1370">
          <cell r="B1370" t="str">
            <v/>
          </cell>
        </row>
        <row r="1371">
          <cell r="B1371" t="str">
            <v/>
          </cell>
        </row>
        <row r="1372">
          <cell r="B1372" t="str">
            <v/>
          </cell>
        </row>
        <row r="1373">
          <cell r="B1373" t="str">
            <v/>
          </cell>
        </row>
        <row r="1374">
          <cell r="B1374" t="str">
            <v/>
          </cell>
        </row>
        <row r="1375">
          <cell r="B1375" t="str">
            <v/>
          </cell>
        </row>
        <row r="1376">
          <cell r="B1376" t="str">
            <v/>
          </cell>
        </row>
        <row r="1377">
          <cell r="B1377" t="str">
            <v/>
          </cell>
        </row>
        <row r="1378">
          <cell r="B1378" t="str">
            <v/>
          </cell>
        </row>
        <row r="1379">
          <cell r="B1379" t="str">
            <v/>
          </cell>
        </row>
        <row r="1380">
          <cell r="B1380" t="str">
            <v/>
          </cell>
        </row>
        <row r="1381">
          <cell r="B1381" t="str">
            <v/>
          </cell>
        </row>
        <row r="1382">
          <cell r="B1382" t="str">
            <v/>
          </cell>
        </row>
        <row r="1383">
          <cell r="B1383" t="str">
            <v/>
          </cell>
        </row>
        <row r="1384">
          <cell r="B1384" t="str">
            <v/>
          </cell>
        </row>
        <row r="1385">
          <cell r="B1385" t="str">
            <v/>
          </cell>
        </row>
        <row r="1386">
          <cell r="B1386" t="str">
            <v/>
          </cell>
        </row>
        <row r="1387">
          <cell r="B1387" t="str">
            <v/>
          </cell>
        </row>
        <row r="1388">
          <cell r="B1388" t="str">
            <v/>
          </cell>
        </row>
        <row r="1389">
          <cell r="B1389" t="str">
            <v/>
          </cell>
        </row>
        <row r="1390">
          <cell r="B1390" t="str">
            <v/>
          </cell>
        </row>
        <row r="1391">
          <cell r="B1391" t="str">
            <v/>
          </cell>
        </row>
        <row r="1392">
          <cell r="B1392" t="str">
            <v/>
          </cell>
        </row>
        <row r="1393">
          <cell r="B1393" t="str">
            <v/>
          </cell>
        </row>
        <row r="1394">
          <cell r="B1394" t="str">
            <v/>
          </cell>
        </row>
        <row r="1395">
          <cell r="B1395" t="str">
            <v/>
          </cell>
        </row>
        <row r="1396">
          <cell r="B1396" t="str">
            <v/>
          </cell>
        </row>
        <row r="1397">
          <cell r="B1397" t="str">
            <v/>
          </cell>
        </row>
        <row r="1398">
          <cell r="B1398" t="str">
            <v/>
          </cell>
        </row>
        <row r="1399">
          <cell r="B1399" t="str">
            <v/>
          </cell>
        </row>
        <row r="1400">
          <cell r="B1400" t="str">
            <v/>
          </cell>
        </row>
        <row r="1401">
          <cell r="B1401" t="str">
            <v/>
          </cell>
        </row>
        <row r="1402">
          <cell r="B1402" t="str">
            <v/>
          </cell>
        </row>
        <row r="1403">
          <cell r="B1403" t="str">
            <v/>
          </cell>
        </row>
        <row r="1404">
          <cell r="B1404" t="str">
            <v/>
          </cell>
        </row>
        <row r="1405">
          <cell r="B1405" t="str">
            <v/>
          </cell>
        </row>
        <row r="1406">
          <cell r="B1406" t="str">
            <v/>
          </cell>
        </row>
        <row r="1407">
          <cell r="B1407" t="str">
            <v/>
          </cell>
        </row>
        <row r="1408">
          <cell r="B1408" t="str">
            <v/>
          </cell>
        </row>
        <row r="1409">
          <cell r="B1409" t="str">
            <v/>
          </cell>
        </row>
        <row r="1410">
          <cell r="B1410" t="str">
            <v/>
          </cell>
        </row>
        <row r="1411">
          <cell r="B1411" t="str">
            <v/>
          </cell>
        </row>
        <row r="1412">
          <cell r="B1412" t="str">
            <v/>
          </cell>
        </row>
        <row r="1413">
          <cell r="B1413" t="str">
            <v/>
          </cell>
        </row>
        <row r="1414">
          <cell r="B1414" t="str">
            <v/>
          </cell>
        </row>
        <row r="1415">
          <cell r="B1415" t="str">
            <v/>
          </cell>
        </row>
        <row r="1416">
          <cell r="B1416" t="str">
            <v/>
          </cell>
        </row>
        <row r="1417">
          <cell r="B1417" t="str">
            <v/>
          </cell>
        </row>
        <row r="1418">
          <cell r="B1418" t="str">
            <v/>
          </cell>
        </row>
        <row r="1419">
          <cell r="B1419" t="str">
            <v/>
          </cell>
        </row>
        <row r="1420">
          <cell r="B1420" t="str">
            <v/>
          </cell>
        </row>
        <row r="1421">
          <cell r="B1421" t="str">
            <v/>
          </cell>
        </row>
        <row r="1422">
          <cell r="B1422" t="str">
            <v/>
          </cell>
        </row>
        <row r="1423">
          <cell r="B1423" t="str">
            <v/>
          </cell>
        </row>
        <row r="1424">
          <cell r="B1424" t="str">
            <v/>
          </cell>
        </row>
        <row r="1425">
          <cell r="B1425" t="str">
            <v/>
          </cell>
        </row>
        <row r="1426">
          <cell r="B1426" t="str">
            <v/>
          </cell>
        </row>
        <row r="1427">
          <cell r="B1427" t="str">
            <v/>
          </cell>
        </row>
        <row r="1428">
          <cell r="B1428" t="str">
            <v/>
          </cell>
        </row>
        <row r="1429">
          <cell r="B1429" t="str">
            <v/>
          </cell>
        </row>
        <row r="1430">
          <cell r="B1430" t="str">
            <v/>
          </cell>
        </row>
        <row r="1431">
          <cell r="B1431" t="str">
            <v/>
          </cell>
        </row>
        <row r="1432">
          <cell r="B1432" t="str">
            <v/>
          </cell>
        </row>
        <row r="1433">
          <cell r="B1433" t="str">
            <v/>
          </cell>
        </row>
        <row r="1434">
          <cell r="B1434" t="str">
            <v/>
          </cell>
        </row>
        <row r="1435">
          <cell r="B1435" t="str">
            <v/>
          </cell>
        </row>
        <row r="1436">
          <cell r="B1436" t="str">
            <v/>
          </cell>
        </row>
        <row r="1437">
          <cell r="B1437" t="str">
            <v/>
          </cell>
        </row>
        <row r="1438">
          <cell r="B1438" t="str">
            <v/>
          </cell>
        </row>
        <row r="1439">
          <cell r="B1439" t="str">
            <v/>
          </cell>
        </row>
        <row r="1440">
          <cell r="B1440" t="str">
            <v/>
          </cell>
        </row>
        <row r="1441">
          <cell r="B1441" t="str">
            <v/>
          </cell>
        </row>
        <row r="1442">
          <cell r="B1442" t="str">
            <v/>
          </cell>
        </row>
        <row r="1443">
          <cell r="B1443" t="str">
            <v/>
          </cell>
        </row>
        <row r="1444">
          <cell r="B1444" t="str">
            <v/>
          </cell>
        </row>
        <row r="1445">
          <cell r="B1445" t="str">
            <v/>
          </cell>
        </row>
        <row r="1446">
          <cell r="B1446" t="str">
            <v/>
          </cell>
        </row>
        <row r="1447">
          <cell r="B1447" t="str">
            <v/>
          </cell>
        </row>
        <row r="1448">
          <cell r="B1448" t="str">
            <v/>
          </cell>
        </row>
        <row r="1449">
          <cell r="B1449" t="str">
            <v/>
          </cell>
        </row>
        <row r="1450">
          <cell r="B1450" t="str">
            <v/>
          </cell>
        </row>
        <row r="1451">
          <cell r="B1451" t="str">
            <v/>
          </cell>
        </row>
        <row r="1452">
          <cell r="B1452" t="str">
            <v/>
          </cell>
        </row>
        <row r="1453">
          <cell r="B1453" t="str">
            <v/>
          </cell>
        </row>
        <row r="1454">
          <cell r="B1454" t="str">
            <v/>
          </cell>
        </row>
        <row r="1455">
          <cell r="B1455" t="str">
            <v/>
          </cell>
        </row>
        <row r="1456">
          <cell r="B1456" t="str">
            <v/>
          </cell>
        </row>
        <row r="1457">
          <cell r="B1457" t="str">
            <v/>
          </cell>
        </row>
        <row r="1458">
          <cell r="B1458" t="str">
            <v/>
          </cell>
        </row>
        <row r="1459">
          <cell r="B1459" t="str">
            <v/>
          </cell>
        </row>
        <row r="1460">
          <cell r="B1460" t="str">
            <v/>
          </cell>
        </row>
        <row r="1461">
          <cell r="B1461" t="str">
            <v/>
          </cell>
        </row>
        <row r="1462">
          <cell r="B1462" t="str">
            <v/>
          </cell>
        </row>
        <row r="1463">
          <cell r="B1463" t="str">
            <v/>
          </cell>
        </row>
        <row r="1464">
          <cell r="B1464" t="str">
            <v/>
          </cell>
        </row>
        <row r="1465">
          <cell r="B1465" t="str">
            <v/>
          </cell>
        </row>
        <row r="1466">
          <cell r="B1466" t="str">
            <v/>
          </cell>
        </row>
        <row r="1467">
          <cell r="B1467" t="str">
            <v/>
          </cell>
        </row>
        <row r="1468">
          <cell r="B1468" t="str">
            <v/>
          </cell>
        </row>
        <row r="1469">
          <cell r="B1469" t="str">
            <v/>
          </cell>
        </row>
        <row r="1470">
          <cell r="B1470" t="str">
            <v/>
          </cell>
        </row>
        <row r="1471">
          <cell r="B1471" t="str">
            <v/>
          </cell>
        </row>
        <row r="1472">
          <cell r="B1472" t="str">
            <v/>
          </cell>
        </row>
        <row r="1473">
          <cell r="B1473" t="str">
            <v/>
          </cell>
        </row>
        <row r="1474">
          <cell r="B1474" t="str">
            <v/>
          </cell>
        </row>
        <row r="1475">
          <cell r="B1475" t="str">
            <v/>
          </cell>
        </row>
        <row r="1476">
          <cell r="B1476" t="str">
            <v/>
          </cell>
        </row>
        <row r="1477">
          <cell r="B1477" t="str">
            <v/>
          </cell>
        </row>
        <row r="1478">
          <cell r="B1478" t="str">
            <v/>
          </cell>
        </row>
        <row r="1479">
          <cell r="B1479" t="str">
            <v/>
          </cell>
        </row>
        <row r="1480">
          <cell r="B1480" t="str">
            <v/>
          </cell>
        </row>
        <row r="1481">
          <cell r="B1481" t="str">
            <v/>
          </cell>
        </row>
        <row r="1482">
          <cell r="B1482" t="str">
            <v/>
          </cell>
        </row>
        <row r="1483">
          <cell r="B1483" t="str">
            <v/>
          </cell>
        </row>
        <row r="1484">
          <cell r="B1484" t="str">
            <v/>
          </cell>
        </row>
        <row r="1485">
          <cell r="B1485" t="str">
            <v/>
          </cell>
        </row>
        <row r="1486">
          <cell r="B1486" t="str">
            <v/>
          </cell>
        </row>
        <row r="1487">
          <cell r="B1487" t="str">
            <v/>
          </cell>
        </row>
        <row r="1488">
          <cell r="B1488" t="str">
            <v/>
          </cell>
        </row>
        <row r="1489">
          <cell r="B1489" t="str">
            <v/>
          </cell>
        </row>
        <row r="1490">
          <cell r="B1490" t="str">
            <v/>
          </cell>
        </row>
        <row r="1491">
          <cell r="B1491" t="str">
            <v/>
          </cell>
        </row>
        <row r="1492">
          <cell r="B1492" t="str">
            <v/>
          </cell>
        </row>
        <row r="1493">
          <cell r="B1493" t="str">
            <v/>
          </cell>
        </row>
        <row r="1494">
          <cell r="B1494" t="str">
            <v/>
          </cell>
        </row>
        <row r="1495">
          <cell r="B1495" t="str">
            <v/>
          </cell>
        </row>
        <row r="1496">
          <cell r="B1496" t="str">
            <v/>
          </cell>
        </row>
        <row r="1497">
          <cell r="B1497" t="str">
            <v/>
          </cell>
        </row>
        <row r="1498">
          <cell r="B1498" t="str">
            <v/>
          </cell>
        </row>
        <row r="1499">
          <cell r="B1499" t="str">
            <v/>
          </cell>
        </row>
        <row r="1500">
          <cell r="B1500" t="str">
            <v/>
          </cell>
        </row>
        <row r="1501">
          <cell r="B1501" t="str">
            <v/>
          </cell>
        </row>
        <row r="1502">
          <cell r="B1502" t="str">
            <v/>
          </cell>
        </row>
        <row r="1503">
          <cell r="B1503" t="str">
            <v/>
          </cell>
        </row>
        <row r="1504">
          <cell r="B1504" t="str">
            <v/>
          </cell>
        </row>
        <row r="1505">
          <cell r="B1505" t="str">
            <v/>
          </cell>
        </row>
        <row r="1506">
          <cell r="B1506" t="str">
            <v/>
          </cell>
        </row>
        <row r="1507">
          <cell r="B1507" t="str">
            <v/>
          </cell>
        </row>
        <row r="1508">
          <cell r="B1508" t="str">
            <v/>
          </cell>
        </row>
        <row r="1509">
          <cell r="B1509" t="str">
            <v/>
          </cell>
        </row>
        <row r="1510">
          <cell r="B1510" t="str">
            <v/>
          </cell>
        </row>
        <row r="1511">
          <cell r="B1511" t="str">
            <v/>
          </cell>
        </row>
        <row r="1512">
          <cell r="B1512" t="str">
            <v/>
          </cell>
        </row>
        <row r="1513">
          <cell r="B1513" t="str">
            <v/>
          </cell>
        </row>
        <row r="1514">
          <cell r="B1514" t="str">
            <v/>
          </cell>
        </row>
        <row r="1515">
          <cell r="B1515" t="str">
            <v/>
          </cell>
        </row>
        <row r="1516">
          <cell r="B1516" t="str">
            <v/>
          </cell>
        </row>
        <row r="1517">
          <cell r="B1517" t="str">
            <v/>
          </cell>
        </row>
        <row r="1518">
          <cell r="B1518" t="str">
            <v/>
          </cell>
        </row>
        <row r="1519">
          <cell r="B1519" t="str">
            <v/>
          </cell>
        </row>
        <row r="1520">
          <cell r="B1520" t="str">
            <v/>
          </cell>
        </row>
        <row r="1521">
          <cell r="B1521" t="str">
            <v/>
          </cell>
        </row>
        <row r="1522">
          <cell r="B1522" t="str">
            <v/>
          </cell>
        </row>
        <row r="1523">
          <cell r="B1523" t="str">
            <v/>
          </cell>
        </row>
        <row r="1524">
          <cell r="B1524" t="str">
            <v/>
          </cell>
        </row>
        <row r="1525">
          <cell r="B1525" t="str">
            <v/>
          </cell>
        </row>
        <row r="1526">
          <cell r="B1526" t="str">
            <v/>
          </cell>
        </row>
        <row r="1527">
          <cell r="B1527" t="str">
            <v/>
          </cell>
        </row>
        <row r="1528">
          <cell r="B1528" t="str">
            <v/>
          </cell>
        </row>
        <row r="1529">
          <cell r="B1529" t="str">
            <v/>
          </cell>
        </row>
        <row r="1530">
          <cell r="B1530" t="str">
            <v/>
          </cell>
        </row>
        <row r="1531">
          <cell r="B1531" t="str">
            <v/>
          </cell>
        </row>
        <row r="1532">
          <cell r="B1532" t="str">
            <v/>
          </cell>
        </row>
        <row r="1533">
          <cell r="B1533" t="str">
            <v/>
          </cell>
        </row>
        <row r="1534">
          <cell r="B1534" t="str">
            <v/>
          </cell>
        </row>
        <row r="1535">
          <cell r="B1535" t="str">
            <v/>
          </cell>
        </row>
        <row r="1536">
          <cell r="B1536" t="str">
            <v/>
          </cell>
        </row>
        <row r="1537">
          <cell r="B1537" t="str">
            <v/>
          </cell>
        </row>
        <row r="1538">
          <cell r="B1538" t="str">
            <v/>
          </cell>
        </row>
        <row r="1539">
          <cell r="B1539" t="str">
            <v/>
          </cell>
        </row>
        <row r="1540">
          <cell r="B1540" t="str">
            <v/>
          </cell>
        </row>
        <row r="1541">
          <cell r="B1541" t="str">
            <v/>
          </cell>
        </row>
        <row r="1542">
          <cell r="B1542" t="str">
            <v/>
          </cell>
        </row>
        <row r="1543">
          <cell r="B1543" t="str">
            <v/>
          </cell>
        </row>
        <row r="1544">
          <cell r="B1544" t="str">
            <v/>
          </cell>
        </row>
        <row r="1545">
          <cell r="B1545" t="str">
            <v/>
          </cell>
        </row>
        <row r="1546">
          <cell r="B1546" t="str">
            <v/>
          </cell>
        </row>
        <row r="1547">
          <cell r="B1547" t="str">
            <v/>
          </cell>
        </row>
        <row r="1548">
          <cell r="B1548" t="str">
            <v/>
          </cell>
        </row>
        <row r="1549">
          <cell r="B1549" t="str">
            <v/>
          </cell>
        </row>
        <row r="1550">
          <cell r="B1550" t="str">
            <v/>
          </cell>
        </row>
        <row r="1551">
          <cell r="B1551" t="str">
            <v/>
          </cell>
        </row>
        <row r="1552">
          <cell r="B1552" t="str">
            <v/>
          </cell>
        </row>
        <row r="1553">
          <cell r="B1553" t="str">
            <v/>
          </cell>
        </row>
        <row r="1554">
          <cell r="B1554" t="str">
            <v/>
          </cell>
        </row>
        <row r="1555">
          <cell r="B1555" t="str">
            <v/>
          </cell>
        </row>
        <row r="1556">
          <cell r="B1556" t="str">
            <v/>
          </cell>
        </row>
        <row r="1557">
          <cell r="B1557" t="str">
            <v/>
          </cell>
        </row>
        <row r="1558">
          <cell r="B1558" t="str">
            <v/>
          </cell>
        </row>
        <row r="1559">
          <cell r="B1559" t="str">
            <v/>
          </cell>
        </row>
        <row r="1560">
          <cell r="B1560" t="str">
            <v/>
          </cell>
        </row>
        <row r="1561">
          <cell r="B1561" t="str">
            <v/>
          </cell>
        </row>
        <row r="1562">
          <cell r="B1562" t="str">
            <v/>
          </cell>
        </row>
        <row r="1563">
          <cell r="B1563" t="str">
            <v/>
          </cell>
        </row>
        <row r="1564">
          <cell r="B1564" t="str">
            <v/>
          </cell>
        </row>
        <row r="1565">
          <cell r="B1565" t="str">
            <v/>
          </cell>
        </row>
        <row r="1566">
          <cell r="B1566" t="str">
            <v/>
          </cell>
        </row>
        <row r="1567">
          <cell r="B1567" t="str">
            <v/>
          </cell>
        </row>
        <row r="1568">
          <cell r="B1568" t="str">
            <v/>
          </cell>
        </row>
        <row r="1569">
          <cell r="B1569" t="str">
            <v/>
          </cell>
        </row>
        <row r="1570">
          <cell r="B1570" t="str">
            <v/>
          </cell>
        </row>
        <row r="1571">
          <cell r="B1571" t="str">
            <v/>
          </cell>
        </row>
        <row r="1572">
          <cell r="B1572" t="str">
            <v/>
          </cell>
        </row>
        <row r="1573">
          <cell r="B1573" t="str">
            <v/>
          </cell>
        </row>
        <row r="1574">
          <cell r="B1574" t="str">
            <v/>
          </cell>
        </row>
        <row r="1575">
          <cell r="B1575" t="str">
            <v/>
          </cell>
        </row>
        <row r="1576">
          <cell r="B1576" t="str">
            <v/>
          </cell>
        </row>
        <row r="1577">
          <cell r="B1577" t="str">
            <v/>
          </cell>
        </row>
        <row r="1578">
          <cell r="B1578" t="str">
            <v/>
          </cell>
        </row>
        <row r="1579">
          <cell r="B1579" t="str">
            <v/>
          </cell>
        </row>
        <row r="1580">
          <cell r="B1580" t="str">
            <v/>
          </cell>
        </row>
        <row r="1581">
          <cell r="B1581" t="str">
            <v/>
          </cell>
          <cell r="F1581" t="b">
            <v>0</v>
          </cell>
        </row>
        <row r="1582">
          <cell r="B1582" t="str">
            <v/>
          </cell>
        </row>
        <row r="1583">
          <cell r="B1583" t="str">
            <v/>
          </cell>
        </row>
        <row r="1584">
          <cell r="B1584" t="str">
            <v/>
          </cell>
          <cell r="F1584" t="str">
            <v/>
          </cell>
        </row>
        <row r="1585">
          <cell r="B1585" t="str">
            <v/>
          </cell>
        </row>
        <row r="1586">
          <cell r="B1586" t="str">
            <v/>
          </cell>
        </row>
        <row r="1587">
          <cell r="B1587" t="str">
            <v/>
          </cell>
        </row>
        <row r="1588">
          <cell r="B1588" t="str">
            <v/>
          </cell>
        </row>
        <row r="1589">
          <cell r="B1589" t="str">
            <v/>
          </cell>
        </row>
        <row r="1590">
          <cell r="B1590" t="str">
            <v/>
          </cell>
        </row>
        <row r="1591">
          <cell r="B1591" t="str">
            <v/>
          </cell>
        </row>
        <row r="1592">
          <cell r="B1592" t="str">
            <v/>
          </cell>
        </row>
        <row r="1593">
          <cell r="B1593" t="str">
            <v/>
          </cell>
        </row>
        <row r="1594">
          <cell r="B1594" t="str">
            <v/>
          </cell>
        </row>
        <row r="1595">
          <cell r="B1595" t="str">
            <v/>
          </cell>
        </row>
        <row r="1596">
          <cell r="B1596" t="str">
            <v/>
          </cell>
        </row>
        <row r="1597">
          <cell r="B1597" t="str">
            <v/>
          </cell>
        </row>
        <row r="1598">
          <cell r="B1598" t="str">
            <v/>
          </cell>
        </row>
        <row r="1599">
          <cell r="B1599" t="str">
            <v/>
          </cell>
        </row>
        <row r="1600">
          <cell r="B1600" t="str">
            <v/>
          </cell>
        </row>
        <row r="1601">
          <cell r="B1601" t="str">
            <v/>
          </cell>
        </row>
        <row r="1602">
          <cell r="B1602" t="str">
            <v/>
          </cell>
        </row>
        <row r="1603">
          <cell r="B1603" t="str">
            <v/>
          </cell>
        </row>
        <row r="1604">
          <cell r="B1604" t="str">
            <v/>
          </cell>
        </row>
        <row r="1605">
          <cell r="B1605" t="str">
            <v/>
          </cell>
        </row>
        <row r="1606">
          <cell r="B1606" t="str">
            <v/>
          </cell>
        </row>
        <row r="1607">
          <cell r="B1607" t="str">
            <v/>
          </cell>
          <cell r="D1607" t="b">
            <v>0</v>
          </cell>
        </row>
        <row r="1608">
          <cell r="B1608" t="str">
            <v/>
          </cell>
          <cell r="E1608" t="str">
            <v/>
          </cell>
          <cell r="F1608" t="str">
            <v/>
          </cell>
        </row>
        <row r="1609">
          <cell r="B1609" t="str">
            <v/>
          </cell>
          <cell r="D1609">
            <v>0</v>
          </cell>
          <cell r="F1609" t="str">
            <v/>
          </cell>
        </row>
        <row r="1610">
          <cell r="B1610" t="str">
            <v/>
          </cell>
          <cell r="F1610" t="str">
            <v>Clairsentience</v>
          </cell>
        </row>
        <row r="1611">
          <cell r="B1611" t="str">
            <v/>
          </cell>
          <cell r="D1611" t="b">
            <v>0</v>
          </cell>
          <cell r="F1611" t="str">
            <v>Metacreativity</v>
          </cell>
        </row>
        <row r="1612">
          <cell r="B1612" t="str">
            <v/>
          </cell>
          <cell r="F1612" t="str">
            <v>Psychokinesis</v>
          </cell>
        </row>
        <row r="1613">
          <cell r="B1613" t="str">
            <v/>
          </cell>
          <cell r="F1613" t="str">
            <v>Psycometabolism</v>
          </cell>
        </row>
        <row r="1614">
          <cell r="B1614" t="str">
            <v/>
          </cell>
        </row>
        <row r="1615">
          <cell r="B1615" t="str">
            <v/>
          </cell>
        </row>
        <row r="1616">
          <cell r="B1616" t="str">
            <v/>
          </cell>
          <cell r="D1616">
            <v>0</v>
          </cell>
          <cell r="F1616" t="str">
            <v>Psycoportation</v>
          </cell>
        </row>
        <row r="1617">
          <cell r="B1617" t="str">
            <v/>
          </cell>
          <cell r="D1617" t="b">
            <v>0</v>
          </cell>
          <cell r="F1617" t="str">
            <v>Telepathy</v>
          </cell>
        </row>
        <row r="1618">
          <cell r="B1618" t="str">
            <v/>
          </cell>
        </row>
        <row r="1619">
          <cell r="B1619" t="str">
            <v/>
          </cell>
          <cell r="D1619" t="b">
            <v>0</v>
          </cell>
        </row>
        <row r="1620">
          <cell r="B1620" t="str">
            <v/>
          </cell>
          <cell r="D1620" t="b">
            <v>0</v>
          </cell>
        </row>
        <row r="1621">
          <cell r="B1621" t="str">
            <v/>
          </cell>
        </row>
        <row r="1622">
          <cell r="B1622" t="str">
            <v/>
          </cell>
        </row>
        <row r="1623">
          <cell r="B1623" t="str">
            <v/>
          </cell>
        </row>
        <row r="1624">
          <cell r="B1624" t="str">
            <v/>
          </cell>
        </row>
        <row r="1625">
          <cell r="B1625" t="str">
            <v/>
          </cell>
        </row>
        <row r="1626">
          <cell r="B1626" t="str">
            <v/>
          </cell>
        </row>
        <row r="1627">
          <cell r="B1627" t="str">
            <v/>
          </cell>
        </row>
        <row r="1628">
          <cell r="B1628" t="str">
            <v/>
          </cell>
        </row>
        <row r="1629">
          <cell r="B1629" t="str">
            <v/>
          </cell>
        </row>
        <row r="1630">
          <cell r="B1630" t="str">
            <v/>
          </cell>
        </row>
        <row r="1631">
          <cell r="B1631" t="str">
            <v/>
          </cell>
        </row>
        <row r="1632">
          <cell r="B1632" t="str">
            <v/>
          </cell>
        </row>
        <row r="1633">
          <cell r="B1633" t="str">
            <v/>
          </cell>
        </row>
        <row r="1634">
          <cell r="B1634" t="str">
            <v/>
          </cell>
        </row>
        <row r="1635">
          <cell r="B1635" t="str">
            <v/>
          </cell>
        </row>
        <row r="1636">
          <cell r="B1636" t="str">
            <v/>
          </cell>
        </row>
        <row r="1637">
          <cell r="B1637" t="str">
            <v/>
          </cell>
        </row>
        <row r="1638">
          <cell r="B1638" t="str">
            <v/>
          </cell>
        </row>
        <row r="1639">
          <cell r="B1639" t="str">
            <v/>
          </cell>
        </row>
        <row r="1640">
          <cell r="B1640" t="str">
            <v/>
          </cell>
        </row>
        <row r="1641">
          <cell r="B1641" t="str">
            <v/>
          </cell>
        </row>
        <row r="1642">
          <cell r="B1642" t="str">
            <v/>
          </cell>
        </row>
        <row r="1643">
          <cell r="B1643" t="str">
            <v/>
          </cell>
        </row>
        <row r="1644">
          <cell r="B1644" t="str">
            <v/>
          </cell>
        </row>
        <row r="1645">
          <cell r="B1645" t="str">
            <v/>
          </cell>
        </row>
        <row r="1646">
          <cell r="B1646" t="str">
            <v/>
          </cell>
        </row>
        <row r="1647">
          <cell r="B1647" t="str">
            <v/>
          </cell>
        </row>
        <row r="1648">
          <cell r="B1648" t="str">
            <v/>
          </cell>
        </row>
        <row r="1649">
          <cell r="B1649" t="str">
            <v/>
          </cell>
        </row>
        <row r="1650">
          <cell r="B1650" t="str">
            <v/>
          </cell>
        </row>
        <row r="1651">
          <cell r="B1651" t="str">
            <v/>
          </cell>
        </row>
        <row r="1652">
          <cell r="B1652" t="str">
            <v/>
          </cell>
        </row>
        <row r="1653">
          <cell r="B1653" t="str">
            <v/>
          </cell>
        </row>
        <row r="1654">
          <cell r="B1654" t="str">
            <v/>
          </cell>
        </row>
        <row r="1655">
          <cell r="B1655" t="str">
            <v/>
          </cell>
        </row>
        <row r="1656">
          <cell r="B1656" t="str">
            <v/>
          </cell>
        </row>
        <row r="1657">
          <cell r="B1657" t="str">
            <v/>
          </cell>
        </row>
        <row r="1658">
          <cell r="B1658" t="str">
            <v/>
          </cell>
        </row>
        <row r="1659">
          <cell r="B1659" t="str">
            <v/>
          </cell>
        </row>
        <row r="1660">
          <cell r="B1660" t="str">
            <v/>
          </cell>
        </row>
        <row r="1661">
          <cell r="B1661" t="str">
            <v/>
          </cell>
        </row>
        <row r="1662">
          <cell r="B1662" t="str">
            <v/>
          </cell>
        </row>
        <row r="1663">
          <cell r="B1663" t="str">
            <v/>
          </cell>
        </row>
        <row r="1664">
          <cell r="B1664" t="str">
            <v/>
          </cell>
        </row>
        <row r="1665">
          <cell r="B1665" t="str">
            <v/>
          </cell>
        </row>
        <row r="1666">
          <cell r="B1666" t="str">
            <v/>
          </cell>
        </row>
        <row r="1667">
          <cell r="B1667" t="str">
            <v/>
          </cell>
        </row>
        <row r="1668">
          <cell r="B1668" t="str">
            <v/>
          </cell>
        </row>
        <row r="1669">
          <cell r="B1669" t="str">
            <v/>
          </cell>
        </row>
        <row r="1670">
          <cell r="B1670" t="str">
            <v/>
          </cell>
        </row>
        <row r="1671">
          <cell r="B1671" t="str">
            <v/>
          </cell>
        </row>
        <row r="1672">
          <cell r="B1672" t="str">
            <v/>
          </cell>
        </row>
        <row r="1673">
          <cell r="B1673" t="str">
            <v/>
          </cell>
        </row>
        <row r="1674">
          <cell r="B1674" t="str">
            <v/>
          </cell>
        </row>
        <row r="1675">
          <cell r="B1675" t="str">
            <v/>
          </cell>
        </row>
        <row r="1676">
          <cell r="B1676" t="str">
            <v/>
          </cell>
        </row>
        <row r="1677">
          <cell r="B1677" t="str">
            <v/>
          </cell>
        </row>
        <row r="1678">
          <cell r="B1678" t="str">
            <v/>
          </cell>
        </row>
        <row r="1679">
          <cell r="B1679" t="str">
            <v/>
          </cell>
        </row>
        <row r="1680">
          <cell r="B1680" t="str">
            <v/>
          </cell>
        </row>
        <row r="1681">
          <cell r="B1681" t="str">
            <v/>
          </cell>
        </row>
        <row r="1682">
          <cell r="B1682" t="str">
            <v/>
          </cell>
        </row>
        <row r="1683">
          <cell r="B1683" t="str">
            <v/>
          </cell>
        </row>
        <row r="1684">
          <cell r="B1684" t="str">
            <v/>
          </cell>
        </row>
        <row r="1685">
          <cell r="B1685" t="str">
            <v/>
          </cell>
        </row>
        <row r="1686">
          <cell r="B1686" t="str">
            <v/>
          </cell>
        </row>
        <row r="1687">
          <cell r="B1687" t="str">
            <v/>
          </cell>
        </row>
        <row r="1688">
          <cell r="B1688" t="str">
            <v/>
          </cell>
        </row>
        <row r="1689">
          <cell r="B1689" t="str">
            <v/>
          </cell>
        </row>
        <row r="1690">
          <cell r="B1690" t="str">
            <v/>
          </cell>
        </row>
        <row r="1691">
          <cell r="B1691" t="str">
            <v/>
          </cell>
        </row>
        <row r="1692">
          <cell r="B1692" t="str">
            <v/>
          </cell>
        </row>
        <row r="1693">
          <cell r="B1693" t="str">
            <v/>
          </cell>
        </row>
        <row r="1694">
          <cell r="B1694" t="str">
            <v/>
          </cell>
        </row>
        <row r="1695">
          <cell r="B1695" t="str">
            <v/>
          </cell>
        </row>
        <row r="1696">
          <cell r="B1696" t="str">
            <v/>
          </cell>
        </row>
        <row r="1697">
          <cell r="B1697" t="str">
            <v/>
          </cell>
        </row>
        <row r="1698">
          <cell r="B1698" t="str">
            <v/>
          </cell>
        </row>
        <row r="1699">
          <cell r="B1699" t="str">
            <v/>
          </cell>
        </row>
        <row r="1700">
          <cell r="B1700" t="str">
            <v/>
          </cell>
        </row>
        <row r="1701">
          <cell r="B1701" t="str">
            <v/>
          </cell>
        </row>
        <row r="1702">
          <cell r="B1702" t="str">
            <v/>
          </cell>
        </row>
        <row r="1703">
          <cell r="B1703" t="str">
            <v/>
          </cell>
        </row>
        <row r="1704">
          <cell r="B1704" t="str">
            <v/>
          </cell>
        </row>
        <row r="1705">
          <cell r="B1705" t="str">
            <v/>
          </cell>
        </row>
        <row r="1706">
          <cell r="B1706" t="str">
            <v/>
          </cell>
        </row>
        <row r="1707">
          <cell r="B1707" t="str">
            <v/>
          </cell>
        </row>
        <row r="1708">
          <cell r="B1708" t="str">
            <v/>
          </cell>
        </row>
        <row r="1709">
          <cell r="B1709" t="str">
            <v/>
          </cell>
        </row>
        <row r="1710">
          <cell r="B1710" t="str">
            <v/>
          </cell>
        </row>
        <row r="1711">
          <cell r="B1711" t="str">
            <v/>
          </cell>
        </row>
        <row r="1712">
          <cell r="B1712" t="str">
            <v/>
          </cell>
        </row>
        <row r="1713">
          <cell r="B1713" t="str">
            <v/>
          </cell>
        </row>
        <row r="1714">
          <cell r="B1714" t="str">
            <v/>
          </cell>
        </row>
        <row r="1715">
          <cell r="B1715" t="str">
            <v/>
          </cell>
        </row>
        <row r="1716">
          <cell r="B1716" t="str">
            <v/>
          </cell>
        </row>
        <row r="1717">
          <cell r="B1717" t="str">
            <v/>
          </cell>
        </row>
        <row r="1718">
          <cell r="B1718" t="str">
            <v/>
          </cell>
        </row>
        <row r="1719">
          <cell r="B1719" t="str">
            <v/>
          </cell>
        </row>
        <row r="1720">
          <cell r="B1720" t="str">
            <v/>
          </cell>
        </row>
        <row r="1721">
          <cell r="B1721" t="str">
            <v/>
          </cell>
        </row>
        <row r="1722">
          <cell r="B1722" t="str">
            <v/>
          </cell>
        </row>
        <row r="1723">
          <cell r="B1723" t="str">
            <v/>
          </cell>
        </row>
        <row r="1724">
          <cell r="B1724" t="str">
            <v/>
          </cell>
        </row>
        <row r="1725">
          <cell r="B1725" t="str">
            <v/>
          </cell>
        </row>
        <row r="1726">
          <cell r="B1726" t="str">
            <v/>
          </cell>
        </row>
        <row r="1727">
          <cell r="B1727" t="str">
            <v/>
          </cell>
        </row>
        <row r="1728">
          <cell r="B1728" t="str">
            <v/>
          </cell>
        </row>
        <row r="1729">
          <cell r="B1729" t="str">
            <v/>
          </cell>
        </row>
        <row r="1730">
          <cell r="B1730" t="str">
            <v/>
          </cell>
        </row>
        <row r="1731">
          <cell r="B1731" t="str">
            <v/>
          </cell>
        </row>
        <row r="1732">
          <cell r="B1732" t="str">
            <v/>
          </cell>
        </row>
        <row r="1733">
          <cell r="B1733" t="str">
            <v/>
          </cell>
        </row>
        <row r="1734">
          <cell r="B1734" t="str">
            <v/>
          </cell>
        </row>
        <row r="1735">
          <cell r="B1735" t="str">
            <v/>
          </cell>
        </row>
        <row r="1736">
          <cell r="B1736" t="str">
            <v/>
          </cell>
        </row>
        <row r="1737">
          <cell r="B1737" t="str">
            <v/>
          </cell>
        </row>
        <row r="1738">
          <cell r="B1738" t="str">
            <v/>
          </cell>
        </row>
        <row r="1739">
          <cell r="B1739" t="str">
            <v/>
          </cell>
        </row>
        <row r="1740">
          <cell r="B1740" t="str">
            <v/>
          </cell>
        </row>
        <row r="1741">
          <cell r="B1741" t="str">
            <v/>
          </cell>
        </row>
        <row r="1742">
          <cell r="B1742" t="str">
            <v/>
          </cell>
        </row>
        <row r="1743">
          <cell r="B1743" t="str">
            <v/>
          </cell>
        </row>
        <row r="1744">
          <cell r="B1744" t="str">
            <v/>
          </cell>
        </row>
        <row r="1745">
          <cell r="B1745" t="str">
            <v/>
          </cell>
        </row>
        <row r="1746">
          <cell r="B1746" t="str">
            <v/>
          </cell>
        </row>
        <row r="1747">
          <cell r="B1747" t="str">
            <v/>
          </cell>
        </row>
        <row r="1748">
          <cell r="B1748" t="str">
            <v/>
          </cell>
        </row>
        <row r="1749">
          <cell r="B1749" t="str">
            <v/>
          </cell>
        </row>
        <row r="1750">
          <cell r="B1750" t="str">
            <v/>
          </cell>
        </row>
        <row r="1751">
          <cell r="B1751" t="str">
            <v/>
          </cell>
        </row>
        <row r="1752">
          <cell r="B1752" t="str">
            <v/>
          </cell>
        </row>
        <row r="1753">
          <cell r="B1753" t="str">
            <v/>
          </cell>
        </row>
        <row r="1754">
          <cell r="B1754" t="str">
            <v/>
          </cell>
        </row>
        <row r="1755">
          <cell r="B1755" t="str">
            <v/>
          </cell>
        </row>
        <row r="1756">
          <cell r="B1756" t="str">
            <v/>
          </cell>
        </row>
        <row r="1757">
          <cell r="B1757" t="str">
            <v/>
          </cell>
        </row>
        <row r="1758">
          <cell r="B1758" t="str">
            <v/>
          </cell>
        </row>
        <row r="1759">
          <cell r="B1759" t="str">
            <v/>
          </cell>
        </row>
        <row r="1760">
          <cell r="B1760" t="str">
            <v/>
          </cell>
        </row>
        <row r="1761">
          <cell r="B1761" t="str">
            <v/>
          </cell>
        </row>
        <row r="1762">
          <cell r="B1762" t="str">
            <v/>
          </cell>
        </row>
        <row r="1763">
          <cell r="B1763" t="str">
            <v/>
          </cell>
        </row>
        <row r="1764">
          <cell r="B1764" t="str">
            <v/>
          </cell>
        </row>
        <row r="1765">
          <cell r="B1765" t="str">
            <v/>
          </cell>
        </row>
        <row r="1766">
          <cell r="B1766" t="str">
            <v/>
          </cell>
        </row>
        <row r="1767">
          <cell r="B1767" t="str">
            <v/>
          </cell>
        </row>
        <row r="1768">
          <cell r="B1768" t="str">
            <v/>
          </cell>
        </row>
        <row r="1769">
          <cell r="B1769" t="str">
            <v/>
          </cell>
        </row>
        <row r="1770">
          <cell r="B1770" t="str">
            <v/>
          </cell>
        </row>
        <row r="1771">
          <cell r="B1771" t="str">
            <v/>
          </cell>
        </row>
        <row r="1772">
          <cell r="B1772" t="str">
            <v/>
          </cell>
        </row>
        <row r="1773">
          <cell r="B1773" t="str">
            <v/>
          </cell>
        </row>
        <row r="1774">
          <cell r="B1774" t="str">
            <v/>
          </cell>
        </row>
        <row r="1775">
          <cell r="B1775" t="str">
            <v/>
          </cell>
        </row>
        <row r="1776">
          <cell r="B1776" t="str">
            <v/>
          </cell>
        </row>
        <row r="1777">
          <cell r="B1777" t="str">
            <v/>
          </cell>
        </row>
        <row r="1778">
          <cell r="B1778" t="str">
            <v/>
          </cell>
        </row>
        <row r="1779">
          <cell r="B1779" t="str">
            <v/>
          </cell>
        </row>
        <row r="1780">
          <cell r="B1780" t="str">
            <v/>
          </cell>
        </row>
        <row r="1781">
          <cell r="B1781" t="str">
            <v/>
          </cell>
        </row>
        <row r="1782">
          <cell r="B1782" t="str">
            <v/>
          </cell>
        </row>
        <row r="1783">
          <cell r="B1783" t="str">
            <v/>
          </cell>
        </row>
        <row r="1784">
          <cell r="B1784" t="str">
            <v/>
          </cell>
        </row>
        <row r="1785">
          <cell r="B1785" t="str">
            <v/>
          </cell>
        </row>
        <row r="1786">
          <cell r="B1786" t="str">
            <v/>
          </cell>
        </row>
        <row r="1787">
          <cell r="B1787" t="str">
            <v/>
          </cell>
        </row>
        <row r="1788">
          <cell r="B1788" t="str">
            <v/>
          </cell>
        </row>
        <row r="1789">
          <cell r="B1789" t="str">
            <v/>
          </cell>
        </row>
        <row r="1790">
          <cell r="B1790" t="str">
            <v/>
          </cell>
        </row>
        <row r="1791">
          <cell r="B1791" t="str">
            <v/>
          </cell>
        </row>
        <row r="1792">
          <cell r="B1792" t="str">
            <v/>
          </cell>
        </row>
        <row r="1793">
          <cell r="B1793" t="str">
            <v/>
          </cell>
        </row>
        <row r="1794">
          <cell r="B1794" t="str">
            <v/>
          </cell>
        </row>
        <row r="1795">
          <cell r="B1795" t="str">
            <v/>
          </cell>
        </row>
        <row r="1796">
          <cell r="B1796" t="str">
            <v/>
          </cell>
        </row>
        <row r="1797">
          <cell r="B1797" t="str">
            <v/>
          </cell>
        </row>
        <row r="1798">
          <cell r="B1798" t="str">
            <v/>
          </cell>
        </row>
        <row r="1799">
          <cell r="B1799" t="str">
            <v/>
          </cell>
        </row>
        <row r="1800">
          <cell r="B1800" t="str">
            <v/>
          </cell>
        </row>
        <row r="1801">
          <cell r="B1801" t="str">
            <v/>
          </cell>
        </row>
        <row r="1802">
          <cell r="B1802" t="str">
            <v/>
          </cell>
        </row>
        <row r="1803">
          <cell r="B1803" t="str">
            <v/>
          </cell>
        </row>
        <row r="1804">
          <cell r="B1804" t="str">
            <v/>
          </cell>
        </row>
        <row r="1805">
          <cell r="B1805" t="str">
            <v/>
          </cell>
        </row>
        <row r="1806">
          <cell r="B1806" t="str">
            <v/>
          </cell>
        </row>
        <row r="1807">
          <cell r="B1807" t="str">
            <v/>
          </cell>
        </row>
        <row r="1808">
          <cell r="B1808" t="str">
            <v/>
          </cell>
        </row>
        <row r="1809">
          <cell r="B1809" t="str">
            <v/>
          </cell>
        </row>
        <row r="1810">
          <cell r="B1810" t="str">
            <v/>
          </cell>
        </row>
        <row r="1811">
          <cell r="B1811" t="str">
            <v/>
          </cell>
        </row>
        <row r="1812">
          <cell r="B1812" t="str">
            <v/>
          </cell>
        </row>
        <row r="1813">
          <cell r="B1813" t="str">
            <v/>
          </cell>
        </row>
        <row r="1814">
          <cell r="B1814" t="str">
            <v/>
          </cell>
        </row>
        <row r="1815">
          <cell r="B1815" t="str">
            <v/>
          </cell>
        </row>
        <row r="1816">
          <cell r="B1816" t="str">
            <v/>
          </cell>
        </row>
        <row r="1817">
          <cell r="B1817" t="str">
            <v/>
          </cell>
        </row>
        <row r="1818">
          <cell r="B1818" t="str">
            <v/>
          </cell>
        </row>
        <row r="1819">
          <cell r="B1819" t="str">
            <v/>
          </cell>
        </row>
        <row r="1820">
          <cell r="B1820" t="str">
            <v/>
          </cell>
        </row>
        <row r="1821">
          <cell r="B1821" t="str">
            <v/>
          </cell>
        </row>
        <row r="1822">
          <cell r="B1822" t="str">
            <v/>
          </cell>
        </row>
        <row r="1823">
          <cell r="B1823" t="str">
            <v/>
          </cell>
        </row>
        <row r="1824">
          <cell r="B1824" t="str">
            <v/>
          </cell>
        </row>
        <row r="1825">
          <cell r="B1825" t="str">
            <v/>
          </cell>
        </row>
        <row r="1826">
          <cell r="B1826" t="str">
            <v/>
          </cell>
        </row>
        <row r="1827">
          <cell r="B1827" t="str">
            <v/>
          </cell>
        </row>
        <row r="1828">
          <cell r="B1828" t="str">
            <v/>
          </cell>
        </row>
        <row r="1829">
          <cell r="B1829" t="str">
            <v/>
          </cell>
        </row>
        <row r="1830">
          <cell r="B1830" t="str">
            <v/>
          </cell>
        </row>
        <row r="1831">
          <cell r="B1831" t="str">
            <v/>
          </cell>
        </row>
        <row r="1832">
          <cell r="B1832" t="str">
            <v/>
          </cell>
        </row>
        <row r="1833">
          <cell r="B1833" t="str">
            <v/>
          </cell>
        </row>
        <row r="1834">
          <cell r="B1834" t="str">
            <v/>
          </cell>
        </row>
        <row r="1835">
          <cell r="B1835" t="str">
            <v/>
          </cell>
        </row>
        <row r="1836">
          <cell r="B1836" t="str">
            <v/>
          </cell>
        </row>
        <row r="1837">
          <cell r="B1837" t="str">
            <v/>
          </cell>
        </row>
        <row r="1838">
          <cell r="B1838" t="str">
            <v/>
          </cell>
        </row>
        <row r="1839">
          <cell r="B1839" t="str">
            <v/>
          </cell>
        </row>
        <row r="1840">
          <cell r="B1840" t="str">
            <v/>
          </cell>
        </row>
        <row r="1841">
          <cell r="B1841" t="str">
            <v/>
          </cell>
        </row>
        <row r="1842">
          <cell r="B1842" t="str">
            <v/>
          </cell>
        </row>
        <row r="1843">
          <cell r="B1843" t="str">
            <v/>
          </cell>
        </row>
        <row r="1844">
          <cell r="B1844" t="str">
            <v/>
          </cell>
        </row>
        <row r="1845">
          <cell r="B1845" t="str">
            <v/>
          </cell>
        </row>
        <row r="1846">
          <cell r="B1846" t="str">
            <v/>
          </cell>
        </row>
        <row r="1847">
          <cell r="B1847" t="str">
            <v/>
          </cell>
        </row>
        <row r="1848">
          <cell r="B1848" t="str">
            <v/>
          </cell>
        </row>
        <row r="1849">
          <cell r="B1849" t="str">
            <v/>
          </cell>
          <cell r="D1849" t="str">
            <v>acid</v>
          </cell>
        </row>
        <row r="1850">
          <cell r="B1850" t="str">
            <v/>
          </cell>
          <cell r="D1850" t="str">
            <v>cold</v>
          </cell>
        </row>
        <row r="1851">
          <cell r="B1851" t="str">
            <v/>
          </cell>
          <cell r="D1851" t="str">
            <v>electricity</v>
          </cell>
        </row>
        <row r="1852">
          <cell r="B1852" t="str">
            <v/>
          </cell>
          <cell r="D1852" t="str">
            <v>fire</v>
          </cell>
        </row>
        <row r="1853">
          <cell r="B1853" t="str">
            <v/>
          </cell>
        </row>
        <row r="1854">
          <cell r="B1854" t="str">
            <v/>
          </cell>
        </row>
        <row r="1855">
          <cell r="B1855" t="str">
            <v/>
          </cell>
        </row>
        <row r="1856">
          <cell r="B1856" t="str">
            <v/>
          </cell>
        </row>
        <row r="1857">
          <cell r="B1857" t="str">
            <v/>
          </cell>
        </row>
        <row r="1858">
          <cell r="B1858" t="str">
            <v/>
          </cell>
        </row>
        <row r="1859">
          <cell r="B1859" t="str">
            <v/>
          </cell>
        </row>
        <row r="1860">
          <cell r="B1860" t="str">
            <v/>
          </cell>
        </row>
        <row r="1861">
          <cell r="B1861" t="str">
            <v/>
          </cell>
        </row>
        <row r="1862">
          <cell r="B1862" t="str">
            <v/>
          </cell>
        </row>
        <row r="1863">
          <cell r="B1863" t="str">
            <v/>
          </cell>
        </row>
        <row r="1864">
          <cell r="B1864" t="str">
            <v/>
          </cell>
        </row>
        <row r="1865">
          <cell r="B1865" t="str">
            <v/>
          </cell>
        </row>
        <row r="1866">
          <cell r="B1866" t="str">
            <v/>
          </cell>
        </row>
        <row r="1867">
          <cell r="B1867" t="str">
            <v/>
          </cell>
        </row>
        <row r="1868">
          <cell r="B1868" t="str">
            <v/>
          </cell>
        </row>
        <row r="1869">
          <cell r="B1869" t="str">
            <v/>
          </cell>
        </row>
        <row r="1870">
          <cell r="B1870" t="str">
            <v/>
          </cell>
        </row>
        <row r="1871">
          <cell r="B1871" t="str">
            <v/>
          </cell>
        </row>
        <row r="1872">
          <cell r="B1872" t="str">
            <v/>
          </cell>
        </row>
        <row r="1873">
          <cell r="B1873" t="str">
            <v/>
          </cell>
        </row>
        <row r="1874">
          <cell r="B1874" t="str">
            <v/>
          </cell>
        </row>
        <row r="1875">
          <cell r="B1875" t="str">
            <v/>
          </cell>
        </row>
        <row r="1876">
          <cell r="B1876" t="str">
            <v/>
          </cell>
        </row>
        <row r="1877">
          <cell r="B1877" t="str">
            <v/>
          </cell>
        </row>
        <row r="1878">
          <cell r="B1878" t="str">
            <v/>
          </cell>
        </row>
        <row r="1879">
          <cell r="B1879" t="str">
            <v/>
          </cell>
        </row>
        <row r="1880">
          <cell r="B1880" t="str">
            <v/>
          </cell>
        </row>
        <row r="1881">
          <cell r="B1881" t="str">
            <v/>
          </cell>
        </row>
        <row r="1882">
          <cell r="B1882" t="str">
            <v/>
          </cell>
        </row>
        <row r="1883">
          <cell r="B1883" t="str">
            <v/>
          </cell>
        </row>
        <row r="1884">
          <cell r="B1884" t="str">
            <v/>
          </cell>
        </row>
        <row r="1885">
          <cell r="B1885" t="str">
            <v/>
          </cell>
        </row>
        <row r="1886">
          <cell r="B1886" t="str">
            <v/>
          </cell>
        </row>
        <row r="1887">
          <cell r="B1887" t="str">
            <v/>
          </cell>
        </row>
        <row r="1888">
          <cell r="B1888" t="str">
            <v/>
          </cell>
        </row>
        <row r="1889">
          <cell r="B1889" t="str">
            <v/>
          </cell>
        </row>
        <row r="1890">
          <cell r="B1890" t="str">
            <v/>
          </cell>
        </row>
        <row r="1891">
          <cell r="B1891" t="str">
            <v/>
          </cell>
        </row>
        <row r="1892">
          <cell r="B1892" t="str">
            <v/>
          </cell>
        </row>
        <row r="1893">
          <cell r="B1893" t="str">
            <v/>
          </cell>
        </row>
        <row r="1894">
          <cell r="B1894" t="str">
            <v/>
          </cell>
        </row>
        <row r="1895">
          <cell r="B1895" t="str">
            <v/>
          </cell>
        </row>
        <row r="1896">
          <cell r="B1896" t="str">
            <v/>
          </cell>
        </row>
        <row r="1897">
          <cell r="B1897" t="str">
            <v/>
          </cell>
        </row>
        <row r="1898">
          <cell r="B1898" t="str">
            <v/>
          </cell>
        </row>
        <row r="1899">
          <cell r="B1899" t="str">
            <v/>
          </cell>
        </row>
        <row r="1900">
          <cell r="B1900" t="str">
            <v/>
          </cell>
        </row>
        <row r="1901">
          <cell r="B1901" t="str">
            <v/>
          </cell>
        </row>
        <row r="1902">
          <cell r="B1902" t="str">
            <v/>
          </cell>
        </row>
        <row r="1903">
          <cell r="B1903" t="str">
            <v/>
          </cell>
        </row>
        <row r="1904">
          <cell r="B1904" t="str">
            <v/>
          </cell>
        </row>
        <row r="1905">
          <cell r="B1905" t="str">
            <v/>
          </cell>
        </row>
        <row r="1906">
          <cell r="B1906" t="str">
            <v/>
          </cell>
        </row>
        <row r="1907">
          <cell r="B1907" t="str">
            <v/>
          </cell>
        </row>
        <row r="1908">
          <cell r="B1908" t="str">
            <v/>
          </cell>
        </row>
        <row r="1909">
          <cell r="B1909" t="str">
            <v/>
          </cell>
        </row>
        <row r="1910">
          <cell r="B1910" t="str">
            <v/>
          </cell>
        </row>
        <row r="1911">
          <cell r="B1911" t="str">
            <v/>
          </cell>
        </row>
        <row r="1912">
          <cell r="B1912" t="str">
            <v/>
          </cell>
        </row>
        <row r="1913">
          <cell r="B1913" t="str">
            <v/>
          </cell>
        </row>
        <row r="1914">
          <cell r="B1914" t="str">
            <v/>
          </cell>
        </row>
        <row r="1915">
          <cell r="B1915" t="str">
            <v/>
          </cell>
        </row>
        <row r="1916">
          <cell r="B1916" t="str">
            <v/>
          </cell>
        </row>
        <row r="1917">
          <cell r="B1917" t="str">
            <v/>
          </cell>
        </row>
        <row r="1918">
          <cell r="B1918" t="str">
            <v/>
          </cell>
        </row>
        <row r="1919">
          <cell r="B1919" t="str">
            <v/>
          </cell>
        </row>
        <row r="1920">
          <cell r="B1920" t="str">
            <v/>
          </cell>
        </row>
        <row r="1921">
          <cell r="B1921" t="str">
            <v/>
          </cell>
        </row>
        <row r="1922">
          <cell r="B1922" t="str">
            <v/>
          </cell>
        </row>
        <row r="1923">
          <cell r="B1923" t="str">
            <v/>
          </cell>
        </row>
        <row r="1924">
          <cell r="B1924" t="str">
            <v/>
          </cell>
        </row>
        <row r="1925">
          <cell r="B1925" t="str">
            <v/>
          </cell>
        </row>
        <row r="1926">
          <cell r="B1926" t="str">
            <v/>
          </cell>
        </row>
        <row r="1927">
          <cell r="B1927" t="str">
            <v/>
          </cell>
        </row>
        <row r="1928">
          <cell r="B1928" t="str">
            <v/>
          </cell>
        </row>
        <row r="1929">
          <cell r="B1929" t="str">
            <v/>
          </cell>
        </row>
        <row r="1930">
          <cell r="B1930" t="str">
            <v/>
          </cell>
        </row>
        <row r="1931">
          <cell r="B1931" t="str">
            <v/>
          </cell>
        </row>
        <row r="1932">
          <cell r="B1932" t="str">
            <v/>
          </cell>
        </row>
        <row r="1933">
          <cell r="B1933" t="str">
            <v/>
          </cell>
        </row>
        <row r="1934">
          <cell r="B1934" t="str">
            <v/>
          </cell>
        </row>
        <row r="1935">
          <cell r="B1935" t="str">
            <v/>
          </cell>
        </row>
        <row r="1936">
          <cell r="B1936" t="str">
            <v/>
          </cell>
        </row>
        <row r="1937">
          <cell r="B1937" t="str">
            <v/>
          </cell>
        </row>
        <row r="1938">
          <cell r="B1938" t="str">
            <v/>
          </cell>
        </row>
        <row r="1939">
          <cell r="B1939" t="str">
            <v/>
          </cell>
        </row>
        <row r="1940">
          <cell r="B1940" t="str">
            <v/>
          </cell>
        </row>
        <row r="1941">
          <cell r="B1941" t="str">
            <v/>
          </cell>
        </row>
        <row r="1942">
          <cell r="B1942" t="str">
            <v/>
          </cell>
        </row>
        <row r="1943">
          <cell r="B1943" t="str">
            <v/>
          </cell>
        </row>
        <row r="1944">
          <cell r="B1944" t="str">
            <v/>
          </cell>
        </row>
        <row r="1945">
          <cell r="B1945" t="str">
            <v/>
          </cell>
        </row>
        <row r="1946">
          <cell r="B1946" t="str">
            <v/>
          </cell>
        </row>
        <row r="1947">
          <cell r="B1947" t="str">
            <v/>
          </cell>
        </row>
        <row r="1948">
          <cell r="B1948" t="str">
            <v/>
          </cell>
        </row>
        <row r="1949">
          <cell r="B1949" t="str">
            <v/>
          </cell>
        </row>
        <row r="1950">
          <cell r="B1950" t="str">
            <v/>
          </cell>
        </row>
        <row r="1951">
          <cell r="B1951" t="str">
            <v/>
          </cell>
        </row>
        <row r="1952">
          <cell r="B1952" t="str">
            <v/>
          </cell>
        </row>
        <row r="1953">
          <cell r="B1953" t="str">
            <v/>
          </cell>
        </row>
        <row r="1954">
          <cell r="B1954" t="str">
            <v/>
          </cell>
        </row>
        <row r="1955">
          <cell r="B1955" t="str">
            <v/>
          </cell>
        </row>
        <row r="1956">
          <cell r="B1956" t="str">
            <v/>
          </cell>
        </row>
        <row r="1957">
          <cell r="B1957" t="str">
            <v/>
          </cell>
        </row>
        <row r="1958">
          <cell r="B1958" t="str">
            <v/>
          </cell>
        </row>
        <row r="1959">
          <cell r="B1959" t="str">
            <v/>
          </cell>
        </row>
        <row r="1960">
          <cell r="B1960" t="str">
            <v/>
          </cell>
        </row>
        <row r="1961">
          <cell r="B1961" t="str">
            <v/>
          </cell>
        </row>
        <row r="1962">
          <cell r="B1962" t="str">
            <v/>
          </cell>
        </row>
        <row r="1963">
          <cell r="B1963" t="str">
            <v/>
          </cell>
        </row>
        <row r="1964">
          <cell r="B1964" t="str">
            <v/>
          </cell>
        </row>
        <row r="1965">
          <cell r="B1965" t="str">
            <v/>
          </cell>
        </row>
        <row r="1966">
          <cell r="B1966" t="str">
            <v/>
          </cell>
        </row>
        <row r="1967">
          <cell r="B1967" t="str">
            <v/>
          </cell>
        </row>
        <row r="1968">
          <cell r="B1968" t="str">
            <v/>
          </cell>
        </row>
        <row r="1969">
          <cell r="B1969" t="str">
            <v/>
          </cell>
        </row>
        <row r="1970">
          <cell r="B1970" t="str">
            <v/>
          </cell>
        </row>
        <row r="1971">
          <cell r="B1971" t="str">
            <v/>
          </cell>
        </row>
        <row r="1972">
          <cell r="B1972" t="str">
            <v/>
          </cell>
        </row>
        <row r="1973">
          <cell r="B1973" t="str">
            <v/>
          </cell>
        </row>
        <row r="1974">
          <cell r="B1974" t="str">
            <v/>
          </cell>
        </row>
        <row r="1975">
          <cell r="B1975" t="str">
            <v/>
          </cell>
        </row>
        <row r="1976">
          <cell r="B1976" t="str">
            <v/>
          </cell>
        </row>
        <row r="1977">
          <cell r="B1977" t="str">
            <v/>
          </cell>
        </row>
        <row r="1978">
          <cell r="B1978" t="str">
            <v/>
          </cell>
        </row>
        <row r="1979">
          <cell r="B1979" t="str">
            <v/>
          </cell>
        </row>
        <row r="1980">
          <cell r="B1980" t="str">
            <v/>
          </cell>
        </row>
        <row r="1981">
          <cell r="B1981" t="str">
            <v/>
          </cell>
        </row>
        <row r="1982">
          <cell r="B1982" t="str">
            <v/>
          </cell>
        </row>
        <row r="1983">
          <cell r="B1983" t="str">
            <v/>
          </cell>
        </row>
        <row r="1984">
          <cell r="B1984" t="str">
            <v/>
          </cell>
        </row>
        <row r="1985">
          <cell r="B1985" t="str">
            <v/>
          </cell>
        </row>
        <row r="1986">
          <cell r="B1986" t="str">
            <v/>
          </cell>
        </row>
        <row r="1987">
          <cell r="B1987" t="str">
            <v/>
          </cell>
        </row>
        <row r="1988">
          <cell r="B1988" t="str">
            <v/>
          </cell>
        </row>
        <row r="1989">
          <cell r="B1989" t="str">
            <v/>
          </cell>
        </row>
        <row r="1990">
          <cell r="B1990" t="str">
            <v/>
          </cell>
        </row>
        <row r="1991">
          <cell r="B1991" t="str">
            <v/>
          </cell>
        </row>
        <row r="1992">
          <cell r="B1992" t="str">
            <v/>
          </cell>
        </row>
        <row r="1993">
          <cell r="B1993" t="str">
            <v/>
          </cell>
        </row>
        <row r="1994">
          <cell r="B1994" t="str">
            <v/>
          </cell>
        </row>
        <row r="1995">
          <cell r="B1995" t="str">
            <v/>
          </cell>
        </row>
        <row r="1996">
          <cell r="B1996" t="str">
            <v/>
          </cell>
        </row>
        <row r="1997">
          <cell r="B1997" t="str">
            <v/>
          </cell>
        </row>
        <row r="1998">
          <cell r="B1998" t="str">
            <v/>
          </cell>
        </row>
        <row r="1999">
          <cell r="B1999" t="str">
            <v/>
          </cell>
        </row>
        <row r="2000">
          <cell r="B2000" t="str">
            <v/>
          </cell>
        </row>
        <row r="2001">
          <cell r="B2001" t="str">
            <v/>
          </cell>
        </row>
        <row r="2002">
          <cell r="B2002" t="str">
            <v/>
          </cell>
        </row>
        <row r="2003">
          <cell r="B2003" t="str">
            <v/>
          </cell>
        </row>
        <row r="2004">
          <cell r="B2004" t="str">
            <v/>
          </cell>
        </row>
        <row r="2005">
          <cell r="B2005" t="str">
            <v/>
          </cell>
        </row>
        <row r="2006">
          <cell r="B2006" t="str">
            <v/>
          </cell>
        </row>
        <row r="2007">
          <cell r="B2007" t="str">
            <v/>
          </cell>
        </row>
        <row r="2008">
          <cell r="B2008" t="str">
            <v/>
          </cell>
        </row>
        <row r="2009">
          <cell r="B2009" t="str">
            <v/>
          </cell>
        </row>
        <row r="2010">
          <cell r="B2010" t="str">
            <v/>
          </cell>
        </row>
        <row r="2011">
          <cell r="B2011" t="str">
            <v/>
          </cell>
        </row>
        <row r="2012">
          <cell r="B2012" t="str">
            <v/>
          </cell>
        </row>
        <row r="2013">
          <cell r="B2013" t="str">
            <v/>
          </cell>
        </row>
        <row r="2014">
          <cell r="B2014" t="str">
            <v/>
          </cell>
        </row>
        <row r="2015">
          <cell r="B2015" t="str">
            <v/>
          </cell>
        </row>
        <row r="2016">
          <cell r="B2016" t="str">
            <v/>
          </cell>
        </row>
        <row r="2017">
          <cell r="B2017" t="str">
            <v/>
          </cell>
        </row>
        <row r="2018">
          <cell r="B2018" t="str">
            <v/>
          </cell>
        </row>
        <row r="2019">
          <cell r="B2019" t="str">
            <v/>
          </cell>
        </row>
        <row r="2020">
          <cell r="B2020" t="str">
            <v/>
          </cell>
        </row>
        <row r="2021">
          <cell r="B2021" t="str">
            <v/>
          </cell>
        </row>
        <row r="2022">
          <cell r="B2022" t="str">
            <v/>
          </cell>
        </row>
        <row r="2023">
          <cell r="B2023" t="str">
            <v/>
          </cell>
        </row>
        <row r="2024">
          <cell r="B2024" t="str">
            <v/>
          </cell>
        </row>
        <row r="2025">
          <cell r="B2025" t="str">
            <v/>
          </cell>
        </row>
        <row r="2026">
          <cell r="B2026" t="str">
            <v/>
          </cell>
        </row>
        <row r="2027">
          <cell r="B2027" t="str">
            <v/>
          </cell>
        </row>
        <row r="2028">
          <cell r="B2028" t="str">
            <v/>
          </cell>
        </row>
        <row r="2029">
          <cell r="B2029" t="str">
            <v/>
          </cell>
        </row>
        <row r="2030">
          <cell r="B2030" t="str">
            <v/>
          </cell>
        </row>
        <row r="2031">
          <cell r="B2031" t="str">
            <v/>
          </cell>
        </row>
        <row r="2032">
          <cell r="B2032" t="str">
            <v/>
          </cell>
        </row>
        <row r="2033">
          <cell r="B2033" t="str">
            <v/>
          </cell>
        </row>
        <row r="2034">
          <cell r="B2034" t="str">
            <v/>
          </cell>
        </row>
        <row r="2035">
          <cell r="B2035" t="str">
            <v/>
          </cell>
        </row>
        <row r="2036">
          <cell r="B2036" t="str">
            <v/>
          </cell>
        </row>
        <row r="2037">
          <cell r="B2037" t="str">
            <v/>
          </cell>
        </row>
        <row r="2038">
          <cell r="B2038" t="str">
            <v/>
          </cell>
        </row>
        <row r="2039">
          <cell r="B2039" t="str">
            <v/>
          </cell>
        </row>
        <row r="2040">
          <cell r="B2040" t="str">
            <v/>
          </cell>
        </row>
        <row r="2041">
          <cell r="B2041" t="str">
            <v/>
          </cell>
        </row>
        <row r="2042">
          <cell r="B2042" t="str">
            <v/>
          </cell>
        </row>
        <row r="2043">
          <cell r="B2043" t="str">
            <v/>
          </cell>
        </row>
        <row r="2044">
          <cell r="B2044" t="str">
            <v/>
          </cell>
        </row>
        <row r="2045">
          <cell r="B2045" t="str">
            <v/>
          </cell>
        </row>
        <row r="2046">
          <cell r="B2046" t="str">
            <v/>
          </cell>
        </row>
        <row r="2047">
          <cell r="B2047" t="str">
            <v/>
          </cell>
        </row>
        <row r="2048">
          <cell r="B2048" t="str">
            <v/>
          </cell>
        </row>
        <row r="2049">
          <cell r="B2049" t="str">
            <v/>
          </cell>
        </row>
        <row r="2050">
          <cell r="B2050" t="str">
            <v/>
          </cell>
        </row>
        <row r="2051">
          <cell r="B2051" t="str">
            <v/>
          </cell>
        </row>
        <row r="2052">
          <cell r="B2052" t="str">
            <v/>
          </cell>
        </row>
        <row r="2053">
          <cell r="B2053" t="str">
            <v/>
          </cell>
        </row>
        <row r="2054">
          <cell r="B2054" t="str">
            <v/>
          </cell>
        </row>
        <row r="2055">
          <cell r="B2055" t="str">
            <v/>
          </cell>
        </row>
        <row r="2056">
          <cell r="B2056" t="str">
            <v/>
          </cell>
        </row>
        <row r="2057">
          <cell r="B2057" t="str">
            <v/>
          </cell>
        </row>
        <row r="2058">
          <cell r="B2058" t="str">
            <v/>
          </cell>
        </row>
        <row r="2059">
          <cell r="B2059" t="str">
            <v/>
          </cell>
        </row>
        <row r="2060">
          <cell r="B2060" t="str">
            <v/>
          </cell>
        </row>
        <row r="2061">
          <cell r="B2061" t="str">
            <v/>
          </cell>
        </row>
        <row r="2062">
          <cell r="B2062" t="str">
            <v/>
          </cell>
        </row>
        <row r="2063">
          <cell r="B2063" t="str">
            <v/>
          </cell>
        </row>
        <row r="2064">
          <cell r="B2064" t="str">
            <v/>
          </cell>
        </row>
        <row r="2065">
          <cell r="B2065" t="str">
            <v/>
          </cell>
        </row>
        <row r="2066">
          <cell r="B2066" t="str">
            <v/>
          </cell>
        </row>
        <row r="2067">
          <cell r="B2067" t="str">
            <v/>
          </cell>
        </row>
        <row r="2068">
          <cell r="B2068" t="str">
            <v/>
          </cell>
        </row>
        <row r="2069">
          <cell r="B2069" t="str">
            <v/>
          </cell>
        </row>
        <row r="2070">
          <cell r="B2070" t="str">
            <v/>
          </cell>
        </row>
        <row r="2071">
          <cell r="B2071" t="str">
            <v/>
          </cell>
        </row>
        <row r="2072">
          <cell r="B2072" t="str">
            <v/>
          </cell>
        </row>
        <row r="2073">
          <cell r="B2073" t="str">
            <v/>
          </cell>
        </row>
        <row r="2074">
          <cell r="B2074" t="str">
            <v/>
          </cell>
        </row>
        <row r="2075">
          <cell r="B2075" t="str">
            <v/>
          </cell>
        </row>
        <row r="2076">
          <cell r="B2076" t="str">
            <v/>
          </cell>
        </row>
        <row r="2077">
          <cell r="B2077" t="str">
            <v/>
          </cell>
        </row>
        <row r="2078">
          <cell r="B2078" t="str">
            <v/>
          </cell>
        </row>
        <row r="2079">
          <cell r="B2079" t="str">
            <v/>
          </cell>
        </row>
        <row r="2080">
          <cell r="B2080" t="str">
            <v/>
          </cell>
        </row>
        <row r="2081">
          <cell r="B2081" t="str">
            <v/>
          </cell>
        </row>
        <row r="2082">
          <cell r="B2082" t="str">
            <v/>
          </cell>
        </row>
        <row r="2083">
          <cell r="B2083" t="str">
            <v/>
          </cell>
        </row>
        <row r="2084">
          <cell r="B2084" t="str">
            <v/>
          </cell>
        </row>
        <row r="2085">
          <cell r="B2085" t="str">
            <v/>
          </cell>
        </row>
        <row r="2086">
          <cell r="B2086" t="str">
            <v/>
          </cell>
        </row>
        <row r="2087">
          <cell r="B2087" t="str">
            <v/>
          </cell>
        </row>
        <row r="2088">
          <cell r="B2088" t="str">
            <v/>
          </cell>
        </row>
        <row r="2089">
          <cell r="B2089" t="str">
            <v/>
          </cell>
        </row>
        <row r="2090">
          <cell r="B2090" t="str">
            <v/>
          </cell>
        </row>
        <row r="2091">
          <cell r="B2091" t="str">
            <v/>
          </cell>
        </row>
        <row r="2092">
          <cell r="B2092" t="str">
            <v/>
          </cell>
        </row>
        <row r="2093">
          <cell r="B2093" t="str">
            <v/>
          </cell>
        </row>
        <row r="2094">
          <cell r="B2094" t="str">
            <v/>
          </cell>
        </row>
        <row r="2095">
          <cell r="B2095" t="str">
            <v/>
          </cell>
        </row>
        <row r="2096">
          <cell r="B2096" t="str">
            <v/>
          </cell>
        </row>
        <row r="2097">
          <cell r="B2097" t="str">
            <v/>
          </cell>
        </row>
        <row r="2098">
          <cell r="B2098" t="str">
            <v/>
          </cell>
        </row>
        <row r="2099">
          <cell r="B2099" t="str">
            <v/>
          </cell>
        </row>
        <row r="2100">
          <cell r="B2100" t="str">
            <v/>
          </cell>
        </row>
        <row r="2101">
          <cell r="B2101" t="str">
            <v/>
          </cell>
        </row>
        <row r="2102">
          <cell r="B2102" t="str">
            <v/>
          </cell>
        </row>
        <row r="2103">
          <cell r="B2103" t="str">
            <v/>
          </cell>
        </row>
        <row r="2104">
          <cell r="B2104" t="str">
            <v/>
          </cell>
        </row>
        <row r="2105">
          <cell r="B2105" t="str">
            <v/>
          </cell>
        </row>
        <row r="2106">
          <cell r="B2106" t="str">
            <v/>
          </cell>
        </row>
        <row r="2107">
          <cell r="B2107" t="str">
            <v/>
          </cell>
        </row>
        <row r="2108">
          <cell r="B2108" t="str">
            <v/>
          </cell>
        </row>
        <row r="2109">
          <cell r="B2109" t="str">
            <v/>
          </cell>
        </row>
        <row r="2110">
          <cell r="B2110" t="str">
            <v/>
          </cell>
        </row>
        <row r="2111">
          <cell r="B2111" t="str">
            <v/>
          </cell>
        </row>
        <row r="2112">
          <cell r="B2112" t="str">
            <v/>
          </cell>
        </row>
        <row r="2113">
          <cell r="B2113" t="str">
            <v/>
          </cell>
        </row>
        <row r="2114">
          <cell r="B2114" t="str">
            <v/>
          </cell>
        </row>
        <row r="2115">
          <cell r="B2115" t="str">
            <v/>
          </cell>
        </row>
        <row r="2116">
          <cell r="B2116" t="str">
            <v/>
          </cell>
        </row>
        <row r="2117">
          <cell r="B2117" t="str">
            <v/>
          </cell>
        </row>
        <row r="2118">
          <cell r="B2118" t="str">
            <v/>
          </cell>
        </row>
        <row r="2119">
          <cell r="B2119" t="str">
            <v/>
          </cell>
        </row>
        <row r="2120">
          <cell r="B2120" t="str">
            <v/>
          </cell>
        </row>
        <row r="2121">
          <cell r="B2121" t="str">
            <v/>
          </cell>
        </row>
        <row r="2122">
          <cell r="B2122" t="str">
            <v/>
          </cell>
        </row>
        <row r="2123">
          <cell r="B2123" t="str">
            <v/>
          </cell>
        </row>
        <row r="2124">
          <cell r="B2124" t="str">
            <v/>
          </cell>
        </row>
        <row r="2125">
          <cell r="B2125" t="str">
            <v/>
          </cell>
        </row>
        <row r="2126">
          <cell r="B2126" t="str">
            <v/>
          </cell>
        </row>
        <row r="2127">
          <cell r="B2127" t="str">
            <v/>
          </cell>
        </row>
        <row r="2128">
          <cell r="B2128" t="str">
            <v/>
          </cell>
        </row>
        <row r="2129">
          <cell r="B2129" t="str">
            <v/>
          </cell>
        </row>
        <row r="2130">
          <cell r="B2130" t="str">
            <v/>
          </cell>
        </row>
        <row r="2131">
          <cell r="B2131" t="str">
            <v/>
          </cell>
        </row>
        <row r="2132">
          <cell r="B2132" t="str">
            <v/>
          </cell>
        </row>
        <row r="2133">
          <cell r="B2133" t="str">
            <v/>
          </cell>
        </row>
        <row r="2134">
          <cell r="B2134" t="str">
            <v/>
          </cell>
        </row>
        <row r="2135">
          <cell r="B2135" t="str">
            <v/>
          </cell>
        </row>
        <row r="2136">
          <cell r="B2136" t="str">
            <v/>
          </cell>
        </row>
        <row r="2137">
          <cell r="B2137" t="str">
            <v/>
          </cell>
        </row>
        <row r="2138">
          <cell r="B2138" t="str">
            <v/>
          </cell>
        </row>
        <row r="2139">
          <cell r="B2139" t="str">
            <v/>
          </cell>
        </row>
        <row r="2140">
          <cell r="B2140" t="str">
            <v/>
          </cell>
        </row>
        <row r="2141">
          <cell r="B2141" t="str">
            <v/>
          </cell>
        </row>
        <row r="2142">
          <cell r="B2142" t="str">
            <v/>
          </cell>
        </row>
        <row r="2143">
          <cell r="B2143" t="str">
            <v/>
          </cell>
        </row>
        <row r="2144">
          <cell r="B2144" t="str">
            <v/>
          </cell>
        </row>
        <row r="2145">
          <cell r="B2145" t="str">
            <v/>
          </cell>
        </row>
        <row r="2146">
          <cell r="B2146" t="str">
            <v/>
          </cell>
        </row>
        <row r="2147">
          <cell r="B2147" t="str">
            <v/>
          </cell>
        </row>
        <row r="2148">
          <cell r="B2148" t="str">
            <v/>
          </cell>
        </row>
        <row r="2149">
          <cell r="B2149" t="str">
            <v/>
          </cell>
        </row>
        <row r="2150">
          <cell r="B2150" t="str">
            <v/>
          </cell>
        </row>
        <row r="2151">
          <cell r="B2151" t="str">
            <v/>
          </cell>
        </row>
        <row r="2152">
          <cell r="B2152" t="str">
            <v/>
          </cell>
        </row>
        <row r="2153">
          <cell r="B2153" t="str">
            <v/>
          </cell>
        </row>
        <row r="2154">
          <cell r="B2154" t="str">
            <v/>
          </cell>
        </row>
        <row r="2155">
          <cell r="B2155" t="str">
            <v/>
          </cell>
        </row>
        <row r="2156">
          <cell r="B2156" t="str">
            <v/>
          </cell>
        </row>
        <row r="2157">
          <cell r="B2157" t="str">
            <v/>
          </cell>
        </row>
        <row r="2158">
          <cell r="B2158" t="str">
            <v/>
          </cell>
        </row>
        <row r="2159">
          <cell r="B2159" t="str">
            <v/>
          </cell>
        </row>
        <row r="2160">
          <cell r="B2160" t="str">
            <v/>
          </cell>
        </row>
        <row r="2161">
          <cell r="B2161" t="str">
            <v/>
          </cell>
        </row>
        <row r="2162">
          <cell r="B2162" t="str">
            <v/>
          </cell>
        </row>
        <row r="2163">
          <cell r="B2163" t="str">
            <v/>
          </cell>
        </row>
        <row r="2164">
          <cell r="B2164" t="str">
            <v/>
          </cell>
        </row>
        <row r="2165">
          <cell r="B2165" t="str">
            <v/>
          </cell>
        </row>
        <row r="2166">
          <cell r="B2166" t="str">
            <v/>
          </cell>
        </row>
        <row r="2167">
          <cell r="B2167" t="str">
            <v/>
          </cell>
        </row>
        <row r="2168">
          <cell r="B2168" t="str">
            <v/>
          </cell>
        </row>
        <row r="2169">
          <cell r="B2169" t="str">
            <v/>
          </cell>
        </row>
        <row r="2170">
          <cell r="B2170" t="str">
            <v/>
          </cell>
        </row>
        <row r="2171">
          <cell r="B2171" t="str">
            <v/>
          </cell>
        </row>
        <row r="2172">
          <cell r="B2172" t="str">
            <v/>
          </cell>
        </row>
        <row r="2173">
          <cell r="B2173" t="str">
            <v/>
          </cell>
        </row>
        <row r="2174">
          <cell r="B2174" t="str">
            <v/>
          </cell>
        </row>
        <row r="2175">
          <cell r="B2175" t="str">
            <v/>
          </cell>
        </row>
        <row r="2176">
          <cell r="B2176" t="str">
            <v/>
          </cell>
        </row>
        <row r="2177">
          <cell r="B2177" t="str">
            <v/>
          </cell>
        </row>
        <row r="2178">
          <cell r="B2178" t="str">
            <v/>
          </cell>
        </row>
        <row r="2179">
          <cell r="B2179" t="str">
            <v/>
          </cell>
        </row>
        <row r="2180">
          <cell r="B2180" t="str">
            <v/>
          </cell>
        </row>
        <row r="2181">
          <cell r="B2181" t="str">
            <v/>
          </cell>
        </row>
        <row r="2182">
          <cell r="B2182" t="str">
            <v/>
          </cell>
        </row>
        <row r="2183">
          <cell r="B2183" t="str">
            <v/>
          </cell>
        </row>
        <row r="2184">
          <cell r="B2184" t="str">
            <v/>
          </cell>
        </row>
        <row r="2185">
          <cell r="B2185" t="str">
            <v/>
          </cell>
        </row>
        <row r="2186">
          <cell r="B2186" t="str">
            <v/>
          </cell>
        </row>
        <row r="2187">
          <cell r="B2187" t="str">
            <v/>
          </cell>
        </row>
        <row r="2188">
          <cell r="B2188" t="str">
            <v/>
          </cell>
        </row>
        <row r="2189">
          <cell r="B2189" t="str">
            <v/>
          </cell>
        </row>
        <row r="2190">
          <cell r="B2190" t="str">
            <v/>
          </cell>
        </row>
        <row r="2191">
          <cell r="B2191" t="str">
            <v/>
          </cell>
        </row>
        <row r="2192">
          <cell r="B2192" t="str">
            <v/>
          </cell>
        </row>
        <row r="2193">
          <cell r="B2193" t="str">
            <v/>
          </cell>
        </row>
        <row r="2194">
          <cell r="B2194" t="str">
            <v/>
          </cell>
        </row>
        <row r="2195">
          <cell r="B2195" t="str">
            <v/>
          </cell>
        </row>
        <row r="2196">
          <cell r="B2196" t="str">
            <v/>
          </cell>
        </row>
        <row r="2197">
          <cell r="B2197" t="str">
            <v/>
          </cell>
        </row>
        <row r="2198">
          <cell r="B2198" t="str">
            <v/>
          </cell>
        </row>
        <row r="2199">
          <cell r="B2199" t="str">
            <v/>
          </cell>
        </row>
        <row r="2200">
          <cell r="B2200" t="str">
            <v/>
          </cell>
        </row>
        <row r="2201">
          <cell r="B2201" t="str">
            <v/>
          </cell>
          <cell r="E2201" t="str">
            <v/>
          </cell>
        </row>
        <row r="2202">
          <cell r="B2202" t="str">
            <v/>
          </cell>
        </row>
        <row r="2203">
          <cell r="B2203" t="str">
            <v/>
          </cell>
        </row>
        <row r="2204">
          <cell r="B2204" t="str">
            <v/>
          </cell>
        </row>
        <row r="2205">
          <cell r="B2205" t="str">
            <v/>
          </cell>
        </row>
        <row r="2206">
          <cell r="B2206" t="str">
            <v/>
          </cell>
        </row>
        <row r="2207">
          <cell r="B2207" t="str">
            <v/>
          </cell>
        </row>
        <row r="2208">
          <cell r="B2208" t="str">
            <v/>
          </cell>
        </row>
        <row r="2209">
          <cell r="B2209" t="str">
            <v/>
          </cell>
        </row>
        <row r="2210">
          <cell r="B2210" t="str">
            <v/>
          </cell>
        </row>
        <row r="2211">
          <cell r="B2211" t="str">
            <v/>
          </cell>
        </row>
        <row r="2212">
          <cell r="B2212" t="str">
            <v/>
          </cell>
        </row>
        <row r="2213">
          <cell r="B2213" t="str">
            <v/>
          </cell>
        </row>
        <row r="2214">
          <cell r="B2214" t="str">
            <v/>
          </cell>
        </row>
        <row r="2215">
          <cell r="B2215" t="str">
            <v/>
          </cell>
        </row>
        <row r="2216">
          <cell r="B2216" t="str">
            <v/>
          </cell>
        </row>
        <row r="2217">
          <cell r="B2217" t="str">
            <v/>
          </cell>
        </row>
        <row r="2218">
          <cell r="B2218" t="str">
            <v/>
          </cell>
        </row>
        <row r="2219">
          <cell r="B2219" t="str">
            <v/>
          </cell>
        </row>
        <row r="2220">
          <cell r="B2220" t="str">
            <v/>
          </cell>
        </row>
        <row r="2221">
          <cell r="B2221" t="str">
            <v/>
          </cell>
        </row>
        <row r="2222">
          <cell r="B2222" t="str">
            <v/>
          </cell>
        </row>
        <row r="2223">
          <cell r="B2223" t="str">
            <v/>
          </cell>
        </row>
        <row r="2224">
          <cell r="B2224" t="str">
            <v/>
          </cell>
        </row>
        <row r="2225">
          <cell r="B2225" t="str">
            <v/>
          </cell>
        </row>
        <row r="2226">
          <cell r="B2226" t="str">
            <v/>
          </cell>
        </row>
        <row r="2227">
          <cell r="B2227" t="str">
            <v/>
          </cell>
        </row>
        <row r="2228">
          <cell r="B2228" t="str">
            <v/>
          </cell>
        </row>
        <row r="2229">
          <cell r="B2229" t="str">
            <v/>
          </cell>
        </row>
        <row r="2230">
          <cell r="B2230" t="str">
            <v/>
          </cell>
        </row>
        <row r="2231">
          <cell r="B2231" t="str">
            <v/>
          </cell>
        </row>
        <row r="2232">
          <cell r="B2232" t="str">
            <v/>
          </cell>
        </row>
        <row r="2233">
          <cell r="B2233" t="str">
            <v/>
          </cell>
        </row>
        <row r="2234">
          <cell r="B2234" t="str">
            <v/>
          </cell>
        </row>
        <row r="2235">
          <cell r="B2235" t="str">
            <v/>
          </cell>
        </row>
        <row r="2236">
          <cell r="B2236" t="str">
            <v/>
          </cell>
        </row>
        <row r="2237">
          <cell r="B2237" t="str">
            <v/>
          </cell>
        </row>
        <row r="2238">
          <cell r="B2238" t="str">
            <v/>
          </cell>
        </row>
        <row r="2239">
          <cell r="B2239" t="str">
            <v/>
          </cell>
        </row>
        <row r="2240">
          <cell r="B2240" t="str">
            <v/>
          </cell>
        </row>
        <row r="2241">
          <cell r="B2241" t="str">
            <v/>
          </cell>
        </row>
        <row r="2242">
          <cell r="B2242" t="str">
            <v/>
          </cell>
        </row>
        <row r="2243">
          <cell r="B2243" t="str">
            <v/>
          </cell>
        </row>
        <row r="2244">
          <cell r="B2244" t="str">
            <v/>
          </cell>
        </row>
        <row r="2245">
          <cell r="B2245" t="str">
            <v/>
          </cell>
        </row>
        <row r="2246">
          <cell r="B2246" t="str">
            <v/>
          </cell>
        </row>
        <row r="2247">
          <cell r="B2247" t="str">
            <v/>
          </cell>
        </row>
        <row r="2248">
          <cell r="B2248" t="str">
            <v/>
          </cell>
        </row>
        <row r="2249">
          <cell r="B2249" t="str">
            <v/>
          </cell>
        </row>
        <row r="2250">
          <cell r="B2250" t="str">
            <v/>
          </cell>
        </row>
        <row r="2251">
          <cell r="B2251" t="str">
            <v/>
          </cell>
        </row>
        <row r="2252">
          <cell r="B2252" t="str">
            <v/>
          </cell>
        </row>
        <row r="2253">
          <cell r="B2253" t="str">
            <v/>
          </cell>
        </row>
        <row r="2254">
          <cell r="B2254" t="str">
            <v/>
          </cell>
        </row>
        <row r="2255">
          <cell r="B2255" t="str">
            <v/>
          </cell>
        </row>
        <row r="2256">
          <cell r="B2256" t="str">
            <v/>
          </cell>
        </row>
        <row r="2257">
          <cell r="B2257" t="str">
            <v/>
          </cell>
        </row>
        <row r="2258">
          <cell r="B2258" t="str">
            <v/>
          </cell>
        </row>
        <row r="2259">
          <cell r="B2259" t="str">
            <v/>
          </cell>
        </row>
        <row r="2260">
          <cell r="B2260" t="str">
            <v/>
          </cell>
        </row>
        <row r="2261">
          <cell r="B2261" t="str">
            <v/>
          </cell>
        </row>
        <row r="2262">
          <cell r="B2262" t="str">
            <v/>
          </cell>
        </row>
        <row r="2263">
          <cell r="B2263" t="str">
            <v/>
          </cell>
        </row>
        <row r="2264">
          <cell r="B2264" t="str">
            <v/>
          </cell>
        </row>
        <row r="2265">
          <cell r="B2265" t="str">
            <v/>
          </cell>
        </row>
        <row r="2266">
          <cell r="B2266" t="str">
            <v/>
          </cell>
        </row>
        <row r="2267">
          <cell r="B2267" t="str">
            <v/>
          </cell>
        </row>
        <row r="2268">
          <cell r="B2268" t="str">
            <v/>
          </cell>
        </row>
        <row r="2269">
          <cell r="B2269" t="str">
            <v/>
          </cell>
        </row>
        <row r="2270">
          <cell r="B2270" t="str">
            <v/>
          </cell>
        </row>
        <row r="2271">
          <cell r="B2271" t="str">
            <v/>
          </cell>
        </row>
        <row r="2272">
          <cell r="B2272" t="str">
            <v/>
          </cell>
        </row>
        <row r="2273">
          <cell r="B2273" t="str">
            <v/>
          </cell>
        </row>
        <row r="2274">
          <cell r="B2274" t="str">
            <v/>
          </cell>
        </row>
        <row r="2275">
          <cell r="B2275" t="str">
            <v/>
          </cell>
        </row>
        <row r="2276">
          <cell r="B2276" t="str">
            <v/>
          </cell>
        </row>
        <row r="2277">
          <cell r="B2277" t="str">
            <v/>
          </cell>
        </row>
        <row r="2278">
          <cell r="B2278" t="str">
            <v/>
          </cell>
        </row>
        <row r="2279">
          <cell r="B2279" t="str">
            <v/>
          </cell>
        </row>
        <row r="2281">
          <cell r="B2281" t="str">
            <v/>
          </cell>
        </row>
        <row r="2282">
          <cell r="B2282" t="str">
            <v/>
          </cell>
        </row>
        <row r="2283">
          <cell r="B2283" t="str">
            <v/>
          </cell>
        </row>
        <row r="2284">
          <cell r="B2284" t="str">
            <v/>
          </cell>
        </row>
        <row r="2285">
          <cell r="B2285" t="str">
            <v/>
          </cell>
        </row>
        <row r="2286">
          <cell r="B2286" t="str">
            <v/>
          </cell>
        </row>
        <row r="2287">
          <cell r="B2287" t="str">
            <v/>
          </cell>
        </row>
        <row r="2288">
          <cell r="B2288" t="str">
            <v/>
          </cell>
        </row>
        <row r="2289">
          <cell r="B2289" t="str">
            <v/>
          </cell>
        </row>
        <row r="2290">
          <cell r="B2290" t="str">
            <v/>
          </cell>
        </row>
        <row r="2291">
          <cell r="B2291" t="str">
            <v/>
          </cell>
        </row>
        <row r="2292">
          <cell r="B2292" t="str">
            <v/>
          </cell>
        </row>
        <row r="2293">
          <cell r="B2293" t="str">
            <v/>
          </cell>
        </row>
        <row r="2294">
          <cell r="B2294" t="str">
            <v/>
          </cell>
        </row>
        <row r="2295">
          <cell r="B2295" t="str">
            <v/>
          </cell>
        </row>
        <row r="2296">
          <cell r="B2296" t="str">
            <v/>
          </cell>
        </row>
        <row r="2297">
          <cell r="B2297" t="str">
            <v/>
          </cell>
        </row>
        <row r="2298">
          <cell r="B2298" t="str">
            <v/>
          </cell>
        </row>
        <row r="2299">
          <cell r="B2299" t="str">
            <v/>
          </cell>
        </row>
        <row r="2300">
          <cell r="B2300" t="str">
            <v/>
          </cell>
        </row>
        <row r="2301">
          <cell r="B2301" t="str">
            <v/>
          </cell>
        </row>
        <row r="2302">
          <cell r="B2302" t="str">
            <v/>
          </cell>
        </row>
        <row r="2303">
          <cell r="B2303" t="str">
            <v/>
          </cell>
        </row>
        <row r="2304">
          <cell r="B2304" t="str">
            <v/>
          </cell>
        </row>
        <row r="2305">
          <cell r="B2305" t="str">
            <v/>
          </cell>
        </row>
        <row r="2306">
          <cell r="B2306" t="str">
            <v/>
          </cell>
        </row>
        <row r="2307">
          <cell r="B2307" t="str">
            <v/>
          </cell>
        </row>
        <row r="2308">
          <cell r="B2308" t="str">
            <v/>
          </cell>
        </row>
        <row r="2309">
          <cell r="B2309" t="str">
            <v/>
          </cell>
        </row>
        <row r="2310">
          <cell r="B2310" t="str">
            <v/>
          </cell>
        </row>
        <row r="2311">
          <cell r="B2311" t="str">
            <v/>
          </cell>
        </row>
        <row r="2312">
          <cell r="B2312" t="str">
            <v/>
          </cell>
        </row>
        <row r="2313">
          <cell r="B2313" t="str">
            <v/>
          </cell>
        </row>
        <row r="2314">
          <cell r="B2314" t="str">
            <v/>
          </cell>
        </row>
        <row r="2315">
          <cell r="B2315" t="str">
            <v/>
          </cell>
        </row>
        <row r="2316">
          <cell r="B2316" t="str">
            <v/>
          </cell>
        </row>
        <row r="2317">
          <cell r="B2317" t="str">
            <v/>
          </cell>
        </row>
        <row r="2318">
          <cell r="B2318" t="str">
            <v/>
          </cell>
        </row>
        <row r="2319">
          <cell r="B2319" t="str">
            <v/>
          </cell>
        </row>
        <row r="2320">
          <cell r="B2320" t="str">
            <v/>
          </cell>
        </row>
        <row r="2321">
          <cell r="B2321" t="str">
            <v/>
          </cell>
        </row>
        <row r="2322">
          <cell r="B2322" t="str">
            <v/>
          </cell>
        </row>
        <row r="2323">
          <cell r="B2323" t="str">
            <v/>
          </cell>
        </row>
        <row r="2324">
          <cell r="B2324" t="str">
            <v/>
          </cell>
        </row>
        <row r="2325">
          <cell r="B2325" t="str">
            <v/>
          </cell>
        </row>
        <row r="2326">
          <cell r="B2326" t="str">
            <v/>
          </cell>
        </row>
        <row r="2327">
          <cell r="B2327" t="str">
            <v/>
          </cell>
        </row>
        <row r="2328">
          <cell r="B2328" t="str">
            <v/>
          </cell>
        </row>
        <row r="2329">
          <cell r="B2329" t="str">
            <v/>
          </cell>
        </row>
        <row r="2330">
          <cell r="B2330" t="str">
            <v/>
          </cell>
        </row>
        <row r="2331">
          <cell r="B2331" t="str">
            <v/>
          </cell>
        </row>
        <row r="2332">
          <cell r="B2332" t="str">
            <v/>
          </cell>
        </row>
        <row r="2333">
          <cell r="B2333" t="str">
            <v/>
          </cell>
        </row>
        <row r="2334">
          <cell r="B2334" t="str">
            <v/>
          </cell>
        </row>
        <row r="2335">
          <cell r="B2335" t="str">
            <v/>
          </cell>
        </row>
        <row r="2336">
          <cell r="B2336" t="str">
            <v/>
          </cell>
        </row>
        <row r="2337">
          <cell r="B2337" t="str">
            <v/>
          </cell>
        </row>
        <row r="2338">
          <cell r="B2338" t="str">
            <v/>
          </cell>
        </row>
        <row r="2339">
          <cell r="B2339" t="str">
            <v/>
          </cell>
        </row>
        <row r="2340">
          <cell r="B2340" t="str">
            <v/>
          </cell>
        </row>
        <row r="2341">
          <cell r="B2341" t="str">
            <v/>
          </cell>
        </row>
        <row r="2342">
          <cell r="B2342" t="str">
            <v/>
          </cell>
        </row>
        <row r="2343">
          <cell r="B2343" t="str">
            <v/>
          </cell>
        </row>
        <row r="2344">
          <cell r="B2344" t="str">
            <v/>
          </cell>
        </row>
        <row r="2345">
          <cell r="B2345" t="str">
            <v/>
          </cell>
        </row>
        <row r="2346">
          <cell r="B2346" t="str">
            <v/>
          </cell>
        </row>
        <row r="2347">
          <cell r="B2347" t="str">
            <v/>
          </cell>
        </row>
        <row r="2348">
          <cell r="B2348" t="str">
            <v/>
          </cell>
        </row>
        <row r="2349">
          <cell r="B2349" t="str">
            <v/>
          </cell>
        </row>
        <row r="2350">
          <cell r="B2350" t="str">
            <v/>
          </cell>
        </row>
        <row r="2351">
          <cell r="B2351" t="str">
            <v/>
          </cell>
        </row>
        <row r="2352">
          <cell r="B2352" t="str">
            <v/>
          </cell>
        </row>
        <row r="2353">
          <cell r="B2353" t="str">
            <v/>
          </cell>
        </row>
        <row r="2354">
          <cell r="B2354" t="str">
            <v/>
          </cell>
        </row>
        <row r="2355">
          <cell r="B2355" t="str">
            <v/>
          </cell>
        </row>
        <row r="2356">
          <cell r="B2356" t="str">
            <v/>
          </cell>
        </row>
        <row r="2357">
          <cell r="B2357" t="str">
            <v/>
          </cell>
        </row>
        <row r="2358">
          <cell r="B2358" t="str">
            <v/>
          </cell>
        </row>
        <row r="2359">
          <cell r="B2359" t="str">
            <v/>
          </cell>
        </row>
        <row r="2360">
          <cell r="B2360" t="str">
            <v/>
          </cell>
        </row>
        <row r="2361">
          <cell r="B2361" t="str">
            <v/>
          </cell>
        </row>
        <row r="2362">
          <cell r="B2362" t="str">
            <v/>
          </cell>
        </row>
        <row r="2363">
          <cell r="B2363" t="str">
            <v/>
          </cell>
        </row>
        <row r="2364">
          <cell r="B2364" t="str">
            <v/>
          </cell>
        </row>
        <row r="2365">
          <cell r="B2365" t="str">
            <v/>
          </cell>
        </row>
        <row r="2366">
          <cell r="B2366" t="str">
            <v/>
          </cell>
        </row>
        <row r="2367">
          <cell r="B2367" t="str">
            <v/>
          </cell>
        </row>
        <row r="2368">
          <cell r="B2368" t="str">
            <v/>
          </cell>
        </row>
        <row r="2369">
          <cell r="B2369" t="str">
            <v/>
          </cell>
        </row>
        <row r="2370">
          <cell r="B2370" t="str">
            <v/>
          </cell>
        </row>
        <row r="2371">
          <cell r="B2371" t="str">
            <v/>
          </cell>
        </row>
        <row r="2372">
          <cell r="B2372" t="str">
            <v/>
          </cell>
        </row>
        <row r="2373">
          <cell r="B2373" t="str">
            <v/>
          </cell>
        </row>
        <row r="2374">
          <cell r="B2374" t="str">
            <v/>
          </cell>
        </row>
        <row r="2375">
          <cell r="B2375" t="str">
            <v/>
          </cell>
        </row>
        <row r="2376">
          <cell r="B2376" t="str">
            <v/>
          </cell>
        </row>
        <row r="2377">
          <cell r="B2377" t="str">
            <v/>
          </cell>
        </row>
        <row r="2378">
          <cell r="B2378" t="str">
            <v/>
          </cell>
        </row>
        <row r="2379">
          <cell r="B2379" t="str">
            <v/>
          </cell>
        </row>
        <row r="2380">
          <cell r="B2380" t="str">
            <v/>
          </cell>
        </row>
        <row r="2381">
          <cell r="B2381" t="str">
            <v/>
          </cell>
        </row>
        <row r="2382">
          <cell r="B2382" t="str">
            <v/>
          </cell>
        </row>
        <row r="2383">
          <cell r="B2383" t="str">
            <v/>
          </cell>
        </row>
        <row r="2384">
          <cell r="B2384" t="str">
            <v/>
          </cell>
        </row>
        <row r="2385">
          <cell r="B2385" t="str">
            <v/>
          </cell>
        </row>
        <row r="2386">
          <cell r="B2386" t="str">
            <v/>
          </cell>
        </row>
        <row r="2387">
          <cell r="B2387" t="str">
            <v/>
          </cell>
        </row>
        <row r="2388">
          <cell r="B2388" t="str">
            <v/>
          </cell>
        </row>
        <row r="2389">
          <cell r="B2389" t="str">
            <v/>
          </cell>
        </row>
        <row r="2390">
          <cell r="B2390" t="str">
            <v/>
          </cell>
        </row>
        <row r="2391">
          <cell r="B2391" t="str">
            <v/>
          </cell>
        </row>
        <row r="2392">
          <cell r="B2392" t="str">
            <v/>
          </cell>
        </row>
        <row r="2393">
          <cell r="B2393" t="str">
            <v/>
          </cell>
        </row>
        <row r="2394">
          <cell r="B2394" t="str">
            <v/>
          </cell>
        </row>
        <row r="2395">
          <cell r="B2395" t="str">
            <v/>
          </cell>
        </row>
        <row r="2396">
          <cell r="B2396" t="str">
            <v/>
          </cell>
        </row>
        <row r="2397">
          <cell r="B2397" t="str">
            <v/>
          </cell>
        </row>
        <row r="2398">
          <cell r="B2398" t="str">
            <v/>
          </cell>
        </row>
        <row r="2399">
          <cell r="B2399" t="str">
            <v/>
          </cell>
        </row>
        <row r="2400">
          <cell r="B2400" t="str">
            <v/>
          </cell>
        </row>
        <row r="2401">
          <cell r="B2401" t="str">
            <v/>
          </cell>
        </row>
        <row r="2402">
          <cell r="B2402" t="str">
            <v/>
          </cell>
        </row>
        <row r="2403">
          <cell r="B2403" t="str">
            <v/>
          </cell>
        </row>
        <row r="2404">
          <cell r="B2404" t="str">
            <v/>
          </cell>
        </row>
        <row r="2405">
          <cell r="B2405" t="str">
            <v/>
          </cell>
        </row>
        <row r="2406">
          <cell r="B2406" t="str">
            <v/>
          </cell>
        </row>
        <row r="2407">
          <cell r="B2407" t="str">
            <v/>
          </cell>
        </row>
        <row r="2408">
          <cell r="B2408" t="str">
            <v/>
          </cell>
        </row>
        <row r="2409">
          <cell r="B2409" t="str">
            <v/>
          </cell>
        </row>
        <row r="2410">
          <cell r="B2410" t="str">
            <v/>
          </cell>
        </row>
        <row r="2411">
          <cell r="B2411" t="str">
            <v/>
          </cell>
        </row>
        <row r="2412">
          <cell r="B2412" t="str">
            <v/>
          </cell>
        </row>
        <row r="2413">
          <cell r="B2413" t="str">
            <v/>
          </cell>
        </row>
        <row r="2414">
          <cell r="B2414" t="str">
            <v/>
          </cell>
        </row>
        <row r="2415">
          <cell r="B2415" t="str">
            <v/>
          </cell>
        </row>
        <row r="2416">
          <cell r="B2416" t="str">
            <v/>
          </cell>
        </row>
        <row r="2417">
          <cell r="B2417" t="str">
            <v/>
          </cell>
        </row>
        <row r="2418">
          <cell r="B2418" t="str">
            <v/>
          </cell>
        </row>
        <row r="2419">
          <cell r="B2419" t="str">
            <v/>
          </cell>
        </row>
        <row r="2420">
          <cell r="B2420" t="str">
            <v/>
          </cell>
        </row>
        <row r="2421">
          <cell r="B2421" t="str">
            <v/>
          </cell>
        </row>
        <row r="2422">
          <cell r="B2422" t="str">
            <v/>
          </cell>
        </row>
        <row r="2423">
          <cell r="B2423" t="str">
            <v/>
          </cell>
        </row>
        <row r="2424">
          <cell r="B2424" t="str">
            <v/>
          </cell>
        </row>
        <row r="2425">
          <cell r="B2425" t="str">
            <v/>
          </cell>
        </row>
        <row r="2426">
          <cell r="B2426" t="str">
            <v/>
          </cell>
        </row>
        <row r="2427">
          <cell r="B2427" t="str">
            <v/>
          </cell>
        </row>
        <row r="2428">
          <cell r="B2428" t="str">
            <v/>
          </cell>
        </row>
        <row r="2429">
          <cell r="B2429" t="str">
            <v/>
          </cell>
        </row>
        <row r="2430">
          <cell r="B2430" t="str">
            <v/>
          </cell>
        </row>
        <row r="2431">
          <cell r="B2431" t="str">
            <v/>
          </cell>
        </row>
        <row r="2432">
          <cell r="B2432" t="str">
            <v/>
          </cell>
        </row>
        <row r="2433">
          <cell r="B2433" t="str">
            <v/>
          </cell>
        </row>
        <row r="2434">
          <cell r="B2434" t="str">
            <v/>
          </cell>
        </row>
        <row r="2435">
          <cell r="B2435" t="str">
            <v/>
          </cell>
        </row>
        <row r="2436">
          <cell r="B2436" t="str">
            <v/>
          </cell>
        </row>
        <row r="2437">
          <cell r="B2437" t="str">
            <v/>
          </cell>
        </row>
        <row r="2438">
          <cell r="B2438" t="str">
            <v/>
          </cell>
        </row>
        <row r="2439">
          <cell r="B2439" t="str">
            <v/>
          </cell>
        </row>
        <row r="2440">
          <cell r="B2440" t="str">
            <v/>
          </cell>
        </row>
        <row r="2441">
          <cell r="B2441" t="str">
            <v/>
          </cell>
        </row>
        <row r="2442">
          <cell r="B2442" t="str">
            <v/>
          </cell>
        </row>
        <row r="2443">
          <cell r="B2443" t="str">
            <v/>
          </cell>
        </row>
        <row r="2444">
          <cell r="B2444" t="str">
            <v/>
          </cell>
        </row>
        <row r="2445">
          <cell r="B2445" t="str">
            <v/>
          </cell>
        </row>
        <row r="2446">
          <cell r="B2446" t="str">
            <v/>
          </cell>
        </row>
        <row r="2447">
          <cell r="B2447" t="str">
            <v/>
          </cell>
        </row>
        <row r="2448">
          <cell r="B2448" t="str">
            <v/>
          </cell>
        </row>
        <row r="2449">
          <cell r="B2449" t="str">
            <v/>
          </cell>
        </row>
        <row r="2450">
          <cell r="B2450" t="str">
            <v/>
          </cell>
        </row>
        <row r="2451">
          <cell r="B2451" t="str">
            <v/>
          </cell>
        </row>
        <row r="2452">
          <cell r="B2452" t="str">
            <v/>
          </cell>
        </row>
        <row r="2453">
          <cell r="B2453" t="str">
            <v/>
          </cell>
        </row>
        <row r="2454">
          <cell r="B2454" t="str">
            <v/>
          </cell>
        </row>
        <row r="2455">
          <cell r="B2455" t="str">
            <v/>
          </cell>
        </row>
        <row r="2456">
          <cell r="B2456" t="str">
            <v/>
          </cell>
        </row>
        <row r="2457">
          <cell r="B2457" t="str">
            <v/>
          </cell>
        </row>
        <row r="2458">
          <cell r="B2458" t="str">
            <v/>
          </cell>
        </row>
        <row r="2459">
          <cell r="B2459" t="str">
            <v/>
          </cell>
        </row>
        <row r="2460">
          <cell r="B2460" t="str">
            <v/>
          </cell>
        </row>
        <row r="2461">
          <cell r="B2461" t="str">
            <v/>
          </cell>
        </row>
        <row r="2462">
          <cell r="B2462" t="str">
            <v/>
          </cell>
        </row>
        <row r="2463">
          <cell r="B2463" t="str">
            <v/>
          </cell>
        </row>
        <row r="2464">
          <cell r="B2464" t="str">
            <v/>
          </cell>
        </row>
        <row r="2465">
          <cell r="B2465" t="str">
            <v/>
          </cell>
        </row>
        <row r="2466">
          <cell r="B2466" t="str">
            <v/>
          </cell>
        </row>
        <row r="2467">
          <cell r="B2467" t="str">
            <v/>
          </cell>
        </row>
        <row r="2468">
          <cell r="B2468" t="str">
            <v/>
          </cell>
        </row>
        <row r="2469">
          <cell r="B2469" t="str">
            <v/>
          </cell>
        </row>
        <row r="2470">
          <cell r="B2470" t="str">
            <v/>
          </cell>
        </row>
        <row r="2471">
          <cell r="B2471" t="str">
            <v/>
          </cell>
        </row>
        <row r="2472">
          <cell r="B2472" t="str">
            <v/>
          </cell>
        </row>
        <row r="2473">
          <cell r="B2473" t="str">
            <v/>
          </cell>
        </row>
        <row r="2474">
          <cell r="B2474" t="str">
            <v/>
          </cell>
        </row>
        <row r="2475">
          <cell r="B2475" t="str">
            <v/>
          </cell>
        </row>
        <row r="2476">
          <cell r="B2476" t="str">
            <v/>
          </cell>
        </row>
        <row r="2477">
          <cell r="B2477" t="str">
            <v/>
          </cell>
          <cell r="E2477" t="str">
            <v>Choose lycanthrope heritage</v>
          </cell>
        </row>
        <row r="2478">
          <cell r="B2478" t="str">
            <v/>
          </cell>
          <cell r="E2478" t="str">
            <v>Bear</v>
          </cell>
        </row>
        <row r="2479">
          <cell r="B2479" t="str">
            <v/>
          </cell>
          <cell r="E2479" t="str">
            <v>Boar</v>
          </cell>
        </row>
        <row r="2480">
          <cell r="B2480" t="str">
            <v/>
          </cell>
          <cell r="E2480" t="str">
            <v>Rat</v>
          </cell>
        </row>
        <row r="2481">
          <cell r="B2481" t="str">
            <v/>
          </cell>
          <cell r="E2481" t="str">
            <v>Tiger</v>
          </cell>
        </row>
        <row r="2482">
          <cell r="B2482" t="str">
            <v/>
          </cell>
          <cell r="E2482" t="str">
            <v>Wolf</v>
          </cell>
        </row>
        <row r="2483">
          <cell r="B2483" t="str">
            <v/>
          </cell>
          <cell r="E2483" t="str">
            <v>Wolverine</v>
          </cell>
        </row>
        <row r="2484">
          <cell r="B2484" t="str">
            <v/>
          </cell>
        </row>
        <row r="2485">
          <cell r="B2485" t="str">
            <v/>
          </cell>
        </row>
        <row r="2486">
          <cell r="B2486" t="str">
            <v/>
          </cell>
        </row>
        <row r="2487">
          <cell r="B2487" t="str">
            <v/>
          </cell>
        </row>
        <row r="2488">
          <cell r="B2488" t="str">
            <v/>
          </cell>
        </row>
        <row r="2489">
          <cell r="B2489" t="str">
            <v/>
          </cell>
        </row>
        <row r="2490">
          <cell r="B2490" t="str">
            <v/>
          </cell>
        </row>
        <row r="2491">
          <cell r="B2491" t="str">
            <v/>
          </cell>
        </row>
        <row r="2492">
          <cell r="B2492" t="str">
            <v/>
          </cell>
        </row>
        <row r="2493">
          <cell r="B2493" t="str">
            <v/>
          </cell>
        </row>
        <row r="2494">
          <cell r="B2494" t="str">
            <v/>
          </cell>
        </row>
        <row r="2495">
          <cell r="B2495" t="str">
            <v/>
          </cell>
        </row>
        <row r="2496">
          <cell r="B2496" t="str">
            <v/>
          </cell>
        </row>
        <row r="2497">
          <cell r="B2497" t="str">
            <v/>
          </cell>
        </row>
        <row r="2498">
          <cell r="B2498" t="str">
            <v/>
          </cell>
        </row>
        <row r="2499">
          <cell r="B2499" t="str">
            <v/>
          </cell>
        </row>
        <row r="2500">
          <cell r="B2500" t="str">
            <v/>
          </cell>
        </row>
        <row r="2501">
          <cell r="B2501" t="str">
            <v/>
          </cell>
        </row>
        <row r="2502">
          <cell r="B2502" t="str">
            <v/>
          </cell>
        </row>
        <row r="2503">
          <cell r="B2503" t="str">
            <v/>
          </cell>
        </row>
        <row r="2504">
          <cell r="B2504" t="str">
            <v/>
          </cell>
        </row>
        <row r="2505">
          <cell r="B2505" t="str">
            <v/>
          </cell>
        </row>
        <row r="2506">
          <cell r="B2506" t="str">
            <v/>
          </cell>
        </row>
        <row r="2507">
          <cell r="B2507" t="str">
            <v/>
          </cell>
        </row>
        <row r="2508">
          <cell r="B2508" t="str">
            <v/>
          </cell>
        </row>
        <row r="2509">
          <cell r="B2509" t="str">
            <v/>
          </cell>
        </row>
        <row r="2510">
          <cell r="B2510" t="str">
            <v/>
          </cell>
        </row>
        <row r="2511">
          <cell r="B2511" t="str">
            <v/>
          </cell>
        </row>
        <row r="2512">
          <cell r="B2512" t="str">
            <v/>
          </cell>
        </row>
        <row r="2513">
          <cell r="B2513" t="str">
            <v/>
          </cell>
        </row>
        <row r="2514">
          <cell r="B2514" t="str">
            <v/>
          </cell>
        </row>
        <row r="2515">
          <cell r="B2515" t="str">
            <v/>
          </cell>
        </row>
        <row r="2516">
          <cell r="B2516" t="str">
            <v/>
          </cell>
        </row>
        <row r="2517">
          <cell r="B2517" t="str">
            <v/>
          </cell>
        </row>
        <row r="2518">
          <cell r="B2518" t="str">
            <v/>
          </cell>
        </row>
        <row r="2519">
          <cell r="B2519" t="str">
            <v/>
          </cell>
        </row>
        <row r="2520">
          <cell r="B2520" t="str">
            <v/>
          </cell>
        </row>
        <row r="2521">
          <cell r="B2521" t="str">
            <v/>
          </cell>
        </row>
        <row r="2522">
          <cell r="B2522" t="str">
            <v/>
          </cell>
        </row>
        <row r="2523">
          <cell r="B2523" t="str">
            <v/>
          </cell>
        </row>
        <row r="2524">
          <cell r="B2524" t="str">
            <v/>
          </cell>
        </row>
        <row r="2525">
          <cell r="B2525" t="str">
            <v/>
          </cell>
        </row>
        <row r="2526">
          <cell r="B2526" t="str">
            <v/>
          </cell>
        </row>
        <row r="2527">
          <cell r="B2527" t="str">
            <v/>
          </cell>
        </row>
        <row r="2528">
          <cell r="B2528" t="str">
            <v/>
          </cell>
          <cell r="E2528" t="str">
            <v/>
          </cell>
        </row>
        <row r="2529">
          <cell r="B2529" t="str">
            <v/>
          </cell>
          <cell r="E2529" t="str">
            <v>Black</v>
          </cell>
        </row>
        <row r="2530">
          <cell r="B2530" t="str">
            <v/>
          </cell>
        </row>
        <row r="2531">
          <cell r="B2531" t="str">
            <v/>
          </cell>
        </row>
        <row r="2532">
          <cell r="B2532" t="str">
            <v/>
          </cell>
        </row>
        <row r="2533">
          <cell r="B2533" t="str">
            <v/>
          </cell>
        </row>
        <row r="2534">
          <cell r="B2534" t="str">
            <v/>
          </cell>
        </row>
        <row r="2535">
          <cell r="B2535" t="str">
            <v/>
          </cell>
        </row>
        <row r="2536">
          <cell r="B2536" t="str">
            <v/>
          </cell>
        </row>
        <row r="2537">
          <cell r="B2537" t="str">
            <v/>
          </cell>
        </row>
        <row r="2538">
          <cell r="B2538" t="str">
            <v/>
          </cell>
        </row>
        <row r="2539">
          <cell r="B2539" t="str">
            <v/>
          </cell>
        </row>
        <row r="2540">
          <cell r="B2540" t="str">
            <v/>
          </cell>
        </row>
        <row r="2541">
          <cell r="B2541" t="str">
            <v/>
          </cell>
        </row>
        <row r="2542">
          <cell r="B2542" t="str">
            <v/>
          </cell>
        </row>
        <row r="2543">
          <cell r="B2543" t="str">
            <v/>
          </cell>
        </row>
        <row r="2544">
          <cell r="B2544" t="str">
            <v/>
          </cell>
        </row>
        <row r="2545">
          <cell r="B2545" t="str">
            <v/>
          </cell>
        </row>
        <row r="2546">
          <cell r="B2546" t="str">
            <v/>
          </cell>
        </row>
        <row r="2547">
          <cell r="B2547" t="str">
            <v/>
          </cell>
        </row>
        <row r="2548">
          <cell r="B2548" t="str">
            <v/>
          </cell>
        </row>
        <row r="2549">
          <cell r="B2549" t="str">
            <v/>
          </cell>
        </row>
        <row r="2550">
          <cell r="B2550" t="str">
            <v/>
          </cell>
        </row>
        <row r="2551">
          <cell r="B2551" t="str">
            <v/>
          </cell>
        </row>
        <row r="2552">
          <cell r="B2552" t="str">
            <v/>
          </cell>
        </row>
        <row r="2553">
          <cell r="B2553" t="str">
            <v/>
          </cell>
        </row>
        <row r="2554">
          <cell r="B2554" t="str">
            <v/>
          </cell>
        </row>
        <row r="2555">
          <cell r="B2555" t="str">
            <v/>
          </cell>
        </row>
        <row r="2556">
          <cell r="B2556" t="str">
            <v/>
          </cell>
        </row>
        <row r="2557">
          <cell r="B2557" t="str">
            <v/>
          </cell>
        </row>
        <row r="2558">
          <cell r="B2558" t="str">
            <v/>
          </cell>
        </row>
        <row r="2559">
          <cell r="B2559" t="str">
            <v/>
          </cell>
        </row>
        <row r="2560">
          <cell r="B2560" t="str">
            <v/>
          </cell>
        </row>
        <row r="2561">
          <cell r="B2561" t="str">
            <v/>
          </cell>
        </row>
        <row r="2562">
          <cell r="B2562" t="str">
            <v/>
          </cell>
        </row>
        <row r="2563">
          <cell r="B2563" t="str">
            <v/>
          </cell>
        </row>
        <row r="2564">
          <cell r="B2564" t="str">
            <v/>
          </cell>
        </row>
        <row r="2565">
          <cell r="B2565" t="str">
            <v/>
          </cell>
        </row>
        <row r="2566">
          <cell r="B2566" t="str">
            <v/>
          </cell>
        </row>
        <row r="2567">
          <cell r="B2567" t="str">
            <v/>
          </cell>
        </row>
        <row r="2568">
          <cell r="B2568" t="str">
            <v/>
          </cell>
        </row>
        <row r="2569">
          <cell r="B2569" t="str">
            <v/>
          </cell>
        </row>
        <row r="2570">
          <cell r="B2570" t="str">
            <v/>
          </cell>
        </row>
        <row r="2571">
          <cell r="B2571" t="str">
            <v/>
          </cell>
        </row>
        <row r="2572">
          <cell r="B2572" t="str">
            <v/>
          </cell>
        </row>
        <row r="2573">
          <cell r="B2573" t="str">
            <v/>
          </cell>
        </row>
        <row r="2574">
          <cell r="B2574" t="str">
            <v/>
          </cell>
        </row>
        <row r="2575">
          <cell r="B2575" t="str">
            <v/>
          </cell>
        </row>
        <row r="2576">
          <cell r="B2576" t="str">
            <v/>
          </cell>
        </row>
        <row r="2577">
          <cell r="B2577" t="str">
            <v/>
          </cell>
        </row>
        <row r="2578">
          <cell r="B2578" t="str">
            <v/>
          </cell>
        </row>
        <row r="2579">
          <cell r="B2579" t="str">
            <v/>
          </cell>
        </row>
        <row r="2580">
          <cell r="B2580" t="str">
            <v/>
          </cell>
        </row>
        <row r="2581">
          <cell r="B2581" t="str">
            <v/>
          </cell>
        </row>
        <row r="2582">
          <cell r="B2582" t="str">
            <v/>
          </cell>
        </row>
        <row r="2583">
          <cell r="B2583" t="str">
            <v/>
          </cell>
        </row>
        <row r="2584">
          <cell r="B2584" t="str">
            <v/>
          </cell>
        </row>
        <row r="2585">
          <cell r="B2585" t="str">
            <v/>
          </cell>
        </row>
        <row r="2586">
          <cell r="B2586" t="str">
            <v/>
          </cell>
        </row>
        <row r="2587">
          <cell r="B2587" t="str">
            <v/>
          </cell>
        </row>
        <row r="2588">
          <cell r="B2588" t="str">
            <v/>
          </cell>
        </row>
        <row r="2589">
          <cell r="B2589" t="str">
            <v/>
          </cell>
        </row>
        <row r="2590">
          <cell r="B2590" t="str">
            <v/>
          </cell>
        </row>
        <row r="2591">
          <cell r="B2591" t="str">
            <v/>
          </cell>
        </row>
        <row r="2592">
          <cell r="B2592" t="str">
            <v/>
          </cell>
        </row>
        <row r="2593">
          <cell r="B2593" t="str">
            <v/>
          </cell>
        </row>
        <row r="2594">
          <cell r="B2594" t="str">
            <v/>
          </cell>
        </row>
        <row r="2595">
          <cell r="B2595" t="str">
            <v/>
          </cell>
        </row>
        <row r="2596">
          <cell r="B2596" t="str">
            <v/>
          </cell>
        </row>
        <row r="2597">
          <cell r="B2597" t="str">
            <v/>
          </cell>
        </row>
        <row r="2598">
          <cell r="B2598" t="str">
            <v/>
          </cell>
        </row>
        <row r="2599">
          <cell r="B2599" t="str">
            <v/>
          </cell>
        </row>
        <row r="2600">
          <cell r="B2600" t="str">
            <v/>
          </cell>
        </row>
        <row r="2601">
          <cell r="B2601" t="str">
            <v/>
          </cell>
        </row>
        <row r="2602">
          <cell r="B2602" t="str">
            <v/>
          </cell>
        </row>
        <row r="2603">
          <cell r="B2603" t="str">
            <v/>
          </cell>
        </row>
        <row r="2604">
          <cell r="B2604" t="str">
            <v/>
          </cell>
        </row>
        <row r="2605">
          <cell r="B2605" t="str">
            <v/>
          </cell>
        </row>
        <row r="2606">
          <cell r="B2606" t="str">
            <v/>
          </cell>
        </row>
        <row r="2607">
          <cell r="B2607" t="str">
            <v/>
          </cell>
        </row>
        <row r="2608">
          <cell r="B2608" t="str">
            <v/>
          </cell>
        </row>
        <row r="2609">
          <cell r="B2609" t="str">
            <v/>
          </cell>
        </row>
        <row r="2610">
          <cell r="B2610" t="str">
            <v/>
          </cell>
        </row>
        <row r="2611">
          <cell r="B2611" t="str">
            <v/>
          </cell>
        </row>
        <row r="2612">
          <cell r="B2612" t="str">
            <v/>
          </cell>
        </row>
        <row r="2613">
          <cell r="B2613" t="str">
            <v/>
          </cell>
        </row>
        <row r="2614">
          <cell r="B2614" t="str">
            <v/>
          </cell>
        </row>
        <row r="2615">
          <cell r="B2615" t="str">
            <v/>
          </cell>
        </row>
        <row r="2616">
          <cell r="B2616" t="str">
            <v/>
          </cell>
        </row>
        <row r="2617">
          <cell r="B2617" t="str">
            <v/>
          </cell>
        </row>
        <row r="2618">
          <cell r="B2618" t="str">
            <v/>
          </cell>
        </row>
        <row r="2619">
          <cell r="B2619" t="str">
            <v/>
          </cell>
        </row>
        <row r="2620">
          <cell r="B2620" t="str">
            <v/>
          </cell>
        </row>
        <row r="2621">
          <cell r="B2621" t="str">
            <v/>
          </cell>
        </row>
        <row r="2622">
          <cell r="B2622" t="str">
            <v/>
          </cell>
        </row>
        <row r="2623">
          <cell r="B2623" t="str">
            <v/>
          </cell>
        </row>
        <row r="2624">
          <cell r="B2624" t="str">
            <v/>
          </cell>
        </row>
        <row r="2625">
          <cell r="B2625" t="str">
            <v/>
          </cell>
        </row>
        <row r="2626">
          <cell r="B2626" t="str">
            <v/>
          </cell>
        </row>
        <row r="2627">
          <cell r="B2627" t="str">
            <v/>
          </cell>
        </row>
        <row r="2628">
          <cell r="B2628" t="str">
            <v/>
          </cell>
        </row>
        <row r="2629">
          <cell r="B2629" t="str">
            <v/>
          </cell>
        </row>
        <row r="2630">
          <cell r="B2630" t="str">
            <v/>
          </cell>
        </row>
        <row r="2631">
          <cell r="B2631" t="str">
            <v/>
          </cell>
        </row>
        <row r="2632">
          <cell r="B2632" t="str">
            <v/>
          </cell>
        </row>
        <row r="2633">
          <cell r="B2633" t="str">
            <v/>
          </cell>
        </row>
        <row r="2634">
          <cell r="B2634" t="str">
            <v/>
          </cell>
        </row>
        <row r="2635">
          <cell r="B2635" t="str">
            <v/>
          </cell>
        </row>
        <row r="2636">
          <cell r="B2636" t="str">
            <v/>
          </cell>
        </row>
        <row r="2637">
          <cell r="B2637" t="str">
            <v/>
          </cell>
        </row>
        <row r="2638">
          <cell r="B2638" t="str">
            <v/>
          </cell>
        </row>
        <row r="2639">
          <cell r="B2639" t="str">
            <v/>
          </cell>
        </row>
        <row r="2640">
          <cell r="B2640" t="str">
            <v/>
          </cell>
        </row>
        <row r="2641">
          <cell r="B2641" t="str">
            <v/>
          </cell>
        </row>
        <row r="2642">
          <cell r="B2642" t="str">
            <v/>
          </cell>
        </row>
        <row r="2643">
          <cell r="B2643" t="str">
            <v/>
          </cell>
        </row>
        <row r="2644">
          <cell r="B2644" t="str">
            <v/>
          </cell>
        </row>
        <row r="2645">
          <cell r="B2645" t="str">
            <v/>
          </cell>
        </row>
        <row r="2646">
          <cell r="B2646" t="str">
            <v/>
          </cell>
        </row>
        <row r="2647">
          <cell r="B2647" t="str">
            <v/>
          </cell>
        </row>
        <row r="2648">
          <cell r="B2648" t="str">
            <v/>
          </cell>
        </row>
        <row r="2649">
          <cell r="B2649" t="str">
            <v/>
          </cell>
        </row>
        <row r="2650">
          <cell r="B2650" t="str">
            <v/>
          </cell>
        </row>
        <row r="2651">
          <cell r="B2651" t="str">
            <v/>
          </cell>
        </row>
        <row r="2652">
          <cell r="B2652" t="str">
            <v/>
          </cell>
        </row>
        <row r="2653">
          <cell r="B2653" t="str">
            <v/>
          </cell>
        </row>
        <row r="2654">
          <cell r="B2654" t="str">
            <v/>
          </cell>
        </row>
        <row r="2655">
          <cell r="B2655" t="str">
            <v/>
          </cell>
        </row>
        <row r="2656">
          <cell r="B2656" t="str">
            <v/>
          </cell>
        </row>
        <row r="2657">
          <cell r="B2657" t="str">
            <v/>
          </cell>
        </row>
        <row r="2658">
          <cell r="B2658" t="str">
            <v/>
          </cell>
        </row>
        <row r="2659">
          <cell r="B2659" t="str">
            <v/>
          </cell>
        </row>
        <row r="2660">
          <cell r="B2660" t="str">
            <v/>
          </cell>
        </row>
        <row r="2661">
          <cell r="B2661" t="str">
            <v/>
          </cell>
        </row>
        <row r="2662">
          <cell r="B2662" t="str">
            <v/>
          </cell>
        </row>
        <row r="2663">
          <cell r="B2663" t="str">
            <v/>
          </cell>
        </row>
        <row r="2664">
          <cell r="B2664" t="str">
            <v/>
          </cell>
        </row>
        <row r="2665">
          <cell r="B2665" t="str">
            <v/>
          </cell>
        </row>
        <row r="2666">
          <cell r="B2666" t="str">
            <v/>
          </cell>
        </row>
        <row r="2667">
          <cell r="B2667" t="str">
            <v/>
          </cell>
        </row>
        <row r="2668">
          <cell r="B2668" t="str">
            <v/>
          </cell>
        </row>
        <row r="2669">
          <cell r="B2669" t="str">
            <v/>
          </cell>
        </row>
        <row r="2670">
          <cell r="B2670" t="str">
            <v/>
          </cell>
        </row>
        <row r="2671">
          <cell r="B2671" t="str">
            <v/>
          </cell>
        </row>
        <row r="2672">
          <cell r="B2672" t="str">
            <v/>
          </cell>
        </row>
        <row r="2673">
          <cell r="B2673" t="str">
            <v/>
          </cell>
        </row>
        <row r="2674">
          <cell r="B2674" t="str">
            <v/>
          </cell>
        </row>
        <row r="2675">
          <cell r="B2675" t="str">
            <v/>
          </cell>
        </row>
        <row r="2676">
          <cell r="B2676" t="str">
            <v/>
          </cell>
        </row>
        <row r="2677">
          <cell r="B2677" t="str">
            <v/>
          </cell>
        </row>
        <row r="2678">
          <cell r="B2678" t="str">
            <v/>
          </cell>
        </row>
        <row r="2679">
          <cell r="B2679" t="str">
            <v/>
          </cell>
        </row>
        <row r="2680">
          <cell r="B2680" t="str">
            <v/>
          </cell>
        </row>
        <row r="2681">
          <cell r="B2681" t="str">
            <v/>
          </cell>
        </row>
        <row r="2682">
          <cell r="B2682" t="str">
            <v/>
          </cell>
        </row>
        <row r="2683">
          <cell r="B2683" t="str">
            <v/>
          </cell>
        </row>
        <row r="2684">
          <cell r="B2684" t="str">
            <v/>
          </cell>
        </row>
        <row r="2685">
          <cell r="B2685" t="str">
            <v/>
          </cell>
        </row>
        <row r="2686">
          <cell r="B2686" t="str">
            <v/>
          </cell>
        </row>
        <row r="2687">
          <cell r="B2687" t="str">
            <v/>
          </cell>
        </row>
        <row r="2688">
          <cell r="B2688" t="str">
            <v/>
          </cell>
        </row>
        <row r="2689">
          <cell r="B2689" t="str">
            <v/>
          </cell>
        </row>
        <row r="2690">
          <cell r="B2690" t="str">
            <v/>
          </cell>
        </row>
        <row r="2691">
          <cell r="B2691" t="str">
            <v/>
          </cell>
        </row>
        <row r="2692">
          <cell r="B2692" t="str">
            <v/>
          </cell>
        </row>
        <row r="2693">
          <cell r="B2693" t="str">
            <v/>
          </cell>
        </row>
        <row r="2694">
          <cell r="B2694" t="str">
            <v/>
          </cell>
        </row>
        <row r="2695">
          <cell r="B2695" t="str">
            <v/>
          </cell>
        </row>
        <row r="2696">
          <cell r="B2696" t="str">
            <v/>
          </cell>
        </row>
        <row r="2697">
          <cell r="B2697" t="str">
            <v/>
          </cell>
        </row>
        <row r="2698">
          <cell r="B2698" t="str">
            <v/>
          </cell>
        </row>
        <row r="2699">
          <cell r="B2699" t="str">
            <v/>
          </cell>
        </row>
        <row r="2700">
          <cell r="B2700" t="str">
            <v/>
          </cell>
        </row>
        <row r="2701">
          <cell r="B2701" t="str">
            <v/>
          </cell>
        </row>
        <row r="2702">
          <cell r="B2702" t="str">
            <v/>
          </cell>
        </row>
        <row r="2703">
          <cell r="B2703" t="str">
            <v/>
          </cell>
        </row>
        <row r="2704">
          <cell r="B2704" t="str">
            <v/>
          </cell>
        </row>
        <row r="2705">
          <cell r="B2705" t="str">
            <v/>
          </cell>
        </row>
        <row r="2706">
          <cell r="B2706" t="str">
            <v/>
          </cell>
        </row>
        <row r="2707">
          <cell r="B2707" t="str">
            <v/>
          </cell>
        </row>
        <row r="2708">
          <cell r="B2708" t="str">
            <v/>
          </cell>
        </row>
        <row r="2709">
          <cell r="B2709" t="str">
            <v/>
          </cell>
        </row>
        <row r="2710">
          <cell r="B2710" t="str">
            <v/>
          </cell>
        </row>
        <row r="2711">
          <cell r="B2711" t="str">
            <v/>
          </cell>
        </row>
        <row r="2712">
          <cell r="B2712" t="str">
            <v/>
          </cell>
        </row>
        <row r="2713">
          <cell r="B2713" t="str">
            <v/>
          </cell>
        </row>
        <row r="2714">
          <cell r="B2714" t="str">
            <v/>
          </cell>
        </row>
        <row r="2715">
          <cell r="B2715" t="str">
            <v/>
          </cell>
        </row>
        <row r="2716">
          <cell r="B2716" t="str">
            <v/>
          </cell>
        </row>
        <row r="2717">
          <cell r="B2717" t="str">
            <v/>
          </cell>
        </row>
        <row r="2718">
          <cell r="B2718" t="str">
            <v/>
          </cell>
        </row>
        <row r="2719">
          <cell r="B2719" t="str">
            <v/>
          </cell>
        </row>
        <row r="2720">
          <cell r="B2720" t="str">
            <v/>
          </cell>
        </row>
        <row r="2721">
          <cell r="B2721" t="str">
            <v/>
          </cell>
        </row>
        <row r="2722">
          <cell r="B2722" t="str">
            <v/>
          </cell>
          <cell r="D2722" t="b">
            <v>0</v>
          </cell>
        </row>
        <row r="2723">
          <cell r="B2723" t="str">
            <v/>
          </cell>
          <cell r="D2723" t="b">
            <v>0</v>
          </cell>
        </row>
        <row r="2724">
          <cell r="B2724" t="str">
            <v/>
          </cell>
          <cell r="D2724" t="b">
            <v>0</v>
          </cell>
        </row>
        <row r="2725">
          <cell r="B2725" t="str">
            <v/>
          </cell>
          <cell r="D2725" t="b">
            <v>0</v>
          </cell>
        </row>
        <row r="2726">
          <cell r="B2726" t="str">
            <v/>
          </cell>
          <cell r="D2726" t="b">
            <v>0</v>
          </cell>
        </row>
        <row r="2727">
          <cell r="B2727" t="str">
            <v/>
          </cell>
          <cell r="D2727" t="b">
            <v>0</v>
          </cell>
        </row>
        <row r="2728">
          <cell r="B2728" t="str">
            <v/>
          </cell>
          <cell r="D2728" t="b">
            <v>0</v>
          </cell>
        </row>
        <row r="2729">
          <cell r="B2729" t="str">
            <v/>
          </cell>
          <cell r="D2729" t="b">
            <v>0</v>
          </cell>
        </row>
        <row r="2730">
          <cell r="B2730" t="str">
            <v/>
          </cell>
          <cell r="D2730" t="b">
            <v>0</v>
          </cell>
        </row>
        <row r="2731">
          <cell r="B2731" t="str">
            <v/>
          </cell>
        </row>
        <row r="2732">
          <cell r="B2732" t="str">
            <v/>
          </cell>
        </row>
        <row r="2733">
          <cell r="B2733" t="str">
            <v/>
          </cell>
        </row>
        <row r="2734">
          <cell r="B2734" t="str">
            <v/>
          </cell>
        </row>
        <row r="2735">
          <cell r="B2735" t="str">
            <v/>
          </cell>
        </row>
        <row r="2736">
          <cell r="B2736" t="str">
            <v/>
          </cell>
        </row>
        <row r="2737">
          <cell r="B2737" t="str">
            <v/>
          </cell>
        </row>
        <row r="2738">
          <cell r="B2738" t="str">
            <v/>
          </cell>
        </row>
        <row r="2739">
          <cell r="B2739" t="str">
            <v/>
          </cell>
        </row>
        <row r="2740">
          <cell r="B2740" t="str">
            <v/>
          </cell>
        </row>
        <row r="2741">
          <cell r="B2741" t="str">
            <v/>
          </cell>
        </row>
        <row r="2742">
          <cell r="B2742" t="str">
            <v/>
          </cell>
        </row>
        <row r="2743">
          <cell r="B2743" t="str">
            <v/>
          </cell>
        </row>
        <row r="2744">
          <cell r="B2744" t="str">
            <v/>
          </cell>
        </row>
        <row r="2745">
          <cell r="B2745" t="str">
            <v/>
          </cell>
        </row>
        <row r="2746">
          <cell r="B2746" t="str">
            <v/>
          </cell>
        </row>
        <row r="2747">
          <cell r="B2747" t="str">
            <v/>
          </cell>
        </row>
        <row r="2748">
          <cell r="B2748" t="str">
            <v/>
          </cell>
        </row>
        <row r="2749">
          <cell r="B2749" t="str">
            <v/>
          </cell>
        </row>
        <row r="2750">
          <cell r="B2750" t="str">
            <v/>
          </cell>
        </row>
        <row r="2751">
          <cell r="B2751" t="str">
            <v/>
          </cell>
        </row>
        <row r="2752">
          <cell r="B2752" t="str">
            <v/>
          </cell>
        </row>
        <row r="2753">
          <cell r="B2753" t="str">
            <v/>
          </cell>
        </row>
        <row r="2754">
          <cell r="B2754" t="str">
            <v/>
          </cell>
        </row>
        <row r="2755">
          <cell r="B2755" t="str">
            <v/>
          </cell>
        </row>
        <row r="2756">
          <cell r="B2756" t="str">
            <v/>
          </cell>
        </row>
        <row r="2757">
          <cell r="B2757" t="str">
            <v/>
          </cell>
        </row>
        <row r="2758">
          <cell r="B2758" t="str">
            <v/>
          </cell>
        </row>
        <row r="2759">
          <cell r="B2759" t="str">
            <v/>
          </cell>
        </row>
        <row r="2760">
          <cell r="B2760" t="str">
            <v/>
          </cell>
        </row>
        <row r="2761">
          <cell r="B2761" t="str">
            <v/>
          </cell>
        </row>
        <row r="2762">
          <cell r="B2762" t="str">
            <v/>
          </cell>
        </row>
        <row r="2763">
          <cell r="B2763" t="str">
            <v/>
          </cell>
        </row>
        <row r="2764">
          <cell r="B2764" t="str">
            <v/>
          </cell>
        </row>
        <row r="2765">
          <cell r="B2765" t="str">
            <v/>
          </cell>
        </row>
        <row r="2766">
          <cell r="B2766" t="str">
            <v/>
          </cell>
          <cell r="E2766" t="b">
            <v>0</v>
          </cell>
        </row>
        <row r="2767">
          <cell r="B2767" t="str">
            <v/>
          </cell>
          <cell r="E2767" t="str">
            <v/>
          </cell>
        </row>
        <row r="2768">
          <cell r="B2768" t="str">
            <v/>
          </cell>
          <cell r="E2768" t="str">
            <v/>
          </cell>
        </row>
        <row r="2769">
          <cell r="B2769" t="str">
            <v/>
          </cell>
        </row>
        <row r="2770">
          <cell r="B2770" t="str">
            <v/>
          </cell>
          <cell r="E2770">
            <v>0</v>
          </cell>
        </row>
        <row r="2771">
          <cell r="B2771" t="str">
            <v/>
          </cell>
        </row>
        <row r="2772">
          <cell r="B2772" t="str">
            <v/>
          </cell>
        </row>
        <row r="2773">
          <cell r="B2773" t="str">
            <v/>
          </cell>
        </row>
        <row r="2774">
          <cell r="B2774" t="str">
            <v/>
          </cell>
        </row>
        <row r="2775">
          <cell r="B2775" t="str">
            <v/>
          </cell>
        </row>
        <row r="2776">
          <cell r="B2776" t="str">
            <v/>
          </cell>
        </row>
        <row r="2777">
          <cell r="B2777" t="str">
            <v/>
          </cell>
        </row>
        <row r="2778">
          <cell r="B2778" t="str">
            <v/>
          </cell>
        </row>
        <row r="2779">
          <cell r="B2779" t="str">
            <v/>
          </cell>
        </row>
        <row r="2780">
          <cell r="B2780" t="str">
            <v/>
          </cell>
        </row>
        <row r="2781">
          <cell r="B2781" t="str">
            <v/>
          </cell>
        </row>
        <row r="2782">
          <cell r="B2782" t="str">
            <v/>
          </cell>
        </row>
        <row r="2783">
          <cell r="B2783" t="str">
            <v/>
          </cell>
        </row>
        <row r="2784">
          <cell r="B2784" t="str">
            <v/>
          </cell>
        </row>
        <row r="2785">
          <cell r="B2785" t="str">
            <v/>
          </cell>
        </row>
        <row r="2786">
          <cell r="B2786" t="str">
            <v/>
          </cell>
        </row>
        <row r="2787">
          <cell r="B2787" t="str">
            <v/>
          </cell>
        </row>
        <row r="2788">
          <cell r="B2788" t="str">
            <v/>
          </cell>
        </row>
        <row r="2789">
          <cell r="B2789" t="str">
            <v/>
          </cell>
        </row>
        <row r="2790">
          <cell r="B2790" t="str">
            <v/>
          </cell>
        </row>
        <row r="2791">
          <cell r="B2791" t="str">
            <v/>
          </cell>
        </row>
        <row r="2792">
          <cell r="B2792" t="str">
            <v/>
          </cell>
        </row>
        <row r="2793">
          <cell r="B2793" t="str">
            <v/>
          </cell>
        </row>
        <row r="2794">
          <cell r="B2794" t="str">
            <v/>
          </cell>
        </row>
        <row r="2795">
          <cell r="B2795" t="str">
            <v/>
          </cell>
        </row>
        <row r="2796">
          <cell r="B2796" t="str">
            <v/>
          </cell>
        </row>
        <row r="2797">
          <cell r="B2797" t="str">
            <v/>
          </cell>
        </row>
        <row r="2798">
          <cell r="B2798" t="str">
            <v/>
          </cell>
        </row>
        <row r="2799">
          <cell r="B2799" t="str">
            <v/>
          </cell>
        </row>
        <row r="2800">
          <cell r="B2800" t="str">
            <v/>
          </cell>
        </row>
        <row r="2801">
          <cell r="B2801" t="str">
            <v/>
          </cell>
        </row>
        <row r="2802">
          <cell r="B2802" t="str">
            <v/>
          </cell>
        </row>
        <row r="2803">
          <cell r="B2803" t="str">
            <v/>
          </cell>
        </row>
        <row r="2804">
          <cell r="B2804" t="str">
            <v/>
          </cell>
        </row>
        <row r="2805">
          <cell r="B2805" t="str">
            <v/>
          </cell>
        </row>
        <row r="2806">
          <cell r="B2806" t="str">
            <v/>
          </cell>
        </row>
        <row r="2807">
          <cell r="B2807" t="str">
            <v/>
          </cell>
        </row>
        <row r="2808">
          <cell r="B2808" t="str">
            <v/>
          </cell>
        </row>
        <row r="2809">
          <cell r="B2809" t="str">
            <v/>
          </cell>
        </row>
        <row r="2810">
          <cell r="B2810" t="str">
            <v/>
          </cell>
        </row>
        <row r="2811">
          <cell r="B2811" t="str">
            <v/>
          </cell>
        </row>
        <row r="2812">
          <cell r="B2812" t="str">
            <v/>
          </cell>
        </row>
        <row r="2813">
          <cell r="B2813" t="str">
            <v/>
          </cell>
          <cell r="D2813">
            <v>0</v>
          </cell>
        </row>
        <row r="2814">
          <cell r="B2814" t="str">
            <v/>
          </cell>
        </row>
        <row r="2815">
          <cell r="B2815" t="str">
            <v/>
          </cell>
        </row>
        <row r="2816">
          <cell r="B2816" t="str">
            <v/>
          </cell>
        </row>
        <row r="2817">
          <cell r="B2817" t="str">
            <v/>
          </cell>
          <cell r="D2817">
            <v>0</v>
          </cell>
        </row>
        <row r="2818">
          <cell r="B2818" t="str">
            <v/>
          </cell>
        </row>
        <row r="2819">
          <cell r="B2819" t="str">
            <v/>
          </cell>
        </row>
        <row r="2820">
          <cell r="B2820" t="str">
            <v/>
          </cell>
        </row>
        <row r="2821">
          <cell r="B2821" t="str">
            <v/>
          </cell>
        </row>
        <row r="2822">
          <cell r="B2822" t="str">
            <v/>
          </cell>
        </row>
        <row r="2823">
          <cell r="B2823" t="str">
            <v/>
          </cell>
        </row>
        <row r="2824">
          <cell r="B2824" t="str">
            <v/>
          </cell>
        </row>
        <row r="2825">
          <cell r="B2825" t="str">
            <v/>
          </cell>
        </row>
        <row r="2826">
          <cell r="B2826" t="str">
            <v/>
          </cell>
        </row>
        <row r="2827">
          <cell r="B2827" t="str">
            <v/>
          </cell>
        </row>
        <row r="2828">
          <cell r="B2828" t="str">
            <v/>
          </cell>
        </row>
        <row r="2829">
          <cell r="B2829" t="str">
            <v/>
          </cell>
        </row>
        <row r="2830">
          <cell r="B2830" t="str">
            <v/>
          </cell>
        </row>
        <row r="2831">
          <cell r="B2831" t="str">
            <v/>
          </cell>
        </row>
        <row r="2832">
          <cell r="B2832" t="str">
            <v/>
          </cell>
        </row>
        <row r="2833">
          <cell r="B2833" t="str">
            <v/>
          </cell>
        </row>
        <row r="2834">
          <cell r="B2834" t="str">
            <v/>
          </cell>
        </row>
        <row r="2835">
          <cell r="B2835" t="str">
            <v/>
          </cell>
        </row>
        <row r="2836">
          <cell r="B2836" t="str">
            <v/>
          </cell>
        </row>
        <row r="2837">
          <cell r="B2837" t="str">
            <v/>
          </cell>
        </row>
        <row r="2838">
          <cell r="B2838" t="str">
            <v/>
          </cell>
          <cell r="D2838">
            <v>0</v>
          </cell>
        </row>
        <row r="2839">
          <cell r="B2839" t="str">
            <v/>
          </cell>
        </row>
        <row r="2840">
          <cell r="B2840" t="str">
            <v/>
          </cell>
        </row>
        <row r="2841">
          <cell r="B2841" t="str">
            <v/>
          </cell>
        </row>
        <row r="2842">
          <cell r="B2842" t="str">
            <v/>
          </cell>
        </row>
        <row r="2843">
          <cell r="B2843" t="str">
            <v/>
          </cell>
        </row>
        <row r="2844">
          <cell r="B2844" t="str">
            <v/>
          </cell>
        </row>
        <row r="2845">
          <cell r="B2845" t="str">
            <v/>
          </cell>
        </row>
        <row r="2846">
          <cell r="B2846" t="str">
            <v/>
          </cell>
        </row>
        <row r="2847">
          <cell r="B2847" t="str">
            <v/>
          </cell>
        </row>
        <row r="2848">
          <cell r="B2848" t="str">
            <v/>
          </cell>
        </row>
        <row r="2849">
          <cell r="B2849" t="str">
            <v/>
          </cell>
        </row>
        <row r="2850">
          <cell r="B2850" t="str">
            <v/>
          </cell>
        </row>
        <row r="2851">
          <cell r="B2851" t="str">
            <v/>
          </cell>
        </row>
        <row r="2852">
          <cell r="B2852" t="str">
            <v/>
          </cell>
        </row>
        <row r="2853">
          <cell r="B2853" t="str">
            <v/>
          </cell>
        </row>
        <row r="2854">
          <cell r="B2854" t="str">
            <v/>
          </cell>
        </row>
        <row r="2855">
          <cell r="B2855" t="str">
            <v/>
          </cell>
        </row>
        <row r="2856">
          <cell r="B2856" t="str">
            <v/>
          </cell>
        </row>
        <row r="2857">
          <cell r="B2857" t="str">
            <v/>
          </cell>
        </row>
        <row r="2858">
          <cell r="B2858" t="str">
            <v/>
          </cell>
        </row>
        <row r="2859">
          <cell r="B2859" t="str">
            <v/>
          </cell>
        </row>
        <row r="2860">
          <cell r="B2860" t="str">
            <v/>
          </cell>
        </row>
        <row r="2861">
          <cell r="B2861" t="str">
            <v/>
          </cell>
        </row>
        <row r="2862">
          <cell r="B2862" t="str">
            <v/>
          </cell>
        </row>
        <row r="2863">
          <cell r="B2863" t="str">
            <v/>
          </cell>
        </row>
        <row r="2864">
          <cell r="B2864" t="str">
            <v/>
          </cell>
        </row>
        <row r="2865">
          <cell r="B2865" t="str">
            <v/>
          </cell>
        </row>
        <row r="2866">
          <cell r="B2866" t="str">
            <v/>
          </cell>
        </row>
        <row r="2867">
          <cell r="B2867" t="str">
            <v/>
          </cell>
        </row>
        <row r="2868">
          <cell r="B2868" t="str">
            <v/>
          </cell>
        </row>
        <row r="2869">
          <cell r="B2869" t="str">
            <v/>
          </cell>
        </row>
        <row r="2870">
          <cell r="B2870" t="str">
            <v/>
          </cell>
        </row>
        <row r="2871">
          <cell r="B2871" t="str">
            <v/>
          </cell>
        </row>
        <row r="2872">
          <cell r="B2872" t="str">
            <v/>
          </cell>
        </row>
        <row r="2873">
          <cell r="B2873" t="str">
            <v/>
          </cell>
        </row>
        <row r="2874">
          <cell r="B2874" t="str">
            <v/>
          </cell>
        </row>
        <row r="2875">
          <cell r="B2875" t="str">
            <v/>
          </cell>
        </row>
        <row r="2876">
          <cell r="B2876" t="str">
            <v/>
          </cell>
        </row>
        <row r="2877">
          <cell r="B2877" t="str">
            <v/>
          </cell>
        </row>
        <row r="2878">
          <cell r="B2878" t="str">
            <v/>
          </cell>
        </row>
        <row r="2879">
          <cell r="B2879" t="str">
            <v/>
          </cell>
        </row>
        <row r="2880">
          <cell r="B2880" t="str">
            <v/>
          </cell>
        </row>
        <row r="2881">
          <cell r="B2881" t="str">
            <v/>
          </cell>
        </row>
        <row r="2882">
          <cell r="B2882" t="str">
            <v/>
          </cell>
        </row>
        <row r="2883">
          <cell r="B2883" t="str">
            <v/>
          </cell>
        </row>
        <row r="2884">
          <cell r="B2884" t="str">
            <v/>
          </cell>
        </row>
        <row r="2885">
          <cell r="B2885" t="str">
            <v/>
          </cell>
        </row>
        <row r="2886">
          <cell r="B2886" t="str">
            <v/>
          </cell>
        </row>
        <row r="2887">
          <cell r="B2887" t="str">
            <v/>
          </cell>
          <cell r="D2887">
            <v>0</v>
          </cell>
        </row>
        <row r="2888">
          <cell r="B2888" t="str">
            <v/>
          </cell>
        </row>
        <row r="2889">
          <cell r="B2889" t="str">
            <v/>
          </cell>
        </row>
        <row r="2890">
          <cell r="B2890" t="str">
            <v/>
          </cell>
        </row>
        <row r="2891">
          <cell r="B2891" t="str">
            <v/>
          </cell>
        </row>
        <row r="2892">
          <cell r="B2892" t="str">
            <v/>
          </cell>
        </row>
        <row r="2893">
          <cell r="B2893" t="str">
            <v/>
          </cell>
        </row>
        <row r="2894">
          <cell r="B2894" t="str">
            <v/>
          </cell>
        </row>
        <row r="2895">
          <cell r="B2895" t="str">
            <v/>
          </cell>
        </row>
        <row r="2896">
          <cell r="B2896" t="str">
            <v/>
          </cell>
        </row>
        <row r="2897">
          <cell r="B2897" t="str">
            <v/>
          </cell>
        </row>
        <row r="2898">
          <cell r="B2898" t="str">
            <v/>
          </cell>
        </row>
        <row r="2899">
          <cell r="B2899" t="str">
            <v/>
          </cell>
        </row>
        <row r="2900">
          <cell r="B2900" t="str">
            <v/>
          </cell>
        </row>
        <row r="2901">
          <cell r="B2901" t="str">
            <v/>
          </cell>
        </row>
        <row r="2902">
          <cell r="B2902" t="str">
            <v/>
          </cell>
        </row>
        <row r="2903">
          <cell r="B2903" t="str">
            <v/>
          </cell>
        </row>
        <row r="2904">
          <cell r="B2904" t="str">
            <v/>
          </cell>
        </row>
        <row r="2905">
          <cell r="B2905" t="str">
            <v/>
          </cell>
        </row>
        <row r="2906">
          <cell r="B2906" t="str">
            <v/>
          </cell>
        </row>
        <row r="2907">
          <cell r="B2907" t="str">
            <v/>
          </cell>
        </row>
        <row r="2908">
          <cell r="B2908" t="str">
            <v/>
          </cell>
        </row>
        <row r="2909">
          <cell r="B2909" t="str">
            <v/>
          </cell>
        </row>
        <row r="2910">
          <cell r="B2910" t="str">
            <v/>
          </cell>
        </row>
        <row r="2911">
          <cell r="B2911" t="str">
            <v/>
          </cell>
        </row>
        <row r="2912">
          <cell r="B2912" t="str">
            <v/>
          </cell>
        </row>
        <row r="2913">
          <cell r="B2913" t="str">
            <v/>
          </cell>
        </row>
        <row r="2914">
          <cell r="B2914" t="str">
            <v/>
          </cell>
        </row>
        <row r="2915">
          <cell r="B2915" t="str">
            <v/>
          </cell>
        </row>
        <row r="2916">
          <cell r="B2916" t="str">
            <v/>
          </cell>
        </row>
        <row r="2917">
          <cell r="B2917" t="str">
            <v/>
          </cell>
        </row>
        <row r="2918">
          <cell r="B2918" t="str">
            <v/>
          </cell>
        </row>
        <row r="2919">
          <cell r="B2919" t="str">
            <v/>
          </cell>
        </row>
        <row r="2920">
          <cell r="B2920" t="str">
            <v/>
          </cell>
        </row>
        <row r="2921">
          <cell r="B2921" t="str">
            <v/>
          </cell>
        </row>
        <row r="2922">
          <cell r="B2922" t="str">
            <v/>
          </cell>
        </row>
        <row r="2923">
          <cell r="B2923" t="str">
            <v/>
          </cell>
        </row>
        <row r="2924">
          <cell r="B2924" t="str">
            <v/>
          </cell>
        </row>
        <row r="2925">
          <cell r="B2925" t="str">
            <v/>
          </cell>
        </row>
        <row r="2926">
          <cell r="B2926" t="str">
            <v/>
          </cell>
        </row>
        <row r="2927">
          <cell r="B2927" t="str">
            <v/>
          </cell>
        </row>
        <row r="2928">
          <cell r="B2928" t="str">
            <v/>
          </cell>
        </row>
        <row r="2929">
          <cell r="B2929" t="str">
            <v/>
          </cell>
        </row>
        <row r="2930">
          <cell r="B2930" t="str">
            <v/>
          </cell>
        </row>
        <row r="2931">
          <cell r="B2931" t="str">
            <v/>
          </cell>
        </row>
        <row r="2932">
          <cell r="B2932" t="str">
            <v/>
          </cell>
        </row>
        <row r="2933">
          <cell r="B2933" t="str">
            <v/>
          </cell>
        </row>
        <row r="2934">
          <cell r="B2934" t="str">
            <v/>
          </cell>
        </row>
        <row r="2935">
          <cell r="B2935" t="str">
            <v/>
          </cell>
        </row>
        <row r="2936">
          <cell r="B2936" t="str">
            <v/>
          </cell>
        </row>
        <row r="2937">
          <cell r="B2937" t="str">
            <v/>
          </cell>
        </row>
        <row r="2938">
          <cell r="B2938" t="str">
            <v/>
          </cell>
        </row>
        <row r="2939">
          <cell r="B2939" t="str">
            <v/>
          </cell>
        </row>
        <row r="2940">
          <cell r="B2940" t="str">
            <v/>
          </cell>
        </row>
        <row r="2941">
          <cell r="B2941" t="str">
            <v/>
          </cell>
        </row>
        <row r="2942">
          <cell r="B2942" t="str">
            <v/>
          </cell>
        </row>
        <row r="2943">
          <cell r="B2943" t="str">
            <v/>
          </cell>
        </row>
        <row r="2944">
          <cell r="B2944" t="str">
            <v/>
          </cell>
        </row>
        <row r="2945">
          <cell r="B2945" t="str">
            <v/>
          </cell>
        </row>
        <row r="2946">
          <cell r="B2946" t="str">
            <v/>
          </cell>
        </row>
        <row r="2947">
          <cell r="B2947" t="str">
            <v/>
          </cell>
        </row>
        <row r="2948">
          <cell r="B2948" t="str">
            <v/>
          </cell>
        </row>
        <row r="2949">
          <cell r="B2949" t="str">
            <v/>
          </cell>
        </row>
        <row r="2950">
          <cell r="B2950" t="str">
            <v/>
          </cell>
        </row>
        <row r="2951">
          <cell r="B2951" t="str">
            <v/>
          </cell>
        </row>
        <row r="2952">
          <cell r="B2952" t="str">
            <v/>
          </cell>
        </row>
        <row r="2953">
          <cell r="B2953" t="str">
            <v/>
          </cell>
        </row>
        <row r="2954">
          <cell r="B2954" t="str">
            <v/>
          </cell>
        </row>
        <row r="2955">
          <cell r="B2955" t="str">
            <v/>
          </cell>
        </row>
        <row r="2956">
          <cell r="B2956" t="str">
            <v/>
          </cell>
        </row>
        <row r="2957">
          <cell r="B2957" t="str">
            <v/>
          </cell>
        </row>
        <row r="2958">
          <cell r="B2958" t="str">
            <v/>
          </cell>
        </row>
        <row r="2959">
          <cell r="B2959" t="str">
            <v/>
          </cell>
        </row>
        <row r="2960">
          <cell r="B2960" t="str">
            <v/>
          </cell>
        </row>
        <row r="2961">
          <cell r="B2961" t="str">
            <v/>
          </cell>
        </row>
        <row r="2962">
          <cell r="B2962" t="str">
            <v/>
          </cell>
        </row>
        <row r="2963">
          <cell r="B2963" t="str">
            <v/>
          </cell>
        </row>
        <row r="2964">
          <cell r="B2964" t="str">
            <v/>
          </cell>
        </row>
        <row r="2965">
          <cell r="B2965" t="str">
            <v/>
          </cell>
        </row>
        <row r="2966">
          <cell r="B2966" t="str">
            <v/>
          </cell>
        </row>
        <row r="2967">
          <cell r="B2967" t="str">
            <v/>
          </cell>
        </row>
        <row r="2968">
          <cell r="B2968" t="str">
            <v/>
          </cell>
        </row>
        <row r="2969">
          <cell r="B2969" t="str">
            <v/>
          </cell>
        </row>
        <row r="2970">
          <cell r="B2970" t="str">
            <v/>
          </cell>
        </row>
        <row r="2971">
          <cell r="B2971" t="str">
            <v/>
          </cell>
        </row>
        <row r="2972">
          <cell r="B2972" t="str">
            <v/>
          </cell>
        </row>
        <row r="2973">
          <cell r="B2973" t="str">
            <v/>
          </cell>
        </row>
        <row r="2974">
          <cell r="B2974" t="str">
            <v/>
          </cell>
        </row>
        <row r="2975">
          <cell r="B2975" t="str">
            <v/>
          </cell>
        </row>
        <row r="2976">
          <cell r="B2976" t="str">
            <v/>
          </cell>
        </row>
        <row r="2977">
          <cell r="B2977" t="str">
            <v/>
          </cell>
        </row>
        <row r="2978">
          <cell r="B2978" t="str">
            <v/>
          </cell>
        </row>
        <row r="2979">
          <cell r="B2979" t="str">
            <v/>
          </cell>
        </row>
        <row r="2980">
          <cell r="B2980" t="str">
            <v/>
          </cell>
        </row>
        <row r="2981">
          <cell r="B2981" t="str">
            <v/>
          </cell>
        </row>
        <row r="2982">
          <cell r="B2982" t="str">
            <v/>
          </cell>
        </row>
        <row r="2983">
          <cell r="B2983" t="str">
            <v/>
          </cell>
        </row>
        <row r="2984">
          <cell r="B2984" t="str">
            <v/>
          </cell>
        </row>
        <row r="2985">
          <cell r="B2985" t="str">
            <v/>
          </cell>
        </row>
        <row r="2986">
          <cell r="B2986" t="str">
            <v/>
          </cell>
        </row>
        <row r="2987">
          <cell r="B2987" t="str">
            <v/>
          </cell>
        </row>
        <row r="2988">
          <cell r="B2988" t="str">
            <v/>
          </cell>
        </row>
        <row r="2989">
          <cell r="B2989" t="str">
            <v/>
          </cell>
        </row>
        <row r="2990">
          <cell r="B2990" t="str">
            <v/>
          </cell>
        </row>
        <row r="2991">
          <cell r="B2991" t="str">
            <v/>
          </cell>
        </row>
        <row r="2992">
          <cell r="B2992" t="str">
            <v/>
          </cell>
        </row>
        <row r="2993">
          <cell r="B2993" t="str">
            <v/>
          </cell>
        </row>
        <row r="2994">
          <cell r="B2994" t="str">
            <v/>
          </cell>
        </row>
        <row r="2995">
          <cell r="B2995" t="str">
            <v/>
          </cell>
        </row>
        <row r="2996">
          <cell r="B2996" t="str">
            <v/>
          </cell>
        </row>
        <row r="2997">
          <cell r="B2997" t="str">
            <v/>
          </cell>
        </row>
        <row r="2998">
          <cell r="B2998" t="str">
            <v/>
          </cell>
        </row>
        <row r="2999">
          <cell r="B2999" t="str">
            <v/>
          </cell>
        </row>
        <row r="3000">
          <cell r="B3000" t="str">
            <v/>
          </cell>
        </row>
        <row r="3001">
          <cell r="B3001" t="str">
            <v/>
          </cell>
        </row>
        <row r="3002">
          <cell r="B3002" t="str">
            <v/>
          </cell>
        </row>
        <row r="3003">
          <cell r="B3003" t="str">
            <v/>
          </cell>
        </row>
        <row r="3004">
          <cell r="B3004" t="str">
            <v/>
          </cell>
        </row>
        <row r="3005">
          <cell r="B3005" t="str">
            <v/>
          </cell>
        </row>
        <row r="3006">
          <cell r="B3006" t="str">
            <v/>
          </cell>
        </row>
        <row r="3007">
          <cell r="B3007" t="str">
            <v/>
          </cell>
        </row>
        <row r="3008">
          <cell r="B3008" t="str">
            <v/>
          </cell>
        </row>
        <row r="3009">
          <cell r="B3009" t="str">
            <v/>
          </cell>
        </row>
        <row r="3010">
          <cell r="B3010" t="str">
            <v/>
          </cell>
        </row>
        <row r="3011">
          <cell r="B3011" t="str">
            <v/>
          </cell>
        </row>
        <row r="3012">
          <cell r="B3012" t="str">
            <v/>
          </cell>
        </row>
        <row r="3013">
          <cell r="B3013" t="str">
            <v/>
          </cell>
        </row>
        <row r="3014">
          <cell r="B3014" t="str">
            <v/>
          </cell>
        </row>
        <row r="3015">
          <cell r="B3015" t="str">
            <v/>
          </cell>
        </row>
        <row r="3016">
          <cell r="B3016" t="str">
            <v/>
          </cell>
        </row>
        <row r="3017">
          <cell r="B3017" t="str">
            <v/>
          </cell>
        </row>
        <row r="3018">
          <cell r="B3018" t="str">
            <v/>
          </cell>
        </row>
        <row r="3019">
          <cell r="B3019" t="str">
            <v/>
          </cell>
        </row>
        <row r="3020">
          <cell r="B3020" t="str">
            <v/>
          </cell>
        </row>
        <row r="3021">
          <cell r="B3021" t="str">
            <v/>
          </cell>
        </row>
        <row r="3022">
          <cell r="B3022" t="str">
            <v/>
          </cell>
        </row>
        <row r="3023">
          <cell r="B3023" t="str">
            <v/>
          </cell>
        </row>
        <row r="3024">
          <cell r="B3024" t="str">
            <v/>
          </cell>
        </row>
        <row r="3025">
          <cell r="B3025" t="str">
            <v/>
          </cell>
        </row>
        <row r="3026">
          <cell r="B3026" t="str">
            <v/>
          </cell>
        </row>
        <row r="3027">
          <cell r="B3027" t="str">
            <v/>
          </cell>
        </row>
        <row r="3028">
          <cell r="B3028" t="str">
            <v/>
          </cell>
        </row>
        <row r="3029">
          <cell r="B3029" t="str">
            <v/>
          </cell>
        </row>
        <row r="3030">
          <cell r="B3030" t="str">
            <v/>
          </cell>
        </row>
        <row r="3031">
          <cell r="B3031" t="str">
            <v/>
          </cell>
        </row>
        <row r="3032">
          <cell r="B3032" t="str">
            <v/>
          </cell>
        </row>
        <row r="3033">
          <cell r="B3033" t="str">
            <v/>
          </cell>
        </row>
        <row r="3034">
          <cell r="B3034" t="str">
            <v/>
          </cell>
        </row>
        <row r="3035">
          <cell r="B3035" t="str">
            <v/>
          </cell>
        </row>
        <row r="3036">
          <cell r="B3036" t="str">
            <v/>
          </cell>
        </row>
        <row r="3037">
          <cell r="B3037" t="str">
            <v/>
          </cell>
        </row>
        <row r="3038">
          <cell r="B3038" t="str">
            <v/>
          </cell>
        </row>
        <row r="3039">
          <cell r="B3039" t="str">
            <v/>
          </cell>
        </row>
        <row r="3040">
          <cell r="B3040" t="str">
            <v/>
          </cell>
        </row>
        <row r="3041">
          <cell r="B3041" t="str">
            <v/>
          </cell>
        </row>
        <row r="3042">
          <cell r="B3042" t="str">
            <v/>
          </cell>
        </row>
        <row r="3043">
          <cell r="B3043" t="str">
            <v/>
          </cell>
        </row>
        <row r="3044">
          <cell r="B3044" t="str">
            <v/>
          </cell>
        </row>
        <row r="3045">
          <cell r="B3045" t="str">
            <v/>
          </cell>
        </row>
        <row r="3046">
          <cell r="B3046" t="str">
            <v/>
          </cell>
        </row>
        <row r="3047">
          <cell r="B3047" t="str">
            <v/>
          </cell>
        </row>
        <row r="3048">
          <cell r="B3048" t="str">
            <v/>
          </cell>
        </row>
        <row r="3049">
          <cell r="B3049" t="str">
            <v/>
          </cell>
        </row>
        <row r="3050">
          <cell r="B3050" t="str">
            <v/>
          </cell>
        </row>
        <row r="3051">
          <cell r="B3051" t="str">
            <v/>
          </cell>
        </row>
        <row r="3052">
          <cell r="B3052" t="str">
            <v/>
          </cell>
        </row>
        <row r="3053">
          <cell r="B3053" t="str">
            <v/>
          </cell>
        </row>
        <row r="3054">
          <cell r="B3054" t="str">
            <v/>
          </cell>
        </row>
        <row r="3055">
          <cell r="B3055" t="str">
            <v/>
          </cell>
        </row>
        <row r="3056">
          <cell r="B3056" t="str">
            <v/>
          </cell>
        </row>
        <row r="3057">
          <cell r="B3057" t="str">
            <v/>
          </cell>
        </row>
        <row r="3058">
          <cell r="B3058" t="str">
            <v/>
          </cell>
        </row>
        <row r="3059">
          <cell r="B3059" t="str">
            <v/>
          </cell>
        </row>
        <row r="3060">
          <cell r="B3060" t="str">
            <v/>
          </cell>
        </row>
        <row r="3061">
          <cell r="B3061" t="str">
            <v/>
          </cell>
        </row>
        <row r="3062">
          <cell r="B3062" t="str">
            <v/>
          </cell>
        </row>
        <row r="3063">
          <cell r="B3063" t="str">
            <v/>
          </cell>
        </row>
        <row r="3064">
          <cell r="B3064" t="str">
            <v/>
          </cell>
        </row>
        <row r="3065">
          <cell r="B3065" t="str">
            <v/>
          </cell>
        </row>
        <row r="3066">
          <cell r="B3066" t="str">
            <v/>
          </cell>
        </row>
        <row r="3067">
          <cell r="B3067" t="str">
            <v/>
          </cell>
        </row>
        <row r="3068">
          <cell r="B3068" t="str">
            <v/>
          </cell>
        </row>
        <row r="3069">
          <cell r="B3069" t="str">
            <v/>
          </cell>
        </row>
        <row r="3070">
          <cell r="B3070" t="str">
            <v/>
          </cell>
        </row>
        <row r="3071">
          <cell r="B3071" t="str">
            <v/>
          </cell>
        </row>
        <row r="3072">
          <cell r="B3072" t="str">
            <v/>
          </cell>
        </row>
        <row r="3073">
          <cell r="B3073" t="str">
            <v/>
          </cell>
        </row>
        <row r="3074">
          <cell r="B3074" t="str">
            <v/>
          </cell>
        </row>
        <row r="3075">
          <cell r="B3075" t="str">
            <v/>
          </cell>
        </row>
        <row r="3076">
          <cell r="B3076" t="str">
            <v/>
          </cell>
        </row>
        <row r="3077">
          <cell r="B3077" t="str">
            <v/>
          </cell>
        </row>
        <row r="3078">
          <cell r="B3078" t="str">
            <v/>
          </cell>
        </row>
        <row r="3079">
          <cell r="B3079" t="str">
            <v/>
          </cell>
        </row>
        <row r="3080">
          <cell r="B3080" t="str">
            <v/>
          </cell>
        </row>
        <row r="3081">
          <cell r="B3081" t="str">
            <v/>
          </cell>
        </row>
        <row r="3082">
          <cell r="B3082" t="str">
            <v/>
          </cell>
        </row>
        <row r="3083">
          <cell r="B3083" t="str">
            <v/>
          </cell>
        </row>
        <row r="3084">
          <cell r="B3084" t="str">
            <v/>
          </cell>
        </row>
        <row r="3085">
          <cell r="B3085" t="str">
            <v/>
          </cell>
        </row>
        <row r="3086">
          <cell r="B3086" t="str">
            <v/>
          </cell>
        </row>
        <row r="3087">
          <cell r="B3087" t="str">
            <v/>
          </cell>
        </row>
        <row r="3088">
          <cell r="B3088" t="str">
            <v/>
          </cell>
        </row>
        <row r="3089">
          <cell r="B3089" t="str">
            <v/>
          </cell>
        </row>
        <row r="3090">
          <cell r="B3090" t="str">
            <v/>
          </cell>
        </row>
        <row r="3091">
          <cell r="B3091" t="str">
            <v/>
          </cell>
        </row>
        <row r="3092">
          <cell r="B3092" t="str">
            <v/>
          </cell>
        </row>
        <row r="3093">
          <cell r="B3093" t="str">
            <v/>
          </cell>
        </row>
        <row r="3094">
          <cell r="B3094" t="str">
            <v/>
          </cell>
        </row>
        <row r="3095">
          <cell r="B3095" t="str">
            <v/>
          </cell>
        </row>
        <row r="3096">
          <cell r="B3096" t="str">
            <v/>
          </cell>
        </row>
        <row r="3097">
          <cell r="B3097" t="str">
            <v/>
          </cell>
        </row>
        <row r="3098">
          <cell r="B3098" t="str">
            <v/>
          </cell>
        </row>
        <row r="3099">
          <cell r="B3099" t="str">
            <v/>
          </cell>
        </row>
        <row r="3100">
          <cell r="B3100" t="str">
            <v/>
          </cell>
        </row>
        <row r="3101">
          <cell r="B3101" t="str">
            <v/>
          </cell>
        </row>
        <row r="3102">
          <cell r="B3102" t="str">
            <v/>
          </cell>
        </row>
        <row r="3103">
          <cell r="B3103" t="str">
            <v/>
          </cell>
        </row>
        <row r="3104">
          <cell r="B3104" t="str">
            <v/>
          </cell>
        </row>
        <row r="3105">
          <cell r="B3105" t="str">
            <v/>
          </cell>
        </row>
        <row r="3106">
          <cell r="B3106" t="str">
            <v/>
          </cell>
        </row>
        <row r="3107">
          <cell r="B3107" t="str">
            <v/>
          </cell>
        </row>
        <row r="3108">
          <cell r="B3108" t="str">
            <v/>
          </cell>
        </row>
        <row r="3109">
          <cell r="B3109" t="str">
            <v/>
          </cell>
        </row>
        <row r="3110">
          <cell r="B3110" t="str">
            <v/>
          </cell>
        </row>
        <row r="3111">
          <cell r="B3111" t="str">
            <v/>
          </cell>
        </row>
        <row r="3112">
          <cell r="B3112" t="str">
            <v/>
          </cell>
        </row>
        <row r="3113">
          <cell r="B3113" t="str">
            <v/>
          </cell>
        </row>
        <row r="3114">
          <cell r="B3114" t="str">
            <v/>
          </cell>
        </row>
        <row r="3115">
          <cell r="B3115" t="str">
            <v/>
          </cell>
        </row>
        <row r="3116">
          <cell r="B3116" t="str">
            <v/>
          </cell>
        </row>
        <row r="3117">
          <cell r="B3117" t="str">
            <v/>
          </cell>
        </row>
        <row r="3118">
          <cell r="B3118" t="str">
            <v/>
          </cell>
        </row>
        <row r="3119">
          <cell r="B3119" t="str">
            <v/>
          </cell>
        </row>
        <row r="3120">
          <cell r="B3120" t="str">
            <v/>
          </cell>
        </row>
        <row r="3121">
          <cell r="B3121" t="str">
            <v/>
          </cell>
        </row>
        <row r="3122">
          <cell r="B3122" t="str">
            <v/>
          </cell>
        </row>
        <row r="3123">
          <cell r="B3123" t="str">
            <v/>
          </cell>
        </row>
        <row r="3124">
          <cell r="B3124" t="str">
            <v/>
          </cell>
        </row>
        <row r="3125">
          <cell r="B3125" t="str">
            <v/>
          </cell>
        </row>
        <row r="3126">
          <cell r="B3126" t="str">
            <v/>
          </cell>
        </row>
        <row r="3127">
          <cell r="B3127" t="str">
            <v/>
          </cell>
        </row>
        <row r="3128">
          <cell r="B3128" t="str">
            <v/>
          </cell>
        </row>
        <row r="3129">
          <cell r="B3129" t="str">
            <v/>
          </cell>
        </row>
        <row r="3130">
          <cell r="B3130" t="str">
            <v/>
          </cell>
        </row>
        <row r="3131">
          <cell r="B3131" t="str">
            <v/>
          </cell>
        </row>
        <row r="3132">
          <cell r="B3132" t="str">
            <v/>
          </cell>
        </row>
        <row r="3133">
          <cell r="B3133" t="str">
            <v/>
          </cell>
        </row>
        <row r="3134">
          <cell r="B3134" t="str">
            <v/>
          </cell>
        </row>
        <row r="3135">
          <cell r="B3135" t="str">
            <v/>
          </cell>
        </row>
        <row r="3136">
          <cell r="B3136" t="str">
            <v/>
          </cell>
        </row>
        <row r="3137">
          <cell r="B3137" t="str">
            <v/>
          </cell>
        </row>
        <row r="3138">
          <cell r="B3138" t="str">
            <v/>
          </cell>
        </row>
        <row r="3139">
          <cell r="B3139" t="str">
            <v/>
          </cell>
        </row>
        <row r="3140">
          <cell r="B3140" t="str">
            <v/>
          </cell>
        </row>
        <row r="3141">
          <cell r="B3141" t="str">
            <v/>
          </cell>
        </row>
        <row r="3142">
          <cell r="B3142" t="str">
            <v/>
          </cell>
        </row>
        <row r="3143">
          <cell r="B3143" t="str">
            <v/>
          </cell>
        </row>
        <row r="3144">
          <cell r="B3144" t="str">
            <v/>
          </cell>
        </row>
        <row r="3145">
          <cell r="B3145" t="str">
            <v/>
          </cell>
        </row>
        <row r="3146">
          <cell r="B3146" t="str">
            <v/>
          </cell>
        </row>
        <row r="3147">
          <cell r="B3147" t="str">
            <v/>
          </cell>
        </row>
        <row r="3148">
          <cell r="B3148" t="str">
            <v/>
          </cell>
        </row>
        <row r="3149">
          <cell r="B3149" t="str">
            <v/>
          </cell>
        </row>
        <row r="3150">
          <cell r="B3150" t="str">
            <v/>
          </cell>
        </row>
        <row r="3151">
          <cell r="B3151" t="str">
            <v/>
          </cell>
        </row>
        <row r="3152">
          <cell r="B3152" t="str">
            <v/>
          </cell>
        </row>
        <row r="3153">
          <cell r="B3153" t="str">
            <v/>
          </cell>
        </row>
        <row r="3154">
          <cell r="B3154" t="str">
            <v/>
          </cell>
        </row>
        <row r="3155">
          <cell r="B3155" t="str">
            <v/>
          </cell>
        </row>
        <row r="3156">
          <cell r="B3156" t="str">
            <v/>
          </cell>
        </row>
        <row r="3157">
          <cell r="B3157" t="str">
            <v/>
          </cell>
        </row>
        <row r="3158">
          <cell r="B3158" t="str">
            <v/>
          </cell>
        </row>
        <row r="3159">
          <cell r="B3159" t="str">
            <v/>
          </cell>
        </row>
        <row r="3160">
          <cell r="B3160" t="str">
            <v/>
          </cell>
        </row>
        <row r="3161">
          <cell r="B3161" t="str">
            <v/>
          </cell>
        </row>
        <row r="3162">
          <cell r="B3162" t="str">
            <v/>
          </cell>
        </row>
        <row r="3163">
          <cell r="B3163" t="str">
            <v/>
          </cell>
        </row>
        <row r="3164">
          <cell r="B3164" t="str">
            <v/>
          </cell>
        </row>
        <row r="3165">
          <cell r="B3165" t="str">
            <v/>
          </cell>
        </row>
        <row r="3166">
          <cell r="B3166" t="str">
            <v/>
          </cell>
        </row>
        <row r="3167">
          <cell r="B3167" t="str">
            <v/>
          </cell>
        </row>
        <row r="3168">
          <cell r="B3168" t="str">
            <v/>
          </cell>
        </row>
        <row r="3169">
          <cell r="B3169" t="str">
            <v/>
          </cell>
        </row>
        <row r="3170">
          <cell r="B3170" t="str">
            <v/>
          </cell>
        </row>
        <row r="3171">
          <cell r="B3171" t="str">
            <v/>
          </cell>
        </row>
        <row r="3172">
          <cell r="B3172" t="str">
            <v/>
          </cell>
        </row>
        <row r="3173">
          <cell r="B3173" t="str">
            <v/>
          </cell>
        </row>
        <row r="3174">
          <cell r="B3174" t="str">
            <v/>
          </cell>
        </row>
        <row r="3175">
          <cell r="B3175" t="str">
            <v/>
          </cell>
        </row>
        <row r="3176">
          <cell r="B3176" t="str">
            <v/>
          </cell>
        </row>
        <row r="3177">
          <cell r="B3177" t="str">
            <v/>
          </cell>
        </row>
        <row r="3178">
          <cell r="B3178" t="str">
            <v/>
          </cell>
        </row>
        <row r="3179">
          <cell r="B3179" t="str">
            <v/>
          </cell>
        </row>
        <row r="3180">
          <cell r="B3180" t="str">
            <v/>
          </cell>
        </row>
        <row r="3181">
          <cell r="B3181" t="str">
            <v/>
          </cell>
        </row>
        <row r="3182">
          <cell r="B3182" t="str">
            <v/>
          </cell>
        </row>
        <row r="3183">
          <cell r="B3183" t="str">
            <v/>
          </cell>
        </row>
        <row r="3184">
          <cell r="B3184" t="str">
            <v/>
          </cell>
        </row>
        <row r="3185">
          <cell r="B3185" t="str">
            <v/>
          </cell>
        </row>
        <row r="3186">
          <cell r="B3186" t="str">
            <v/>
          </cell>
        </row>
        <row r="3187">
          <cell r="B3187" t="str">
            <v/>
          </cell>
        </row>
        <row r="3188">
          <cell r="B3188" t="str">
            <v/>
          </cell>
        </row>
        <row r="3189">
          <cell r="B3189" t="str">
            <v/>
          </cell>
        </row>
        <row r="3190">
          <cell r="B3190" t="str">
            <v/>
          </cell>
        </row>
        <row r="3191">
          <cell r="B3191" t="str">
            <v/>
          </cell>
        </row>
        <row r="3192">
          <cell r="B3192" t="str">
            <v/>
          </cell>
        </row>
        <row r="3193">
          <cell r="B3193" t="str">
            <v/>
          </cell>
        </row>
        <row r="3194">
          <cell r="B3194" t="str">
            <v/>
          </cell>
        </row>
        <row r="3195">
          <cell r="B3195" t="str">
            <v/>
          </cell>
          <cell r="D3195" t="b">
            <v>0</v>
          </cell>
        </row>
        <row r="3196">
          <cell r="B3196" t="str">
            <v/>
          </cell>
        </row>
        <row r="3197">
          <cell r="B3197" t="str">
            <v/>
          </cell>
        </row>
        <row r="3198">
          <cell r="B3198" t="str">
            <v/>
          </cell>
        </row>
        <row r="3199">
          <cell r="B3199" t="str">
            <v/>
          </cell>
        </row>
        <row r="3200">
          <cell r="B3200" t="str">
            <v/>
          </cell>
          <cell r="D3200" t="b">
            <v>0</v>
          </cell>
        </row>
        <row r="3201">
          <cell r="B3201" t="str">
            <v/>
          </cell>
          <cell r="D3201">
            <v>0</v>
          </cell>
        </row>
        <row r="3202">
          <cell r="B3202" t="str">
            <v/>
          </cell>
        </row>
        <row r="3203">
          <cell r="B3203" t="str">
            <v/>
          </cell>
        </row>
        <row r="3204">
          <cell r="B3204" t="str">
            <v/>
          </cell>
        </row>
        <row r="3205">
          <cell r="B3205" t="str">
            <v/>
          </cell>
        </row>
        <row r="3206">
          <cell r="B3206" t="str">
            <v/>
          </cell>
        </row>
        <row r="3207">
          <cell r="B3207" t="str">
            <v/>
          </cell>
        </row>
        <row r="3208">
          <cell r="B3208" t="str">
            <v/>
          </cell>
        </row>
        <row r="3209">
          <cell r="B3209" t="str">
            <v/>
          </cell>
        </row>
        <row r="3210">
          <cell r="B3210" t="str">
            <v/>
          </cell>
        </row>
        <row r="3211">
          <cell r="B3211" t="str">
            <v/>
          </cell>
        </row>
        <row r="3212">
          <cell r="B3212" t="str">
            <v/>
          </cell>
        </row>
        <row r="3213">
          <cell r="B3213" t="str">
            <v/>
          </cell>
        </row>
        <row r="3214">
          <cell r="B3214" t="str">
            <v/>
          </cell>
        </row>
        <row r="3215">
          <cell r="B3215" t="str">
            <v/>
          </cell>
        </row>
        <row r="3216">
          <cell r="B3216" t="str">
            <v/>
          </cell>
        </row>
        <row r="3217">
          <cell r="B3217" t="str">
            <v/>
          </cell>
        </row>
        <row r="3218">
          <cell r="B3218" t="str">
            <v/>
          </cell>
        </row>
        <row r="3219">
          <cell r="B3219" t="str">
            <v/>
          </cell>
        </row>
        <row r="3220">
          <cell r="B3220" t="str">
            <v/>
          </cell>
        </row>
        <row r="3221">
          <cell r="B3221" t="str">
            <v/>
          </cell>
        </row>
        <row r="3222">
          <cell r="B3222" t="str">
            <v/>
          </cell>
        </row>
        <row r="3223">
          <cell r="B3223" t="str">
            <v/>
          </cell>
        </row>
        <row r="3224">
          <cell r="B3224" t="str">
            <v/>
          </cell>
        </row>
        <row r="3225">
          <cell r="B3225" t="str">
            <v/>
          </cell>
        </row>
        <row r="3226">
          <cell r="B3226" t="str">
            <v/>
          </cell>
        </row>
        <row r="3227">
          <cell r="B3227" t="str">
            <v/>
          </cell>
        </row>
        <row r="3228">
          <cell r="B3228" t="str">
            <v/>
          </cell>
        </row>
        <row r="3229">
          <cell r="B3229" t="str">
            <v/>
          </cell>
        </row>
        <row r="3230">
          <cell r="B3230" t="str">
            <v/>
          </cell>
        </row>
        <row r="3231">
          <cell r="B3231" t="str">
            <v/>
          </cell>
        </row>
        <row r="3232">
          <cell r="B3232" t="str">
            <v/>
          </cell>
        </row>
        <row r="3233">
          <cell r="B3233" t="str">
            <v/>
          </cell>
        </row>
        <row r="3234">
          <cell r="B3234" t="str">
            <v/>
          </cell>
        </row>
        <row r="3235">
          <cell r="B3235" t="str">
            <v/>
          </cell>
        </row>
        <row r="3236">
          <cell r="B3236" t="str">
            <v/>
          </cell>
        </row>
        <row r="3237">
          <cell r="B3237" t="str">
            <v/>
          </cell>
        </row>
        <row r="3238">
          <cell r="B3238" t="str">
            <v/>
          </cell>
        </row>
        <row r="3239">
          <cell r="B3239" t="str">
            <v/>
          </cell>
        </row>
        <row r="3240">
          <cell r="B3240" t="str">
            <v/>
          </cell>
        </row>
        <row r="3241">
          <cell r="B3241" t="str">
            <v/>
          </cell>
        </row>
        <row r="3242">
          <cell r="B3242" t="str">
            <v/>
          </cell>
        </row>
        <row r="3243">
          <cell r="B3243" t="str">
            <v/>
          </cell>
        </row>
        <row r="3244">
          <cell r="B3244" t="str">
            <v/>
          </cell>
        </row>
        <row r="3245">
          <cell r="B3245" t="str">
            <v/>
          </cell>
        </row>
        <row r="3246">
          <cell r="B3246" t="str">
            <v/>
          </cell>
        </row>
        <row r="3247">
          <cell r="B3247" t="str">
            <v/>
          </cell>
        </row>
        <row r="3248">
          <cell r="B3248" t="str">
            <v/>
          </cell>
        </row>
        <row r="3249">
          <cell r="B3249" t="str">
            <v/>
          </cell>
        </row>
        <row r="3250">
          <cell r="B3250" t="str">
            <v/>
          </cell>
        </row>
        <row r="3251">
          <cell r="B3251" t="str">
            <v/>
          </cell>
        </row>
        <row r="3252">
          <cell r="B3252" t="str">
            <v/>
          </cell>
        </row>
        <row r="3253">
          <cell r="B3253" t="str">
            <v/>
          </cell>
        </row>
        <row r="3254">
          <cell r="B3254" t="str">
            <v/>
          </cell>
        </row>
        <row r="3255">
          <cell r="B3255" t="str">
            <v/>
          </cell>
        </row>
        <row r="3256">
          <cell r="B3256" t="str">
            <v/>
          </cell>
        </row>
        <row r="3257">
          <cell r="B3257" t="str">
            <v/>
          </cell>
        </row>
        <row r="3258">
          <cell r="B3258" t="str">
            <v/>
          </cell>
        </row>
        <row r="3259">
          <cell r="B3259" t="str">
            <v/>
          </cell>
        </row>
        <row r="3260">
          <cell r="B3260" t="str">
            <v/>
          </cell>
        </row>
        <row r="3261">
          <cell r="B3261" t="str">
            <v/>
          </cell>
        </row>
        <row r="3262">
          <cell r="B3262" t="str">
            <v/>
          </cell>
        </row>
        <row r="3263">
          <cell r="B3263" t="str">
            <v/>
          </cell>
        </row>
        <row r="3264">
          <cell r="B3264" t="str">
            <v/>
          </cell>
        </row>
        <row r="3265">
          <cell r="B3265" t="str">
            <v/>
          </cell>
        </row>
        <row r="3266">
          <cell r="B3266" t="str">
            <v/>
          </cell>
        </row>
        <row r="3267">
          <cell r="B3267" t="str">
            <v/>
          </cell>
        </row>
        <row r="3268">
          <cell r="B3268" t="str">
            <v/>
          </cell>
        </row>
        <row r="3269">
          <cell r="B3269" t="str">
            <v/>
          </cell>
        </row>
        <row r="3270">
          <cell r="B3270" t="str">
            <v/>
          </cell>
        </row>
        <row r="3271">
          <cell r="B3271" t="str">
            <v/>
          </cell>
        </row>
        <row r="3272">
          <cell r="B3272" t="str">
            <v/>
          </cell>
        </row>
        <row r="3273">
          <cell r="B3273" t="str">
            <v/>
          </cell>
        </row>
        <row r="3274">
          <cell r="B3274" t="str">
            <v/>
          </cell>
        </row>
        <row r="3275">
          <cell r="B3275" t="str">
            <v/>
          </cell>
        </row>
        <row r="3276">
          <cell r="B3276" t="str">
            <v/>
          </cell>
        </row>
        <row r="3277">
          <cell r="B3277" t="str">
            <v/>
          </cell>
        </row>
        <row r="3278">
          <cell r="B3278" t="str">
            <v/>
          </cell>
        </row>
        <row r="3279">
          <cell r="B3279" t="str">
            <v/>
          </cell>
        </row>
        <row r="3280">
          <cell r="B3280" t="str">
            <v/>
          </cell>
        </row>
        <row r="3281">
          <cell r="B3281" t="str">
            <v/>
          </cell>
        </row>
        <row r="3282">
          <cell r="B3282" t="str">
            <v/>
          </cell>
        </row>
        <row r="3283">
          <cell r="B3283" t="str">
            <v/>
          </cell>
        </row>
        <row r="3284">
          <cell r="B3284" t="str">
            <v/>
          </cell>
        </row>
        <row r="3285">
          <cell r="B3285" t="str">
            <v/>
          </cell>
        </row>
        <row r="3286">
          <cell r="B3286" t="str">
            <v/>
          </cell>
          <cell r="D3286">
            <v>0</v>
          </cell>
        </row>
        <row r="3287">
          <cell r="B3287" t="str">
            <v/>
          </cell>
        </row>
        <row r="3288">
          <cell r="B3288" t="str">
            <v/>
          </cell>
        </row>
        <row r="3289">
          <cell r="B3289" t="str">
            <v/>
          </cell>
        </row>
        <row r="3290">
          <cell r="B3290" t="str">
            <v/>
          </cell>
        </row>
        <row r="3291">
          <cell r="B3291" t="str">
            <v/>
          </cell>
        </row>
        <row r="3292">
          <cell r="B3292" t="str">
            <v/>
          </cell>
        </row>
        <row r="3293">
          <cell r="B3293" t="str">
            <v/>
          </cell>
        </row>
        <row r="3294">
          <cell r="B3294" t="str">
            <v/>
          </cell>
        </row>
        <row r="3295">
          <cell r="B3295" t="str">
            <v/>
          </cell>
        </row>
        <row r="3296">
          <cell r="B3296" t="str">
            <v/>
          </cell>
          <cell r="D3296">
            <v>0</v>
          </cell>
        </row>
        <row r="3297">
          <cell r="B3297" t="str">
            <v/>
          </cell>
        </row>
        <row r="3298">
          <cell r="B3298" t="str">
            <v/>
          </cell>
        </row>
        <row r="3299">
          <cell r="B3299" t="str">
            <v/>
          </cell>
        </row>
        <row r="3300">
          <cell r="B3300" t="str">
            <v/>
          </cell>
        </row>
        <row r="3301">
          <cell r="B3301" t="str">
            <v/>
          </cell>
        </row>
        <row r="3302">
          <cell r="B3302" t="str">
            <v/>
          </cell>
        </row>
        <row r="3303">
          <cell r="B3303" t="str">
            <v/>
          </cell>
        </row>
        <row r="3304">
          <cell r="B3304" t="str">
            <v/>
          </cell>
        </row>
        <row r="3305">
          <cell r="B3305" t="str">
            <v/>
          </cell>
        </row>
        <row r="3306">
          <cell r="B3306" t="str">
            <v/>
          </cell>
          <cell r="D3306">
            <v>0</v>
          </cell>
        </row>
        <row r="3307">
          <cell r="B3307" t="str">
            <v/>
          </cell>
          <cell r="D3307">
            <v>0</v>
          </cell>
        </row>
        <row r="3308">
          <cell r="B3308" t="str">
            <v/>
          </cell>
          <cell r="D3308">
            <v>0</v>
          </cell>
        </row>
        <row r="3309">
          <cell r="B3309" t="str">
            <v/>
          </cell>
        </row>
        <row r="3310">
          <cell r="B3310" t="str">
            <v/>
          </cell>
        </row>
        <row r="3311">
          <cell r="B3311" t="str">
            <v/>
          </cell>
        </row>
        <row r="3312">
          <cell r="B3312" t="str">
            <v/>
          </cell>
        </row>
        <row r="3313">
          <cell r="B3313" t="str">
            <v/>
          </cell>
        </row>
        <row r="3314">
          <cell r="B3314" t="str">
            <v/>
          </cell>
        </row>
        <row r="3315">
          <cell r="B3315" t="str">
            <v/>
          </cell>
        </row>
        <row r="3316">
          <cell r="B3316" t="str">
            <v/>
          </cell>
        </row>
        <row r="3317">
          <cell r="B3317" t="str">
            <v/>
          </cell>
        </row>
        <row r="3318">
          <cell r="B3318" t="str">
            <v/>
          </cell>
        </row>
        <row r="3319">
          <cell r="B3319" t="str">
            <v/>
          </cell>
        </row>
        <row r="3320">
          <cell r="B3320" t="str">
            <v/>
          </cell>
        </row>
        <row r="3321">
          <cell r="B3321" t="str">
            <v/>
          </cell>
        </row>
        <row r="3322">
          <cell r="B3322" t="str">
            <v/>
          </cell>
        </row>
        <row r="3323">
          <cell r="B3323" t="str">
            <v/>
          </cell>
          <cell r="D3323">
            <v>0</v>
          </cell>
        </row>
        <row r="3324">
          <cell r="B3324" t="str">
            <v/>
          </cell>
          <cell r="D3324">
            <v>0</v>
          </cell>
        </row>
        <row r="3325">
          <cell r="B3325" t="str">
            <v/>
          </cell>
          <cell r="D3325">
            <v>0</v>
          </cell>
        </row>
        <row r="3326">
          <cell r="B3326" t="str">
            <v/>
          </cell>
        </row>
        <row r="3327">
          <cell r="B3327" t="str">
            <v/>
          </cell>
        </row>
        <row r="3328">
          <cell r="B3328" t="str">
            <v/>
          </cell>
        </row>
        <row r="3329">
          <cell r="B3329" t="str">
            <v/>
          </cell>
        </row>
        <row r="3330">
          <cell r="B3330" t="str">
            <v/>
          </cell>
        </row>
        <row r="3331">
          <cell r="B3331" t="str">
            <v/>
          </cell>
        </row>
        <row r="3332">
          <cell r="B3332" t="str">
            <v/>
          </cell>
        </row>
        <row r="3333">
          <cell r="B3333" t="str">
            <v/>
          </cell>
        </row>
        <row r="3334">
          <cell r="B3334" t="str">
            <v/>
          </cell>
        </row>
        <row r="3335">
          <cell r="B3335" t="str">
            <v/>
          </cell>
        </row>
        <row r="3336">
          <cell r="B3336" t="str">
            <v/>
          </cell>
        </row>
        <row r="3337">
          <cell r="B3337" t="str">
            <v/>
          </cell>
        </row>
        <row r="3338">
          <cell r="B3338" t="str">
            <v/>
          </cell>
        </row>
        <row r="3339">
          <cell r="B3339" t="str">
            <v/>
          </cell>
        </row>
        <row r="3340">
          <cell r="B3340" t="str">
            <v/>
          </cell>
        </row>
        <row r="3341">
          <cell r="B3341" t="str">
            <v/>
          </cell>
        </row>
        <row r="3342">
          <cell r="B3342" t="str">
            <v/>
          </cell>
        </row>
        <row r="3343">
          <cell r="B3343" t="str">
            <v/>
          </cell>
        </row>
        <row r="3344">
          <cell r="B3344" t="str">
            <v/>
          </cell>
        </row>
        <row r="3345">
          <cell r="B3345" t="str">
            <v/>
          </cell>
        </row>
        <row r="3346">
          <cell r="B3346" t="str">
            <v/>
          </cell>
        </row>
        <row r="3347">
          <cell r="B3347" t="str">
            <v/>
          </cell>
        </row>
        <row r="3348">
          <cell r="B3348" t="str">
            <v/>
          </cell>
        </row>
        <row r="3349">
          <cell r="B3349" t="str">
            <v/>
          </cell>
        </row>
        <row r="3350">
          <cell r="B3350" t="str">
            <v/>
          </cell>
        </row>
        <row r="3351">
          <cell r="B3351" t="str">
            <v/>
          </cell>
        </row>
        <row r="3352">
          <cell r="B3352" t="str">
            <v/>
          </cell>
        </row>
        <row r="3353">
          <cell r="B3353" t="str">
            <v/>
          </cell>
        </row>
        <row r="3354">
          <cell r="B3354" t="str">
            <v/>
          </cell>
        </row>
        <row r="3355">
          <cell r="B3355" t="str">
            <v/>
          </cell>
        </row>
        <row r="3356">
          <cell r="B3356" t="str">
            <v/>
          </cell>
        </row>
        <row r="3357">
          <cell r="B3357" t="str">
            <v/>
          </cell>
        </row>
        <row r="3358">
          <cell r="B3358" t="str">
            <v/>
          </cell>
        </row>
        <row r="3359">
          <cell r="B3359" t="str">
            <v/>
          </cell>
        </row>
        <row r="3360">
          <cell r="B3360" t="str">
            <v/>
          </cell>
          <cell r="D3360">
            <v>0</v>
          </cell>
        </row>
        <row r="3361">
          <cell r="B3361" t="str">
            <v/>
          </cell>
        </row>
        <row r="3362">
          <cell r="B3362" t="str">
            <v/>
          </cell>
        </row>
        <row r="3363">
          <cell r="B3363" t="str">
            <v/>
          </cell>
        </row>
        <row r="3364">
          <cell r="B3364" t="str">
            <v/>
          </cell>
        </row>
        <row r="3365">
          <cell r="B3365" t="str">
            <v/>
          </cell>
        </row>
        <row r="3366">
          <cell r="B3366" t="str">
            <v/>
          </cell>
        </row>
        <row r="3367">
          <cell r="B3367" t="str">
            <v/>
          </cell>
        </row>
        <row r="3368">
          <cell r="B3368" t="str">
            <v/>
          </cell>
        </row>
        <row r="3369">
          <cell r="B3369" t="str">
            <v/>
          </cell>
        </row>
        <row r="3370">
          <cell r="B3370" t="str">
            <v/>
          </cell>
        </row>
        <row r="3371">
          <cell r="B3371" t="str">
            <v/>
          </cell>
        </row>
        <row r="3372">
          <cell r="B3372" t="str">
            <v/>
          </cell>
        </row>
        <row r="3373">
          <cell r="B3373" t="str">
            <v/>
          </cell>
        </row>
        <row r="3374">
          <cell r="B3374" t="str">
            <v/>
          </cell>
        </row>
        <row r="3375">
          <cell r="B3375" t="str">
            <v/>
          </cell>
        </row>
        <row r="3376">
          <cell r="B3376" t="str">
            <v/>
          </cell>
        </row>
        <row r="3377">
          <cell r="B3377" t="str">
            <v/>
          </cell>
        </row>
        <row r="3378">
          <cell r="B3378" t="str">
            <v/>
          </cell>
        </row>
        <row r="3379">
          <cell r="B3379" t="str">
            <v/>
          </cell>
        </row>
        <row r="3380">
          <cell r="B3380" t="str">
            <v/>
          </cell>
        </row>
        <row r="3381">
          <cell r="B3381" t="str">
            <v/>
          </cell>
        </row>
        <row r="3382">
          <cell r="B3382" t="str">
            <v/>
          </cell>
        </row>
        <row r="3383">
          <cell r="B3383" t="str">
            <v/>
          </cell>
        </row>
        <row r="3384">
          <cell r="B3384" t="str">
            <v/>
          </cell>
        </row>
        <row r="3385">
          <cell r="B3385" t="str">
            <v/>
          </cell>
        </row>
        <row r="3386">
          <cell r="B3386" t="str">
            <v/>
          </cell>
        </row>
        <row r="3387">
          <cell r="B3387" t="str">
            <v/>
          </cell>
        </row>
        <row r="3388">
          <cell r="B3388" t="str">
            <v/>
          </cell>
        </row>
        <row r="3389">
          <cell r="B3389" t="str">
            <v/>
          </cell>
        </row>
        <row r="3390">
          <cell r="B3390" t="str">
            <v/>
          </cell>
        </row>
        <row r="3391">
          <cell r="B3391" t="str">
            <v/>
          </cell>
        </row>
        <row r="3392">
          <cell r="B3392" t="str">
            <v/>
          </cell>
        </row>
        <row r="3393">
          <cell r="B3393" t="str">
            <v/>
          </cell>
        </row>
        <row r="3394">
          <cell r="B3394" t="str">
            <v/>
          </cell>
        </row>
        <row r="3395">
          <cell r="B3395" t="str">
            <v/>
          </cell>
        </row>
        <row r="3396">
          <cell r="B3396" t="str">
            <v/>
          </cell>
        </row>
        <row r="3397">
          <cell r="B3397" t="str">
            <v/>
          </cell>
        </row>
        <row r="3398">
          <cell r="B3398" t="str">
            <v/>
          </cell>
        </row>
        <row r="3399">
          <cell r="B3399" t="str">
            <v/>
          </cell>
        </row>
        <row r="3400">
          <cell r="B3400" t="str">
            <v/>
          </cell>
        </row>
        <row r="3401">
          <cell r="B3401" t="str">
            <v/>
          </cell>
        </row>
        <row r="3402">
          <cell r="B3402" t="str">
            <v/>
          </cell>
        </row>
        <row r="3403">
          <cell r="B3403" t="str">
            <v/>
          </cell>
        </row>
        <row r="3404">
          <cell r="B3404" t="str">
            <v/>
          </cell>
        </row>
        <row r="3405">
          <cell r="B3405" t="str">
            <v/>
          </cell>
        </row>
        <row r="3406">
          <cell r="B3406" t="str">
            <v/>
          </cell>
        </row>
        <row r="3407">
          <cell r="B3407" t="str">
            <v/>
          </cell>
        </row>
        <row r="3408">
          <cell r="B3408" t="str">
            <v/>
          </cell>
        </row>
        <row r="3409">
          <cell r="B3409" t="str">
            <v/>
          </cell>
        </row>
        <row r="3410">
          <cell r="B3410" t="str">
            <v/>
          </cell>
        </row>
        <row r="3411">
          <cell r="B3411" t="str">
            <v/>
          </cell>
        </row>
        <row r="3412">
          <cell r="B3412" t="str">
            <v/>
          </cell>
        </row>
        <row r="3413">
          <cell r="B3413" t="str">
            <v/>
          </cell>
        </row>
        <row r="3414">
          <cell r="B3414" t="str">
            <v/>
          </cell>
        </row>
        <row r="3415">
          <cell r="B3415" t="str">
            <v/>
          </cell>
        </row>
        <row r="3416">
          <cell r="B3416" t="str">
            <v/>
          </cell>
        </row>
        <row r="3417">
          <cell r="B3417" t="str">
            <v/>
          </cell>
        </row>
        <row r="3418">
          <cell r="B3418" t="str">
            <v/>
          </cell>
        </row>
        <row r="3419">
          <cell r="B3419" t="str">
            <v/>
          </cell>
        </row>
        <row r="3420">
          <cell r="B3420" t="str">
            <v/>
          </cell>
        </row>
        <row r="3421">
          <cell r="B3421" t="str">
            <v/>
          </cell>
        </row>
        <row r="3422">
          <cell r="B3422" t="str">
            <v/>
          </cell>
          <cell r="D3422">
            <v>0</v>
          </cell>
        </row>
        <row r="3423">
          <cell r="B3423" t="str">
            <v/>
          </cell>
        </row>
        <row r="3424">
          <cell r="B3424" t="str">
            <v/>
          </cell>
        </row>
        <row r="3425">
          <cell r="B3425" t="str">
            <v/>
          </cell>
        </row>
        <row r="3426">
          <cell r="B3426" t="str">
            <v/>
          </cell>
        </row>
        <row r="3427">
          <cell r="B3427" t="str">
            <v/>
          </cell>
        </row>
        <row r="3428">
          <cell r="B3428" t="str">
            <v/>
          </cell>
        </row>
        <row r="3429">
          <cell r="B3429" t="str">
            <v/>
          </cell>
        </row>
        <row r="3430">
          <cell r="B3430" t="str">
            <v/>
          </cell>
        </row>
        <row r="3431">
          <cell r="B3431" t="str">
            <v/>
          </cell>
        </row>
        <row r="3432">
          <cell r="B3432" t="str">
            <v/>
          </cell>
        </row>
        <row r="3433">
          <cell r="B3433" t="str">
            <v/>
          </cell>
        </row>
        <row r="3434">
          <cell r="B3434" t="str">
            <v/>
          </cell>
        </row>
        <row r="3435">
          <cell r="B3435" t="str">
            <v/>
          </cell>
        </row>
        <row r="3436">
          <cell r="B3436" t="str">
            <v/>
          </cell>
        </row>
        <row r="3437">
          <cell r="B3437" t="str">
            <v/>
          </cell>
        </row>
        <row r="3438">
          <cell r="B3438" t="str">
            <v/>
          </cell>
        </row>
        <row r="3439">
          <cell r="B3439" t="str">
            <v/>
          </cell>
        </row>
        <row r="3440">
          <cell r="B3440" t="str">
            <v/>
          </cell>
        </row>
        <row r="3441">
          <cell r="B3441" t="str">
            <v/>
          </cell>
        </row>
        <row r="3442">
          <cell r="B3442" t="str">
            <v/>
          </cell>
        </row>
        <row r="3443">
          <cell r="B3443" t="str">
            <v/>
          </cell>
        </row>
        <row r="3444">
          <cell r="B3444" t="str">
            <v/>
          </cell>
        </row>
        <row r="3445">
          <cell r="B3445" t="str">
            <v/>
          </cell>
        </row>
        <row r="3446">
          <cell r="B3446" t="str">
            <v/>
          </cell>
        </row>
        <row r="3447">
          <cell r="B3447" t="str">
            <v/>
          </cell>
        </row>
        <row r="3448">
          <cell r="B3448" t="str">
            <v/>
          </cell>
        </row>
        <row r="3449">
          <cell r="B3449" t="str">
            <v/>
          </cell>
        </row>
        <row r="3450">
          <cell r="B3450" t="str">
            <v/>
          </cell>
        </row>
        <row r="3451">
          <cell r="B3451" t="str">
            <v/>
          </cell>
        </row>
        <row r="3452">
          <cell r="B3452" t="str">
            <v/>
          </cell>
        </row>
        <row r="3453">
          <cell r="B3453" t="str">
            <v/>
          </cell>
        </row>
        <row r="3454">
          <cell r="B3454" t="str">
            <v/>
          </cell>
        </row>
        <row r="3455">
          <cell r="B3455" t="str">
            <v/>
          </cell>
        </row>
        <row r="3456">
          <cell r="B3456" t="str">
            <v/>
          </cell>
        </row>
        <row r="3457">
          <cell r="B3457" t="str">
            <v/>
          </cell>
        </row>
        <row r="3458">
          <cell r="B3458" t="str">
            <v/>
          </cell>
        </row>
        <row r="3459">
          <cell r="B3459" t="str">
            <v/>
          </cell>
        </row>
        <row r="3460">
          <cell r="B3460" t="str">
            <v/>
          </cell>
        </row>
        <row r="3461">
          <cell r="B3461" t="str">
            <v/>
          </cell>
        </row>
        <row r="3462">
          <cell r="B3462" t="str">
            <v/>
          </cell>
        </row>
        <row r="3463">
          <cell r="B3463" t="str">
            <v/>
          </cell>
        </row>
        <row r="3464">
          <cell r="B3464" t="str">
            <v/>
          </cell>
        </row>
        <row r="3465">
          <cell r="B3465" t="str">
            <v/>
          </cell>
        </row>
        <row r="3466">
          <cell r="B3466" t="str">
            <v/>
          </cell>
        </row>
        <row r="3467">
          <cell r="B3467" t="str">
            <v/>
          </cell>
        </row>
        <row r="3468">
          <cell r="B3468" t="str">
            <v/>
          </cell>
        </row>
        <row r="3469">
          <cell r="B3469" t="str">
            <v/>
          </cell>
        </row>
        <row r="3470">
          <cell r="B3470" t="str">
            <v/>
          </cell>
        </row>
        <row r="3471">
          <cell r="B3471" t="str">
            <v/>
          </cell>
        </row>
        <row r="3472">
          <cell r="B3472" t="str">
            <v/>
          </cell>
        </row>
        <row r="3473">
          <cell r="B3473" t="str">
            <v/>
          </cell>
        </row>
        <row r="3474">
          <cell r="B3474" t="str">
            <v/>
          </cell>
        </row>
        <row r="3475">
          <cell r="B3475" t="str">
            <v/>
          </cell>
        </row>
        <row r="3476">
          <cell r="B3476" t="str">
            <v/>
          </cell>
        </row>
        <row r="3477">
          <cell r="B3477" t="str">
            <v/>
          </cell>
        </row>
        <row r="3478">
          <cell r="B3478" t="str">
            <v/>
          </cell>
        </row>
        <row r="3479">
          <cell r="B3479" t="str">
            <v/>
          </cell>
        </row>
        <row r="3480">
          <cell r="B3480" t="str">
            <v/>
          </cell>
        </row>
        <row r="3481">
          <cell r="B3481" t="str">
            <v/>
          </cell>
        </row>
        <row r="3482">
          <cell r="B3482" t="str">
            <v/>
          </cell>
        </row>
        <row r="3483">
          <cell r="B3483" t="str">
            <v/>
          </cell>
        </row>
        <row r="3484">
          <cell r="B3484" t="str">
            <v/>
          </cell>
        </row>
        <row r="3485">
          <cell r="B3485" t="str">
            <v/>
          </cell>
        </row>
        <row r="3486">
          <cell r="B3486" t="str">
            <v/>
          </cell>
        </row>
        <row r="3487">
          <cell r="B3487" t="str">
            <v/>
          </cell>
        </row>
        <row r="3488">
          <cell r="B3488" t="str">
            <v/>
          </cell>
        </row>
        <row r="3489">
          <cell r="B3489" t="str">
            <v/>
          </cell>
        </row>
        <row r="3490">
          <cell r="B3490" t="str">
            <v/>
          </cell>
        </row>
        <row r="3491">
          <cell r="B3491" t="str">
            <v/>
          </cell>
        </row>
        <row r="3492">
          <cell r="B3492" t="str">
            <v/>
          </cell>
        </row>
        <row r="3493">
          <cell r="B3493" t="str">
            <v/>
          </cell>
        </row>
        <row r="3494">
          <cell r="B3494" t="str">
            <v/>
          </cell>
        </row>
        <row r="3495">
          <cell r="B3495" t="str">
            <v/>
          </cell>
        </row>
        <row r="3496">
          <cell r="B3496" t="str">
            <v/>
          </cell>
        </row>
        <row r="3497">
          <cell r="B3497" t="str">
            <v/>
          </cell>
        </row>
        <row r="3498">
          <cell r="B3498" t="str">
            <v/>
          </cell>
        </row>
        <row r="3499">
          <cell r="B3499" t="str">
            <v/>
          </cell>
        </row>
        <row r="3500">
          <cell r="B3500" t="str">
            <v/>
          </cell>
        </row>
        <row r="3501">
          <cell r="B3501" t="str">
            <v/>
          </cell>
        </row>
        <row r="3502">
          <cell r="B3502" t="str">
            <v/>
          </cell>
        </row>
        <row r="3503">
          <cell r="B3503" t="str">
            <v/>
          </cell>
        </row>
        <row r="3504">
          <cell r="B3504" t="str">
            <v/>
          </cell>
        </row>
        <row r="3505">
          <cell r="B3505" t="str">
            <v/>
          </cell>
        </row>
        <row r="3506">
          <cell r="B3506" t="str">
            <v/>
          </cell>
        </row>
        <row r="3507">
          <cell r="B3507" t="str">
            <v/>
          </cell>
        </row>
        <row r="3508">
          <cell r="B3508" t="str">
            <v/>
          </cell>
        </row>
        <row r="3509">
          <cell r="B3509" t="str">
            <v/>
          </cell>
        </row>
        <row r="3510">
          <cell r="B3510" t="str">
            <v/>
          </cell>
        </row>
        <row r="3511">
          <cell r="B3511" t="str">
            <v/>
          </cell>
        </row>
        <row r="3512">
          <cell r="B3512" t="str">
            <v/>
          </cell>
        </row>
        <row r="3513">
          <cell r="B3513" t="str">
            <v/>
          </cell>
        </row>
        <row r="3514">
          <cell r="B3514" t="str">
            <v/>
          </cell>
        </row>
        <row r="3515">
          <cell r="B3515" t="str">
            <v/>
          </cell>
        </row>
        <row r="3516">
          <cell r="B3516" t="str">
            <v/>
          </cell>
        </row>
        <row r="3517">
          <cell r="B3517" t="str">
            <v/>
          </cell>
        </row>
        <row r="3518">
          <cell r="B3518" t="str">
            <v/>
          </cell>
        </row>
        <row r="3519">
          <cell r="B3519" t="str">
            <v/>
          </cell>
        </row>
        <row r="3520">
          <cell r="B3520" t="str">
            <v/>
          </cell>
        </row>
        <row r="3521">
          <cell r="B3521" t="str">
            <v/>
          </cell>
        </row>
        <row r="3522">
          <cell r="B3522" t="str">
            <v/>
          </cell>
        </row>
        <row r="3523">
          <cell r="B3523" t="str">
            <v/>
          </cell>
        </row>
        <row r="3524">
          <cell r="B3524" t="str">
            <v/>
          </cell>
        </row>
        <row r="3525">
          <cell r="B3525" t="str">
            <v/>
          </cell>
        </row>
        <row r="3526">
          <cell r="B3526" t="str">
            <v/>
          </cell>
        </row>
        <row r="3527">
          <cell r="B3527" t="str">
            <v/>
          </cell>
        </row>
        <row r="3528">
          <cell r="B3528" t="str">
            <v/>
          </cell>
        </row>
        <row r="3529">
          <cell r="B3529" t="str">
            <v/>
          </cell>
        </row>
        <row r="3530">
          <cell r="B3530" t="str">
            <v/>
          </cell>
        </row>
        <row r="3531">
          <cell r="B3531" t="str">
            <v/>
          </cell>
        </row>
        <row r="3532">
          <cell r="B3532" t="str">
            <v/>
          </cell>
        </row>
        <row r="3533">
          <cell r="B3533" t="str">
            <v/>
          </cell>
        </row>
        <row r="3534">
          <cell r="B3534" t="str">
            <v/>
          </cell>
        </row>
        <row r="3535">
          <cell r="B3535" t="str">
            <v/>
          </cell>
        </row>
        <row r="3536">
          <cell r="B3536" t="str">
            <v/>
          </cell>
        </row>
        <row r="3537">
          <cell r="B3537" t="str">
            <v/>
          </cell>
        </row>
        <row r="3538">
          <cell r="B3538" t="str">
            <v/>
          </cell>
        </row>
        <row r="3539">
          <cell r="B3539" t="str">
            <v/>
          </cell>
        </row>
        <row r="3540">
          <cell r="B3540" t="str">
            <v/>
          </cell>
        </row>
        <row r="3541">
          <cell r="B3541" t="str">
            <v/>
          </cell>
        </row>
        <row r="3542">
          <cell r="B3542" t="str">
            <v/>
          </cell>
        </row>
        <row r="3543">
          <cell r="B3543" t="str">
            <v/>
          </cell>
        </row>
        <row r="3544">
          <cell r="B3544" t="str">
            <v/>
          </cell>
        </row>
        <row r="3545">
          <cell r="B3545" t="str">
            <v/>
          </cell>
        </row>
        <row r="3546">
          <cell r="B3546" t="str">
            <v/>
          </cell>
        </row>
        <row r="3547">
          <cell r="B3547" t="str">
            <v/>
          </cell>
        </row>
        <row r="3548">
          <cell r="B3548" t="str">
            <v/>
          </cell>
        </row>
        <row r="3549">
          <cell r="B3549" t="str">
            <v/>
          </cell>
        </row>
        <row r="3550">
          <cell r="B3550" t="str">
            <v/>
          </cell>
        </row>
        <row r="3551">
          <cell r="B3551" t="str">
            <v/>
          </cell>
        </row>
        <row r="3552">
          <cell r="B3552" t="str">
            <v/>
          </cell>
        </row>
        <row r="3553">
          <cell r="B3553" t="str">
            <v/>
          </cell>
        </row>
        <row r="3554">
          <cell r="B3554" t="str">
            <v/>
          </cell>
        </row>
        <row r="3555">
          <cell r="B3555" t="str">
            <v/>
          </cell>
        </row>
        <row r="3556">
          <cell r="B3556" t="str">
            <v/>
          </cell>
        </row>
        <row r="3557">
          <cell r="B3557" t="str">
            <v/>
          </cell>
        </row>
        <row r="3558">
          <cell r="B3558" t="str">
            <v/>
          </cell>
        </row>
        <row r="3559">
          <cell r="B3559" t="str">
            <v/>
          </cell>
        </row>
        <row r="3560">
          <cell r="B3560" t="str">
            <v/>
          </cell>
        </row>
        <row r="3561">
          <cell r="B3561" t="str">
            <v/>
          </cell>
        </row>
        <row r="3562">
          <cell r="B3562" t="str">
            <v/>
          </cell>
        </row>
        <row r="3563">
          <cell r="B3563" t="str">
            <v/>
          </cell>
        </row>
        <row r="3564">
          <cell r="B3564" t="str">
            <v/>
          </cell>
        </row>
        <row r="3565">
          <cell r="B3565" t="str">
            <v/>
          </cell>
        </row>
        <row r="3566">
          <cell r="B3566" t="str">
            <v/>
          </cell>
        </row>
        <row r="3567">
          <cell r="B3567" t="str">
            <v/>
          </cell>
        </row>
        <row r="3568">
          <cell r="B3568" t="str">
            <v/>
          </cell>
        </row>
        <row r="3569">
          <cell r="B3569" t="str">
            <v/>
          </cell>
        </row>
        <row r="3570">
          <cell r="B3570" t="str">
            <v/>
          </cell>
        </row>
        <row r="3571">
          <cell r="B3571" t="str">
            <v/>
          </cell>
        </row>
        <row r="3572">
          <cell r="B3572" t="str">
            <v/>
          </cell>
        </row>
        <row r="3573">
          <cell r="B3573" t="str">
            <v/>
          </cell>
        </row>
        <row r="3574">
          <cell r="B3574" t="str">
            <v/>
          </cell>
        </row>
        <row r="3575">
          <cell r="B3575" t="str">
            <v/>
          </cell>
        </row>
        <row r="3576">
          <cell r="B3576" t="str">
            <v/>
          </cell>
        </row>
        <row r="3577">
          <cell r="B3577" t="str">
            <v/>
          </cell>
        </row>
        <row r="3578">
          <cell r="B3578" t="str">
            <v/>
          </cell>
        </row>
        <row r="3579">
          <cell r="B3579" t="str">
            <v/>
          </cell>
        </row>
        <row r="3580">
          <cell r="B3580" t="str">
            <v/>
          </cell>
        </row>
        <row r="3581">
          <cell r="B3581" t="str">
            <v/>
          </cell>
        </row>
        <row r="3582">
          <cell r="B3582" t="str">
            <v/>
          </cell>
        </row>
        <row r="3583">
          <cell r="B3583" t="str">
            <v/>
          </cell>
        </row>
        <row r="3584">
          <cell r="B3584" t="str">
            <v/>
          </cell>
        </row>
        <row r="3585">
          <cell r="B3585" t="str">
            <v/>
          </cell>
        </row>
        <row r="3586">
          <cell r="B3586" t="str">
            <v/>
          </cell>
        </row>
        <row r="3587">
          <cell r="B3587" t="str">
            <v/>
          </cell>
        </row>
        <row r="3588">
          <cell r="B3588" t="str">
            <v/>
          </cell>
        </row>
        <row r="3589">
          <cell r="B3589" t="str">
            <v/>
          </cell>
        </row>
        <row r="3590">
          <cell r="B3590" t="str">
            <v/>
          </cell>
        </row>
        <row r="3591">
          <cell r="B3591" t="str">
            <v/>
          </cell>
        </row>
        <row r="3592">
          <cell r="B3592" t="str">
            <v/>
          </cell>
        </row>
        <row r="3593">
          <cell r="B3593" t="str">
            <v/>
          </cell>
        </row>
        <row r="3594">
          <cell r="B3594" t="str">
            <v/>
          </cell>
        </row>
        <row r="3595">
          <cell r="B3595" t="str">
            <v/>
          </cell>
        </row>
        <row r="3596">
          <cell r="B3596" t="str">
            <v/>
          </cell>
        </row>
        <row r="3597">
          <cell r="B3597" t="str">
            <v/>
          </cell>
        </row>
        <row r="3598">
          <cell r="B3598" t="str">
            <v/>
          </cell>
        </row>
        <row r="3599">
          <cell r="B3599" t="str">
            <v/>
          </cell>
        </row>
        <row r="3600">
          <cell r="B3600" t="str">
            <v/>
          </cell>
        </row>
        <row r="3601">
          <cell r="B3601" t="str">
            <v/>
          </cell>
        </row>
        <row r="3602">
          <cell r="B3602" t="str">
            <v/>
          </cell>
        </row>
        <row r="3603">
          <cell r="B3603" t="str">
            <v/>
          </cell>
        </row>
        <row r="3604">
          <cell r="B3604" t="str">
            <v/>
          </cell>
        </row>
        <row r="3605">
          <cell r="B3605" t="str">
            <v/>
          </cell>
        </row>
        <row r="3606">
          <cell r="B3606" t="str">
            <v/>
          </cell>
        </row>
        <row r="3607">
          <cell r="B3607" t="str">
            <v/>
          </cell>
        </row>
        <row r="3608">
          <cell r="B3608" t="str">
            <v/>
          </cell>
        </row>
        <row r="3609">
          <cell r="B3609" t="str">
            <v/>
          </cell>
        </row>
        <row r="3610">
          <cell r="B3610" t="str">
            <v/>
          </cell>
        </row>
        <row r="3611">
          <cell r="B3611" t="str">
            <v/>
          </cell>
        </row>
        <row r="3612">
          <cell r="B3612" t="str">
            <v/>
          </cell>
        </row>
        <row r="3613">
          <cell r="B3613" t="str">
            <v/>
          </cell>
        </row>
        <row r="3614">
          <cell r="B3614" t="str">
            <v/>
          </cell>
        </row>
        <row r="3615">
          <cell r="B3615" t="str">
            <v/>
          </cell>
        </row>
        <row r="3616">
          <cell r="B3616" t="str">
            <v/>
          </cell>
        </row>
        <row r="3617">
          <cell r="B3617" t="str">
            <v/>
          </cell>
        </row>
        <row r="3618">
          <cell r="B3618" t="str">
            <v/>
          </cell>
        </row>
        <row r="3619">
          <cell r="B3619" t="str">
            <v/>
          </cell>
        </row>
        <row r="3620">
          <cell r="B3620" t="str">
            <v/>
          </cell>
        </row>
        <row r="3621">
          <cell r="B3621" t="str">
            <v/>
          </cell>
        </row>
        <row r="3622">
          <cell r="B3622" t="str">
            <v/>
          </cell>
        </row>
        <row r="3623">
          <cell r="B3623" t="str">
            <v/>
          </cell>
        </row>
        <row r="3624">
          <cell r="B3624" t="str">
            <v/>
          </cell>
        </row>
        <row r="3625">
          <cell r="B3625" t="str">
            <v/>
          </cell>
        </row>
        <row r="3626">
          <cell r="B3626" t="str">
            <v/>
          </cell>
        </row>
        <row r="3627">
          <cell r="B3627" t="str">
            <v/>
          </cell>
        </row>
        <row r="3628">
          <cell r="B3628" t="str">
            <v/>
          </cell>
        </row>
        <row r="3629">
          <cell r="B3629" t="str">
            <v/>
          </cell>
        </row>
        <row r="3630">
          <cell r="B3630" t="str">
            <v/>
          </cell>
        </row>
        <row r="3631">
          <cell r="B3631" t="str">
            <v/>
          </cell>
        </row>
        <row r="3632">
          <cell r="B3632" t="str">
            <v/>
          </cell>
        </row>
        <row r="3633">
          <cell r="B3633" t="str">
            <v/>
          </cell>
        </row>
        <row r="3634">
          <cell r="B3634" t="str">
            <v/>
          </cell>
        </row>
        <row r="3635">
          <cell r="B3635" t="str">
            <v/>
          </cell>
        </row>
        <row r="3636">
          <cell r="B3636" t="str">
            <v/>
          </cell>
        </row>
        <row r="3637">
          <cell r="B3637" t="str">
            <v/>
          </cell>
        </row>
        <row r="3638">
          <cell r="B3638" t="str">
            <v/>
          </cell>
        </row>
        <row r="3639">
          <cell r="B3639" t="str">
            <v/>
          </cell>
        </row>
        <row r="3640">
          <cell r="B3640" t="str">
            <v/>
          </cell>
        </row>
        <row r="3641">
          <cell r="B3641" t="str">
            <v/>
          </cell>
        </row>
        <row r="3642">
          <cell r="B3642" t="str">
            <v/>
          </cell>
        </row>
        <row r="3643">
          <cell r="B3643" t="str">
            <v/>
          </cell>
        </row>
        <row r="3644">
          <cell r="B3644" t="str">
            <v/>
          </cell>
        </row>
        <row r="3645">
          <cell r="B3645" t="str">
            <v/>
          </cell>
        </row>
        <row r="3646">
          <cell r="B3646" t="str">
            <v/>
          </cell>
        </row>
        <row r="3647">
          <cell r="B3647" t="str">
            <v/>
          </cell>
        </row>
        <row r="3648">
          <cell r="B3648" t="str">
            <v/>
          </cell>
        </row>
        <row r="3649">
          <cell r="B3649" t="str">
            <v/>
          </cell>
        </row>
        <row r="3650">
          <cell r="B3650" t="str">
            <v/>
          </cell>
        </row>
        <row r="3651">
          <cell r="B3651" t="str">
            <v/>
          </cell>
        </row>
        <row r="3652">
          <cell r="B3652" t="str">
            <v/>
          </cell>
          <cell r="D3652">
            <v>0</v>
          </cell>
        </row>
        <row r="3653">
          <cell r="B3653" t="str">
            <v/>
          </cell>
        </row>
        <row r="3654">
          <cell r="B3654" t="str">
            <v/>
          </cell>
        </row>
        <row r="3655">
          <cell r="B3655" t="str">
            <v/>
          </cell>
        </row>
        <row r="3656">
          <cell r="B3656" t="str">
            <v/>
          </cell>
        </row>
        <row r="3657">
          <cell r="B3657" t="str">
            <v/>
          </cell>
        </row>
        <row r="3658">
          <cell r="B3658" t="str">
            <v/>
          </cell>
        </row>
        <row r="3659">
          <cell r="B3659" t="str">
            <v/>
          </cell>
        </row>
        <row r="3660">
          <cell r="B3660" t="str">
            <v/>
          </cell>
        </row>
        <row r="3661">
          <cell r="B3661" t="str">
            <v/>
          </cell>
        </row>
        <row r="3662">
          <cell r="B3662" t="str">
            <v/>
          </cell>
        </row>
        <row r="3663">
          <cell r="B3663" t="str">
            <v/>
          </cell>
        </row>
        <row r="3664">
          <cell r="B3664" t="str">
            <v/>
          </cell>
        </row>
        <row r="3665">
          <cell r="B3665" t="str">
            <v/>
          </cell>
        </row>
        <row r="3666">
          <cell r="B3666" t="str">
            <v/>
          </cell>
        </row>
        <row r="3667">
          <cell r="B3667" t="str">
            <v/>
          </cell>
        </row>
        <row r="3668">
          <cell r="B3668" t="str">
            <v/>
          </cell>
        </row>
        <row r="3669">
          <cell r="B3669" t="str">
            <v/>
          </cell>
        </row>
        <row r="3670">
          <cell r="B3670" t="str">
            <v/>
          </cell>
        </row>
        <row r="3671">
          <cell r="B3671" t="str">
            <v/>
          </cell>
        </row>
        <row r="3672">
          <cell r="B3672" t="str">
            <v/>
          </cell>
        </row>
        <row r="3673">
          <cell r="B3673" t="str">
            <v/>
          </cell>
        </row>
        <row r="3674">
          <cell r="B3674" t="str">
            <v/>
          </cell>
        </row>
        <row r="3675">
          <cell r="B3675" t="str">
            <v/>
          </cell>
        </row>
        <row r="3676">
          <cell r="B3676" t="str">
            <v/>
          </cell>
        </row>
        <row r="3677">
          <cell r="B3677" t="str">
            <v/>
          </cell>
        </row>
        <row r="3678">
          <cell r="B3678" t="str">
            <v/>
          </cell>
        </row>
        <row r="3679">
          <cell r="B3679" t="str">
            <v/>
          </cell>
        </row>
        <row r="3680">
          <cell r="B3680" t="str">
            <v/>
          </cell>
        </row>
        <row r="3681">
          <cell r="B3681" t="str">
            <v/>
          </cell>
        </row>
        <row r="3682">
          <cell r="B3682" t="str">
            <v/>
          </cell>
        </row>
        <row r="3683">
          <cell r="B3683" t="str">
            <v/>
          </cell>
        </row>
        <row r="3684">
          <cell r="B3684" t="str">
            <v/>
          </cell>
        </row>
        <row r="3685">
          <cell r="B3685" t="str">
            <v/>
          </cell>
        </row>
        <row r="3686">
          <cell r="B3686" t="str">
            <v/>
          </cell>
        </row>
        <row r="3687">
          <cell r="B3687" t="str">
            <v/>
          </cell>
        </row>
        <row r="3688">
          <cell r="B3688" t="str">
            <v/>
          </cell>
        </row>
        <row r="3689">
          <cell r="B3689" t="str">
            <v/>
          </cell>
        </row>
        <row r="3690">
          <cell r="B3690" t="str">
            <v/>
          </cell>
        </row>
        <row r="3691">
          <cell r="B3691" t="str">
            <v/>
          </cell>
        </row>
        <row r="3692">
          <cell r="B3692" t="str">
            <v/>
          </cell>
          <cell r="D3692">
            <v>0</v>
          </cell>
        </row>
        <row r="3693">
          <cell r="B3693" t="str">
            <v/>
          </cell>
        </row>
        <row r="3694">
          <cell r="B3694" t="str">
            <v/>
          </cell>
        </row>
        <row r="3695">
          <cell r="B3695" t="str">
            <v/>
          </cell>
        </row>
        <row r="3696">
          <cell r="B3696" t="str">
            <v/>
          </cell>
        </row>
        <row r="3697">
          <cell r="B3697" t="str">
            <v/>
          </cell>
        </row>
        <row r="3698">
          <cell r="B3698" t="str">
            <v/>
          </cell>
        </row>
        <row r="3699">
          <cell r="B3699" t="str">
            <v/>
          </cell>
        </row>
        <row r="3700">
          <cell r="B3700" t="str">
            <v/>
          </cell>
        </row>
        <row r="3701">
          <cell r="B3701" t="str">
            <v/>
          </cell>
        </row>
        <row r="3702">
          <cell r="B3702" t="str">
            <v/>
          </cell>
        </row>
        <row r="3703">
          <cell r="B3703" t="str">
            <v/>
          </cell>
        </row>
        <row r="3704">
          <cell r="B3704" t="str">
            <v/>
          </cell>
        </row>
        <row r="3705">
          <cell r="B3705" t="str">
            <v/>
          </cell>
        </row>
        <row r="3706">
          <cell r="B3706" t="str">
            <v/>
          </cell>
        </row>
        <row r="3707">
          <cell r="B3707" t="str">
            <v/>
          </cell>
        </row>
        <row r="3708">
          <cell r="B3708" t="str">
            <v/>
          </cell>
        </row>
        <row r="3709">
          <cell r="B3709" t="str">
            <v/>
          </cell>
        </row>
        <row r="3710">
          <cell r="B3710" t="str">
            <v/>
          </cell>
        </row>
        <row r="3711">
          <cell r="B3711" t="str">
            <v/>
          </cell>
        </row>
        <row r="3712">
          <cell r="B3712" t="str">
            <v/>
          </cell>
        </row>
        <row r="3713">
          <cell r="B3713" t="str">
            <v/>
          </cell>
        </row>
        <row r="3714">
          <cell r="B3714" t="str">
            <v/>
          </cell>
        </row>
        <row r="3715">
          <cell r="B3715" t="str">
            <v/>
          </cell>
        </row>
        <row r="3716">
          <cell r="B3716" t="str">
            <v/>
          </cell>
        </row>
        <row r="3717">
          <cell r="B3717" t="str">
            <v/>
          </cell>
        </row>
        <row r="3718">
          <cell r="B3718" t="str">
            <v/>
          </cell>
        </row>
        <row r="3719">
          <cell r="B3719" t="str">
            <v/>
          </cell>
        </row>
        <row r="3720">
          <cell r="B3720" t="str">
            <v/>
          </cell>
        </row>
        <row r="3721">
          <cell r="B3721" t="str">
            <v/>
          </cell>
        </row>
        <row r="3722">
          <cell r="B3722" t="str">
            <v/>
          </cell>
        </row>
        <row r="3723">
          <cell r="B3723" t="str">
            <v/>
          </cell>
        </row>
        <row r="3724">
          <cell r="B3724" t="str">
            <v/>
          </cell>
        </row>
        <row r="3725">
          <cell r="B3725" t="str">
            <v/>
          </cell>
        </row>
        <row r="3726">
          <cell r="B3726" t="str">
            <v/>
          </cell>
        </row>
        <row r="3727">
          <cell r="B3727" t="str">
            <v/>
          </cell>
        </row>
        <row r="3728">
          <cell r="B3728" t="str">
            <v/>
          </cell>
        </row>
        <row r="3729">
          <cell r="B3729" t="str">
            <v/>
          </cell>
        </row>
        <row r="3730">
          <cell r="B3730" t="str">
            <v/>
          </cell>
        </row>
        <row r="3731">
          <cell r="B3731" t="str">
            <v/>
          </cell>
        </row>
        <row r="3732">
          <cell r="B3732" t="str">
            <v/>
          </cell>
        </row>
        <row r="3733">
          <cell r="B3733" t="str">
            <v/>
          </cell>
        </row>
        <row r="3734">
          <cell r="B3734" t="str">
            <v/>
          </cell>
        </row>
        <row r="3735">
          <cell r="B3735" t="str">
            <v/>
          </cell>
        </row>
        <row r="3736">
          <cell r="B3736" t="str">
            <v/>
          </cell>
        </row>
        <row r="3737">
          <cell r="B3737" t="str">
            <v/>
          </cell>
        </row>
        <row r="3738">
          <cell r="B3738" t="str">
            <v/>
          </cell>
        </row>
        <row r="3739">
          <cell r="B3739" t="str">
            <v/>
          </cell>
        </row>
        <row r="3740">
          <cell r="B3740" t="str">
            <v/>
          </cell>
        </row>
        <row r="3741">
          <cell r="B3741" t="str">
            <v/>
          </cell>
        </row>
        <row r="3742">
          <cell r="B3742" t="str">
            <v/>
          </cell>
        </row>
        <row r="3743">
          <cell r="B3743" t="str">
            <v/>
          </cell>
        </row>
        <row r="3744">
          <cell r="B3744" t="str">
            <v/>
          </cell>
        </row>
        <row r="3745">
          <cell r="B3745" t="str">
            <v/>
          </cell>
        </row>
        <row r="3746">
          <cell r="B3746" t="str">
            <v/>
          </cell>
        </row>
        <row r="3747">
          <cell r="B3747" t="str">
            <v/>
          </cell>
        </row>
        <row r="3748">
          <cell r="B3748" t="str">
            <v/>
          </cell>
        </row>
        <row r="3749">
          <cell r="B3749" t="str">
            <v/>
          </cell>
        </row>
        <row r="3750">
          <cell r="B3750" t="str">
            <v/>
          </cell>
        </row>
        <row r="3751">
          <cell r="B3751" t="str">
            <v/>
          </cell>
        </row>
        <row r="3752">
          <cell r="B3752" t="str">
            <v/>
          </cell>
        </row>
        <row r="3753">
          <cell r="B3753" t="str">
            <v/>
          </cell>
        </row>
        <row r="3754">
          <cell r="B3754" t="str">
            <v/>
          </cell>
        </row>
        <row r="3755">
          <cell r="B3755" t="str">
            <v/>
          </cell>
        </row>
        <row r="3756">
          <cell r="B3756" t="str">
            <v/>
          </cell>
        </row>
        <row r="3757">
          <cell r="B3757" t="str">
            <v/>
          </cell>
        </row>
        <row r="3758">
          <cell r="B3758" t="str">
            <v/>
          </cell>
        </row>
        <row r="3759">
          <cell r="B3759" t="str">
            <v/>
          </cell>
        </row>
        <row r="3760">
          <cell r="B3760" t="str">
            <v/>
          </cell>
        </row>
        <row r="3761">
          <cell r="B3761" t="str">
            <v/>
          </cell>
        </row>
        <row r="3762">
          <cell r="B3762" t="str">
            <v/>
          </cell>
        </row>
        <row r="3763">
          <cell r="B3763" t="str">
            <v/>
          </cell>
        </row>
        <row r="3764">
          <cell r="B3764" t="str">
            <v/>
          </cell>
        </row>
        <row r="3765">
          <cell r="B3765" t="str">
            <v/>
          </cell>
        </row>
        <row r="3766">
          <cell r="B3766" t="str">
            <v/>
          </cell>
        </row>
        <row r="3767">
          <cell r="B3767" t="str">
            <v/>
          </cell>
        </row>
        <row r="3768">
          <cell r="B3768" t="str">
            <v/>
          </cell>
        </row>
        <row r="3769">
          <cell r="B3769" t="str">
            <v/>
          </cell>
        </row>
        <row r="3770">
          <cell r="B3770" t="str">
            <v/>
          </cell>
        </row>
        <row r="3771">
          <cell r="B3771" t="str">
            <v/>
          </cell>
        </row>
        <row r="3772">
          <cell r="B3772" t="str">
            <v/>
          </cell>
        </row>
        <row r="3773">
          <cell r="B3773" t="str">
            <v/>
          </cell>
        </row>
        <row r="3774">
          <cell r="B3774" t="str">
            <v/>
          </cell>
        </row>
        <row r="3775">
          <cell r="B3775" t="str">
            <v/>
          </cell>
        </row>
        <row r="3776">
          <cell r="B3776" t="str">
            <v/>
          </cell>
        </row>
        <row r="3777">
          <cell r="B3777" t="str">
            <v/>
          </cell>
        </row>
        <row r="3778">
          <cell r="B3778" t="str">
            <v/>
          </cell>
        </row>
        <row r="3779">
          <cell r="B3779" t="str">
            <v/>
          </cell>
        </row>
        <row r="3780">
          <cell r="B3780" t="str">
            <v/>
          </cell>
        </row>
        <row r="3781">
          <cell r="B3781" t="str">
            <v/>
          </cell>
        </row>
        <row r="3782">
          <cell r="B3782" t="str">
            <v/>
          </cell>
        </row>
        <row r="3783">
          <cell r="B3783" t="str">
            <v/>
          </cell>
        </row>
        <row r="3784">
          <cell r="B3784" t="str">
            <v/>
          </cell>
        </row>
        <row r="3785">
          <cell r="B3785" t="str">
            <v/>
          </cell>
        </row>
        <row r="3786">
          <cell r="B3786" t="str">
            <v/>
          </cell>
        </row>
        <row r="3787">
          <cell r="B3787" t="str">
            <v/>
          </cell>
        </row>
        <row r="3788">
          <cell r="B3788" t="str">
            <v/>
          </cell>
        </row>
        <row r="3789">
          <cell r="B3789" t="str">
            <v/>
          </cell>
        </row>
        <row r="3790">
          <cell r="B3790" t="str">
            <v/>
          </cell>
        </row>
        <row r="3791">
          <cell r="B3791" t="str">
            <v/>
          </cell>
        </row>
        <row r="3792">
          <cell r="B3792" t="str">
            <v/>
          </cell>
        </row>
        <row r="3793">
          <cell r="B3793" t="str">
            <v/>
          </cell>
        </row>
        <row r="3794">
          <cell r="B3794" t="str">
            <v/>
          </cell>
        </row>
        <row r="3795">
          <cell r="B3795" t="str">
            <v/>
          </cell>
        </row>
        <row r="3796">
          <cell r="B3796" t="str">
            <v/>
          </cell>
        </row>
        <row r="3797">
          <cell r="B3797" t="str">
            <v/>
          </cell>
        </row>
        <row r="3798">
          <cell r="B3798" t="str">
            <v/>
          </cell>
        </row>
        <row r="3799">
          <cell r="B3799" t="str">
            <v/>
          </cell>
        </row>
        <row r="3800">
          <cell r="B3800" t="str">
            <v/>
          </cell>
        </row>
        <row r="3801">
          <cell r="B3801" t="str">
            <v/>
          </cell>
        </row>
        <row r="3802">
          <cell r="B3802" t="str">
            <v/>
          </cell>
        </row>
        <row r="3803">
          <cell r="B3803" t="str">
            <v/>
          </cell>
        </row>
        <row r="3804">
          <cell r="B3804" t="str">
            <v/>
          </cell>
        </row>
        <row r="3805">
          <cell r="B3805" t="str">
            <v/>
          </cell>
        </row>
        <row r="3806">
          <cell r="B3806" t="str">
            <v/>
          </cell>
        </row>
        <row r="3807">
          <cell r="B3807" t="str">
            <v/>
          </cell>
        </row>
        <row r="3808">
          <cell r="B3808" t="str">
            <v/>
          </cell>
        </row>
        <row r="3809">
          <cell r="B3809" t="str">
            <v/>
          </cell>
        </row>
        <row r="3810">
          <cell r="B3810" t="str">
            <v/>
          </cell>
        </row>
        <row r="3811">
          <cell r="B3811" t="str">
            <v/>
          </cell>
        </row>
        <row r="3812">
          <cell r="B3812" t="str">
            <v/>
          </cell>
        </row>
        <row r="3813">
          <cell r="B3813" t="str">
            <v/>
          </cell>
        </row>
        <row r="3814">
          <cell r="B3814" t="str">
            <v/>
          </cell>
        </row>
        <row r="3815">
          <cell r="B3815" t="str">
            <v/>
          </cell>
        </row>
        <row r="3816">
          <cell r="B3816" t="str">
            <v/>
          </cell>
        </row>
        <row r="3817">
          <cell r="B3817" t="str">
            <v/>
          </cell>
        </row>
        <row r="3818">
          <cell r="B3818" t="str">
            <v/>
          </cell>
        </row>
        <row r="3819">
          <cell r="B3819" t="str">
            <v/>
          </cell>
        </row>
        <row r="3820">
          <cell r="B3820" t="str">
            <v/>
          </cell>
        </row>
        <row r="3821">
          <cell r="B3821" t="str">
            <v/>
          </cell>
        </row>
        <row r="3822">
          <cell r="B3822" t="str">
            <v/>
          </cell>
        </row>
        <row r="3823">
          <cell r="B3823" t="str">
            <v/>
          </cell>
        </row>
        <row r="3824">
          <cell r="B3824" t="str">
            <v/>
          </cell>
        </row>
        <row r="3825">
          <cell r="B3825" t="str">
            <v/>
          </cell>
        </row>
        <row r="3826">
          <cell r="B3826" t="str">
            <v/>
          </cell>
        </row>
        <row r="3827">
          <cell r="B3827" t="str">
            <v/>
          </cell>
        </row>
        <row r="3828">
          <cell r="B3828" t="str">
            <v/>
          </cell>
        </row>
        <row r="3829">
          <cell r="B3829" t="str">
            <v/>
          </cell>
        </row>
        <row r="3830">
          <cell r="B3830" t="str">
            <v/>
          </cell>
        </row>
        <row r="3831">
          <cell r="B3831" t="str">
            <v/>
          </cell>
        </row>
        <row r="3832">
          <cell r="B3832" t="str">
            <v/>
          </cell>
        </row>
        <row r="3833">
          <cell r="B3833" t="str">
            <v/>
          </cell>
        </row>
        <row r="3834">
          <cell r="B3834" t="str">
            <v/>
          </cell>
        </row>
        <row r="3835">
          <cell r="B3835" t="str">
            <v/>
          </cell>
        </row>
        <row r="3836">
          <cell r="B3836" t="str">
            <v/>
          </cell>
        </row>
        <row r="3837">
          <cell r="B3837" t="str">
            <v/>
          </cell>
        </row>
        <row r="3838">
          <cell r="B3838" t="str">
            <v/>
          </cell>
        </row>
        <row r="3839">
          <cell r="B3839" t="str">
            <v/>
          </cell>
        </row>
        <row r="3840">
          <cell r="B3840" t="str">
            <v/>
          </cell>
        </row>
        <row r="3841">
          <cell r="B3841" t="str">
            <v/>
          </cell>
        </row>
        <row r="3842">
          <cell r="B3842" t="str">
            <v/>
          </cell>
        </row>
        <row r="3843">
          <cell r="B3843" t="str">
            <v/>
          </cell>
        </row>
        <row r="3844">
          <cell r="B3844" t="str">
            <v/>
          </cell>
        </row>
        <row r="3845">
          <cell r="B3845" t="str">
            <v/>
          </cell>
        </row>
        <row r="3846">
          <cell r="B3846" t="str">
            <v/>
          </cell>
        </row>
        <row r="3847">
          <cell r="B3847" t="str">
            <v/>
          </cell>
        </row>
        <row r="3848">
          <cell r="B3848" t="str">
            <v/>
          </cell>
        </row>
        <row r="3849">
          <cell r="B3849" t="str">
            <v/>
          </cell>
        </row>
        <row r="3850">
          <cell r="B3850" t="str">
            <v/>
          </cell>
        </row>
        <row r="3851">
          <cell r="B3851" t="str">
            <v/>
          </cell>
        </row>
        <row r="3852">
          <cell r="B3852" t="str">
            <v/>
          </cell>
        </row>
        <row r="3853">
          <cell r="B3853" t="str">
            <v/>
          </cell>
        </row>
        <row r="3854">
          <cell r="B3854" t="str">
            <v/>
          </cell>
        </row>
        <row r="3855">
          <cell r="B3855" t="str">
            <v/>
          </cell>
        </row>
        <row r="3856">
          <cell r="B3856" t="str">
            <v/>
          </cell>
        </row>
        <row r="3857">
          <cell r="B3857" t="str">
            <v/>
          </cell>
        </row>
        <row r="3858">
          <cell r="B3858" t="str">
            <v/>
          </cell>
        </row>
        <row r="3859">
          <cell r="B3859" t="str">
            <v/>
          </cell>
        </row>
        <row r="3860">
          <cell r="B3860" t="str">
            <v/>
          </cell>
        </row>
        <row r="3861">
          <cell r="B3861" t="str">
            <v/>
          </cell>
        </row>
        <row r="3862">
          <cell r="B3862" t="str">
            <v/>
          </cell>
        </row>
        <row r="3863">
          <cell r="B3863" t="str">
            <v/>
          </cell>
        </row>
        <row r="3864">
          <cell r="B3864" t="str">
            <v/>
          </cell>
          <cell r="D3864">
            <v>0</v>
          </cell>
        </row>
        <row r="3865">
          <cell r="B3865" t="str">
            <v/>
          </cell>
        </row>
        <row r="3866">
          <cell r="B3866" t="str">
            <v/>
          </cell>
        </row>
        <row r="3867">
          <cell r="B3867" t="str">
            <v/>
          </cell>
        </row>
        <row r="3868">
          <cell r="B3868" t="str">
            <v/>
          </cell>
        </row>
        <row r="3869">
          <cell r="B3869" t="str">
            <v/>
          </cell>
        </row>
        <row r="3870">
          <cell r="B3870" t="str">
            <v/>
          </cell>
        </row>
        <row r="3871">
          <cell r="B3871" t="str">
            <v/>
          </cell>
        </row>
        <row r="3872">
          <cell r="B3872" t="str">
            <v/>
          </cell>
        </row>
        <row r="3873">
          <cell r="B3873" t="str">
            <v/>
          </cell>
        </row>
        <row r="3874">
          <cell r="B3874" t="str">
            <v/>
          </cell>
        </row>
        <row r="3875">
          <cell r="B3875" t="str">
            <v/>
          </cell>
        </row>
        <row r="3876">
          <cell r="B3876" t="str">
            <v/>
          </cell>
        </row>
        <row r="3877">
          <cell r="B3877" t="str">
            <v/>
          </cell>
        </row>
        <row r="3878">
          <cell r="B3878" t="str">
            <v/>
          </cell>
        </row>
        <row r="3879">
          <cell r="B3879" t="str">
            <v/>
          </cell>
        </row>
        <row r="3880">
          <cell r="B3880" t="str">
            <v/>
          </cell>
        </row>
        <row r="3881">
          <cell r="B3881" t="str">
            <v/>
          </cell>
        </row>
        <row r="3882">
          <cell r="B3882" t="str">
            <v/>
          </cell>
        </row>
        <row r="3883">
          <cell r="B3883" t="str">
            <v/>
          </cell>
        </row>
        <row r="3884">
          <cell r="B3884" t="str">
            <v/>
          </cell>
        </row>
        <row r="3885">
          <cell r="B3885" t="str">
            <v/>
          </cell>
        </row>
        <row r="3886">
          <cell r="B3886" t="str">
            <v/>
          </cell>
        </row>
        <row r="3887">
          <cell r="B3887" t="str">
            <v/>
          </cell>
        </row>
        <row r="3888">
          <cell r="B3888" t="str">
            <v/>
          </cell>
        </row>
        <row r="3889">
          <cell r="B3889" t="str">
            <v/>
          </cell>
        </row>
        <row r="3890">
          <cell r="B3890" t="str">
            <v/>
          </cell>
        </row>
        <row r="3891">
          <cell r="B3891" t="str">
            <v/>
          </cell>
        </row>
        <row r="3892">
          <cell r="B3892" t="str">
            <v/>
          </cell>
        </row>
        <row r="3893">
          <cell r="B3893" t="str">
            <v/>
          </cell>
        </row>
        <row r="3894">
          <cell r="B3894" t="str">
            <v/>
          </cell>
        </row>
        <row r="3895">
          <cell r="B3895" t="str">
            <v/>
          </cell>
        </row>
        <row r="3896">
          <cell r="B3896" t="str">
            <v/>
          </cell>
        </row>
        <row r="3897">
          <cell r="B3897" t="str">
            <v/>
          </cell>
        </row>
        <row r="3898">
          <cell r="B3898" t="str">
            <v/>
          </cell>
        </row>
        <row r="3899">
          <cell r="B3899" t="str">
            <v/>
          </cell>
        </row>
        <row r="3900">
          <cell r="B3900" t="str">
            <v/>
          </cell>
        </row>
        <row r="3901">
          <cell r="B3901" t="str">
            <v/>
          </cell>
        </row>
        <row r="3902">
          <cell r="B3902" t="str">
            <v/>
          </cell>
        </row>
        <row r="3903">
          <cell r="B3903" t="str">
            <v/>
          </cell>
        </row>
        <row r="3904">
          <cell r="B3904" t="str">
            <v/>
          </cell>
        </row>
        <row r="3905">
          <cell r="B3905" t="str">
            <v/>
          </cell>
        </row>
        <row r="3906">
          <cell r="B3906" t="str">
            <v/>
          </cell>
        </row>
        <row r="3907">
          <cell r="B3907" t="str">
            <v/>
          </cell>
        </row>
        <row r="3908">
          <cell r="B3908" t="str">
            <v/>
          </cell>
        </row>
        <row r="3909">
          <cell r="B3909" t="str">
            <v/>
          </cell>
        </row>
        <row r="3910">
          <cell r="B3910" t="str">
            <v/>
          </cell>
        </row>
        <row r="3911">
          <cell r="B3911" t="str">
            <v/>
          </cell>
        </row>
        <row r="3912">
          <cell r="B3912" t="str">
            <v/>
          </cell>
        </row>
        <row r="3913">
          <cell r="B3913" t="str">
            <v/>
          </cell>
        </row>
        <row r="3914">
          <cell r="B3914" t="str">
            <v/>
          </cell>
        </row>
        <row r="3915">
          <cell r="B3915" t="str">
            <v/>
          </cell>
        </row>
        <row r="3916">
          <cell r="B3916" t="str">
            <v/>
          </cell>
        </row>
        <row r="3917">
          <cell r="B3917" t="str">
            <v/>
          </cell>
        </row>
        <row r="3918">
          <cell r="B3918" t="str">
            <v/>
          </cell>
        </row>
        <row r="3919">
          <cell r="B3919" t="str">
            <v/>
          </cell>
        </row>
        <row r="3920">
          <cell r="B3920" t="str">
            <v/>
          </cell>
        </row>
        <row r="3921">
          <cell r="B3921" t="str">
            <v/>
          </cell>
        </row>
        <row r="3922">
          <cell r="B3922" t="str">
            <v/>
          </cell>
        </row>
        <row r="3923">
          <cell r="B3923" t="str">
            <v/>
          </cell>
        </row>
        <row r="3924">
          <cell r="B3924" t="str">
            <v/>
          </cell>
        </row>
        <row r="3925">
          <cell r="B3925" t="str">
            <v/>
          </cell>
        </row>
        <row r="3926">
          <cell r="B3926" t="str">
            <v/>
          </cell>
        </row>
        <row r="3927">
          <cell r="B3927" t="str">
            <v/>
          </cell>
        </row>
        <row r="3928">
          <cell r="B3928" t="str">
            <v/>
          </cell>
        </row>
        <row r="3929">
          <cell r="B3929" t="str">
            <v/>
          </cell>
        </row>
        <row r="3930">
          <cell r="B3930" t="str">
            <v/>
          </cell>
        </row>
        <row r="3931">
          <cell r="B3931" t="str">
            <v/>
          </cell>
        </row>
        <row r="3932">
          <cell r="B3932" t="str">
            <v/>
          </cell>
        </row>
        <row r="3933">
          <cell r="B3933" t="str">
            <v/>
          </cell>
        </row>
        <row r="3934">
          <cell r="B3934" t="str">
            <v/>
          </cell>
        </row>
        <row r="3935">
          <cell r="B3935" t="str">
            <v/>
          </cell>
        </row>
        <row r="3936">
          <cell r="B3936" t="str">
            <v/>
          </cell>
        </row>
        <row r="3937">
          <cell r="B3937" t="str">
            <v/>
          </cell>
        </row>
        <row r="3938">
          <cell r="B3938" t="str">
            <v/>
          </cell>
        </row>
        <row r="3939">
          <cell r="B3939" t="str">
            <v/>
          </cell>
        </row>
        <row r="3940">
          <cell r="B3940" t="str">
            <v/>
          </cell>
        </row>
        <row r="3941">
          <cell r="B3941" t="str">
            <v/>
          </cell>
        </row>
        <row r="3942">
          <cell r="B3942" t="str">
            <v/>
          </cell>
        </row>
        <row r="3943">
          <cell r="B3943" t="str">
            <v/>
          </cell>
        </row>
        <row r="3944">
          <cell r="B3944" t="str">
            <v/>
          </cell>
        </row>
        <row r="3945">
          <cell r="B3945" t="str">
            <v/>
          </cell>
        </row>
        <row r="3946">
          <cell r="B3946" t="str">
            <v/>
          </cell>
        </row>
        <row r="3947">
          <cell r="B3947" t="str">
            <v/>
          </cell>
        </row>
        <row r="3948">
          <cell r="B3948" t="str">
            <v/>
          </cell>
        </row>
        <row r="3949">
          <cell r="B3949" t="str">
            <v/>
          </cell>
        </row>
        <row r="3950">
          <cell r="B3950" t="str">
            <v/>
          </cell>
        </row>
        <row r="3951">
          <cell r="B3951" t="str">
            <v/>
          </cell>
        </row>
        <row r="3952">
          <cell r="B3952" t="str">
            <v/>
          </cell>
        </row>
        <row r="3953">
          <cell r="B3953" t="str">
            <v/>
          </cell>
        </row>
        <row r="3954">
          <cell r="B3954" t="str">
            <v/>
          </cell>
        </row>
        <row r="3955">
          <cell r="B3955" t="str">
            <v/>
          </cell>
        </row>
        <row r="3956">
          <cell r="B3956" t="str">
            <v/>
          </cell>
        </row>
        <row r="3957">
          <cell r="B3957" t="str">
            <v/>
          </cell>
        </row>
        <row r="3958">
          <cell r="B3958" t="str">
            <v/>
          </cell>
          <cell r="D3958">
            <v>0</v>
          </cell>
        </row>
        <row r="3959">
          <cell r="B3959" t="str">
            <v/>
          </cell>
        </row>
        <row r="3960">
          <cell r="B3960" t="str">
            <v/>
          </cell>
        </row>
        <row r="3961">
          <cell r="B3961" t="str">
            <v/>
          </cell>
        </row>
        <row r="3962">
          <cell r="B3962" t="str">
            <v/>
          </cell>
        </row>
        <row r="3963">
          <cell r="B3963" t="str">
            <v/>
          </cell>
        </row>
        <row r="3964">
          <cell r="B3964" t="str">
            <v/>
          </cell>
        </row>
        <row r="3965">
          <cell r="B3965" t="str">
            <v/>
          </cell>
        </row>
        <row r="3966">
          <cell r="B3966" t="str">
            <v/>
          </cell>
        </row>
        <row r="3967">
          <cell r="B3967" t="str">
            <v/>
          </cell>
        </row>
        <row r="3968">
          <cell r="B3968" t="str">
            <v/>
          </cell>
        </row>
        <row r="3969">
          <cell r="B3969" t="str">
            <v/>
          </cell>
        </row>
        <row r="3970">
          <cell r="B3970" t="str">
            <v/>
          </cell>
        </row>
        <row r="3971">
          <cell r="B3971" t="str">
            <v/>
          </cell>
        </row>
        <row r="3972">
          <cell r="B3972" t="str">
            <v/>
          </cell>
        </row>
        <row r="3973">
          <cell r="B3973" t="str">
            <v/>
          </cell>
        </row>
        <row r="3974">
          <cell r="B3974" t="str">
            <v/>
          </cell>
        </row>
        <row r="3975">
          <cell r="B3975" t="str">
            <v/>
          </cell>
        </row>
        <row r="3976">
          <cell r="B3976" t="str">
            <v/>
          </cell>
        </row>
        <row r="3977">
          <cell r="B3977" t="str">
            <v/>
          </cell>
        </row>
        <row r="3978">
          <cell r="B3978" t="str">
            <v/>
          </cell>
        </row>
        <row r="3979">
          <cell r="B3979" t="str">
            <v/>
          </cell>
        </row>
        <row r="3980">
          <cell r="B3980" t="str">
            <v/>
          </cell>
        </row>
        <row r="3981">
          <cell r="B3981" t="str">
            <v/>
          </cell>
        </row>
        <row r="3982">
          <cell r="B3982" t="str">
            <v/>
          </cell>
        </row>
        <row r="3983">
          <cell r="B3983" t="str">
            <v/>
          </cell>
        </row>
        <row r="3984">
          <cell r="B3984" t="str">
            <v/>
          </cell>
        </row>
        <row r="3985">
          <cell r="B3985" t="str">
            <v/>
          </cell>
        </row>
        <row r="3986">
          <cell r="B3986" t="str">
            <v/>
          </cell>
        </row>
        <row r="3987">
          <cell r="B3987" t="str">
            <v/>
          </cell>
        </row>
        <row r="3988">
          <cell r="B3988" t="str">
            <v/>
          </cell>
        </row>
        <row r="3989">
          <cell r="B3989" t="str">
            <v/>
          </cell>
        </row>
        <row r="3990">
          <cell r="B3990" t="str">
            <v/>
          </cell>
        </row>
        <row r="3991">
          <cell r="B3991" t="str">
            <v/>
          </cell>
        </row>
        <row r="3992">
          <cell r="B3992" t="str">
            <v/>
          </cell>
        </row>
        <row r="3993">
          <cell r="B3993" t="str">
            <v/>
          </cell>
        </row>
        <row r="3994">
          <cell r="B3994" t="str">
            <v/>
          </cell>
        </row>
        <row r="3995">
          <cell r="B3995" t="str">
            <v/>
          </cell>
        </row>
        <row r="3996">
          <cell r="B3996" t="str">
            <v/>
          </cell>
        </row>
        <row r="3997">
          <cell r="B3997" t="str">
            <v/>
          </cell>
        </row>
        <row r="3998">
          <cell r="B3998" t="str">
            <v/>
          </cell>
        </row>
        <row r="3999">
          <cell r="B3999" t="str">
            <v/>
          </cell>
        </row>
        <row r="4000">
          <cell r="B4000" t="str">
            <v/>
          </cell>
        </row>
        <row r="4001">
          <cell r="B4001" t="str">
            <v/>
          </cell>
        </row>
        <row r="4002">
          <cell r="B4002" t="str">
            <v/>
          </cell>
        </row>
        <row r="4003">
          <cell r="B4003" t="str">
            <v/>
          </cell>
        </row>
        <row r="4004">
          <cell r="B4004" t="str">
            <v/>
          </cell>
        </row>
        <row r="4005">
          <cell r="B4005" t="str">
            <v/>
          </cell>
        </row>
        <row r="4006">
          <cell r="B4006" t="str">
            <v/>
          </cell>
        </row>
        <row r="4007">
          <cell r="B4007" t="str">
            <v/>
          </cell>
        </row>
        <row r="4008">
          <cell r="B4008" t="str">
            <v/>
          </cell>
        </row>
        <row r="4009">
          <cell r="B4009" t="str">
            <v/>
          </cell>
        </row>
        <row r="4010">
          <cell r="B4010" t="str">
            <v/>
          </cell>
        </row>
        <row r="4011">
          <cell r="B4011" t="str">
            <v/>
          </cell>
        </row>
        <row r="4012">
          <cell r="B4012" t="str">
            <v/>
          </cell>
        </row>
        <row r="4013">
          <cell r="B4013" t="str">
            <v/>
          </cell>
        </row>
        <row r="4014">
          <cell r="B4014" t="str">
            <v/>
          </cell>
        </row>
        <row r="4015">
          <cell r="B4015" t="str">
            <v/>
          </cell>
        </row>
        <row r="4016">
          <cell r="B4016" t="str">
            <v/>
          </cell>
        </row>
        <row r="4017">
          <cell r="B4017" t="str">
            <v/>
          </cell>
        </row>
        <row r="4018">
          <cell r="B4018" t="str">
            <v/>
          </cell>
        </row>
        <row r="4019">
          <cell r="B4019" t="str">
            <v/>
          </cell>
        </row>
        <row r="4020">
          <cell r="B4020" t="str">
            <v/>
          </cell>
        </row>
        <row r="4021">
          <cell r="B4021" t="str">
            <v/>
          </cell>
        </row>
        <row r="4022">
          <cell r="B4022" t="str">
            <v/>
          </cell>
        </row>
        <row r="4023">
          <cell r="B4023" t="str">
            <v/>
          </cell>
        </row>
        <row r="4024">
          <cell r="B4024" t="str">
            <v/>
          </cell>
        </row>
        <row r="4025">
          <cell r="B4025" t="str">
            <v/>
          </cell>
        </row>
        <row r="4026">
          <cell r="B4026" t="str">
            <v/>
          </cell>
        </row>
        <row r="4027">
          <cell r="B4027" t="str">
            <v/>
          </cell>
        </row>
        <row r="4028">
          <cell r="B4028" t="str">
            <v/>
          </cell>
        </row>
        <row r="4029">
          <cell r="B4029" t="str">
            <v/>
          </cell>
        </row>
        <row r="4030">
          <cell r="B4030" t="str">
            <v/>
          </cell>
        </row>
        <row r="4031">
          <cell r="B4031" t="str">
            <v/>
          </cell>
        </row>
        <row r="4032">
          <cell r="B4032" t="str">
            <v/>
          </cell>
        </row>
        <row r="4033">
          <cell r="B4033" t="str">
            <v/>
          </cell>
        </row>
        <row r="4034">
          <cell r="B4034" t="str">
            <v/>
          </cell>
        </row>
        <row r="4035">
          <cell r="B4035" t="str">
            <v/>
          </cell>
        </row>
        <row r="4036">
          <cell r="B4036" t="str">
            <v/>
          </cell>
        </row>
        <row r="4037">
          <cell r="B4037" t="str">
            <v/>
          </cell>
        </row>
        <row r="4038">
          <cell r="B4038" t="str">
            <v/>
          </cell>
        </row>
        <row r="4039">
          <cell r="B4039" t="str">
            <v/>
          </cell>
        </row>
        <row r="4040">
          <cell r="B4040" t="str">
            <v/>
          </cell>
        </row>
        <row r="4041">
          <cell r="B4041" t="str">
            <v/>
          </cell>
        </row>
        <row r="4042">
          <cell r="B4042" t="str">
            <v/>
          </cell>
        </row>
        <row r="4043">
          <cell r="B4043" t="str">
            <v/>
          </cell>
        </row>
        <row r="4044">
          <cell r="B4044" t="str">
            <v/>
          </cell>
        </row>
        <row r="4045">
          <cell r="B4045" t="str">
            <v/>
          </cell>
        </row>
        <row r="4046">
          <cell r="B4046" t="str">
            <v/>
          </cell>
        </row>
        <row r="4047">
          <cell r="B4047" t="str">
            <v/>
          </cell>
        </row>
        <row r="4048">
          <cell r="B4048" t="str">
            <v/>
          </cell>
        </row>
        <row r="4049">
          <cell r="B4049" t="str">
            <v/>
          </cell>
        </row>
        <row r="4050">
          <cell r="B4050" t="str">
            <v/>
          </cell>
        </row>
        <row r="4051">
          <cell r="B4051" t="str">
            <v/>
          </cell>
        </row>
        <row r="4052">
          <cell r="B4052" t="str">
            <v/>
          </cell>
        </row>
        <row r="4053">
          <cell r="B4053" t="str">
            <v/>
          </cell>
        </row>
        <row r="4054">
          <cell r="B4054" t="str">
            <v/>
          </cell>
        </row>
        <row r="4055">
          <cell r="B4055" t="str">
            <v/>
          </cell>
        </row>
        <row r="4056">
          <cell r="B4056" t="str">
            <v/>
          </cell>
        </row>
        <row r="4057">
          <cell r="B4057" t="str">
            <v/>
          </cell>
        </row>
        <row r="4058">
          <cell r="B4058" t="str">
            <v/>
          </cell>
        </row>
        <row r="4059">
          <cell r="B4059" t="str">
            <v/>
          </cell>
        </row>
        <row r="4060">
          <cell r="B4060" t="str">
            <v/>
          </cell>
        </row>
        <row r="4061">
          <cell r="B4061" t="str">
            <v/>
          </cell>
        </row>
        <row r="4062">
          <cell r="B4062" t="str">
            <v/>
          </cell>
        </row>
        <row r="4063">
          <cell r="B4063" t="str">
            <v/>
          </cell>
        </row>
        <row r="4064">
          <cell r="B4064" t="str">
            <v/>
          </cell>
        </row>
        <row r="4065">
          <cell r="B4065" t="str">
            <v/>
          </cell>
        </row>
        <row r="4066">
          <cell r="B4066" t="str">
            <v/>
          </cell>
        </row>
        <row r="4067">
          <cell r="B4067" t="str">
            <v/>
          </cell>
          <cell r="E4067" t="str">
            <v/>
          </cell>
        </row>
        <row r="4068">
          <cell r="B4068" t="str">
            <v/>
          </cell>
        </row>
        <row r="4069">
          <cell r="B4069" t="str">
            <v/>
          </cell>
        </row>
        <row r="4070">
          <cell r="B4070" t="str">
            <v/>
          </cell>
        </row>
        <row r="4071">
          <cell r="B4071" t="str">
            <v/>
          </cell>
        </row>
        <row r="4072">
          <cell r="B4072" t="str">
            <v/>
          </cell>
        </row>
        <row r="4073">
          <cell r="B4073" t="str">
            <v/>
          </cell>
        </row>
        <row r="4074">
          <cell r="B4074" t="str">
            <v/>
          </cell>
        </row>
        <row r="4075">
          <cell r="B4075" t="str">
            <v/>
          </cell>
        </row>
        <row r="4076">
          <cell r="B4076" t="str">
            <v/>
          </cell>
        </row>
        <row r="4077">
          <cell r="B4077" t="str">
            <v/>
          </cell>
        </row>
        <row r="4078">
          <cell r="B4078" t="str">
            <v/>
          </cell>
        </row>
        <row r="4079">
          <cell r="B4079" t="str">
            <v/>
          </cell>
        </row>
        <row r="4080">
          <cell r="B4080" t="str">
            <v/>
          </cell>
        </row>
        <row r="4081">
          <cell r="B4081" t="str">
            <v/>
          </cell>
        </row>
        <row r="4082">
          <cell r="B4082" t="str">
            <v/>
          </cell>
        </row>
        <row r="4083">
          <cell r="B4083" t="str">
            <v/>
          </cell>
        </row>
        <row r="4084">
          <cell r="B4084" t="str">
            <v/>
          </cell>
        </row>
        <row r="4085">
          <cell r="B4085" t="str">
            <v/>
          </cell>
        </row>
        <row r="4086">
          <cell r="B4086" t="str">
            <v/>
          </cell>
        </row>
        <row r="4087">
          <cell r="B4087" t="str">
            <v/>
          </cell>
        </row>
        <row r="4088">
          <cell r="B4088" t="str">
            <v/>
          </cell>
        </row>
        <row r="4089">
          <cell r="B4089" t="str">
            <v/>
          </cell>
        </row>
        <row r="4090">
          <cell r="B4090" t="str">
            <v/>
          </cell>
        </row>
        <row r="4091">
          <cell r="B4091" t="str">
            <v/>
          </cell>
        </row>
        <row r="4092">
          <cell r="B4092" t="str">
            <v/>
          </cell>
        </row>
        <row r="4093">
          <cell r="B4093" t="str">
            <v/>
          </cell>
        </row>
        <row r="4094">
          <cell r="B4094" t="str">
            <v/>
          </cell>
        </row>
        <row r="4095">
          <cell r="B4095" t="str">
            <v/>
          </cell>
        </row>
        <row r="4096">
          <cell r="B4096" t="str">
            <v/>
          </cell>
        </row>
        <row r="4097">
          <cell r="B4097" t="str">
            <v/>
          </cell>
        </row>
        <row r="4098">
          <cell r="B4098" t="str">
            <v/>
          </cell>
        </row>
        <row r="4099">
          <cell r="B4099" t="str">
            <v/>
          </cell>
        </row>
        <row r="4100">
          <cell r="B4100" t="str">
            <v/>
          </cell>
        </row>
        <row r="4101">
          <cell r="B4101" t="str">
            <v/>
          </cell>
        </row>
        <row r="4102">
          <cell r="B4102" t="str">
            <v/>
          </cell>
        </row>
        <row r="4103">
          <cell r="B4103" t="str">
            <v/>
          </cell>
        </row>
        <row r="4104">
          <cell r="B4104" t="str">
            <v/>
          </cell>
        </row>
        <row r="4105">
          <cell r="B4105" t="str">
            <v/>
          </cell>
        </row>
        <row r="4106">
          <cell r="B4106" t="str">
            <v/>
          </cell>
        </row>
        <row r="4107">
          <cell r="B4107" t="str">
            <v/>
          </cell>
        </row>
        <row r="4108">
          <cell r="B4108" t="str">
            <v/>
          </cell>
        </row>
        <row r="4109">
          <cell r="B4109" t="str">
            <v/>
          </cell>
        </row>
        <row r="4110">
          <cell r="B4110" t="str">
            <v/>
          </cell>
        </row>
        <row r="4111">
          <cell r="B4111" t="str">
            <v/>
          </cell>
        </row>
        <row r="4112">
          <cell r="B4112" t="str">
            <v/>
          </cell>
        </row>
        <row r="4113">
          <cell r="B4113" t="str">
            <v/>
          </cell>
        </row>
        <row r="4114">
          <cell r="B4114" t="str">
            <v/>
          </cell>
        </row>
        <row r="4115">
          <cell r="B4115" t="str">
            <v/>
          </cell>
        </row>
        <row r="4116">
          <cell r="B4116" t="str">
            <v/>
          </cell>
        </row>
        <row r="4117">
          <cell r="B4117" t="str">
            <v/>
          </cell>
        </row>
        <row r="4118">
          <cell r="B4118" t="str">
            <v/>
          </cell>
        </row>
        <row r="4119">
          <cell r="B4119" t="str">
            <v/>
          </cell>
        </row>
        <row r="4120">
          <cell r="B4120" t="str">
            <v/>
          </cell>
        </row>
        <row r="4121">
          <cell r="B4121" t="str">
            <v/>
          </cell>
        </row>
        <row r="4122">
          <cell r="B4122" t="str">
            <v/>
          </cell>
        </row>
        <row r="4123">
          <cell r="B4123" t="str">
            <v/>
          </cell>
        </row>
        <row r="4124">
          <cell r="B4124" t="str">
            <v/>
          </cell>
        </row>
        <row r="4125">
          <cell r="B4125" t="str">
            <v/>
          </cell>
        </row>
        <row r="4126">
          <cell r="B4126" t="str">
            <v/>
          </cell>
        </row>
        <row r="4127">
          <cell r="B4127" t="str">
            <v/>
          </cell>
        </row>
        <row r="4128">
          <cell r="B4128" t="str">
            <v/>
          </cell>
        </row>
        <row r="4129">
          <cell r="B4129" t="str">
            <v/>
          </cell>
        </row>
        <row r="4130">
          <cell r="B4130" t="str">
            <v/>
          </cell>
        </row>
        <row r="4131">
          <cell r="B4131" t="str">
            <v/>
          </cell>
        </row>
        <row r="4132">
          <cell r="B4132" t="str">
            <v/>
          </cell>
        </row>
        <row r="4133">
          <cell r="B4133" t="str">
            <v/>
          </cell>
        </row>
        <row r="4134">
          <cell r="B4134" t="str">
            <v/>
          </cell>
        </row>
        <row r="4135">
          <cell r="B4135" t="str">
            <v/>
          </cell>
        </row>
        <row r="4136">
          <cell r="B4136" t="str">
            <v/>
          </cell>
        </row>
        <row r="4137">
          <cell r="B4137" t="str">
            <v/>
          </cell>
        </row>
        <row r="4138">
          <cell r="B4138" t="str">
            <v/>
          </cell>
        </row>
        <row r="4139">
          <cell r="B4139" t="str">
            <v/>
          </cell>
        </row>
        <row r="4140">
          <cell r="B4140" t="str">
            <v/>
          </cell>
        </row>
        <row r="4141">
          <cell r="B4141" t="str">
            <v/>
          </cell>
        </row>
        <row r="4142">
          <cell r="B4142" t="str">
            <v/>
          </cell>
        </row>
        <row r="4143">
          <cell r="B4143" t="str">
            <v/>
          </cell>
        </row>
        <row r="4144">
          <cell r="B4144" t="str">
            <v/>
          </cell>
        </row>
        <row r="4145">
          <cell r="B4145" t="str">
            <v/>
          </cell>
        </row>
        <row r="4146">
          <cell r="B4146" t="str">
            <v/>
          </cell>
        </row>
        <row r="4147">
          <cell r="B4147" t="str">
            <v/>
          </cell>
        </row>
        <row r="4148">
          <cell r="B4148" t="str">
            <v/>
          </cell>
        </row>
        <row r="4149">
          <cell r="B4149" t="str">
            <v/>
          </cell>
        </row>
        <row r="4150">
          <cell r="B4150" t="str">
            <v/>
          </cell>
        </row>
        <row r="4151">
          <cell r="B4151" t="str">
            <v/>
          </cell>
        </row>
        <row r="4152">
          <cell r="B4152" t="str">
            <v/>
          </cell>
        </row>
        <row r="4153">
          <cell r="B4153" t="str">
            <v/>
          </cell>
        </row>
        <row r="4154">
          <cell r="B4154" t="str">
            <v/>
          </cell>
        </row>
        <row r="4155">
          <cell r="B4155" t="str">
            <v/>
          </cell>
        </row>
        <row r="4156">
          <cell r="B4156" t="str">
            <v/>
          </cell>
        </row>
        <row r="4157">
          <cell r="B4157" t="str">
            <v/>
          </cell>
        </row>
        <row r="4158">
          <cell r="B4158" t="str">
            <v/>
          </cell>
        </row>
        <row r="4159">
          <cell r="B4159" t="str">
            <v/>
          </cell>
        </row>
        <row r="4160">
          <cell r="B4160" t="str">
            <v/>
          </cell>
        </row>
        <row r="4161">
          <cell r="B4161" t="str">
            <v/>
          </cell>
        </row>
        <row r="4162">
          <cell r="B4162" t="str">
            <v/>
          </cell>
        </row>
        <row r="4163">
          <cell r="B4163" t="str">
            <v/>
          </cell>
        </row>
        <row r="4164">
          <cell r="B4164" t="str">
            <v/>
          </cell>
        </row>
        <row r="4165">
          <cell r="B4165" t="str">
            <v/>
          </cell>
        </row>
        <row r="4166">
          <cell r="B4166" t="str">
            <v/>
          </cell>
        </row>
        <row r="4167">
          <cell r="B4167" t="str">
            <v/>
          </cell>
        </row>
        <row r="4168">
          <cell r="B4168" t="str">
            <v/>
          </cell>
        </row>
        <row r="4169">
          <cell r="B4169" t="str">
            <v/>
          </cell>
        </row>
        <row r="4170">
          <cell r="B4170" t="str">
            <v/>
          </cell>
        </row>
        <row r="4171">
          <cell r="B4171" t="str">
            <v/>
          </cell>
        </row>
        <row r="4172">
          <cell r="B4172" t="str">
            <v/>
          </cell>
        </row>
        <row r="4173">
          <cell r="B4173" t="str">
            <v/>
          </cell>
        </row>
        <row r="4174">
          <cell r="B4174" t="str">
            <v/>
          </cell>
        </row>
        <row r="4175">
          <cell r="B4175" t="str">
            <v/>
          </cell>
        </row>
        <row r="4176">
          <cell r="B4176" t="str">
            <v/>
          </cell>
        </row>
        <row r="4177">
          <cell r="B4177" t="str">
            <v/>
          </cell>
        </row>
        <row r="4178">
          <cell r="B4178" t="str">
            <v/>
          </cell>
        </row>
        <row r="4179">
          <cell r="B4179" t="str">
            <v/>
          </cell>
        </row>
        <row r="4180">
          <cell r="B4180" t="str">
            <v/>
          </cell>
        </row>
        <row r="4181">
          <cell r="B4181" t="str">
            <v/>
          </cell>
        </row>
        <row r="4182">
          <cell r="B4182" t="str">
            <v/>
          </cell>
        </row>
        <row r="4183">
          <cell r="B4183" t="str">
            <v/>
          </cell>
        </row>
        <row r="4184">
          <cell r="B4184" t="str">
            <v/>
          </cell>
        </row>
        <row r="4185">
          <cell r="B4185" t="str">
            <v/>
          </cell>
        </row>
        <row r="4186">
          <cell r="B4186" t="str">
            <v/>
          </cell>
        </row>
        <row r="4187">
          <cell r="B4187" t="str">
            <v/>
          </cell>
        </row>
        <row r="4188">
          <cell r="B4188" t="str">
            <v/>
          </cell>
        </row>
        <row r="4189">
          <cell r="B4189" t="str">
            <v/>
          </cell>
        </row>
        <row r="4190">
          <cell r="B4190" t="str">
            <v/>
          </cell>
        </row>
        <row r="4191">
          <cell r="B4191" t="str">
            <v/>
          </cell>
        </row>
        <row r="4192">
          <cell r="B4192" t="str">
            <v/>
          </cell>
        </row>
        <row r="4193">
          <cell r="B4193" t="str">
            <v/>
          </cell>
        </row>
        <row r="4194">
          <cell r="B4194" t="str">
            <v/>
          </cell>
        </row>
        <row r="4195">
          <cell r="B4195" t="str">
            <v/>
          </cell>
        </row>
        <row r="4196">
          <cell r="B4196" t="str">
            <v/>
          </cell>
        </row>
        <row r="4197">
          <cell r="B4197" t="str">
            <v/>
          </cell>
        </row>
        <row r="4198">
          <cell r="B4198" t="str">
            <v/>
          </cell>
        </row>
        <row r="4199">
          <cell r="B4199" t="str">
            <v/>
          </cell>
        </row>
        <row r="4200">
          <cell r="B4200" t="str">
            <v/>
          </cell>
        </row>
        <row r="4201">
          <cell r="B4201" t="str">
            <v/>
          </cell>
        </row>
        <row r="4202">
          <cell r="B4202" t="str">
            <v/>
          </cell>
        </row>
        <row r="4203">
          <cell r="B4203" t="str">
            <v/>
          </cell>
        </row>
        <row r="4204">
          <cell r="B4204" t="str">
            <v/>
          </cell>
        </row>
        <row r="4205">
          <cell r="B4205" t="str">
            <v/>
          </cell>
        </row>
        <row r="4206">
          <cell r="B4206" t="str">
            <v/>
          </cell>
        </row>
        <row r="4207">
          <cell r="B4207" t="str">
            <v/>
          </cell>
        </row>
        <row r="4208">
          <cell r="B4208" t="str">
            <v/>
          </cell>
        </row>
        <row r="4209">
          <cell r="B4209" t="str">
            <v/>
          </cell>
        </row>
        <row r="4210">
          <cell r="B4210" t="str">
            <v/>
          </cell>
        </row>
        <row r="4211">
          <cell r="B4211" t="str">
            <v/>
          </cell>
        </row>
        <row r="4212">
          <cell r="B4212" t="str">
            <v/>
          </cell>
        </row>
        <row r="4213">
          <cell r="B4213" t="str">
            <v/>
          </cell>
        </row>
        <row r="4214">
          <cell r="B4214" t="str">
            <v/>
          </cell>
        </row>
        <row r="4215">
          <cell r="B4215" t="str">
            <v/>
          </cell>
        </row>
        <row r="4216">
          <cell r="B4216" t="str">
            <v/>
          </cell>
        </row>
        <row r="4217">
          <cell r="B4217" t="str">
            <v/>
          </cell>
        </row>
        <row r="4218">
          <cell r="B4218" t="str">
            <v/>
          </cell>
        </row>
        <row r="4219">
          <cell r="B4219" t="str">
            <v/>
          </cell>
        </row>
        <row r="4220">
          <cell r="B4220" t="str">
            <v/>
          </cell>
        </row>
        <row r="4221">
          <cell r="B4221" t="str">
            <v/>
          </cell>
        </row>
        <row r="4222">
          <cell r="B4222" t="str">
            <v/>
          </cell>
        </row>
        <row r="4223">
          <cell r="B4223" t="str">
            <v/>
          </cell>
        </row>
        <row r="4224">
          <cell r="B4224" t="str">
            <v/>
          </cell>
        </row>
        <row r="4225">
          <cell r="B4225" t="str">
            <v/>
          </cell>
        </row>
        <row r="4226">
          <cell r="B4226" t="str">
            <v/>
          </cell>
        </row>
        <row r="4227">
          <cell r="B4227" t="str">
            <v/>
          </cell>
        </row>
        <row r="4228">
          <cell r="B4228" t="str">
            <v/>
          </cell>
        </row>
        <row r="4229">
          <cell r="B4229" t="str">
            <v/>
          </cell>
        </row>
        <row r="4230">
          <cell r="B4230" t="str">
            <v/>
          </cell>
        </row>
        <row r="4231">
          <cell r="B4231" t="str">
            <v/>
          </cell>
        </row>
        <row r="4232">
          <cell r="B4232" t="str">
            <v/>
          </cell>
        </row>
        <row r="4233">
          <cell r="B4233" t="str">
            <v/>
          </cell>
        </row>
        <row r="4234">
          <cell r="B4234" t="str">
            <v/>
          </cell>
        </row>
        <row r="4235">
          <cell r="B4235" t="str">
            <v/>
          </cell>
        </row>
        <row r="4236">
          <cell r="B4236" t="str">
            <v/>
          </cell>
        </row>
        <row r="4237">
          <cell r="B4237" t="str">
            <v/>
          </cell>
        </row>
        <row r="4238">
          <cell r="B4238" t="str">
            <v/>
          </cell>
        </row>
        <row r="4239">
          <cell r="B4239" t="str">
            <v/>
          </cell>
        </row>
        <row r="4240">
          <cell r="B4240" t="str">
            <v/>
          </cell>
        </row>
        <row r="4241">
          <cell r="B4241" t="str">
            <v/>
          </cell>
        </row>
        <row r="4242">
          <cell r="B4242" t="str">
            <v/>
          </cell>
        </row>
        <row r="4243">
          <cell r="B4243" t="str">
            <v/>
          </cell>
        </row>
        <row r="4244">
          <cell r="B4244" t="str">
            <v/>
          </cell>
        </row>
        <row r="4245">
          <cell r="B4245" t="str">
            <v/>
          </cell>
        </row>
        <row r="4246">
          <cell r="B4246" t="str">
            <v/>
          </cell>
        </row>
        <row r="4247">
          <cell r="B4247" t="str">
            <v/>
          </cell>
        </row>
        <row r="4248">
          <cell r="B4248" t="str">
            <v/>
          </cell>
        </row>
        <row r="4249">
          <cell r="B4249" t="str">
            <v/>
          </cell>
        </row>
        <row r="4250">
          <cell r="B4250" t="str">
            <v/>
          </cell>
        </row>
        <row r="4251">
          <cell r="B4251" t="str">
            <v/>
          </cell>
        </row>
        <row r="4252">
          <cell r="B4252" t="str">
            <v/>
          </cell>
        </row>
        <row r="4253">
          <cell r="B4253" t="str">
            <v/>
          </cell>
        </row>
        <row r="4254">
          <cell r="B4254" t="str">
            <v/>
          </cell>
        </row>
        <row r="4255">
          <cell r="B4255" t="str">
            <v/>
          </cell>
        </row>
        <row r="4256">
          <cell r="B4256" t="str">
            <v/>
          </cell>
        </row>
        <row r="4257">
          <cell r="B4257" t="str">
            <v/>
          </cell>
        </row>
        <row r="4258">
          <cell r="B4258" t="str">
            <v/>
          </cell>
        </row>
        <row r="4259">
          <cell r="B4259" t="str">
            <v/>
          </cell>
        </row>
        <row r="4260">
          <cell r="B4260" t="str">
            <v/>
          </cell>
        </row>
        <row r="4261">
          <cell r="B4261" t="str">
            <v/>
          </cell>
        </row>
        <row r="4262">
          <cell r="B4262" t="str">
            <v/>
          </cell>
        </row>
        <row r="4263">
          <cell r="B4263" t="str">
            <v/>
          </cell>
        </row>
        <row r="4264">
          <cell r="B4264" t="str">
            <v/>
          </cell>
        </row>
        <row r="4265">
          <cell r="B4265" t="str">
            <v/>
          </cell>
        </row>
        <row r="4266">
          <cell r="B4266" t="str">
            <v/>
          </cell>
        </row>
        <row r="4267">
          <cell r="B4267" t="str">
            <v/>
          </cell>
        </row>
        <row r="4268">
          <cell r="B4268" t="str">
            <v/>
          </cell>
        </row>
        <row r="4269">
          <cell r="B4269" t="str">
            <v/>
          </cell>
        </row>
        <row r="4270">
          <cell r="B4270" t="str">
            <v/>
          </cell>
        </row>
        <row r="4271">
          <cell r="B4271" t="str">
            <v/>
          </cell>
        </row>
        <row r="4272">
          <cell r="B4272" t="str">
            <v/>
          </cell>
        </row>
        <row r="4273">
          <cell r="B4273" t="str">
            <v/>
          </cell>
        </row>
        <row r="4274">
          <cell r="B4274" t="str">
            <v/>
          </cell>
        </row>
        <row r="4275">
          <cell r="B4275" t="str">
            <v/>
          </cell>
        </row>
        <row r="4276">
          <cell r="B4276" t="str">
            <v/>
          </cell>
        </row>
        <row r="4277">
          <cell r="B4277" t="str">
            <v/>
          </cell>
        </row>
        <row r="4278">
          <cell r="B4278" t="str">
            <v/>
          </cell>
        </row>
        <row r="4279">
          <cell r="B4279" t="str">
            <v/>
          </cell>
        </row>
        <row r="4280">
          <cell r="B4280" t="str">
            <v/>
          </cell>
        </row>
        <row r="4281">
          <cell r="B4281" t="str">
            <v/>
          </cell>
        </row>
        <row r="4282">
          <cell r="B4282" t="str">
            <v/>
          </cell>
        </row>
        <row r="4283">
          <cell r="B4283" t="str">
            <v/>
          </cell>
        </row>
        <row r="4284">
          <cell r="B4284" t="str">
            <v/>
          </cell>
        </row>
        <row r="4285">
          <cell r="B4285" t="str">
            <v/>
          </cell>
        </row>
        <row r="4286">
          <cell r="B4286" t="str">
            <v/>
          </cell>
        </row>
        <row r="4287">
          <cell r="B4287" t="str">
            <v/>
          </cell>
        </row>
        <row r="4288">
          <cell r="B4288" t="str">
            <v/>
          </cell>
        </row>
        <row r="4289">
          <cell r="B4289" t="str">
            <v/>
          </cell>
        </row>
        <row r="4290">
          <cell r="B4290" t="str">
            <v/>
          </cell>
        </row>
        <row r="4291">
          <cell r="B4291" t="str">
            <v/>
          </cell>
        </row>
        <row r="4292">
          <cell r="B4292" t="str">
            <v/>
          </cell>
        </row>
        <row r="4293">
          <cell r="B4293" t="str">
            <v/>
          </cell>
        </row>
        <row r="4294">
          <cell r="B4294" t="str">
            <v/>
          </cell>
        </row>
        <row r="4295">
          <cell r="B4295" t="str">
            <v/>
          </cell>
        </row>
        <row r="4296">
          <cell r="B4296" t="str">
            <v/>
          </cell>
        </row>
        <row r="4297">
          <cell r="B4297" t="str">
            <v/>
          </cell>
        </row>
        <row r="4298">
          <cell r="B4298" t="str">
            <v/>
          </cell>
        </row>
        <row r="4299">
          <cell r="B4299" t="str">
            <v/>
          </cell>
        </row>
        <row r="4300">
          <cell r="B4300" t="str">
            <v/>
          </cell>
        </row>
        <row r="4301">
          <cell r="B4301" t="str">
            <v/>
          </cell>
        </row>
        <row r="4302">
          <cell r="B4302" t="str">
            <v/>
          </cell>
        </row>
        <row r="4303">
          <cell r="B4303" t="str">
            <v/>
          </cell>
        </row>
        <row r="4304">
          <cell r="B4304" t="str">
            <v/>
          </cell>
          <cell r="D4304">
            <v>-1</v>
          </cell>
        </row>
        <row r="4305">
          <cell r="B4305" t="str">
            <v/>
          </cell>
        </row>
        <row r="4306">
          <cell r="B4306" t="str">
            <v/>
          </cell>
        </row>
        <row r="4307">
          <cell r="B4307" t="str">
            <v/>
          </cell>
        </row>
        <row r="4308">
          <cell r="B4308" t="str">
            <v/>
          </cell>
        </row>
        <row r="4309">
          <cell r="B4309" t="str">
            <v/>
          </cell>
        </row>
        <row r="4310">
          <cell r="B4310" t="str">
            <v/>
          </cell>
        </row>
        <row r="4311">
          <cell r="B4311" t="str">
            <v/>
          </cell>
        </row>
        <row r="4312">
          <cell r="B4312" t="str">
            <v/>
          </cell>
        </row>
        <row r="4313">
          <cell r="B4313" t="str">
            <v/>
          </cell>
        </row>
        <row r="4314">
          <cell r="B4314" t="str">
            <v/>
          </cell>
        </row>
        <row r="4315">
          <cell r="B4315" t="str">
            <v/>
          </cell>
        </row>
        <row r="4316">
          <cell r="B4316" t="str">
            <v/>
          </cell>
        </row>
        <row r="4317">
          <cell r="B4317" t="str">
            <v/>
          </cell>
        </row>
        <row r="4318">
          <cell r="B4318" t="str">
            <v/>
          </cell>
        </row>
        <row r="4319">
          <cell r="B4319" t="str">
            <v/>
          </cell>
        </row>
        <row r="4320">
          <cell r="B4320" t="str">
            <v/>
          </cell>
        </row>
        <row r="4321">
          <cell r="B4321" t="str">
            <v/>
          </cell>
        </row>
        <row r="4322">
          <cell r="B4322" t="str">
            <v/>
          </cell>
        </row>
        <row r="4323">
          <cell r="B4323" t="str">
            <v/>
          </cell>
        </row>
        <row r="4324">
          <cell r="B4324" t="str">
            <v/>
          </cell>
        </row>
        <row r="4325">
          <cell r="B4325" t="str">
            <v/>
          </cell>
        </row>
        <row r="4326">
          <cell r="B4326" t="str">
            <v/>
          </cell>
        </row>
        <row r="4327">
          <cell r="B4327" t="str">
            <v/>
          </cell>
        </row>
        <row r="4328">
          <cell r="B4328" t="str">
            <v/>
          </cell>
        </row>
        <row r="4329">
          <cell r="B4329" t="str">
            <v/>
          </cell>
        </row>
        <row r="4330">
          <cell r="B4330" t="str">
            <v/>
          </cell>
        </row>
        <row r="4331">
          <cell r="B4331" t="str">
            <v/>
          </cell>
        </row>
        <row r="4332">
          <cell r="B4332" t="str">
            <v/>
          </cell>
        </row>
        <row r="4333">
          <cell r="B4333" t="str">
            <v/>
          </cell>
        </row>
        <row r="4334">
          <cell r="B4334" t="str">
            <v/>
          </cell>
        </row>
        <row r="4335">
          <cell r="B4335" t="str">
            <v/>
          </cell>
        </row>
        <row r="4336">
          <cell r="B4336" t="str">
            <v/>
          </cell>
        </row>
        <row r="4337">
          <cell r="B4337" t="str">
            <v/>
          </cell>
        </row>
        <row r="4338">
          <cell r="B4338" t="str">
            <v/>
          </cell>
        </row>
        <row r="4339">
          <cell r="B4339" t="str">
            <v/>
          </cell>
        </row>
        <row r="4340">
          <cell r="B4340" t="str">
            <v/>
          </cell>
        </row>
        <row r="4341">
          <cell r="B4341" t="str">
            <v/>
          </cell>
        </row>
        <row r="4342">
          <cell r="B4342" t="str">
            <v/>
          </cell>
        </row>
        <row r="4343">
          <cell r="B4343" t="str">
            <v/>
          </cell>
        </row>
        <row r="4344">
          <cell r="B4344" t="str">
            <v/>
          </cell>
        </row>
        <row r="4345">
          <cell r="B4345" t="str">
            <v/>
          </cell>
        </row>
        <row r="4346">
          <cell r="B4346" t="str">
            <v/>
          </cell>
        </row>
        <row r="4347">
          <cell r="B4347" t="str">
            <v/>
          </cell>
        </row>
        <row r="4348">
          <cell r="B4348" t="str">
            <v/>
          </cell>
        </row>
        <row r="4349">
          <cell r="B4349" t="str">
            <v/>
          </cell>
        </row>
        <row r="4350">
          <cell r="B4350" t="str">
            <v/>
          </cell>
        </row>
        <row r="4351">
          <cell r="B4351" t="str">
            <v/>
          </cell>
        </row>
        <row r="4352">
          <cell r="B4352" t="str">
            <v/>
          </cell>
        </row>
        <row r="4353">
          <cell r="B4353" t="str">
            <v/>
          </cell>
        </row>
        <row r="4354">
          <cell r="B4354" t="str">
            <v/>
          </cell>
        </row>
        <row r="4355">
          <cell r="B4355" t="str">
            <v/>
          </cell>
        </row>
        <row r="4356">
          <cell r="B4356" t="str">
            <v/>
          </cell>
        </row>
        <row r="4357">
          <cell r="B4357" t="str">
            <v/>
          </cell>
        </row>
        <row r="4358">
          <cell r="B4358" t="str">
            <v/>
          </cell>
        </row>
        <row r="4359">
          <cell r="B4359" t="str">
            <v/>
          </cell>
        </row>
        <row r="4360">
          <cell r="B4360" t="str">
            <v/>
          </cell>
        </row>
        <row r="4361">
          <cell r="B4361" t="str">
            <v/>
          </cell>
        </row>
        <row r="4362">
          <cell r="B4362" t="str">
            <v/>
          </cell>
        </row>
        <row r="4363">
          <cell r="B4363" t="str">
            <v/>
          </cell>
        </row>
        <row r="4364">
          <cell r="B4364" t="str">
            <v/>
          </cell>
        </row>
        <row r="4365">
          <cell r="B4365" t="str">
            <v/>
          </cell>
        </row>
        <row r="4366">
          <cell r="B4366" t="str">
            <v/>
          </cell>
        </row>
        <row r="4367">
          <cell r="B4367" t="str">
            <v/>
          </cell>
        </row>
        <row r="4368">
          <cell r="B4368" t="str">
            <v/>
          </cell>
          <cell r="D4368">
            <v>0</v>
          </cell>
        </row>
        <row r="4369">
          <cell r="B4369" t="str">
            <v/>
          </cell>
        </row>
        <row r="4370">
          <cell r="B4370" t="str">
            <v/>
          </cell>
        </row>
        <row r="4371">
          <cell r="B4371" t="str">
            <v/>
          </cell>
        </row>
        <row r="4372">
          <cell r="B4372" t="str">
            <v/>
          </cell>
        </row>
        <row r="4373">
          <cell r="B4373" t="str">
            <v/>
          </cell>
        </row>
        <row r="4374">
          <cell r="B4374" t="str">
            <v/>
          </cell>
        </row>
        <row r="4375">
          <cell r="B4375" t="str">
            <v/>
          </cell>
        </row>
        <row r="4376">
          <cell r="B4376" t="str">
            <v/>
          </cell>
        </row>
        <row r="4377">
          <cell r="B4377" t="str">
            <v/>
          </cell>
        </row>
        <row r="4378">
          <cell r="B4378" t="str">
            <v/>
          </cell>
        </row>
        <row r="4379">
          <cell r="B4379" t="str">
            <v/>
          </cell>
        </row>
        <row r="4380">
          <cell r="B4380" t="str">
            <v/>
          </cell>
        </row>
        <row r="4381">
          <cell r="B4381" t="str">
            <v/>
          </cell>
        </row>
        <row r="4382">
          <cell r="B4382" t="str">
            <v/>
          </cell>
        </row>
        <row r="4383">
          <cell r="B4383" t="str">
            <v/>
          </cell>
        </row>
        <row r="4384">
          <cell r="B4384" t="str">
            <v/>
          </cell>
        </row>
        <row r="4385">
          <cell r="B4385" t="str">
            <v/>
          </cell>
        </row>
        <row r="4386">
          <cell r="B4386" t="str">
            <v/>
          </cell>
        </row>
        <row r="4387">
          <cell r="B4387" t="str">
            <v/>
          </cell>
        </row>
        <row r="4388">
          <cell r="B4388" t="str">
            <v/>
          </cell>
        </row>
        <row r="4389">
          <cell r="B4389" t="str">
            <v/>
          </cell>
        </row>
        <row r="4390">
          <cell r="B4390" t="str">
            <v/>
          </cell>
        </row>
        <row r="4391">
          <cell r="B4391" t="str">
            <v/>
          </cell>
        </row>
        <row r="4392">
          <cell r="B4392" t="str">
            <v/>
          </cell>
        </row>
        <row r="4393">
          <cell r="B4393" t="str">
            <v/>
          </cell>
        </row>
        <row r="4394">
          <cell r="B4394" t="str">
            <v/>
          </cell>
        </row>
        <row r="4395">
          <cell r="B4395" t="str">
            <v/>
          </cell>
        </row>
        <row r="4396">
          <cell r="B4396" t="str">
            <v/>
          </cell>
        </row>
        <row r="4397">
          <cell r="B4397" t="str">
            <v/>
          </cell>
        </row>
        <row r="4398">
          <cell r="B4398" t="str">
            <v/>
          </cell>
        </row>
        <row r="4399">
          <cell r="B4399" t="str">
            <v/>
          </cell>
        </row>
        <row r="4400">
          <cell r="B4400" t="str">
            <v/>
          </cell>
        </row>
        <row r="4401">
          <cell r="B4401" t="str">
            <v/>
          </cell>
        </row>
        <row r="4402">
          <cell r="B4402" t="str">
            <v/>
          </cell>
        </row>
        <row r="4403">
          <cell r="B4403" t="str">
            <v/>
          </cell>
        </row>
        <row r="4404">
          <cell r="B4404" t="str">
            <v/>
          </cell>
        </row>
        <row r="4405">
          <cell r="B4405" t="str">
            <v/>
          </cell>
        </row>
        <row r="4406">
          <cell r="B4406" t="str">
            <v/>
          </cell>
        </row>
        <row r="4407">
          <cell r="B4407" t="str">
            <v/>
          </cell>
        </row>
        <row r="4408">
          <cell r="B4408" t="str">
            <v/>
          </cell>
        </row>
        <row r="4409">
          <cell r="B4409" t="str">
            <v/>
          </cell>
        </row>
        <row r="4410">
          <cell r="B4410" t="str">
            <v/>
          </cell>
        </row>
        <row r="4411">
          <cell r="B4411" t="str">
            <v/>
          </cell>
        </row>
        <row r="4412">
          <cell r="B4412" t="str">
            <v/>
          </cell>
        </row>
        <row r="4413">
          <cell r="B4413" t="str">
            <v/>
          </cell>
        </row>
        <row r="4414">
          <cell r="B4414" t="str">
            <v/>
          </cell>
        </row>
        <row r="4415">
          <cell r="B4415" t="str">
            <v/>
          </cell>
        </row>
        <row r="4416">
          <cell r="B4416" t="str">
            <v/>
          </cell>
        </row>
        <row r="4417">
          <cell r="B4417" t="str">
            <v/>
          </cell>
        </row>
        <row r="4418">
          <cell r="B4418" t="str">
            <v/>
          </cell>
        </row>
        <row r="4419">
          <cell r="B4419" t="str">
            <v/>
          </cell>
        </row>
        <row r="4420">
          <cell r="B4420" t="str">
            <v/>
          </cell>
        </row>
        <row r="4421">
          <cell r="B4421" t="str">
            <v/>
          </cell>
        </row>
        <row r="4422">
          <cell r="B4422" t="str">
            <v/>
          </cell>
        </row>
        <row r="4423">
          <cell r="B4423" t="str">
            <v/>
          </cell>
        </row>
        <row r="4424">
          <cell r="B4424" t="str">
            <v/>
          </cell>
        </row>
        <row r="4425">
          <cell r="B4425" t="str">
            <v/>
          </cell>
        </row>
        <row r="4426">
          <cell r="B4426" t="str">
            <v/>
          </cell>
        </row>
        <row r="4427">
          <cell r="B4427" t="str">
            <v/>
          </cell>
        </row>
        <row r="4428">
          <cell r="B4428" t="str">
            <v/>
          </cell>
        </row>
        <row r="4429">
          <cell r="B4429" t="str">
            <v/>
          </cell>
        </row>
        <row r="4430">
          <cell r="B4430" t="str">
            <v/>
          </cell>
        </row>
        <row r="4431">
          <cell r="B4431" t="str">
            <v/>
          </cell>
        </row>
        <row r="4432">
          <cell r="B4432" t="str">
            <v/>
          </cell>
        </row>
        <row r="4433">
          <cell r="B4433" t="str">
            <v/>
          </cell>
        </row>
        <row r="4434">
          <cell r="B4434" t="str">
            <v/>
          </cell>
        </row>
        <row r="4435">
          <cell r="B4435" t="str">
            <v/>
          </cell>
        </row>
        <row r="4436">
          <cell r="B4436" t="str">
            <v/>
          </cell>
        </row>
        <row r="4437">
          <cell r="B4437" t="str">
            <v/>
          </cell>
        </row>
        <row r="4438">
          <cell r="B4438" t="str">
            <v/>
          </cell>
        </row>
        <row r="4439">
          <cell r="B4439" t="str">
            <v/>
          </cell>
        </row>
        <row r="4440">
          <cell r="B4440" t="str">
            <v/>
          </cell>
        </row>
        <row r="4441">
          <cell r="B4441" t="str">
            <v/>
          </cell>
        </row>
        <row r="4442">
          <cell r="B4442" t="str">
            <v/>
          </cell>
        </row>
        <row r="4443">
          <cell r="B4443" t="str">
            <v/>
          </cell>
        </row>
        <row r="4444">
          <cell r="B4444" t="str">
            <v/>
          </cell>
        </row>
        <row r="4445">
          <cell r="B4445" t="str">
            <v/>
          </cell>
        </row>
        <row r="4446">
          <cell r="B4446" t="str">
            <v/>
          </cell>
        </row>
        <row r="4447">
          <cell r="B4447" t="str">
            <v/>
          </cell>
        </row>
        <row r="4448">
          <cell r="B4448" t="str">
            <v/>
          </cell>
        </row>
        <row r="4449">
          <cell r="B4449" t="str">
            <v/>
          </cell>
        </row>
        <row r="4450">
          <cell r="B4450" t="str">
            <v/>
          </cell>
        </row>
        <row r="4451">
          <cell r="B4451" t="str">
            <v/>
          </cell>
        </row>
        <row r="4452">
          <cell r="B4452" t="str">
            <v/>
          </cell>
        </row>
        <row r="4453">
          <cell r="B4453" t="str">
            <v/>
          </cell>
        </row>
        <row r="4454">
          <cell r="B4454" t="str">
            <v/>
          </cell>
        </row>
        <row r="4455">
          <cell r="B4455" t="str">
            <v/>
          </cell>
        </row>
        <row r="4457">
          <cell r="B4457" t="str">
            <v/>
          </cell>
        </row>
        <row r="4458">
          <cell r="B4458" t="str">
            <v/>
          </cell>
        </row>
        <row r="4459">
          <cell r="B4459" t="str">
            <v/>
          </cell>
        </row>
        <row r="4460">
          <cell r="B4460" t="str">
            <v/>
          </cell>
        </row>
        <row r="4461">
          <cell r="B4461" t="str">
            <v/>
          </cell>
        </row>
        <row r="4462">
          <cell r="B4462" t="str">
            <v/>
          </cell>
        </row>
        <row r="4463">
          <cell r="B4463" t="str">
            <v/>
          </cell>
        </row>
        <row r="4464">
          <cell r="B4464" t="str">
            <v/>
          </cell>
        </row>
        <row r="4465">
          <cell r="B4465" t="str">
            <v/>
          </cell>
        </row>
        <row r="4466">
          <cell r="B4466" t="str">
            <v/>
          </cell>
        </row>
        <row r="4467">
          <cell r="B4467" t="str">
            <v/>
          </cell>
        </row>
        <row r="4468">
          <cell r="B4468" t="str">
            <v/>
          </cell>
        </row>
        <row r="4469">
          <cell r="B4469" t="str">
            <v/>
          </cell>
        </row>
        <row r="4470">
          <cell r="B4470" t="str">
            <v/>
          </cell>
        </row>
        <row r="4471">
          <cell r="B4471" t="str">
            <v/>
          </cell>
        </row>
        <row r="4472">
          <cell r="B4472" t="str">
            <v/>
          </cell>
        </row>
        <row r="4473">
          <cell r="B4473" t="str">
            <v/>
          </cell>
        </row>
        <row r="4474">
          <cell r="B4474" t="str">
            <v/>
          </cell>
        </row>
        <row r="4475">
          <cell r="B4475" t="str">
            <v/>
          </cell>
        </row>
        <row r="4476">
          <cell r="B4476" t="str">
            <v/>
          </cell>
        </row>
        <row r="4477">
          <cell r="B4477" t="str">
            <v/>
          </cell>
        </row>
        <row r="4478">
          <cell r="B4478" t="str">
            <v/>
          </cell>
        </row>
        <row r="4479">
          <cell r="B4479" t="str">
            <v/>
          </cell>
        </row>
        <row r="4480">
          <cell r="B4480" t="str">
            <v/>
          </cell>
        </row>
        <row r="4481">
          <cell r="B4481" t="str">
            <v/>
          </cell>
        </row>
        <row r="4482">
          <cell r="B4482" t="str">
            <v/>
          </cell>
        </row>
        <row r="4483">
          <cell r="B4483" t="str">
            <v/>
          </cell>
        </row>
        <row r="4484">
          <cell r="B4484" t="str">
            <v/>
          </cell>
        </row>
        <row r="4485">
          <cell r="B4485" t="str">
            <v/>
          </cell>
        </row>
        <row r="4486">
          <cell r="B4486" t="str">
            <v/>
          </cell>
        </row>
        <row r="4487">
          <cell r="B4487" t="str">
            <v/>
          </cell>
        </row>
        <row r="4488">
          <cell r="B4488" t="str">
            <v/>
          </cell>
        </row>
        <row r="4489">
          <cell r="B4489" t="str">
            <v/>
          </cell>
        </row>
        <row r="4490">
          <cell r="B4490" t="str">
            <v/>
          </cell>
        </row>
        <row r="4491">
          <cell r="B4491" t="str">
            <v/>
          </cell>
        </row>
        <row r="4492">
          <cell r="B4492" t="str">
            <v/>
          </cell>
        </row>
        <row r="4493">
          <cell r="B4493" t="str">
            <v/>
          </cell>
        </row>
        <row r="4494">
          <cell r="B4494" t="str">
            <v/>
          </cell>
        </row>
        <row r="4495">
          <cell r="B4495" t="str">
            <v/>
          </cell>
        </row>
        <row r="4496">
          <cell r="B4496" t="str">
            <v/>
          </cell>
        </row>
        <row r="4497">
          <cell r="B4497" t="str">
            <v/>
          </cell>
        </row>
        <row r="4498">
          <cell r="B4498" t="str">
            <v/>
          </cell>
        </row>
        <row r="4499">
          <cell r="B4499" t="str">
            <v/>
          </cell>
        </row>
        <row r="4500">
          <cell r="B4500" t="str">
            <v/>
          </cell>
        </row>
        <row r="4501">
          <cell r="B4501" t="str">
            <v/>
          </cell>
        </row>
        <row r="4502">
          <cell r="B4502" t="str">
            <v/>
          </cell>
        </row>
        <row r="4503">
          <cell r="B4503" t="str">
            <v/>
          </cell>
        </row>
        <row r="4504">
          <cell r="B4504" t="str">
            <v/>
          </cell>
        </row>
        <row r="4505">
          <cell r="B4505" t="str">
            <v/>
          </cell>
        </row>
        <row r="4506">
          <cell r="B4506" t="str">
            <v/>
          </cell>
        </row>
        <row r="4507">
          <cell r="B4507" t="str">
            <v/>
          </cell>
        </row>
        <row r="4508">
          <cell r="B4508" t="str">
            <v/>
          </cell>
        </row>
        <row r="4509">
          <cell r="B4509" t="str">
            <v/>
          </cell>
        </row>
        <row r="4510">
          <cell r="B4510" t="str">
            <v/>
          </cell>
        </row>
        <row r="4511">
          <cell r="B4511" t="str">
            <v/>
          </cell>
        </row>
        <row r="4512">
          <cell r="B4512" t="str">
            <v/>
          </cell>
        </row>
        <row r="4513">
          <cell r="B4513" t="str">
            <v/>
          </cell>
        </row>
        <row r="4514">
          <cell r="B4514" t="str">
            <v/>
          </cell>
        </row>
        <row r="4515">
          <cell r="B4515" t="str">
            <v/>
          </cell>
        </row>
        <row r="4516">
          <cell r="B4516" t="str">
            <v/>
          </cell>
        </row>
        <row r="4517">
          <cell r="B4517" t="str">
            <v/>
          </cell>
        </row>
        <row r="4518">
          <cell r="B4518" t="str">
            <v/>
          </cell>
        </row>
        <row r="4519">
          <cell r="B4519" t="str">
            <v/>
          </cell>
        </row>
        <row r="4520">
          <cell r="B4520" t="str">
            <v/>
          </cell>
        </row>
        <row r="4521">
          <cell r="B4521" t="str">
            <v/>
          </cell>
        </row>
        <row r="4522">
          <cell r="B4522" t="str">
            <v/>
          </cell>
        </row>
        <row r="4523">
          <cell r="B4523" t="str">
            <v/>
          </cell>
        </row>
        <row r="4524">
          <cell r="B4524" t="str">
            <v/>
          </cell>
        </row>
        <row r="4525">
          <cell r="B4525" t="str">
            <v/>
          </cell>
        </row>
        <row r="4526">
          <cell r="B4526" t="str">
            <v/>
          </cell>
        </row>
        <row r="4527">
          <cell r="B4527" t="str">
            <v/>
          </cell>
        </row>
        <row r="4528">
          <cell r="B4528" t="str">
            <v/>
          </cell>
        </row>
        <row r="4529">
          <cell r="B4529" t="str">
            <v/>
          </cell>
        </row>
        <row r="4530">
          <cell r="B4530" t="str">
            <v/>
          </cell>
        </row>
        <row r="4531">
          <cell r="B4531" t="str">
            <v/>
          </cell>
        </row>
        <row r="4532">
          <cell r="B4532" t="str">
            <v/>
          </cell>
        </row>
        <row r="4533">
          <cell r="B4533" t="str">
            <v/>
          </cell>
        </row>
        <row r="4534">
          <cell r="B4534" t="str">
            <v/>
          </cell>
        </row>
        <row r="4535">
          <cell r="B4535" t="str">
            <v/>
          </cell>
        </row>
        <row r="4536">
          <cell r="B4536" t="str">
            <v/>
          </cell>
        </row>
        <row r="4537">
          <cell r="B4537" t="str">
            <v/>
          </cell>
        </row>
        <row r="4538">
          <cell r="B4538" t="str">
            <v/>
          </cell>
          <cell r="E4538">
            <v>0</v>
          </cell>
        </row>
        <row r="4539">
          <cell r="B4539" t="str">
            <v/>
          </cell>
          <cell r="E4539">
            <v>0</v>
          </cell>
        </row>
        <row r="4540">
          <cell r="B4540" t="str">
            <v/>
          </cell>
          <cell r="E4540">
            <v>0</v>
          </cell>
        </row>
        <row r="4541">
          <cell r="B4541" t="str">
            <v/>
          </cell>
          <cell r="E4541">
            <v>0</v>
          </cell>
        </row>
        <row r="4542">
          <cell r="B4542" t="str">
            <v/>
          </cell>
        </row>
        <row r="4543">
          <cell r="B4543" t="str">
            <v/>
          </cell>
          <cell r="E4543">
            <v>0</v>
          </cell>
        </row>
        <row r="4544">
          <cell r="B4544" t="str">
            <v/>
          </cell>
        </row>
        <row r="4545">
          <cell r="B4545" t="str">
            <v/>
          </cell>
        </row>
        <row r="4546">
          <cell r="B4546" t="str">
            <v/>
          </cell>
        </row>
        <row r="4547">
          <cell r="B4547" t="str">
            <v/>
          </cell>
        </row>
        <row r="4548">
          <cell r="B4548" t="str">
            <v/>
          </cell>
        </row>
        <row r="4549">
          <cell r="B4549" t="str">
            <v/>
          </cell>
        </row>
        <row r="4550">
          <cell r="B4550" t="str">
            <v/>
          </cell>
        </row>
        <row r="4551">
          <cell r="B4551" t="str">
            <v/>
          </cell>
        </row>
        <row r="4552">
          <cell r="B4552" t="str">
            <v/>
          </cell>
        </row>
        <row r="4553">
          <cell r="B4553" t="str">
            <v/>
          </cell>
        </row>
        <row r="4554">
          <cell r="B4554" t="str">
            <v/>
          </cell>
        </row>
        <row r="4555">
          <cell r="B4555" t="str">
            <v/>
          </cell>
        </row>
        <row r="4556">
          <cell r="B4556" t="str">
            <v/>
          </cell>
        </row>
        <row r="4557">
          <cell r="B4557" t="str">
            <v/>
          </cell>
        </row>
        <row r="4558">
          <cell r="B4558" t="str">
            <v/>
          </cell>
        </row>
        <row r="4559">
          <cell r="B4559" t="str">
            <v/>
          </cell>
        </row>
        <row r="4560">
          <cell r="B4560" t="str">
            <v/>
          </cell>
        </row>
        <row r="4561">
          <cell r="B4561" t="str">
            <v/>
          </cell>
        </row>
        <row r="4562">
          <cell r="B4562" t="str">
            <v/>
          </cell>
        </row>
        <row r="4563">
          <cell r="B4563" t="str">
            <v/>
          </cell>
        </row>
        <row r="4564">
          <cell r="B4564" t="str">
            <v/>
          </cell>
        </row>
        <row r="4565">
          <cell r="B4565" t="str">
            <v/>
          </cell>
        </row>
        <row r="4566">
          <cell r="B4566" t="str">
            <v/>
          </cell>
        </row>
        <row r="4567">
          <cell r="B4567" t="str">
            <v/>
          </cell>
        </row>
        <row r="4568">
          <cell r="B4568" t="str">
            <v/>
          </cell>
        </row>
        <row r="4569">
          <cell r="B4569" t="str">
            <v/>
          </cell>
        </row>
        <row r="4570">
          <cell r="B4570" t="str">
            <v/>
          </cell>
        </row>
        <row r="4571">
          <cell r="B4571" t="str">
            <v/>
          </cell>
        </row>
        <row r="4572">
          <cell r="B4572" t="str">
            <v/>
          </cell>
        </row>
        <row r="4573">
          <cell r="B4573" t="str">
            <v/>
          </cell>
        </row>
        <row r="4574">
          <cell r="B4574" t="str">
            <v/>
          </cell>
        </row>
        <row r="4575">
          <cell r="B4575" t="str">
            <v/>
          </cell>
        </row>
        <row r="4576">
          <cell r="B4576" t="str">
            <v/>
          </cell>
        </row>
        <row r="4577">
          <cell r="B4577" t="str">
            <v/>
          </cell>
        </row>
        <row r="4578">
          <cell r="B4578" t="str">
            <v/>
          </cell>
        </row>
        <row r="4579">
          <cell r="B4579" t="str">
            <v/>
          </cell>
        </row>
        <row r="4580">
          <cell r="B4580" t="str">
            <v/>
          </cell>
        </row>
        <row r="4581">
          <cell r="B4581" t="str">
            <v/>
          </cell>
        </row>
        <row r="4582">
          <cell r="B4582" t="str">
            <v/>
          </cell>
        </row>
        <row r="4583">
          <cell r="B4583" t="str">
            <v/>
          </cell>
        </row>
        <row r="4584">
          <cell r="B4584" t="str">
            <v/>
          </cell>
        </row>
        <row r="4585">
          <cell r="B4585" t="str">
            <v/>
          </cell>
        </row>
        <row r="4586">
          <cell r="B4586" t="str">
            <v/>
          </cell>
        </row>
        <row r="4587">
          <cell r="B4587" t="str">
            <v/>
          </cell>
        </row>
        <row r="4588">
          <cell r="B4588" t="str">
            <v/>
          </cell>
        </row>
        <row r="4589">
          <cell r="B4589" t="str">
            <v/>
          </cell>
        </row>
        <row r="4590">
          <cell r="B4590" t="str">
            <v/>
          </cell>
        </row>
        <row r="4591">
          <cell r="B4591" t="str">
            <v/>
          </cell>
        </row>
        <row r="4592">
          <cell r="B4592" t="str">
            <v/>
          </cell>
        </row>
        <row r="4593">
          <cell r="B4593" t="str">
            <v/>
          </cell>
        </row>
        <row r="4594">
          <cell r="B4594" t="str">
            <v/>
          </cell>
        </row>
        <row r="4595">
          <cell r="B4595" t="str">
            <v/>
          </cell>
        </row>
        <row r="4596">
          <cell r="B4596" t="str">
            <v/>
          </cell>
        </row>
        <row r="4597">
          <cell r="B4597" t="str">
            <v/>
          </cell>
        </row>
        <row r="4598">
          <cell r="B4598" t="str">
            <v/>
          </cell>
        </row>
        <row r="4599">
          <cell r="B4599" t="str">
            <v/>
          </cell>
        </row>
        <row r="4600">
          <cell r="B4600" t="str">
            <v/>
          </cell>
        </row>
        <row r="4601">
          <cell r="B4601" t="str">
            <v/>
          </cell>
        </row>
        <row r="4602">
          <cell r="B4602" t="str">
            <v/>
          </cell>
        </row>
        <row r="4603">
          <cell r="B4603" t="str">
            <v/>
          </cell>
        </row>
        <row r="4604">
          <cell r="B4604" t="str">
            <v/>
          </cell>
        </row>
        <row r="4605">
          <cell r="B4605" t="str">
            <v/>
          </cell>
        </row>
        <row r="4606">
          <cell r="B4606" t="str">
            <v/>
          </cell>
        </row>
        <row r="4607">
          <cell r="B4607" t="str">
            <v/>
          </cell>
        </row>
        <row r="4608">
          <cell r="B4608" t="str">
            <v/>
          </cell>
        </row>
        <row r="4609">
          <cell r="B4609" t="str">
            <v/>
          </cell>
        </row>
        <row r="4610">
          <cell r="B4610" t="str">
            <v/>
          </cell>
        </row>
        <row r="4611">
          <cell r="B4611" t="str">
            <v/>
          </cell>
        </row>
        <row r="4612">
          <cell r="B4612" t="str">
            <v/>
          </cell>
        </row>
        <row r="4613">
          <cell r="B4613" t="str">
            <v/>
          </cell>
        </row>
        <row r="4614">
          <cell r="B4614" t="str">
            <v/>
          </cell>
        </row>
        <row r="4615">
          <cell r="B4615" t="str">
            <v/>
          </cell>
        </row>
        <row r="4616">
          <cell r="B4616" t="str">
            <v/>
          </cell>
        </row>
        <row r="4617">
          <cell r="B4617" t="str">
            <v/>
          </cell>
        </row>
        <row r="4618">
          <cell r="B4618" t="str">
            <v/>
          </cell>
        </row>
        <row r="4619">
          <cell r="B4619" t="str">
            <v/>
          </cell>
        </row>
        <row r="4620">
          <cell r="B4620" t="str">
            <v/>
          </cell>
        </row>
        <row r="4621">
          <cell r="B4621" t="str">
            <v/>
          </cell>
        </row>
        <row r="4622">
          <cell r="B4622" t="str">
            <v/>
          </cell>
        </row>
        <row r="4623">
          <cell r="B4623" t="str">
            <v/>
          </cell>
        </row>
        <row r="4624">
          <cell r="B4624" t="str">
            <v/>
          </cell>
        </row>
        <row r="4625">
          <cell r="B4625" t="str">
            <v/>
          </cell>
        </row>
        <row r="4626">
          <cell r="B4626" t="str">
            <v/>
          </cell>
        </row>
        <row r="4627">
          <cell r="B4627" t="str">
            <v/>
          </cell>
        </row>
        <row r="4628">
          <cell r="B4628" t="str">
            <v/>
          </cell>
        </row>
        <row r="4629">
          <cell r="B4629" t="str">
            <v/>
          </cell>
        </row>
        <row r="4630">
          <cell r="B4630" t="str">
            <v/>
          </cell>
        </row>
        <row r="4631">
          <cell r="B4631" t="str">
            <v/>
          </cell>
        </row>
        <row r="4632">
          <cell r="B4632" t="str">
            <v/>
          </cell>
        </row>
        <row r="4633">
          <cell r="B4633" t="str">
            <v/>
          </cell>
        </row>
        <row r="4634">
          <cell r="B4634" t="str">
            <v/>
          </cell>
        </row>
        <row r="4635">
          <cell r="B4635" t="str">
            <v/>
          </cell>
        </row>
        <row r="4636">
          <cell r="B4636" t="str">
            <v/>
          </cell>
        </row>
        <row r="4637">
          <cell r="B4637" t="str">
            <v/>
          </cell>
        </row>
        <row r="4638">
          <cell r="B4638" t="str">
            <v/>
          </cell>
        </row>
        <row r="4639">
          <cell r="B4639" t="str">
            <v/>
          </cell>
        </row>
        <row r="4640">
          <cell r="B4640" t="str">
            <v/>
          </cell>
        </row>
        <row r="4641">
          <cell r="B4641" t="str">
            <v/>
          </cell>
        </row>
        <row r="4642">
          <cell r="B4642" t="str">
            <v/>
          </cell>
        </row>
        <row r="4643">
          <cell r="B4643" t="str">
            <v/>
          </cell>
        </row>
        <row r="4644">
          <cell r="B4644" t="str">
            <v/>
          </cell>
        </row>
        <row r="4645">
          <cell r="B4645" t="str">
            <v/>
          </cell>
        </row>
        <row r="4646">
          <cell r="B4646" t="str">
            <v/>
          </cell>
        </row>
        <row r="4647">
          <cell r="B4647" t="str">
            <v/>
          </cell>
        </row>
        <row r="4648">
          <cell r="B4648" t="str">
            <v/>
          </cell>
        </row>
        <row r="4649">
          <cell r="B4649" t="str">
            <v/>
          </cell>
        </row>
        <row r="4650">
          <cell r="B4650" t="str">
            <v/>
          </cell>
        </row>
        <row r="4651">
          <cell r="B4651" t="str">
            <v/>
          </cell>
        </row>
        <row r="4652">
          <cell r="B4652" t="str">
            <v/>
          </cell>
        </row>
        <row r="4653">
          <cell r="B4653" t="str">
            <v/>
          </cell>
        </row>
        <row r="4654">
          <cell r="B4654" t="str">
            <v/>
          </cell>
        </row>
        <row r="4655">
          <cell r="B4655" t="str">
            <v/>
          </cell>
        </row>
        <row r="4656">
          <cell r="B4656" t="str">
            <v/>
          </cell>
        </row>
        <row r="4657">
          <cell r="B4657" t="str">
            <v/>
          </cell>
        </row>
        <row r="4658">
          <cell r="B4658" t="str">
            <v/>
          </cell>
        </row>
        <row r="4659">
          <cell r="B4659" t="str">
            <v/>
          </cell>
        </row>
        <row r="4660">
          <cell r="B4660" t="str">
            <v/>
          </cell>
        </row>
        <row r="4661">
          <cell r="B4661" t="str">
            <v/>
          </cell>
        </row>
        <row r="4662">
          <cell r="B4662" t="str">
            <v/>
          </cell>
        </row>
        <row r="4663">
          <cell r="B4663" t="str">
            <v/>
          </cell>
        </row>
        <row r="4664">
          <cell r="B4664" t="str">
            <v/>
          </cell>
        </row>
        <row r="4665">
          <cell r="B4665" t="str">
            <v/>
          </cell>
        </row>
        <row r="4666">
          <cell r="B4666" t="str">
            <v/>
          </cell>
        </row>
        <row r="4667">
          <cell r="B4667" t="str">
            <v/>
          </cell>
        </row>
        <row r="4668">
          <cell r="B4668" t="str">
            <v/>
          </cell>
        </row>
        <row r="4669">
          <cell r="B4669" t="str">
            <v/>
          </cell>
        </row>
        <row r="4670">
          <cell r="B4670" t="str">
            <v/>
          </cell>
        </row>
        <row r="4671">
          <cell r="B4671" t="str">
            <v/>
          </cell>
        </row>
        <row r="4672">
          <cell r="B4672" t="str">
            <v/>
          </cell>
        </row>
        <row r="4673">
          <cell r="B4673" t="str">
            <v/>
          </cell>
        </row>
        <row r="4674">
          <cell r="B4674" t="str">
            <v/>
          </cell>
        </row>
        <row r="4675">
          <cell r="B4675" t="str">
            <v/>
          </cell>
        </row>
        <row r="4676">
          <cell r="B4676" t="str">
            <v/>
          </cell>
        </row>
        <row r="4677">
          <cell r="B4677" t="str">
            <v/>
          </cell>
        </row>
        <row r="4678">
          <cell r="B4678" t="str">
            <v/>
          </cell>
        </row>
        <row r="4679">
          <cell r="B4679" t="str">
            <v/>
          </cell>
        </row>
        <row r="4680">
          <cell r="B4680" t="str">
            <v/>
          </cell>
        </row>
        <row r="4681">
          <cell r="B4681" t="str">
            <v/>
          </cell>
        </row>
        <row r="4682">
          <cell r="B4682" t="str">
            <v/>
          </cell>
        </row>
        <row r="4683">
          <cell r="B4683" t="str">
            <v/>
          </cell>
        </row>
        <row r="4684">
          <cell r="B4684" t="str">
            <v/>
          </cell>
        </row>
        <row r="4685">
          <cell r="B4685" t="str">
            <v/>
          </cell>
        </row>
        <row r="4686">
          <cell r="B4686" t="str">
            <v/>
          </cell>
        </row>
        <row r="4687">
          <cell r="B4687" t="str">
            <v/>
          </cell>
        </row>
        <row r="4688">
          <cell r="B4688" t="str">
            <v/>
          </cell>
        </row>
        <row r="4689">
          <cell r="B4689" t="str">
            <v/>
          </cell>
        </row>
        <row r="4690">
          <cell r="B4690" t="str">
            <v/>
          </cell>
        </row>
        <row r="4691">
          <cell r="B4691" t="str">
            <v/>
          </cell>
        </row>
        <row r="4692">
          <cell r="B4692" t="str">
            <v/>
          </cell>
        </row>
        <row r="4693">
          <cell r="B4693" t="str">
            <v/>
          </cell>
        </row>
        <row r="4694">
          <cell r="B4694" t="str">
            <v/>
          </cell>
        </row>
        <row r="4695">
          <cell r="B4695" t="str">
            <v/>
          </cell>
        </row>
        <row r="4696">
          <cell r="B4696" t="str">
            <v/>
          </cell>
        </row>
        <row r="4697">
          <cell r="B4697" t="str">
            <v/>
          </cell>
        </row>
        <row r="4698">
          <cell r="B4698" t="str">
            <v/>
          </cell>
        </row>
        <row r="4699">
          <cell r="B4699" t="str">
            <v/>
          </cell>
        </row>
        <row r="4700">
          <cell r="B4700" t="str">
            <v/>
          </cell>
        </row>
        <row r="4701">
          <cell r="B4701" t="str">
            <v/>
          </cell>
        </row>
        <row r="4702">
          <cell r="B4702" t="str">
            <v/>
          </cell>
        </row>
        <row r="4703">
          <cell r="B4703" t="str">
            <v/>
          </cell>
        </row>
        <row r="4704">
          <cell r="B4704" t="str">
            <v/>
          </cell>
        </row>
        <row r="4705">
          <cell r="B4705" t="str">
            <v/>
          </cell>
        </row>
        <row r="4706">
          <cell r="B4706" t="str">
            <v/>
          </cell>
        </row>
        <row r="4707">
          <cell r="B4707" t="str">
            <v/>
          </cell>
        </row>
        <row r="4708">
          <cell r="B4708" t="str">
            <v/>
          </cell>
        </row>
        <row r="4709">
          <cell r="B4709" t="str">
            <v/>
          </cell>
        </row>
        <row r="4710">
          <cell r="B4710" t="str">
            <v/>
          </cell>
        </row>
        <row r="4711">
          <cell r="B4711" t="str">
            <v/>
          </cell>
        </row>
        <row r="4712">
          <cell r="B4712" t="str">
            <v/>
          </cell>
        </row>
        <row r="4713">
          <cell r="B4713" t="str">
            <v/>
          </cell>
        </row>
        <row r="4714">
          <cell r="B4714" t="str">
            <v/>
          </cell>
        </row>
        <row r="4715">
          <cell r="B4715" t="str">
            <v/>
          </cell>
        </row>
        <row r="4716">
          <cell r="B4716" t="str">
            <v/>
          </cell>
        </row>
        <row r="4717">
          <cell r="B4717" t="str">
            <v/>
          </cell>
        </row>
        <row r="4718">
          <cell r="B4718" t="str">
            <v/>
          </cell>
        </row>
        <row r="4719">
          <cell r="B4719" t="str">
            <v/>
          </cell>
        </row>
        <row r="4720">
          <cell r="B4720" t="str">
            <v/>
          </cell>
        </row>
        <row r="4721">
          <cell r="B4721" t="str">
            <v/>
          </cell>
        </row>
        <row r="4722">
          <cell r="B4722" t="str">
            <v/>
          </cell>
        </row>
        <row r="4723">
          <cell r="B4723" t="str">
            <v/>
          </cell>
        </row>
        <row r="4724">
          <cell r="B4724" t="str">
            <v/>
          </cell>
        </row>
        <row r="4725">
          <cell r="B4725" t="str">
            <v/>
          </cell>
        </row>
        <row r="4726">
          <cell r="B4726" t="str">
            <v/>
          </cell>
        </row>
        <row r="4727">
          <cell r="B4727" t="str">
            <v/>
          </cell>
        </row>
        <row r="4728">
          <cell r="B4728" t="str">
            <v/>
          </cell>
        </row>
        <row r="4729">
          <cell r="B4729" t="str">
            <v/>
          </cell>
        </row>
        <row r="4730">
          <cell r="B4730" t="str">
            <v/>
          </cell>
        </row>
        <row r="4731">
          <cell r="B4731" t="str">
            <v/>
          </cell>
        </row>
        <row r="4732">
          <cell r="B4732" t="str">
            <v/>
          </cell>
        </row>
        <row r="4733">
          <cell r="B4733" t="str">
            <v/>
          </cell>
        </row>
        <row r="4734">
          <cell r="B4734" t="str">
            <v/>
          </cell>
        </row>
        <row r="4735">
          <cell r="B4735" t="str">
            <v/>
          </cell>
        </row>
        <row r="4736">
          <cell r="B4736" t="str">
            <v/>
          </cell>
        </row>
        <row r="4737">
          <cell r="B4737" t="str">
            <v/>
          </cell>
        </row>
        <row r="4738">
          <cell r="B4738" t="str">
            <v/>
          </cell>
        </row>
        <row r="4739">
          <cell r="B4739" t="str">
            <v/>
          </cell>
        </row>
        <row r="4740">
          <cell r="B4740" t="str">
            <v/>
          </cell>
        </row>
        <row r="4741">
          <cell r="B4741" t="str">
            <v/>
          </cell>
        </row>
        <row r="4742">
          <cell r="B4742" t="str">
            <v/>
          </cell>
        </row>
        <row r="4743">
          <cell r="B4743" t="str">
            <v/>
          </cell>
        </row>
        <row r="4744">
          <cell r="B4744" t="str">
            <v/>
          </cell>
        </row>
        <row r="4745">
          <cell r="B4745" t="str">
            <v/>
          </cell>
        </row>
        <row r="4746">
          <cell r="B4746" t="str">
            <v/>
          </cell>
        </row>
        <row r="4747">
          <cell r="B4747" t="str">
            <v/>
          </cell>
        </row>
        <row r="4748">
          <cell r="B4748" t="str">
            <v/>
          </cell>
        </row>
        <row r="4749">
          <cell r="B4749" t="str">
            <v/>
          </cell>
        </row>
        <row r="4750">
          <cell r="B4750" t="str">
            <v/>
          </cell>
        </row>
        <row r="4751">
          <cell r="B4751" t="str">
            <v/>
          </cell>
        </row>
        <row r="4752">
          <cell r="B4752" t="str">
            <v/>
          </cell>
        </row>
        <row r="4753">
          <cell r="B4753" t="str">
            <v/>
          </cell>
        </row>
        <row r="4754">
          <cell r="B4754" t="str">
            <v/>
          </cell>
        </row>
        <row r="4755">
          <cell r="B4755" t="str">
            <v/>
          </cell>
        </row>
        <row r="4756">
          <cell r="B4756" t="str">
            <v/>
          </cell>
        </row>
        <row r="4757">
          <cell r="B4757" t="str">
            <v/>
          </cell>
        </row>
        <row r="4758">
          <cell r="B4758" t="str">
            <v/>
          </cell>
        </row>
        <row r="4759">
          <cell r="B4759" t="str">
            <v/>
          </cell>
        </row>
        <row r="4760">
          <cell r="B4760" t="str">
            <v/>
          </cell>
        </row>
        <row r="4761">
          <cell r="B4761" t="str">
            <v/>
          </cell>
        </row>
        <row r="4762">
          <cell r="B4762" t="str">
            <v/>
          </cell>
        </row>
        <row r="4763">
          <cell r="B4763" t="str">
            <v/>
          </cell>
        </row>
        <row r="4764">
          <cell r="B4764" t="str">
            <v/>
          </cell>
        </row>
        <row r="4765">
          <cell r="B4765" t="str">
            <v/>
          </cell>
        </row>
        <row r="4766">
          <cell r="B4766" t="str">
            <v/>
          </cell>
        </row>
        <row r="4767">
          <cell r="B4767" t="str">
            <v/>
          </cell>
        </row>
        <row r="4768">
          <cell r="B4768" t="str">
            <v/>
          </cell>
        </row>
        <row r="4769">
          <cell r="B4769" t="str">
            <v/>
          </cell>
        </row>
        <row r="4770">
          <cell r="B4770" t="str">
            <v/>
          </cell>
        </row>
        <row r="4771">
          <cell r="B4771" t="str">
            <v/>
          </cell>
        </row>
        <row r="4772">
          <cell r="B4772" t="str">
            <v/>
          </cell>
        </row>
        <row r="4773">
          <cell r="B4773" t="str">
            <v/>
          </cell>
        </row>
        <row r="4774">
          <cell r="B4774" t="str">
            <v/>
          </cell>
        </row>
        <row r="4775">
          <cell r="B4775" t="str">
            <v/>
          </cell>
        </row>
        <row r="4776">
          <cell r="B4776" t="str">
            <v/>
          </cell>
        </row>
        <row r="4777">
          <cell r="B4777" t="str">
            <v/>
          </cell>
        </row>
        <row r="4778">
          <cell r="B4778" t="str">
            <v/>
          </cell>
        </row>
        <row r="4779">
          <cell r="B4779" t="str">
            <v/>
          </cell>
        </row>
        <row r="4780">
          <cell r="B4780" t="str">
            <v/>
          </cell>
        </row>
        <row r="4781">
          <cell r="B4781" t="str">
            <v/>
          </cell>
        </row>
        <row r="4782">
          <cell r="B4782" t="str">
            <v/>
          </cell>
        </row>
        <row r="4783">
          <cell r="B4783" t="str">
            <v/>
          </cell>
        </row>
        <row r="4784">
          <cell r="B4784" t="str">
            <v/>
          </cell>
        </row>
        <row r="4785">
          <cell r="B4785" t="str">
            <v/>
          </cell>
        </row>
        <row r="4786">
          <cell r="B4786" t="str">
            <v/>
          </cell>
        </row>
        <row r="4787">
          <cell r="B4787" t="str">
            <v/>
          </cell>
        </row>
        <row r="4788">
          <cell r="B4788" t="str">
            <v/>
          </cell>
        </row>
        <row r="4789">
          <cell r="B4789" t="str">
            <v/>
          </cell>
        </row>
        <row r="4790">
          <cell r="B4790" t="str">
            <v/>
          </cell>
        </row>
        <row r="4791">
          <cell r="B4791" t="str">
            <v/>
          </cell>
        </row>
        <row r="4792">
          <cell r="B4792" t="str">
            <v/>
          </cell>
        </row>
        <row r="4793">
          <cell r="B4793" t="str">
            <v/>
          </cell>
        </row>
        <row r="4794">
          <cell r="B4794" t="str">
            <v/>
          </cell>
        </row>
        <row r="4795">
          <cell r="B4795" t="str">
            <v/>
          </cell>
        </row>
        <row r="4796">
          <cell r="B4796" t="str">
            <v/>
          </cell>
        </row>
        <row r="4797">
          <cell r="B4797" t="str">
            <v/>
          </cell>
        </row>
        <row r="4798">
          <cell r="B4798" t="str">
            <v/>
          </cell>
        </row>
        <row r="4799">
          <cell r="B4799" t="str">
            <v/>
          </cell>
        </row>
        <row r="4800">
          <cell r="B4800" t="str">
            <v/>
          </cell>
        </row>
        <row r="4801">
          <cell r="B4801" t="str">
            <v/>
          </cell>
        </row>
        <row r="4802">
          <cell r="B4802" t="str">
            <v/>
          </cell>
        </row>
        <row r="4803">
          <cell r="B4803" t="str">
            <v/>
          </cell>
        </row>
        <row r="4804">
          <cell r="B4804" t="str">
            <v/>
          </cell>
        </row>
        <row r="4805">
          <cell r="B4805" t="str">
            <v/>
          </cell>
        </row>
        <row r="4806">
          <cell r="B4806" t="str">
            <v/>
          </cell>
        </row>
        <row r="4807">
          <cell r="B4807" t="str">
            <v/>
          </cell>
        </row>
        <row r="4808">
          <cell r="B4808" t="str">
            <v/>
          </cell>
        </row>
        <row r="4809">
          <cell r="B4809" t="str">
            <v/>
          </cell>
        </row>
        <row r="4810">
          <cell r="B4810" t="str">
            <v/>
          </cell>
        </row>
        <row r="4811">
          <cell r="B4811" t="str">
            <v/>
          </cell>
        </row>
        <row r="4812">
          <cell r="B4812" t="str">
            <v/>
          </cell>
        </row>
        <row r="4813">
          <cell r="B4813" t="str">
            <v/>
          </cell>
        </row>
        <row r="4814">
          <cell r="B4814" t="str">
            <v/>
          </cell>
        </row>
        <row r="4815">
          <cell r="B4815" t="str">
            <v/>
          </cell>
        </row>
        <row r="4816">
          <cell r="B4816" t="str">
            <v/>
          </cell>
        </row>
        <row r="4817">
          <cell r="B4817" t="str">
            <v/>
          </cell>
        </row>
        <row r="4818">
          <cell r="B4818" t="str">
            <v/>
          </cell>
        </row>
        <row r="4819">
          <cell r="B4819" t="str">
            <v/>
          </cell>
        </row>
        <row r="4820">
          <cell r="B4820" t="str">
            <v/>
          </cell>
        </row>
        <row r="4821">
          <cell r="B4821" t="str">
            <v/>
          </cell>
        </row>
        <row r="4822">
          <cell r="B4822" t="str">
            <v/>
          </cell>
        </row>
        <row r="4823">
          <cell r="B4823" t="str">
            <v/>
          </cell>
        </row>
        <row r="4824">
          <cell r="B4824" t="str">
            <v/>
          </cell>
        </row>
        <row r="4825">
          <cell r="B4825" t="str">
            <v/>
          </cell>
        </row>
        <row r="4826">
          <cell r="B4826" t="str">
            <v/>
          </cell>
        </row>
        <row r="4827">
          <cell r="B4827" t="str">
            <v/>
          </cell>
        </row>
        <row r="4828">
          <cell r="B4828" t="str">
            <v/>
          </cell>
        </row>
        <row r="4829">
          <cell r="B4829" t="str">
            <v/>
          </cell>
        </row>
        <row r="4830">
          <cell r="B4830" t="str">
            <v/>
          </cell>
        </row>
        <row r="4831">
          <cell r="B4831" t="str">
            <v/>
          </cell>
        </row>
        <row r="4832">
          <cell r="B4832" t="str">
            <v/>
          </cell>
        </row>
        <row r="4833">
          <cell r="B4833" t="str">
            <v/>
          </cell>
        </row>
        <row r="4834">
          <cell r="B4834" t="str">
            <v/>
          </cell>
        </row>
        <row r="4835">
          <cell r="B4835" t="str">
            <v/>
          </cell>
        </row>
        <row r="4836">
          <cell r="B4836" t="str">
            <v/>
          </cell>
        </row>
        <row r="4837">
          <cell r="B4837" t="str">
            <v/>
          </cell>
        </row>
        <row r="4838">
          <cell r="B4838" t="str">
            <v/>
          </cell>
        </row>
        <row r="4839">
          <cell r="B4839" t="str">
            <v/>
          </cell>
        </row>
        <row r="4840">
          <cell r="B4840" t="str">
            <v/>
          </cell>
        </row>
        <row r="4841">
          <cell r="B4841" t="str">
            <v/>
          </cell>
        </row>
        <row r="4842">
          <cell r="B4842" t="str">
            <v/>
          </cell>
        </row>
        <row r="4843">
          <cell r="B4843" t="str">
            <v/>
          </cell>
        </row>
        <row r="4844">
          <cell r="B4844" t="str">
            <v/>
          </cell>
        </row>
        <row r="4845">
          <cell r="B4845" t="str">
            <v/>
          </cell>
        </row>
        <row r="4846">
          <cell r="B4846" t="str">
            <v/>
          </cell>
        </row>
        <row r="4847">
          <cell r="B4847" t="str">
            <v/>
          </cell>
        </row>
        <row r="4848">
          <cell r="B4848" t="str">
            <v/>
          </cell>
        </row>
        <row r="4849">
          <cell r="B4849" t="str">
            <v/>
          </cell>
        </row>
        <row r="4850">
          <cell r="B4850" t="str">
            <v/>
          </cell>
        </row>
        <row r="4851">
          <cell r="B4851" t="str">
            <v/>
          </cell>
        </row>
        <row r="4852">
          <cell r="B4852" t="str">
            <v/>
          </cell>
        </row>
        <row r="4853">
          <cell r="B4853" t="str">
            <v/>
          </cell>
        </row>
        <row r="4854">
          <cell r="B4854" t="str">
            <v/>
          </cell>
        </row>
        <row r="4855">
          <cell r="B4855" t="str">
            <v/>
          </cell>
        </row>
        <row r="4856">
          <cell r="B4856" t="str">
            <v/>
          </cell>
        </row>
        <row r="4857">
          <cell r="B4857" t="str">
            <v/>
          </cell>
        </row>
        <row r="4858">
          <cell r="B4858" t="str">
            <v/>
          </cell>
        </row>
        <row r="4859">
          <cell r="B4859" t="str">
            <v/>
          </cell>
        </row>
        <row r="4860">
          <cell r="B4860" t="str">
            <v/>
          </cell>
        </row>
        <row r="4861">
          <cell r="B4861" t="str">
            <v/>
          </cell>
        </row>
        <row r="4862">
          <cell r="B4862" t="str">
            <v/>
          </cell>
        </row>
        <row r="4863">
          <cell r="B4863" t="str">
            <v/>
          </cell>
        </row>
        <row r="4864">
          <cell r="B4864" t="str">
            <v/>
          </cell>
        </row>
        <row r="4865">
          <cell r="B4865" t="str">
            <v/>
          </cell>
        </row>
        <row r="4866">
          <cell r="B4866" t="str">
            <v/>
          </cell>
        </row>
        <row r="4867">
          <cell r="B4867" t="str">
            <v/>
          </cell>
        </row>
        <row r="4868">
          <cell r="B4868" t="str">
            <v/>
          </cell>
        </row>
        <row r="4869">
          <cell r="B4869" t="str">
            <v/>
          </cell>
        </row>
        <row r="4870">
          <cell r="B4870" t="str">
            <v/>
          </cell>
        </row>
        <row r="4871">
          <cell r="B4871" t="str">
            <v/>
          </cell>
        </row>
        <row r="4872">
          <cell r="B4872" t="str">
            <v/>
          </cell>
        </row>
        <row r="4873">
          <cell r="B4873" t="str">
            <v/>
          </cell>
        </row>
        <row r="4874">
          <cell r="B4874" t="str">
            <v/>
          </cell>
        </row>
        <row r="4875">
          <cell r="B4875" t="str">
            <v/>
          </cell>
        </row>
        <row r="4876">
          <cell r="B4876" t="str">
            <v/>
          </cell>
        </row>
        <row r="4877">
          <cell r="B4877" t="str">
            <v/>
          </cell>
        </row>
        <row r="4878">
          <cell r="B4878" t="str">
            <v/>
          </cell>
        </row>
        <row r="4879">
          <cell r="B4879" t="str">
            <v/>
          </cell>
        </row>
        <row r="4880">
          <cell r="B4880" t="str">
            <v/>
          </cell>
        </row>
        <row r="4881">
          <cell r="B4881" t="str">
            <v/>
          </cell>
        </row>
        <row r="4882">
          <cell r="B4882" t="str">
            <v/>
          </cell>
        </row>
        <row r="4883">
          <cell r="B4883" t="str">
            <v/>
          </cell>
        </row>
        <row r="4884">
          <cell r="B4884" t="str">
            <v/>
          </cell>
        </row>
        <row r="4885">
          <cell r="B4885" t="str">
            <v/>
          </cell>
        </row>
        <row r="4886">
          <cell r="B4886" t="str">
            <v/>
          </cell>
        </row>
        <row r="4887">
          <cell r="B4887" t="str">
            <v/>
          </cell>
        </row>
        <row r="4888">
          <cell r="B4888" t="str">
            <v/>
          </cell>
        </row>
        <row r="4889">
          <cell r="B4889" t="str">
            <v/>
          </cell>
        </row>
        <row r="4890">
          <cell r="B4890" t="str">
            <v/>
          </cell>
        </row>
        <row r="4891">
          <cell r="B4891" t="str">
            <v/>
          </cell>
        </row>
        <row r="4892">
          <cell r="B4892" t="str">
            <v/>
          </cell>
        </row>
        <row r="4893">
          <cell r="B4893" t="str">
            <v/>
          </cell>
        </row>
        <row r="4894">
          <cell r="B4894" t="str">
            <v/>
          </cell>
        </row>
        <row r="4895">
          <cell r="B4895" t="str">
            <v/>
          </cell>
        </row>
        <row r="4896">
          <cell r="B4896" t="str">
            <v/>
          </cell>
        </row>
        <row r="4897">
          <cell r="B4897" t="str">
            <v/>
          </cell>
        </row>
        <row r="4898">
          <cell r="B4898" t="str">
            <v/>
          </cell>
        </row>
        <row r="4899">
          <cell r="B4899" t="str">
            <v/>
          </cell>
        </row>
        <row r="4900">
          <cell r="B4900" t="str">
            <v/>
          </cell>
        </row>
        <row r="4901">
          <cell r="B4901" t="str">
            <v/>
          </cell>
        </row>
        <row r="4902">
          <cell r="B4902" t="str">
            <v/>
          </cell>
        </row>
        <row r="4903">
          <cell r="B4903" t="str">
            <v/>
          </cell>
        </row>
        <row r="4904">
          <cell r="B4904" t="str">
            <v/>
          </cell>
        </row>
        <row r="4905">
          <cell r="B4905" t="str">
            <v/>
          </cell>
        </row>
        <row r="4906">
          <cell r="B4906" t="str">
            <v/>
          </cell>
        </row>
        <row r="4907">
          <cell r="B4907" t="str">
            <v/>
          </cell>
        </row>
        <row r="4908">
          <cell r="B4908" t="str">
            <v/>
          </cell>
        </row>
        <row r="4909">
          <cell r="B4909" t="str">
            <v/>
          </cell>
        </row>
        <row r="4910">
          <cell r="B4910" t="str">
            <v/>
          </cell>
        </row>
        <row r="4911">
          <cell r="B4911" t="str">
            <v/>
          </cell>
        </row>
        <row r="4912">
          <cell r="B4912" t="str">
            <v/>
          </cell>
        </row>
        <row r="4913">
          <cell r="B4913" t="str">
            <v/>
          </cell>
        </row>
        <row r="4914">
          <cell r="B4914" t="str">
            <v/>
          </cell>
        </row>
        <row r="4915">
          <cell r="B4915" t="str">
            <v/>
          </cell>
        </row>
        <row r="4916">
          <cell r="B4916" t="str">
            <v/>
          </cell>
        </row>
        <row r="4917">
          <cell r="B4917" t="str">
            <v/>
          </cell>
        </row>
        <row r="4918">
          <cell r="B4918" t="str">
            <v/>
          </cell>
        </row>
        <row r="4919">
          <cell r="B4919" t="str">
            <v/>
          </cell>
        </row>
        <row r="4920">
          <cell r="B4920" t="str">
            <v/>
          </cell>
        </row>
        <row r="4921">
          <cell r="B4921" t="str">
            <v/>
          </cell>
        </row>
        <row r="4922">
          <cell r="B4922" t="str">
            <v/>
          </cell>
        </row>
        <row r="4923">
          <cell r="B4923" t="str">
            <v/>
          </cell>
        </row>
        <row r="4924">
          <cell r="B4924" t="str">
            <v/>
          </cell>
        </row>
        <row r="4925">
          <cell r="B4925" t="str">
            <v/>
          </cell>
        </row>
        <row r="4926">
          <cell r="B4926" t="str">
            <v/>
          </cell>
        </row>
        <row r="4927">
          <cell r="B4927" t="str">
            <v/>
          </cell>
        </row>
        <row r="4928">
          <cell r="B4928" t="str">
            <v/>
          </cell>
        </row>
        <row r="4929">
          <cell r="B4929" t="str">
            <v/>
          </cell>
        </row>
        <row r="4930">
          <cell r="B4930" t="str">
            <v/>
          </cell>
        </row>
        <row r="4931">
          <cell r="B4931" t="str">
            <v/>
          </cell>
        </row>
        <row r="4932">
          <cell r="B4932" t="str">
            <v/>
          </cell>
        </row>
        <row r="4933">
          <cell r="B4933" t="str">
            <v/>
          </cell>
        </row>
        <row r="4934">
          <cell r="B4934" t="str">
            <v/>
          </cell>
        </row>
        <row r="4935">
          <cell r="B4935" t="str">
            <v/>
          </cell>
        </row>
        <row r="4936">
          <cell r="B4936" t="str">
            <v/>
          </cell>
        </row>
        <row r="4937">
          <cell r="B4937" t="str">
            <v/>
          </cell>
        </row>
        <row r="4938">
          <cell r="B4938" t="str">
            <v/>
          </cell>
        </row>
        <row r="4939">
          <cell r="B4939" t="str">
            <v/>
          </cell>
        </row>
        <row r="4940">
          <cell r="B4940" t="str">
            <v/>
          </cell>
        </row>
        <row r="4941">
          <cell r="B4941" t="str">
            <v/>
          </cell>
        </row>
        <row r="4942">
          <cell r="B4942" t="str">
            <v/>
          </cell>
        </row>
        <row r="4943">
          <cell r="B4943" t="str">
            <v/>
          </cell>
        </row>
        <row r="4944">
          <cell r="B4944" t="str">
            <v/>
          </cell>
        </row>
        <row r="4945">
          <cell r="B4945" t="str">
            <v/>
          </cell>
        </row>
        <row r="4946">
          <cell r="B4946" t="str">
            <v/>
          </cell>
        </row>
        <row r="4947">
          <cell r="B4947" t="str">
            <v/>
          </cell>
        </row>
        <row r="4948">
          <cell r="B4948" t="str">
            <v/>
          </cell>
        </row>
        <row r="4949">
          <cell r="B4949" t="str">
            <v/>
          </cell>
        </row>
        <row r="4950">
          <cell r="B4950" t="str">
            <v/>
          </cell>
        </row>
        <row r="4951">
          <cell r="B4951" t="str">
            <v/>
          </cell>
        </row>
        <row r="4952">
          <cell r="B4952" t="str">
            <v/>
          </cell>
        </row>
        <row r="4953">
          <cell r="B4953" t="str">
            <v/>
          </cell>
        </row>
        <row r="4954">
          <cell r="B4954" t="str">
            <v/>
          </cell>
        </row>
        <row r="4955">
          <cell r="B4955" t="str">
            <v/>
          </cell>
        </row>
        <row r="4956">
          <cell r="B4956" t="str">
            <v/>
          </cell>
        </row>
        <row r="4957">
          <cell r="B4957" t="str">
            <v/>
          </cell>
        </row>
        <row r="4958">
          <cell r="B4958" t="str">
            <v/>
          </cell>
        </row>
        <row r="4959">
          <cell r="B4959" t="str">
            <v/>
          </cell>
        </row>
        <row r="4960">
          <cell r="B4960" t="str">
            <v/>
          </cell>
        </row>
        <row r="4961">
          <cell r="B4961" t="str">
            <v/>
          </cell>
        </row>
        <row r="4962">
          <cell r="B4962" t="str">
            <v/>
          </cell>
        </row>
        <row r="4963">
          <cell r="B4963" t="str">
            <v/>
          </cell>
        </row>
        <row r="4964">
          <cell r="B4964" t="str">
            <v/>
          </cell>
        </row>
        <row r="4965">
          <cell r="B4965" t="str">
            <v/>
          </cell>
        </row>
        <row r="4966">
          <cell r="B4966" t="str">
            <v/>
          </cell>
        </row>
        <row r="4967">
          <cell r="B4967" t="str">
            <v/>
          </cell>
        </row>
        <row r="4968">
          <cell r="B4968" t="str">
            <v/>
          </cell>
        </row>
        <row r="4969">
          <cell r="B4969" t="str">
            <v/>
          </cell>
        </row>
        <row r="4970">
          <cell r="B4970" t="str">
            <v/>
          </cell>
        </row>
        <row r="4971">
          <cell r="B4971" t="str">
            <v/>
          </cell>
        </row>
        <row r="4972">
          <cell r="B4972" t="str">
            <v/>
          </cell>
        </row>
        <row r="4973">
          <cell r="B4973" t="str">
            <v/>
          </cell>
        </row>
        <row r="4974">
          <cell r="B4974" t="str">
            <v/>
          </cell>
        </row>
        <row r="4975">
          <cell r="B4975" t="str">
            <v/>
          </cell>
        </row>
        <row r="4976">
          <cell r="B4976" t="str">
            <v/>
          </cell>
        </row>
        <row r="4977">
          <cell r="B4977" t="str">
            <v/>
          </cell>
        </row>
        <row r="4978">
          <cell r="B4978" t="str">
            <v/>
          </cell>
        </row>
        <row r="4979">
          <cell r="B4979" t="str">
            <v/>
          </cell>
        </row>
        <row r="4980">
          <cell r="B4980" t="str">
            <v/>
          </cell>
        </row>
        <row r="4981">
          <cell r="B4981" t="str">
            <v/>
          </cell>
        </row>
        <row r="4982">
          <cell r="B4982" t="str">
            <v/>
          </cell>
        </row>
        <row r="4983">
          <cell r="B4983" t="str">
            <v/>
          </cell>
        </row>
        <row r="4984">
          <cell r="B4984" t="str">
            <v/>
          </cell>
        </row>
        <row r="4985">
          <cell r="B4985" t="str">
            <v/>
          </cell>
        </row>
        <row r="4986">
          <cell r="B4986" t="str">
            <v/>
          </cell>
        </row>
        <row r="4987">
          <cell r="B4987" t="str">
            <v/>
          </cell>
        </row>
        <row r="4988">
          <cell r="B4988" t="str">
            <v/>
          </cell>
        </row>
        <row r="4989">
          <cell r="B4989" t="str">
            <v/>
          </cell>
        </row>
        <row r="4990">
          <cell r="B4990" t="str">
            <v/>
          </cell>
        </row>
        <row r="4991">
          <cell r="B4991" t="str">
            <v/>
          </cell>
        </row>
        <row r="4992">
          <cell r="B4992" t="str">
            <v/>
          </cell>
        </row>
        <row r="4993">
          <cell r="B4993" t="str">
            <v/>
          </cell>
        </row>
        <row r="4994">
          <cell r="B4994" t="str">
            <v/>
          </cell>
        </row>
        <row r="4995">
          <cell r="B4995" t="str">
            <v/>
          </cell>
        </row>
        <row r="4996">
          <cell r="B4996" t="str">
            <v/>
          </cell>
        </row>
        <row r="4997">
          <cell r="B4997" t="str">
            <v/>
          </cell>
        </row>
        <row r="4998">
          <cell r="B4998" t="str">
            <v/>
          </cell>
        </row>
        <row r="4999">
          <cell r="B4999" t="str">
            <v/>
          </cell>
        </row>
        <row r="5000">
          <cell r="B5000" t="str">
            <v/>
          </cell>
        </row>
        <row r="5001">
          <cell r="B5001" t="str">
            <v/>
          </cell>
        </row>
        <row r="5002">
          <cell r="B5002" t="str">
            <v/>
          </cell>
        </row>
        <row r="5003">
          <cell r="B5003" t="str">
            <v/>
          </cell>
        </row>
        <row r="5004">
          <cell r="B5004" t="str">
            <v/>
          </cell>
        </row>
        <row r="5005">
          <cell r="B5005" t="str">
            <v/>
          </cell>
        </row>
        <row r="5006">
          <cell r="B5006" t="str">
            <v/>
          </cell>
        </row>
        <row r="5007">
          <cell r="B5007" t="str">
            <v/>
          </cell>
        </row>
        <row r="5008">
          <cell r="B5008" t="str">
            <v/>
          </cell>
        </row>
        <row r="5009">
          <cell r="B5009" t="str">
            <v/>
          </cell>
        </row>
        <row r="5010">
          <cell r="B5010" t="str">
            <v/>
          </cell>
        </row>
        <row r="5011">
          <cell r="B5011" t="str">
            <v/>
          </cell>
        </row>
        <row r="5012">
          <cell r="B5012" t="str">
            <v/>
          </cell>
        </row>
        <row r="5013">
          <cell r="B5013" t="str">
            <v/>
          </cell>
        </row>
        <row r="5014">
          <cell r="B5014" t="str">
            <v/>
          </cell>
        </row>
        <row r="5015">
          <cell r="B5015" t="str">
            <v/>
          </cell>
        </row>
        <row r="5016">
          <cell r="B5016" t="str">
            <v/>
          </cell>
        </row>
        <row r="5017">
          <cell r="B5017" t="str">
            <v/>
          </cell>
        </row>
        <row r="5018">
          <cell r="B5018" t="str">
            <v/>
          </cell>
        </row>
        <row r="5019">
          <cell r="B5019" t="str">
            <v/>
          </cell>
        </row>
        <row r="5020">
          <cell r="B5020" t="str">
            <v/>
          </cell>
        </row>
        <row r="5021">
          <cell r="B5021" t="str">
            <v/>
          </cell>
        </row>
        <row r="5022">
          <cell r="B5022" t="str">
            <v/>
          </cell>
        </row>
        <row r="5023">
          <cell r="B5023" t="str">
            <v/>
          </cell>
        </row>
        <row r="5024">
          <cell r="B5024" t="str">
            <v/>
          </cell>
        </row>
        <row r="5025">
          <cell r="B5025" t="str">
            <v/>
          </cell>
        </row>
        <row r="5026">
          <cell r="B5026" t="str">
            <v/>
          </cell>
        </row>
        <row r="5027">
          <cell r="B5027" t="str">
            <v/>
          </cell>
        </row>
        <row r="5028">
          <cell r="B5028" t="str">
            <v/>
          </cell>
        </row>
        <row r="5029">
          <cell r="B5029" t="str">
            <v/>
          </cell>
        </row>
        <row r="5030">
          <cell r="B5030" t="str">
            <v/>
          </cell>
        </row>
        <row r="5031">
          <cell r="B5031" t="str">
            <v/>
          </cell>
        </row>
        <row r="5032">
          <cell r="B5032" t="str">
            <v/>
          </cell>
        </row>
        <row r="5033">
          <cell r="B5033" t="str">
            <v/>
          </cell>
        </row>
        <row r="5034">
          <cell r="B5034" t="str">
            <v/>
          </cell>
        </row>
        <row r="5035">
          <cell r="B5035" t="str">
            <v/>
          </cell>
        </row>
        <row r="5036">
          <cell r="B5036" t="str">
            <v/>
          </cell>
        </row>
        <row r="5037">
          <cell r="B5037" t="str">
            <v/>
          </cell>
        </row>
        <row r="5038">
          <cell r="B5038" t="str">
            <v/>
          </cell>
        </row>
        <row r="5039">
          <cell r="B5039" t="str">
            <v/>
          </cell>
        </row>
        <row r="5040">
          <cell r="B5040" t="str">
            <v/>
          </cell>
        </row>
        <row r="5041">
          <cell r="B5041" t="str">
            <v/>
          </cell>
        </row>
        <row r="5042">
          <cell r="B5042" t="str">
            <v/>
          </cell>
        </row>
        <row r="5043">
          <cell r="B5043" t="str">
            <v/>
          </cell>
        </row>
        <row r="5044">
          <cell r="B5044" t="str">
            <v/>
          </cell>
        </row>
        <row r="5045">
          <cell r="B5045" t="str">
            <v/>
          </cell>
        </row>
        <row r="5046">
          <cell r="B5046" t="str">
            <v/>
          </cell>
        </row>
        <row r="5047">
          <cell r="B5047" t="str">
            <v/>
          </cell>
        </row>
        <row r="5048">
          <cell r="B5048" t="str">
            <v/>
          </cell>
        </row>
        <row r="5049">
          <cell r="B5049" t="str">
            <v/>
          </cell>
        </row>
        <row r="5050">
          <cell r="B5050" t="str">
            <v/>
          </cell>
        </row>
        <row r="5051">
          <cell r="B5051" t="str">
            <v/>
          </cell>
        </row>
        <row r="5052">
          <cell r="B5052" t="str">
            <v/>
          </cell>
        </row>
        <row r="5053">
          <cell r="B5053" t="str">
            <v/>
          </cell>
        </row>
        <row r="5054">
          <cell r="B5054" t="str">
            <v/>
          </cell>
        </row>
        <row r="5055">
          <cell r="B5055" t="str">
            <v/>
          </cell>
        </row>
        <row r="5056">
          <cell r="B5056" t="str">
            <v/>
          </cell>
        </row>
        <row r="5057">
          <cell r="B5057" t="str">
            <v/>
          </cell>
        </row>
        <row r="5058">
          <cell r="B5058" t="str">
            <v/>
          </cell>
        </row>
        <row r="5059">
          <cell r="B5059" t="str">
            <v/>
          </cell>
        </row>
        <row r="5060">
          <cell r="B5060" t="str">
            <v/>
          </cell>
        </row>
        <row r="5061">
          <cell r="B5061" t="str">
            <v/>
          </cell>
        </row>
        <row r="5062">
          <cell r="B5062" t="str">
            <v/>
          </cell>
        </row>
        <row r="5063">
          <cell r="B5063" t="str">
            <v/>
          </cell>
        </row>
        <row r="5064">
          <cell r="B5064" t="str">
            <v/>
          </cell>
        </row>
        <row r="5065">
          <cell r="B5065" t="str">
            <v/>
          </cell>
        </row>
        <row r="5066">
          <cell r="B5066" t="str">
            <v/>
          </cell>
        </row>
        <row r="5067">
          <cell r="B5067" t="str">
            <v/>
          </cell>
        </row>
        <row r="5068">
          <cell r="B5068" t="str">
            <v/>
          </cell>
        </row>
        <row r="5069">
          <cell r="B5069" t="str">
            <v/>
          </cell>
        </row>
        <row r="5070">
          <cell r="B5070" t="str">
            <v/>
          </cell>
        </row>
        <row r="5071">
          <cell r="B5071" t="str">
            <v/>
          </cell>
        </row>
        <row r="5072">
          <cell r="B5072" t="str">
            <v/>
          </cell>
        </row>
        <row r="5073">
          <cell r="B5073" t="str">
            <v/>
          </cell>
        </row>
        <row r="5074">
          <cell r="B5074" t="str">
            <v/>
          </cell>
        </row>
        <row r="5075">
          <cell r="B5075" t="str">
            <v/>
          </cell>
        </row>
        <row r="5076">
          <cell r="B5076" t="str">
            <v/>
          </cell>
        </row>
        <row r="5077">
          <cell r="B5077" t="str">
            <v/>
          </cell>
        </row>
        <row r="5078">
          <cell r="B5078" t="str">
            <v/>
          </cell>
        </row>
        <row r="5079">
          <cell r="B5079" t="str">
            <v/>
          </cell>
        </row>
        <row r="5080">
          <cell r="B5080" t="str">
            <v/>
          </cell>
        </row>
        <row r="5081">
          <cell r="B5081" t="str">
            <v/>
          </cell>
        </row>
        <row r="5082">
          <cell r="B5082" t="str">
            <v/>
          </cell>
        </row>
        <row r="5083">
          <cell r="B5083" t="str">
            <v/>
          </cell>
        </row>
        <row r="5084">
          <cell r="B5084" t="str">
            <v/>
          </cell>
        </row>
        <row r="5085">
          <cell r="B5085" t="str">
            <v/>
          </cell>
        </row>
        <row r="5086">
          <cell r="B5086" t="str">
            <v/>
          </cell>
        </row>
        <row r="5087">
          <cell r="B5087" t="str">
            <v/>
          </cell>
        </row>
        <row r="5088">
          <cell r="B5088" t="str">
            <v/>
          </cell>
        </row>
        <row r="5089">
          <cell r="B5089" t="str">
            <v/>
          </cell>
        </row>
        <row r="5090">
          <cell r="B5090" t="str">
            <v/>
          </cell>
        </row>
        <row r="5091">
          <cell r="B5091" t="str">
            <v/>
          </cell>
        </row>
        <row r="5092">
          <cell r="B5092" t="str">
            <v/>
          </cell>
        </row>
        <row r="5093">
          <cell r="B5093" t="str">
            <v/>
          </cell>
        </row>
        <row r="5094">
          <cell r="B5094" t="str">
            <v/>
          </cell>
        </row>
        <row r="5095">
          <cell r="B5095" t="str">
            <v/>
          </cell>
        </row>
        <row r="5096">
          <cell r="B5096" t="str">
            <v/>
          </cell>
        </row>
        <row r="5097">
          <cell r="B5097" t="str">
            <v/>
          </cell>
        </row>
        <row r="5098">
          <cell r="B5098" t="str">
            <v/>
          </cell>
        </row>
        <row r="5099">
          <cell r="B5099" t="str">
            <v/>
          </cell>
        </row>
        <row r="5100">
          <cell r="B5100" t="str">
            <v/>
          </cell>
        </row>
        <row r="5101">
          <cell r="B5101" t="str">
            <v/>
          </cell>
        </row>
        <row r="5102">
          <cell r="B5102" t="str">
            <v/>
          </cell>
          <cell r="D5102">
            <v>15</v>
          </cell>
        </row>
        <row r="5103">
          <cell r="B5103" t="str">
            <v/>
          </cell>
        </row>
        <row r="5104">
          <cell r="B5104" t="str">
            <v/>
          </cell>
        </row>
        <row r="5105">
          <cell r="B5105" t="str">
            <v/>
          </cell>
        </row>
        <row r="5106">
          <cell r="B5106" t="str">
            <v/>
          </cell>
        </row>
        <row r="5107">
          <cell r="B5107" t="str">
            <v/>
          </cell>
        </row>
        <row r="5108">
          <cell r="B5108" t="str">
            <v/>
          </cell>
        </row>
        <row r="5109">
          <cell r="B5109" t="str">
            <v/>
          </cell>
        </row>
        <row r="5110">
          <cell r="B5110" t="str">
            <v/>
          </cell>
        </row>
        <row r="5111">
          <cell r="B5111" t="str">
            <v/>
          </cell>
        </row>
        <row r="5112">
          <cell r="B5112" t="str">
            <v/>
          </cell>
        </row>
        <row r="5113">
          <cell r="B5113" t="str">
            <v/>
          </cell>
        </row>
        <row r="5114">
          <cell r="B5114" t="str">
            <v/>
          </cell>
        </row>
        <row r="5115">
          <cell r="B5115" t="str">
            <v/>
          </cell>
        </row>
        <row r="5116">
          <cell r="B5116" t="str">
            <v/>
          </cell>
        </row>
        <row r="5117">
          <cell r="B5117" t="str">
            <v/>
          </cell>
        </row>
        <row r="5118">
          <cell r="B5118" t="str">
            <v/>
          </cell>
        </row>
        <row r="5119">
          <cell r="B5119" t="str">
            <v/>
          </cell>
        </row>
        <row r="5120">
          <cell r="B5120" t="str">
            <v/>
          </cell>
        </row>
        <row r="5121">
          <cell r="B5121" t="str">
            <v/>
          </cell>
        </row>
        <row r="5122">
          <cell r="B5122" t="str">
            <v/>
          </cell>
        </row>
        <row r="5123">
          <cell r="B5123" t="str">
            <v/>
          </cell>
        </row>
        <row r="5124">
          <cell r="B5124" t="str">
            <v/>
          </cell>
        </row>
        <row r="5125">
          <cell r="B5125" t="str">
            <v/>
          </cell>
        </row>
        <row r="5126">
          <cell r="B5126" t="str">
            <v/>
          </cell>
        </row>
        <row r="5127">
          <cell r="B5127" t="str">
            <v/>
          </cell>
        </row>
        <row r="5128">
          <cell r="B5128" t="str">
            <v/>
          </cell>
        </row>
        <row r="5129">
          <cell r="B5129" t="str">
            <v/>
          </cell>
        </row>
        <row r="5130">
          <cell r="B5130" t="str">
            <v/>
          </cell>
        </row>
        <row r="5131">
          <cell r="B5131" t="str">
            <v/>
          </cell>
        </row>
        <row r="5132">
          <cell r="B5132" t="str">
            <v/>
          </cell>
        </row>
        <row r="5133">
          <cell r="B5133" t="str">
            <v/>
          </cell>
        </row>
        <row r="5134">
          <cell r="B5134" t="str">
            <v/>
          </cell>
        </row>
        <row r="5135">
          <cell r="B5135" t="str">
            <v/>
          </cell>
        </row>
        <row r="5136">
          <cell r="B5136" t="str">
            <v/>
          </cell>
        </row>
        <row r="5137">
          <cell r="B5137" t="str">
            <v/>
          </cell>
        </row>
        <row r="5138">
          <cell r="B5138" t="str">
            <v/>
          </cell>
        </row>
        <row r="5139">
          <cell r="B5139" t="str">
            <v/>
          </cell>
        </row>
        <row r="5140">
          <cell r="B5140" t="str">
            <v/>
          </cell>
        </row>
        <row r="5141">
          <cell r="B5141" t="str">
            <v/>
          </cell>
        </row>
        <row r="5142">
          <cell r="B5142" t="str">
            <v/>
          </cell>
        </row>
        <row r="5143">
          <cell r="B5143" t="str">
            <v/>
          </cell>
        </row>
        <row r="5144">
          <cell r="B5144" t="str">
            <v/>
          </cell>
        </row>
        <row r="5145">
          <cell r="B5145" t="str">
            <v/>
          </cell>
        </row>
        <row r="5146">
          <cell r="B5146" t="str">
            <v/>
          </cell>
        </row>
        <row r="5147">
          <cell r="B5147" t="str">
            <v/>
          </cell>
        </row>
        <row r="5148">
          <cell r="B5148" t="str">
            <v/>
          </cell>
        </row>
        <row r="5149">
          <cell r="B5149" t="str">
            <v/>
          </cell>
        </row>
        <row r="5150">
          <cell r="B5150" t="str">
            <v/>
          </cell>
        </row>
        <row r="5151">
          <cell r="B5151" t="str">
            <v/>
          </cell>
        </row>
        <row r="5152">
          <cell r="B5152" t="str">
            <v/>
          </cell>
        </row>
        <row r="5153">
          <cell r="B5153" t="str">
            <v/>
          </cell>
        </row>
        <row r="5154">
          <cell r="B5154" t="str">
            <v/>
          </cell>
        </row>
        <row r="5155">
          <cell r="B5155" t="str">
            <v/>
          </cell>
        </row>
        <row r="5156">
          <cell r="B5156" t="str">
            <v/>
          </cell>
        </row>
        <row r="5157">
          <cell r="B5157" t="str">
            <v/>
          </cell>
        </row>
        <row r="5158">
          <cell r="B5158" t="str">
            <v/>
          </cell>
        </row>
        <row r="5159">
          <cell r="B5159" t="str">
            <v/>
          </cell>
        </row>
        <row r="5160">
          <cell r="B5160" t="str">
            <v/>
          </cell>
        </row>
        <row r="5161">
          <cell r="B5161" t="str">
            <v/>
          </cell>
        </row>
        <row r="5162">
          <cell r="B5162" t="str">
            <v/>
          </cell>
        </row>
        <row r="5163">
          <cell r="B5163" t="str">
            <v/>
          </cell>
        </row>
        <row r="5181">
          <cell r="C5181" t="str">
            <v>Select a Weapon</v>
          </cell>
        </row>
        <row r="5211">
          <cell r="B5211" t="str">
            <v/>
          </cell>
        </row>
        <row r="5212">
          <cell r="B5212" t="str">
            <v/>
          </cell>
        </row>
        <row r="5213">
          <cell r="B5213" t="str">
            <v/>
          </cell>
        </row>
        <row r="5214">
          <cell r="B5214" t="str">
            <v/>
          </cell>
        </row>
        <row r="5215">
          <cell r="B5215" t="str">
            <v/>
          </cell>
        </row>
        <row r="5216">
          <cell r="B5216" t="str">
            <v/>
          </cell>
        </row>
        <row r="5217">
          <cell r="B5217" t="str">
            <v/>
          </cell>
        </row>
        <row r="5218">
          <cell r="B5218" t="str">
            <v/>
          </cell>
        </row>
        <row r="5219">
          <cell r="B5219" t="str">
            <v/>
          </cell>
        </row>
        <row r="5220">
          <cell r="B5220" t="str">
            <v/>
          </cell>
        </row>
        <row r="5221">
          <cell r="B5221" t="str">
            <v/>
          </cell>
        </row>
        <row r="5222">
          <cell r="B5222" t="str">
            <v/>
          </cell>
        </row>
        <row r="5223">
          <cell r="B5223" t="str">
            <v/>
          </cell>
        </row>
        <row r="5224">
          <cell r="B5224" t="str">
            <v/>
          </cell>
        </row>
        <row r="5225">
          <cell r="B5225" t="str">
            <v/>
          </cell>
        </row>
        <row r="5226">
          <cell r="B5226" t="str">
            <v/>
          </cell>
        </row>
        <row r="5227">
          <cell r="B5227" t="str">
            <v/>
          </cell>
        </row>
        <row r="5228">
          <cell r="B5228" t="str">
            <v/>
          </cell>
        </row>
        <row r="5229">
          <cell r="B5229" t="str">
            <v/>
          </cell>
        </row>
        <row r="5230">
          <cell r="B5230" t="str">
            <v/>
          </cell>
        </row>
      </sheetData>
      <sheetData sheetId="50">
        <row r="1">
          <cell r="U1" t="str">
            <v>Arms</v>
          </cell>
          <cell r="V1" t="str">
            <v>B</v>
          </cell>
        </row>
        <row r="2">
          <cell r="F2" t="str">
            <v>Normal</v>
          </cell>
          <cell r="H2" t="str">
            <v>Normal</v>
          </cell>
          <cell r="U2" t="str">
            <v>Bite</v>
          </cell>
          <cell r="V2" t="str">
            <v>P/B/S</v>
          </cell>
          <cell r="Y2" t="str">
            <v>One-handed</v>
          </cell>
          <cell r="AC2" t="str">
            <v>Bow, Bone</v>
          </cell>
          <cell r="AD2" t="str">
            <v>Longbow</v>
          </cell>
          <cell r="AG2" t="str">
            <v>Lightblade, Elven</v>
          </cell>
          <cell r="AH2" t="str">
            <v>Sword, Short</v>
          </cell>
          <cell r="AQ2" t="str">
            <v/>
          </cell>
        </row>
        <row r="3">
          <cell r="F3" t="str">
            <v>Masterwork</v>
          </cell>
          <cell r="H3" t="str">
            <v>12 Str (+1)</v>
          </cell>
          <cell r="K3" t="str">
            <v>Fine</v>
          </cell>
          <cell r="L3" t="str">
            <v>Diminutive</v>
          </cell>
          <cell r="M3" t="str">
            <v>Tiny</v>
          </cell>
          <cell r="N3" t="str">
            <v>Small</v>
          </cell>
          <cell r="O3" t="str">
            <v>Medium</v>
          </cell>
          <cell r="P3" t="str">
            <v>Large</v>
          </cell>
          <cell r="Q3" t="str">
            <v>Huge</v>
          </cell>
          <cell r="R3" t="str">
            <v>Gargantuan</v>
          </cell>
          <cell r="S3" t="str">
            <v>Colossal</v>
          </cell>
          <cell r="U3" t="str">
            <v>Chains</v>
          </cell>
          <cell r="V3" t="str">
            <v>S</v>
          </cell>
          <cell r="Y3" t="str">
            <v>Two-handed</v>
          </cell>
          <cell r="AC3" t="str">
            <v>Whip-dagger</v>
          </cell>
          <cell r="AD3" t="str">
            <v>Whip</v>
          </cell>
          <cell r="AG3" t="str">
            <v>Thinblade, Elven</v>
          </cell>
          <cell r="AH3" t="str">
            <v>Longsword</v>
          </cell>
        </row>
        <row r="4">
          <cell r="F4" t="str">
            <v>Greater Masterwork</v>
          </cell>
          <cell r="H4" t="str">
            <v>14 Str (+2)</v>
          </cell>
          <cell r="O4">
            <v>1</v>
          </cell>
          <cell r="P4" t="str">
            <v>1d2</v>
          </cell>
          <cell r="Q4" t="str">
            <v>1d3</v>
          </cell>
          <cell r="R4" t="str">
            <v>1d4</v>
          </cell>
          <cell r="S4" t="str">
            <v>1d6</v>
          </cell>
          <cell r="U4" t="str">
            <v>Claw</v>
          </cell>
          <cell r="V4" t="str">
            <v>P</v>
          </cell>
          <cell r="Y4" t="str">
            <v>Thrown</v>
          </cell>
          <cell r="AC4" t="str">
            <v>Dagger, Barbed</v>
          </cell>
          <cell r="AD4" t="str">
            <v>Dagger</v>
          </cell>
        </row>
        <row r="5">
          <cell r="F5" t="str">
            <v>+1</v>
          </cell>
          <cell r="H5" t="str">
            <v>16 Str (+3)</v>
          </cell>
          <cell r="N5">
            <v>1</v>
          </cell>
          <cell r="O5" t="str">
            <v>1d2</v>
          </cell>
          <cell r="P5" t="str">
            <v>1d3</v>
          </cell>
          <cell r="Q5" t="str">
            <v>1d4</v>
          </cell>
          <cell r="R5" t="str">
            <v>1d6</v>
          </cell>
          <cell r="S5" t="str">
            <v>1d8</v>
          </cell>
          <cell r="U5" t="str">
            <v>Claws</v>
          </cell>
          <cell r="V5" t="str">
            <v>P</v>
          </cell>
          <cell r="Y5" t="str">
            <v>Two-Weapon (primary)</v>
          </cell>
          <cell r="AC5" t="str">
            <v>Longaxe</v>
          </cell>
          <cell r="AD5" t="str">
            <v>Greataxe</v>
          </cell>
        </row>
        <row r="6">
          <cell r="F6" t="str">
            <v>+1 GMW</v>
          </cell>
          <cell r="H6" t="str">
            <v>18 Str (+4)</v>
          </cell>
          <cell r="M6">
            <v>1</v>
          </cell>
          <cell r="N6" t="str">
            <v>1d2</v>
          </cell>
          <cell r="O6" t="str">
            <v>1d3</v>
          </cell>
          <cell r="P6" t="str">
            <v>1d4</v>
          </cell>
          <cell r="Q6" t="str">
            <v>1d6</v>
          </cell>
          <cell r="R6" t="str">
            <v>1d8</v>
          </cell>
          <cell r="S6" t="str">
            <v>2d6</v>
          </cell>
          <cell r="U6" t="str">
            <v>Foreclaws</v>
          </cell>
          <cell r="V6" t="str">
            <v>P</v>
          </cell>
          <cell r="Y6" t="str">
            <v>Two-Weapon (secondary)</v>
          </cell>
          <cell r="AC6" t="str">
            <v>Longstaff</v>
          </cell>
          <cell r="AD6" t="str">
            <v>Quarterstaff</v>
          </cell>
        </row>
        <row r="7">
          <cell r="F7" t="str">
            <v>+2</v>
          </cell>
          <cell r="H7" t="str">
            <v>20 Str (+5)</v>
          </cell>
          <cell r="L7">
            <v>1</v>
          </cell>
          <cell r="M7" t="str">
            <v>1d2</v>
          </cell>
          <cell r="N7" t="str">
            <v>1d3</v>
          </cell>
          <cell r="O7" t="str">
            <v>1d4</v>
          </cell>
          <cell r="P7" t="str">
            <v>1d6</v>
          </cell>
          <cell r="Q7" t="str">
            <v>1d8</v>
          </cell>
          <cell r="R7" t="str">
            <v>2d6</v>
          </cell>
          <cell r="S7" t="str">
            <v>3d6</v>
          </cell>
          <cell r="U7" t="str">
            <v>Gore</v>
          </cell>
          <cell r="V7" t="str">
            <v>P/B</v>
          </cell>
          <cell r="Y7" t="str">
            <v>Double-weapon (primary)</v>
          </cell>
          <cell r="AC7" t="str">
            <v>Rapier, Quickblade</v>
          </cell>
          <cell r="AD7" t="str">
            <v>Rapier</v>
          </cell>
        </row>
        <row r="8">
          <cell r="F8" t="str">
            <v>+3</v>
          </cell>
          <cell r="H8" t="str">
            <v>22 Str (+6)</v>
          </cell>
          <cell r="K8">
            <v>1</v>
          </cell>
          <cell r="L8" t="str">
            <v>1d2</v>
          </cell>
          <cell r="M8" t="str">
            <v>1d3</v>
          </cell>
          <cell r="N8" t="str">
            <v>1d4</v>
          </cell>
          <cell r="O8" t="str">
            <v>1d6</v>
          </cell>
          <cell r="P8" t="str">
            <v>1d8</v>
          </cell>
          <cell r="Q8" t="str">
            <v>2d6</v>
          </cell>
          <cell r="R8" t="str">
            <v>3d6</v>
          </cell>
          <cell r="S8" t="str">
            <v>4d6</v>
          </cell>
          <cell r="U8" t="str">
            <v>Head Butt</v>
          </cell>
          <cell r="V8" t="str">
            <v>B</v>
          </cell>
          <cell r="Y8" t="str">
            <v>Double-weapon (secondary)</v>
          </cell>
          <cell r="AC8" t="str">
            <v>Lightblade, Elven</v>
          </cell>
          <cell r="AD8" t="str">
            <v>Rapier</v>
          </cell>
        </row>
        <row r="9">
          <cell r="F9" t="str">
            <v>+4</v>
          </cell>
          <cell r="H9" t="str">
            <v>24 Str (+7)</v>
          </cell>
          <cell r="K9" t="str">
            <v>1d2</v>
          </cell>
          <cell r="L9" t="str">
            <v>1d3</v>
          </cell>
          <cell r="M9" t="str">
            <v>1d4</v>
          </cell>
          <cell r="N9" t="str">
            <v>1d6</v>
          </cell>
          <cell r="O9" t="str">
            <v>1d8</v>
          </cell>
          <cell r="P9" t="str">
            <v>2d6</v>
          </cell>
          <cell r="Q9" t="str">
            <v>3d6</v>
          </cell>
          <cell r="R9" t="str">
            <v>4d6</v>
          </cell>
          <cell r="S9" t="str">
            <v>6d6</v>
          </cell>
          <cell r="U9" t="str">
            <v>Hooves</v>
          </cell>
          <cell r="V9" t="str">
            <v>B</v>
          </cell>
          <cell r="Y9" t="str">
            <v>Primary Natural</v>
          </cell>
          <cell r="AC9" t="str">
            <v>Thinblade, Elven</v>
          </cell>
          <cell r="AD9" t="str">
            <v>Rapier</v>
          </cell>
        </row>
        <row r="10">
          <cell r="F10" t="str">
            <v>+5</v>
          </cell>
          <cell r="H10" t="str">
            <v>26 Str (+8)</v>
          </cell>
          <cell r="K10" t="str">
            <v>1d3</v>
          </cell>
          <cell r="L10" t="str">
            <v>1d4</v>
          </cell>
          <cell r="M10" t="str">
            <v>1d6</v>
          </cell>
          <cell r="N10" t="str">
            <v>1d8</v>
          </cell>
          <cell r="O10" t="str">
            <v>1d10</v>
          </cell>
          <cell r="P10" t="str">
            <v>2d8</v>
          </cell>
          <cell r="Q10" t="str">
            <v>3d8</v>
          </cell>
          <cell r="R10" t="str">
            <v>4d8</v>
          </cell>
          <cell r="S10" t="str">
            <v>6d8</v>
          </cell>
          <cell r="U10" t="str">
            <v>Horn</v>
          </cell>
          <cell r="V10" t="str">
            <v>P/B</v>
          </cell>
          <cell r="Y10" t="str">
            <v>Secondary Natural</v>
          </cell>
          <cell r="AC10" t="str">
            <v>Courtblade, Elven</v>
          </cell>
          <cell r="AD10" t="str">
            <v>Greatsword</v>
          </cell>
        </row>
        <row r="11">
          <cell r="A11" t="str">
            <v/>
          </cell>
          <cell r="F11" t="str">
            <v>+6</v>
          </cell>
          <cell r="H11" t="str">
            <v>28 Str (+9)</v>
          </cell>
          <cell r="K11" t="str">
            <v>1d4</v>
          </cell>
          <cell r="L11" t="str">
            <v>1d6</v>
          </cell>
          <cell r="M11" t="str">
            <v>1d8</v>
          </cell>
          <cell r="N11" t="str">
            <v>1d10</v>
          </cell>
          <cell r="O11" t="str">
            <v>1d12</v>
          </cell>
          <cell r="P11" t="str">
            <v>3d6</v>
          </cell>
          <cell r="Q11" t="str">
            <v>4d6</v>
          </cell>
          <cell r="R11" t="str">
            <v>6d6</v>
          </cell>
          <cell r="S11" t="str">
            <v>8d6</v>
          </cell>
          <cell r="U11" t="str">
            <v>Horns</v>
          </cell>
          <cell r="V11" t="str">
            <v>P/B</v>
          </cell>
          <cell r="Y11" t="str">
            <v>Multi-Weapon (primary)</v>
          </cell>
          <cell r="AC11" t="str">
            <v>Sword, Short Broadblade</v>
          </cell>
          <cell r="AD11" t="str">
            <v>Sword, Short</v>
          </cell>
        </row>
        <row r="12">
          <cell r="A12" t="str">
            <v xml:space="preserve">× Proficient with Club, Crossbow, Heavy, Crossbow, Light, Dagger, Quarterstaff.
</v>
          </cell>
          <cell r="F12" t="str">
            <v>+7</v>
          </cell>
          <cell r="H12" t="str">
            <v>30 Str (+10)</v>
          </cell>
          <cell r="K12" t="str">
            <v>1d2</v>
          </cell>
          <cell r="L12" t="str">
            <v>1d3</v>
          </cell>
          <cell r="M12" t="str">
            <v>1d4</v>
          </cell>
          <cell r="N12" t="str">
            <v>1d6</v>
          </cell>
          <cell r="O12" t="str">
            <v>2d4</v>
          </cell>
          <cell r="P12" t="str">
            <v>2d6</v>
          </cell>
          <cell r="Q12" t="str">
            <v>3d6</v>
          </cell>
          <cell r="R12" t="str">
            <v>4d6</v>
          </cell>
          <cell r="S12" t="str">
            <v>6d6</v>
          </cell>
          <cell r="U12" t="str">
            <v>Rake</v>
          </cell>
          <cell r="V12" t="str">
            <v>P/S</v>
          </cell>
          <cell r="Y12" t="str">
            <v>Multi-Weapon (secondary)</v>
          </cell>
          <cell r="AC12" t="str">
            <v>Longbow</v>
          </cell>
          <cell r="AD12" t="str">
            <v>Longbow, Composite</v>
          </cell>
        </row>
        <row r="13">
          <cell r="F13" t="str">
            <v>+8</v>
          </cell>
          <cell r="H13" t="str">
            <v>32 Str (+11)</v>
          </cell>
          <cell r="K13" t="str">
            <v>1d4</v>
          </cell>
          <cell r="L13" t="str">
            <v>1d6</v>
          </cell>
          <cell r="M13" t="str">
            <v>1d8</v>
          </cell>
          <cell r="N13" t="str">
            <v>1d10</v>
          </cell>
          <cell r="O13" t="str">
            <v>2d6</v>
          </cell>
          <cell r="P13" t="str">
            <v>3d6</v>
          </cell>
          <cell r="Q13" t="str">
            <v>4d6</v>
          </cell>
          <cell r="R13" t="str">
            <v>6d6</v>
          </cell>
          <cell r="S13" t="str">
            <v>8d6</v>
          </cell>
          <cell r="U13" t="str">
            <v>Rakes</v>
          </cell>
          <cell r="V13" t="str">
            <v>P/S</v>
          </cell>
          <cell r="AC13" t="str">
            <v>Shortbow</v>
          </cell>
          <cell r="AD13" t="str">
            <v>Shortbow, Composite</v>
          </cell>
        </row>
        <row r="14">
          <cell r="F14" t="str">
            <v>+9</v>
          </cell>
          <cell r="H14" t="str">
            <v>34 Str(+12)</v>
          </cell>
          <cell r="K14" t="str">
            <v>1d6</v>
          </cell>
          <cell r="L14" t="str">
            <v>1d8</v>
          </cell>
          <cell r="M14" t="str">
            <v>1d10</v>
          </cell>
          <cell r="N14" t="str">
            <v>2d6</v>
          </cell>
          <cell r="O14" t="str">
            <v>2d8</v>
          </cell>
          <cell r="P14" t="str">
            <v>3d8</v>
          </cell>
          <cell r="Q14" t="str">
            <v>4d8</v>
          </cell>
          <cell r="R14" t="str">
            <v>6d8</v>
          </cell>
          <cell r="S14" t="str">
            <v>8d8</v>
          </cell>
          <cell r="U14" t="str">
            <v>Slam</v>
          </cell>
          <cell r="V14" t="str">
            <v>B</v>
          </cell>
          <cell r="AC14" t="str">
            <v>Longbow, Composite</v>
          </cell>
          <cell r="AD14" t="str">
            <v>Longbow</v>
          </cell>
        </row>
        <row r="15">
          <cell r="A15" t="str">
            <v>× Proficient with Club, Crossbow, Heavy, Crossbow, Light, Dagger, Quarterstaff.</v>
          </cell>
          <cell r="F15" t="str">
            <v>+10</v>
          </cell>
          <cell r="H15" t="str">
            <v>36 Str (+13)</v>
          </cell>
          <cell r="K15" t="str">
            <v>1d8</v>
          </cell>
          <cell r="L15" t="str">
            <v>1d10</v>
          </cell>
          <cell r="M15" t="str">
            <v>2d6</v>
          </cell>
          <cell r="N15" t="str">
            <v>2d8</v>
          </cell>
          <cell r="O15" t="str">
            <v>2d10</v>
          </cell>
          <cell r="P15" t="str">
            <v>4d8</v>
          </cell>
          <cell r="Q15" t="str">
            <v>6d8</v>
          </cell>
          <cell r="R15" t="str">
            <v>8d8</v>
          </cell>
          <cell r="S15" t="str">
            <v>12d8</v>
          </cell>
          <cell r="U15" t="str">
            <v>Slams</v>
          </cell>
          <cell r="V15" t="str">
            <v>B</v>
          </cell>
          <cell r="AC15" t="str">
            <v>Shortbow, Composite</v>
          </cell>
          <cell r="AD15" t="str">
            <v>Shortbow</v>
          </cell>
        </row>
        <row r="16">
          <cell r="F16" t="str">
            <v>+11</v>
          </cell>
          <cell r="H16" t="str">
            <v>38 Str (+14)</v>
          </cell>
          <cell r="K16" t="str">
            <v>1d2</v>
          </cell>
          <cell r="L16" t="str">
            <v>1d3</v>
          </cell>
          <cell r="M16" t="str">
            <v>1d4</v>
          </cell>
          <cell r="N16" t="str">
            <v>1d6</v>
          </cell>
          <cell r="O16" t="str">
            <v>1d8</v>
          </cell>
          <cell r="P16" t="str">
            <v>1d10</v>
          </cell>
          <cell r="Q16" t="str">
            <v>1d12</v>
          </cell>
          <cell r="R16" t="str">
            <v>3d6</v>
          </cell>
          <cell r="S16" t="str">
            <v>4d6</v>
          </cell>
          <cell r="U16" t="str">
            <v>Spine</v>
          </cell>
          <cell r="V16" t="str">
            <v>P</v>
          </cell>
          <cell r="AC16" t="str">
            <v>Alchemy Blade</v>
          </cell>
          <cell r="AD16" t="str">
            <v>Sword, Short</v>
          </cell>
        </row>
        <row r="17">
          <cell r="F17" t="str">
            <v>+12</v>
          </cell>
          <cell r="H17" t="str">
            <v>40 Str (+15)</v>
          </cell>
          <cell r="K17" t="str">
            <v>1d2</v>
          </cell>
          <cell r="L17" t="str">
            <v>1d3</v>
          </cell>
          <cell r="M17" t="str">
            <v>1d4</v>
          </cell>
          <cell r="N17" t="str">
            <v>1d6</v>
          </cell>
          <cell r="O17" t="str">
            <v>1d8</v>
          </cell>
          <cell r="P17" t="str">
            <v>2d6</v>
          </cell>
          <cell r="Q17" t="str">
            <v>2d8</v>
          </cell>
          <cell r="R17" t="str">
            <v>3d8</v>
          </cell>
          <cell r="S17" t="str">
            <v>4d8</v>
          </cell>
          <cell r="U17" t="str">
            <v>Stamps</v>
          </cell>
          <cell r="V17" t="str">
            <v>B</v>
          </cell>
          <cell r="AC17" t="str">
            <v>Spear Spikard</v>
          </cell>
          <cell r="AD17" t="str">
            <v>Shortspear</v>
          </cell>
        </row>
        <row r="18">
          <cell r="F18" t="str">
            <v>+13</v>
          </cell>
          <cell r="H18" t="str">
            <v>42 Str (+16)</v>
          </cell>
          <cell r="K18">
            <v>1</v>
          </cell>
          <cell r="L18" t="str">
            <v>1d2</v>
          </cell>
          <cell r="M18" t="str">
            <v>1d3</v>
          </cell>
          <cell r="N18" t="str">
            <v>1d4</v>
          </cell>
          <cell r="O18" t="str">
            <v>1d6</v>
          </cell>
          <cell r="P18" t="str">
            <v>2d4</v>
          </cell>
          <cell r="Q18" t="str">
            <v>2d6</v>
          </cell>
          <cell r="R18" t="str">
            <v>3d6</v>
          </cell>
          <cell r="S18" t="str">
            <v>4d6</v>
          </cell>
          <cell r="U18" t="str">
            <v>Sting</v>
          </cell>
          <cell r="V18" t="str">
            <v>P</v>
          </cell>
        </row>
        <row r="19">
          <cell r="F19" t="str">
            <v>+14</v>
          </cell>
          <cell r="H19" t="str">
            <v>44 Str (+17)</v>
          </cell>
          <cell r="K19" t="str">
            <v>1d6</v>
          </cell>
          <cell r="L19" t="str">
            <v>1d8</v>
          </cell>
          <cell r="M19" t="str">
            <v>1d10</v>
          </cell>
          <cell r="N19" t="str">
            <v>2d6</v>
          </cell>
          <cell r="O19" t="str">
            <v>2d8</v>
          </cell>
          <cell r="P19" t="str">
            <v>2d10</v>
          </cell>
          <cell r="Q19" t="str">
            <v>2d12</v>
          </cell>
          <cell r="R19" t="str">
            <v>6d6</v>
          </cell>
          <cell r="S19" t="str">
            <v>8d6</v>
          </cell>
          <cell r="U19" t="str">
            <v>Tail Slap</v>
          </cell>
          <cell r="V19" t="str">
            <v>B</v>
          </cell>
        </row>
        <row r="20">
          <cell r="F20" t="str">
            <v>+15</v>
          </cell>
          <cell r="H20" t="str">
            <v>46 Str (+18)</v>
          </cell>
          <cell r="U20" t="str">
            <v>Talon</v>
          </cell>
          <cell r="V20" t="str">
            <v>P</v>
          </cell>
        </row>
        <row r="21">
          <cell r="A21" t="str">
            <v>Atlatl</v>
          </cell>
          <cell r="F21" t="str">
            <v>+16</v>
          </cell>
          <cell r="H21" t="str">
            <v>48 Str (+19)</v>
          </cell>
          <cell r="U21" t="str">
            <v>Talons</v>
          </cell>
          <cell r="V21" t="str">
            <v>P</v>
          </cell>
        </row>
        <row r="22">
          <cell r="F22" t="str">
            <v>+17</v>
          </cell>
          <cell r="H22" t="str">
            <v>50 Str (+20)</v>
          </cell>
          <cell r="U22" t="str">
            <v>Tentacle</v>
          </cell>
          <cell r="V22" t="str">
            <v>B</v>
          </cell>
        </row>
        <row r="23">
          <cell r="F23" t="str">
            <v>+18</v>
          </cell>
          <cell r="H23" t="str">
            <v>52 Str (+21)</v>
          </cell>
          <cell r="U23" t="str">
            <v>Tentacles</v>
          </cell>
          <cell r="V23" t="str">
            <v>B</v>
          </cell>
        </row>
        <row r="24">
          <cell r="F24" t="str">
            <v>+19</v>
          </cell>
          <cell r="H24" t="str">
            <v>54 Str (+22)</v>
          </cell>
          <cell r="U24" t="str">
            <v>Trample</v>
          </cell>
          <cell r="V24" t="str">
            <v>B</v>
          </cell>
        </row>
        <row r="25">
          <cell r="F25" t="str">
            <v>+20</v>
          </cell>
          <cell r="H25" t="str">
            <v>56 Str (+23)</v>
          </cell>
          <cell r="U25" t="str">
            <v>Wings</v>
          </cell>
          <cell r="V25" t="str">
            <v>B</v>
          </cell>
        </row>
        <row r="26">
          <cell r="H26" t="str">
            <v>58 Str (+24)</v>
          </cell>
        </row>
        <row r="27">
          <cell r="H27" t="str">
            <v>60 Str (+25)</v>
          </cell>
        </row>
        <row r="32">
          <cell r="A32" t="str">
            <v>Select A Weapon</v>
          </cell>
          <cell r="B32" t="str">
            <v>Select A Weapon</v>
          </cell>
          <cell r="C32" t="str">
            <v>Source</v>
          </cell>
          <cell r="D32" t="str">
            <v>Cat</v>
          </cell>
          <cell r="E32" t="str">
            <v>Size</v>
          </cell>
          <cell r="F32" t="str">
            <v>Dmg1(M)</v>
          </cell>
          <cell r="G32" t="str">
            <v>Dmg2(M)</v>
          </cell>
          <cell r="H32" t="str">
            <v>Threat</v>
          </cell>
          <cell r="I32" t="str">
            <v>Crit1</v>
          </cell>
          <cell r="J32" t="str">
            <v>Crit2</v>
          </cell>
          <cell r="K32" t="str">
            <v>Range</v>
          </cell>
          <cell r="L32" t="str">
            <v>Wgt</v>
          </cell>
          <cell r="M32" t="str">
            <v>Type</v>
          </cell>
          <cell r="N32" t="str">
            <v>Nonlethal</v>
          </cell>
          <cell r="O32" t="str">
            <v>Reach</v>
          </cell>
          <cell r="P32" t="str">
            <v>Special</v>
          </cell>
          <cell r="Q32" t="str">
            <v>List</v>
          </cell>
          <cell r="R32" t="str">
            <v>Deity</v>
          </cell>
          <cell r="S32" t="str">
            <v>Feat</v>
          </cell>
          <cell r="T32" t="str">
            <v>Prof</v>
          </cell>
          <cell r="U32" t="str">
            <v>Proficient?</v>
          </cell>
          <cell r="V32">
            <v>21</v>
          </cell>
          <cell r="W32">
            <v>22</v>
          </cell>
          <cell r="X32">
            <v>0</v>
          </cell>
          <cell r="Y32" t="str">
            <v>Feat or List</v>
          </cell>
          <cell r="Z32">
            <v>0</v>
          </cell>
          <cell r="AA32" t="str">
            <v>Simples</v>
          </cell>
          <cell r="AB32">
            <v>0</v>
          </cell>
          <cell r="AC32" t="str">
            <v>Martials</v>
          </cell>
          <cell r="AD32">
            <v>0</v>
          </cell>
          <cell r="AE32" t="str">
            <v>Exotics</v>
          </cell>
          <cell r="AF32" t="str">
            <v>SimpleList</v>
          </cell>
          <cell r="AG32" t="str">
            <v>MartialList</v>
          </cell>
          <cell r="AJ32" t="str">
            <v>ExoticList</v>
          </cell>
          <cell r="AM32" t="str">
            <v>Select A Weapon</v>
          </cell>
          <cell r="AN32" t="str">
            <v>Feat/List</v>
          </cell>
        </row>
        <row r="33">
          <cell r="A33" t="str">
            <v>Alchemy Blade</v>
          </cell>
          <cell r="B33" t="str">
            <v>Alchemy Blade</v>
          </cell>
          <cell r="D33" t="str">
            <v>E</v>
          </cell>
          <cell r="E33" t="str">
            <v>L</v>
          </cell>
          <cell r="F33">
            <v>5</v>
          </cell>
          <cell r="H33">
            <v>19</v>
          </cell>
          <cell r="I33">
            <v>2</v>
          </cell>
          <cell r="L33">
            <v>2</v>
          </cell>
          <cell r="M33" t="str">
            <v>P</v>
          </cell>
          <cell r="R33" t="b">
            <v>0</v>
          </cell>
          <cell r="S33" t="b">
            <v>0</v>
          </cell>
          <cell r="T33" t="b">
            <v>0</v>
          </cell>
          <cell r="U33" t="b">
            <v>0</v>
          </cell>
          <cell r="V33">
            <v>0</v>
          </cell>
          <cell r="W33" t="str">
            <v>Profs</v>
          </cell>
          <cell r="X33">
            <v>0</v>
          </cell>
          <cell r="Y33" t="str">
            <v/>
          </cell>
          <cell r="Z33">
            <v>0</v>
          </cell>
          <cell r="AA33" t="str">
            <v/>
          </cell>
          <cell r="AB33">
            <v>0</v>
          </cell>
          <cell r="AC33" t="str">
            <v/>
          </cell>
          <cell r="AD33">
            <v>1</v>
          </cell>
          <cell r="AE33" t="str">
            <v>Alchemy Blade</v>
          </cell>
          <cell r="AF33" t="str">
            <v>Blade, Retractable</v>
          </cell>
          <cell r="AG33" t="str">
            <v>Atlatl</v>
          </cell>
          <cell r="AH33">
            <v>0</v>
          </cell>
          <cell r="AI33" t="str">
            <v>Atlatl</v>
          </cell>
          <cell r="AJ33" t="str">
            <v>Alchemy Blade</v>
          </cell>
          <cell r="AK33">
            <v>0</v>
          </cell>
          <cell r="AL33" t="str">
            <v>Alchemy Blade</v>
          </cell>
          <cell r="AM33" t="str">
            <v>Club</v>
          </cell>
          <cell r="AN33" t="str">
            <v>Club</v>
          </cell>
          <cell r="AO33">
            <v>0</v>
          </cell>
          <cell r="AP33" t="str">
            <v>Club</v>
          </cell>
          <cell r="AQ33" t="str">
            <v>Club, Heavy Crossbow, Light Crossbow, Dagger, Quarterstaff</v>
          </cell>
          <cell r="AR33">
            <v>0</v>
          </cell>
          <cell r="AS33" t="str">
            <v>Alchemy Blade</v>
          </cell>
        </row>
        <row r="34">
          <cell r="A34" t="str">
            <v>Annulat</v>
          </cell>
          <cell r="B34" t="str">
            <v>Annulat</v>
          </cell>
          <cell r="D34" t="str">
            <v>E</v>
          </cell>
          <cell r="E34" t="str">
            <v>R</v>
          </cell>
          <cell r="F34">
            <v>5</v>
          </cell>
          <cell r="H34">
            <v>19</v>
          </cell>
          <cell r="I34">
            <v>2</v>
          </cell>
          <cell r="K34">
            <v>30</v>
          </cell>
          <cell r="L34">
            <v>0.5</v>
          </cell>
          <cell r="M34" t="str">
            <v>S</v>
          </cell>
          <cell r="P34" t="str">
            <v>T</v>
          </cell>
          <cell r="Q34" t="b">
            <v>0</v>
          </cell>
          <cell r="R34" t="b">
            <v>0</v>
          </cell>
          <cell r="S34" t="b">
            <v>0</v>
          </cell>
          <cell r="T34" t="b">
            <v>0</v>
          </cell>
          <cell r="U34" t="b">
            <v>0</v>
          </cell>
          <cell r="V34">
            <v>0</v>
          </cell>
          <cell r="W34" t="str">
            <v/>
          </cell>
          <cell r="X34">
            <v>0</v>
          </cell>
          <cell r="Y34" t="str">
            <v/>
          </cell>
          <cell r="Z34">
            <v>0</v>
          </cell>
          <cell r="AA34" t="str">
            <v/>
          </cell>
          <cell r="AB34">
            <v>0</v>
          </cell>
          <cell r="AC34" t="str">
            <v/>
          </cell>
          <cell r="AD34">
            <v>2</v>
          </cell>
          <cell r="AE34" t="str">
            <v>Annulat</v>
          </cell>
          <cell r="AF34" t="str">
            <v>Blowgun</v>
          </cell>
          <cell r="AG34" t="str">
            <v>Axe, Throwing</v>
          </cell>
          <cell r="AH34">
            <v>4</v>
          </cell>
          <cell r="AI34" t="str">
            <v>Throwing Axe</v>
          </cell>
          <cell r="AJ34" t="str">
            <v>Annulat</v>
          </cell>
          <cell r="AK34">
            <v>0</v>
          </cell>
          <cell r="AL34" t="str">
            <v>Annulat</v>
          </cell>
          <cell r="AM34" t="str">
            <v>Crossbow, Heavy</v>
          </cell>
          <cell r="AN34" t="str">
            <v>Crossbow, Heavy</v>
          </cell>
          <cell r="AO34">
            <v>9</v>
          </cell>
          <cell r="AP34" t="str">
            <v>Heavy Crossbow</v>
          </cell>
          <cell r="AQ34" t="str">
            <v>Heavy Crossbow, Light Crossbow, Dagger, Quarterstaff</v>
          </cell>
          <cell r="AR34">
            <v>0</v>
          </cell>
          <cell r="AS34" t="str">
            <v>Annulat</v>
          </cell>
        </row>
        <row r="35">
          <cell r="A35" t="str">
            <v>Atlatl</v>
          </cell>
          <cell r="B35" t="str">
            <v>Atlatl</v>
          </cell>
          <cell r="D35" t="str">
            <v>M</v>
          </cell>
          <cell r="E35" t="str">
            <v>R</v>
          </cell>
          <cell r="F35">
            <v>4</v>
          </cell>
          <cell r="H35">
            <v>20</v>
          </cell>
          <cell r="I35">
            <v>3</v>
          </cell>
          <cell r="K35">
            <v>50</v>
          </cell>
          <cell r="L35">
            <v>2</v>
          </cell>
          <cell r="M35" t="str">
            <v>P</v>
          </cell>
          <cell r="R35" t="b">
            <v>0</v>
          </cell>
          <cell r="S35" t="b">
            <v>0</v>
          </cell>
          <cell r="T35" t="b">
            <v>0</v>
          </cell>
          <cell r="U35" t="b">
            <v>0</v>
          </cell>
          <cell r="V35">
            <v>0</v>
          </cell>
          <cell r="W35" t="str">
            <v/>
          </cell>
          <cell r="X35">
            <v>0</v>
          </cell>
          <cell r="Y35" t="str">
            <v/>
          </cell>
          <cell r="Z35">
            <v>0</v>
          </cell>
          <cell r="AA35" t="str">
            <v/>
          </cell>
          <cell r="AB35">
            <v>1</v>
          </cell>
          <cell r="AC35" t="str">
            <v>Atlatl</v>
          </cell>
          <cell r="AD35">
            <v>2</v>
          </cell>
          <cell r="AE35" t="str">
            <v/>
          </cell>
          <cell r="AF35" t="str">
            <v>Catspaw</v>
          </cell>
          <cell r="AG35" t="str">
            <v>Battleaxe</v>
          </cell>
          <cell r="AH35">
            <v>0</v>
          </cell>
          <cell r="AI35" t="str">
            <v>Battleaxe</v>
          </cell>
          <cell r="AJ35" t="str">
            <v>Axe, Ice</v>
          </cell>
          <cell r="AK35">
            <v>4</v>
          </cell>
          <cell r="AL35" t="str">
            <v>Ice Axe</v>
          </cell>
          <cell r="AM35" t="str">
            <v>Crossbow, Light</v>
          </cell>
          <cell r="AN35" t="str">
            <v>Crossbow, Light</v>
          </cell>
          <cell r="AO35">
            <v>9</v>
          </cell>
          <cell r="AP35" t="str">
            <v>Light Crossbow</v>
          </cell>
          <cell r="AQ35" t="str">
            <v>Light Crossbow, Dagger, Quarterstaff</v>
          </cell>
          <cell r="AR35">
            <v>0</v>
          </cell>
          <cell r="AS35" t="str">
            <v>Atlatl</v>
          </cell>
        </row>
        <row r="36">
          <cell r="A36" t="str">
            <v>Axe, Ice</v>
          </cell>
          <cell r="B36" t="str">
            <v>Axe, Ice</v>
          </cell>
          <cell r="D36" t="str">
            <v>E</v>
          </cell>
          <cell r="E36" t="str">
            <v>O</v>
          </cell>
          <cell r="F36">
            <v>5</v>
          </cell>
          <cell r="H36">
            <v>20</v>
          </cell>
          <cell r="I36">
            <v>4</v>
          </cell>
          <cell r="L36">
            <v>5</v>
          </cell>
          <cell r="M36" t="str">
            <v>S/P</v>
          </cell>
          <cell r="R36" t="b">
            <v>0</v>
          </cell>
          <cell r="S36" t="b">
            <v>0</v>
          </cell>
          <cell r="T36" t="b">
            <v>0</v>
          </cell>
          <cell r="U36" t="b">
            <v>0</v>
          </cell>
          <cell r="V36">
            <v>0</v>
          </cell>
          <cell r="W36" t="str">
            <v/>
          </cell>
          <cell r="X36">
            <v>0</v>
          </cell>
          <cell r="Y36" t="str">
            <v/>
          </cell>
          <cell r="Z36">
            <v>0</v>
          </cell>
          <cell r="AA36" t="str">
            <v/>
          </cell>
          <cell r="AB36">
            <v>1</v>
          </cell>
          <cell r="AC36" t="str">
            <v/>
          </cell>
          <cell r="AD36">
            <v>3</v>
          </cell>
          <cell r="AE36" t="str">
            <v>Axe, Ice</v>
          </cell>
          <cell r="AF36" t="str">
            <v>Club</v>
          </cell>
          <cell r="AG36" t="str">
            <v>Bayonet</v>
          </cell>
          <cell r="AH36">
            <v>0</v>
          </cell>
          <cell r="AI36" t="str">
            <v>Bayonet</v>
          </cell>
          <cell r="AJ36" t="str">
            <v>Axe, Orc Double</v>
          </cell>
          <cell r="AK36">
            <v>4</v>
          </cell>
          <cell r="AL36" t="str">
            <v>Orc Double Axe</v>
          </cell>
          <cell r="AM36" t="str">
            <v>Dagger</v>
          </cell>
          <cell r="AN36" t="str">
            <v>Dagger</v>
          </cell>
          <cell r="AO36">
            <v>0</v>
          </cell>
          <cell r="AP36" t="str">
            <v>Dagger</v>
          </cell>
          <cell r="AQ36" t="str">
            <v>Dagger, Quarterstaff</v>
          </cell>
          <cell r="AR36">
            <v>4</v>
          </cell>
          <cell r="AS36" t="str">
            <v>Ice Axe</v>
          </cell>
        </row>
        <row r="37">
          <cell r="A37" t="str">
            <v>Axe, Orc Double</v>
          </cell>
          <cell r="B37" t="str">
            <v>Axe, Orc Double</v>
          </cell>
          <cell r="D37" t="str">
            <v>E</v>
          </cell>
          <cell r="E37" t="str">
            <v>T</v>
          </cell>
          <cell r="F37">
            <v>6</v>
          </cell>
          <cell r="G37">
            <v>6</v>
          </cell>
          <cell r="H37">
            <v>20</v>
          </cell>
          <cell r="I37">
            <v>3</v>
          </cell>
          <cell r="J37">
            <v>3</v>
          </cell>
          <cell r="L37">
            <v>15</v>
          </cell>
          <cell r="M37" t="str">
            <v>S</v>
          </cell>
          <cell r="P37" t="str">
            <v/>
          </cell>
          <cell r="Q37" t="b">
            <v>0</v>
          </cell>
          <cell r="R37" t="b">
            <v>0</v>
          </cell>
          <cell r="S37" t="b">
            <v>0</v>
          </cell>
          <cell r="T37" t="b">
            <v>0</v>
          </cell>
          <cell r="U37" t="b">
            <v>0</v>
          </cell>
          <cell r="V37">
            <v>0</v>
          </cell>
          <cell r="W37" t="str">
            <v/>
          </cell>
          <cell r="X37">
            <v>0</v>
          </cell>
          <cell r="Y37" t="str">
            <v/>
          </cell>
          <cell r="Z37">
            <v>0</v>
          </cell>
          <cell r="AA37" t="str">
            <v/>
          </cell>
          <cell r="AB37">
            <v>1</v>
          </cell>
          <cell r="AC37" t="str">
            <v/>
          </cell>
          <cell r="AD37">
            <v>4</v>
          </cell>
          <cell r="AE37" t="str">
            <v>Axe, Orc Double</v>
          </cell>
          <cell r="AF37" t="str">
            <v>Crossbow, Heavy</v>
          </cell>
          <cell r="AG37" t="str">
            <v>Cutlass</v>
          </cell>
          <cell r="AH37">
            <v>0</v>
          </cell>
          <cell r="AI37" t="str">
            <v>Cutlass</v>
          </cell>
          <cell r="AJ37" t="str">
            <v>Battle Flag</v>
          </cell>
          <cell r="AK37">
            <v>0</v>
          </cell>
          <cell r="AL37" t="str">
            <v>Battle Flag</v>
          </cell>
          <cell r="AM37" t="str">
            <v>Quarterstaff</v>
          </cell>
          <cell r="AN37" t="str">
            <v>Quarterstaff</v>
          </cell>
          <cell r="AO37">
            <v>0</v>
          </cell>
          <cell r="AP37" t="str">
            <v>Quarterstaff</v>
          </cell>
          <cell r="AQ37" t="str">
            <v>Quarterstaff</v>
          </cell>
          <cell r="AR37">
            <v>4</v>
          </cell>
          <cell r="AS37" t="str">
            <v>Orc Double Axe</v>
          </cell>
        </row>
        <row r="38">
          <cell r="A38" t="str">
            <v>Axe, Throwing</v>
          </cell>
          <cell r="B38" t="str">
            <v>Axe, Throwing</v>
          </cell>
          <cell r="D38" t="str">
            <v>M</v>
          </cell>
          <cell r="E38" t="str">
            <v>L</v>
          </cell>
          <cell r="F38">
            <v>5</v>
          </cell>
          <cell r="H38">
            <v>20</v>
          </cell>
          <cell r="I38">
            <v>2</v>
          </cell>
          <cell r="K38">
            <v>10</v>
          </cell>
          <cell r="L38">
            <v>2</v>
          </cell>
          <cell r="M38" t="str">
            <v>S</v>
          </cell>
          <cell r="P38" t="str">
            <v>T</v>
          </cell>
          <cell r="Q38" t="b">
            <v>0</v>
          </cell>
          <cell r="R38" t="b">
            <v>0</v>
          </cell>
          <cell r="S38" t="b">
            <v>0</v>
          </cell>
          <cell r="T38" t="b">
            <v>0</v>
          </cell>
          <cell r="U38" t="b">
            <v>0</v>
          </cell>
          <cell r="V38">
            <v>0</v>
          </cell>
          <cell r="W38" t="str">
            <v/>
          </cell>
          <cell r="X38">
            <v>0</v>
          </cell>
          <cell r="Y38" t="str">
            <v/>
          </cell>
          <cell r="Z38">
            <v>0</v>
          </cell>
          <cell r="AA38" t="str">
            <v/>
          </cell>
          <cell r="AB38">
            <v>2</v>
          </cell>
          <cell r="AC38" t="str">
            <v>Axe, Throwing</v>
          </cell>
          <cell r="AD38">
            <v>4</v>
          </cell>
          <cell r="AE38" t="str">
            <v/>
          </cell>
          <cell r="AF38" t="str">
            <v>Crossbow, Light</v>
          </cell>
          <cell r="AG38" t="str">
            <v>Dart thruster</v>
          </cell>
          <cell r="AH38">
            <v>0</v>
          </cell>
          <cell r="AI38" t="str">
            <v>Dart thruster</v>
          </cell>
          <cell r="AJ38" t="str">
            <v>Battlehorn</v>
          </cell>
          <cell r="AK38">
            <v>0</v>
          </cell>
          <cell r="AL38" t="str">
            <v>Battlehorn</v>
          </cell>
          <cell r="AM38" t="str">
            <v>Grapple</v>
          </cell>
          <cell r="AN38" t="str">
            <v/>
          </cell>
          <cell r="AO38">
            <v>0</v>
          </cell>
          <cell r="AP38" t="str">
            <v/>
          </cell>
          <cell r="AQ38" t="str">
            <v/>
          </cell>
          <cell r="AR38">
            <v>4</v>
          </cell>
          <cell r="AS38" t="str">
            <v>Throwing Axe</v>
          </cell>
        </row>
        <row r="39">
          <cell r="A39" t="str">
            <v>Battleaxe</v>
          </cell>
          <cell r="B39" t="str">
            <v>Battleaxe</v>
          </cell>
          <cell r="D39" t="str">
            <v>M</v>
          </cell>
          <cell r="E39" t="str">
            <v>O</v>
          </cell>
          <cell r="F39">
            <v>6</v>
          </cell>
          <cell r="H39">
            <v>20</v>
          </cell>
          <cell r="I39">
            <v>3</v>
          </cell>
          <cell r="L39">
            <v>6</v>
          </cell>
          <cell r="M39" t="str">
            <v>S</v>
          </cell>
          <cell r="Q39" t="b">
            <v>0</v>
          </cell>
          <cell r="R39" t="b">
            <v>0</v>
          </cell>
          <cell r="S39" t="b">
            <v>0</v>
          </cell>
          <cell r="T39" t="b">
            <v>0</v>
          </cell>
          <cell r="U39" t="b">
            <v>0</v>
          </cell>
          <cell r="V39">
            <v>0</v>
          </cell>
          <cell r="W39" t="str">
            <v/>
          </cell>
          <cell r="X39">
            <v>0</v>
          </cell>
          <cell r="Y39" t="str">
            <v/>
          </cell>
          <cell r="Z39">
            <v>0</v>
          </cell>
          <cell r="AA39" t="str">
            <v/>
          </cell>
          <cell r="AB39">
            <v>3</v>
          </cell>
          <cell r="AC39" t="str">
            <v>Battleaxe</v>
          </cell>
          <cell r="AD39">
            <v>4</v>
          </cell>
          <cell r="AE39" t="str">
            <v/>
          </cell>
          <cell r="AF39" t="str">
            <v>Dagger</v>
          </cell>
          <cell r="AG39" t="str">
            <v>Falchion</v>
          </cell>
          <cell r="AH39">
            <v>0</v>
          </cell>
          <cell r="AI39" t="str">
            <v>Falchion</v>
          </cell>
          <cell r="AJ39" t="str">
            <v>Battlepick, Gnome</v>
          </cell>
          <cell r="AK39">
            <v>11</v>
          </cell>
          <cell r="AL39" t="str">
            <v>Gnome Battlepick</v>
          </cell>
          <cell r="AM39" t="str">
            <v>Touch</v>
          </cell>
          <cell r="AN39" t="str">
            <v/>
          </cell>
          <cell r="AO39">
            <v>0</v>
          </cell>
          <cell r="AP39" t="str">
            <v/>
          </cell>
          <cell r="AQ39" t="str">
            <v/>
          </cell>
          <cell r="AR39">
            <v>0</v>
          </cell>
          <cell r="AS39" t="str">
            <v>Battleaxe</v>
          </cell>
        </row>
        <row r="40">
          <cell r="A40" t="str">
            <v>Battle Flag</v>
          </cell>
          <cell r="B40" t="str">
            <v>Battle Flag</v>
          </cell>
          <cell r="D40" t="str">
            <v>E</v>
          </cell>
          <cell r="E40" t="str">
            <v>O</v>
          </cell>
          <cell r="F40">
            <v>6</v>
          </cell>
          <cell r="H40">
            <v>20</v>
          </cell>
          <cell r="I40">
            <v>3</v>
          </cell>
          <cell r="M40" t="str">
            <v>P</v>
          </cell>
          <cell r="R40" t="b">
            <v>0</v>
          </cell>
          <cell r="S40" t="b">
            <v>0</v>
          </cell>
          <cell r="T40" t="b">
            <v>0</v>
          </cell>
          <cell r="U40" t="b">
            <v>0</v>
          </cell>
          <cell r="V40">
            <v>0</v>
          </cell>
          <cell r="W40" t="str">
            <v/>
          </cell>
          <cell r="X40">
            <v>0</v>
          </cell>
          <cell r="Y40" t="str">
            <v/>
          </cell>
          <cell r="Z40">
            <v>0</v>
          </cell>
          <cell r="AA40" t="str">
            <v/>
          </cell>
          <cell r="AB40">
            <v>3</v>
          </cell>
          <cell r="AC40" t="str">
            <v/>
          </cell>
          <cell r="AD40">
            <v>5</v>
          </cell>
          <cell r="AE40" t="str">
            <v>Battle Flag</v>
          </cell>
          <cell r="AF40" t="str">
            <v>Dagger, Punching</v>
          </cell>
          <cell r="AG40" t="str">
            <v>Flail</v>
          </cell>
          <cell r="AH40">
            <v>0</v>
          </cell>
          <cell r="AI40" t="str">
            <v>Flail</v>
          </cell>
          <cell r="AJ40" t="str">
            <v>Blade, Skipping</v>
          </cell>
          <cell r="AK40">
            <v>6</v>
          </cell>
          <cell r="AL40" t="str">
            <v>Skipping Blade</v>
          </cell>
          <cell r="AM40" t="str">
            <v>Ray</v>
          </cell>
          <cell r="AN40" t="str">
            <v/>
          </cell>
          <cell r="AO40">
            <v>0</v>
          </cell>
          <cell r="AP40" t="str">
            <v/>
          </cell>
          <cell r="AQ40" t="str">
            <v/>
          </cell>
          <cell r="AR40">
            <v>0</v>
          </cell>
          <cell r="AS40" t="str">
            <v>Battle Flag</v>
          </cell>
        </row>
        <row r="41">
          <cell r="A41" t="str">
            <v>Battlehorn</v>
          </cell>
          <cell r="B41" t="str">
            <v>Battlehorn</v>
          </cell>
          <cell r="D41" t="str">
            <v>E</v>
          </cell>
          <cell r="E41" t="str">
            <v>T</v>
          </cell>
          <cell r="F41">
            <v>6</v>
          </cell>
          <cell r="G41">
            <v>6</v>
          </cell>
          <cell r="H41">
            <v>20</v>
          </cell>
          <cell r="I41">
            <v>3</v>
          </cell>
          <cell r="J41">
            <v>3</v>
          </cell>
          <cell r="L41">
            <v>10</v>
          </cell>
          <cell r="M41" t="str">
            <v>P</v>
          </cell>
          <cell r="R41" t="b">
            <v>0</v>
          </cell>
          <cell r="S41" t="b">
            <v>0</v>
          </cell>
          <cell r="T41" t="b">
            <v>0</v>
          </cell>
          <cell r="U41" t="b">
            <v>0</v>
          </cell>
          <cell r="V41">
            <v>0</v>
          </cell>
          <cell r="W41" t="str">
            <v/>
          </cell>
          <cell r="X41">
            <v>0</v>
          </cell>
          <cell r="Y41" t="str">
            <v/>
          </cell>
          <cell r="Z41">
            <v>0</v>
          </cell>
          <cell r="AA41" t="str">
            <v/>
          </cell>
          <cell r="AB41">
            <v>3</v>
          </cell>
          <cell r="AC41" t="str">
            <v/>
          </cell>
          <cell r="AD41">
            <v>6</v>
          </cell>
          <cell r="AE41" t="str">
            <v>Battlehorn</v>
          </cell>
          <cell r="AF41" t="str">
            <v>Dart</v>
          </cell>
          <cell r="AG41" t="str">
            <v>Flail, Heavy</v>
          </cell>
          <cell r="AH41">
            <v>6</v>
          </cell>
          <cell r="AI41" t="str">
            <v>Heavy Flail</v>
          </cell>
          <cell r="AJ41" t="str">
            <v>Blowgun, Greater</v>
          </cell>
          <cell r="AK41">
            <v>8</v>
          </cell>
          <cell r="AL41" t="str">
            <v>Greater Blowgun</v>
          </cell>
          <cell r="AM41" t="str">
            <v>Energy Missile</v>
          </cell>
          <cell r="AN41" t="str">
            <v/>
          </cell>
          <cell r="AO41">
            <v>0</v>
          </cell>
          <cell r="AP41" t="str">
            <v/>
          </cell>
          <cell r="AQ41" t="str">
            <v/>
          </cell>
          <cell r="AR41">
            <v>0</v>
          </cell>
          <cell r="AS41" t="str">
            <v>Battlehorn</v>
          </cell>
        </row>
        <row r="42">
          <cell r="A42" t="str">
            <v>Battlepick, Gnome</v>
          </cell>
          <cell r="B42" t="str">
            <v>Battlepick, Gnome</v>
          </cell>
          <cell r="D42" t="str">
            <v>E</v>
          </cell>
          <cell r="E42" t="str">
            <v>O</v>
          </cell>
          <cell r="F42">
            <v>5</v>
          </cell>
          <cell r="H42">
            <v>20</v>
          </cell>
          <cell r="I42">
            <v>4</v>
          </cell>
          <cell r="L42">
            <v>5</v>
          </cell>
          <cell r="M42" t="str">
            <v>P</v>
          </cell>
          <cell r="P42" t="str">
            <v/>
          </cell>
          <cell r="Q42" t="b">
            <v>0</v>
          </cell>
          <cell r="R42" t="b">
            <v>0</v>
          </cell>
          <cell r="S42" t="b">
            <v>0</v>
          </cell>
          <cell r="T42" t="b">
            <v>0</v>
          </cell>
          <cell r="U42" t="b">
            <v>0</v>
          </cell>
          <cell r="V42">
            <v>0</v>
          </cell>
          <cell r="W42" t="str">
            <v/>
          </cell>
          <cell r="X42">
            <v>0</v>
          </cell>
          <cell r="Y42" t="str">
            <v/>
          </cell>
          <cell r="Z42">
            <v>0</v>
          </cell>
          <cell r="AA42" t="str">
            <v/>
          </cell>
          <cell r="AB42">
            <v>3</v>
          </cell>
          <cell r="AC42" t="str">
            <v/>
          </cell>
          <cell r="AD42">
            <v>7</v>
          </cell>
          <cell r="AE42" t="str">
            <v>Battlepick, Gnome</v>
          </cell>
          <cell r="AF42" t="str">
            <v>Gauntlet</v>
          </cell>
          <cell r="AG42" t="str">
            <v>Glaive</v>
          </cell>
          <cell r="AH42">
            <v>0</v>
          </cell>
          <cell r="AI42" t="str">
            <v>Glaive</v>
          </cell>
          <cell r="AJ42" t="str">
            <v>Blunderbuss</v>
          </cell>
          <cell r="AK42">
            <v>0</v>
          </cell>
          <cell r="AL42" t="str">
            <v>Blunderbuss</v>
          </cell>
          <cell r="AM42" t="str">
            <v>Spellfire</v>
          </cell>
          <cell r="AN42" t="str">
            <v/>
          </cell>
          <cell r="AO42">
            <v>0</v>
          </cell>
          <cell r="AP42" t="str">
            <v/>
          </cell>
          <cell r="AQ42" t="str">
            <v/>
          </cell>
          <cell r="AR42">
            <v>11</v>
          </cell>
          <cell r="AS42" t="str">
            <v>Gnome Battlepick</v>
          </cell>
        </row>
        <row r="43">
          <cell r="A43" t="str">
            <v>Bayonet</v>
          </cell>
          <cell r="B43" t="str">
            <v>Bayonet</v>
          </cell>
          <cell r="D43" t="str">
            <v>M</v>
          </cell>
          <cell r="E43" t="str">
            <v>T</v>
          </cell>
          <cell r="F43">
            <v>6</v>
          </cell>
          <cell r="H43">
            <v>20</v>
          </cell>
          <cell r="I43">
            <v>2</v>
          </cell>
          <cell r="L43">
            <v>0.5</v>
          </cell>
          <cell r="M43" t="str">
            <v>P</v>
          </cell>
          <cell r="R43" t="b">
            <v>0</v>
          </cell>
          <cell r="S43" t="b">
            <v>0</v>
          </cell>
          <cell r="T43" t="b">
            <v>0</v>
          </cell>
          <cell r="U43" t="b">
            <v>0</v>
          </cell>
          <cell r="V43">
            <v>0</v>
          </cell>
          <cell r="W43" t="str">
            <v/>
          </cell>
          <cell r="X43">
            <v>0</v>
          </cell>
          <cell r="Y43" t="str">
            <v/>
          </cell>
          <cell r="Z43">
            <v>0</v>
          </cell>
          <cell r="AA43" t="str">
            <v/>
          </cell>
          <cell r="AB43">
            <v>4</v>
          </cell>
          <cell r="AC43" t="str">
            <v>Bayonet</v>
          </cell>
          <cell r="AD43">
            <v>7</v>
          </cell>
          <cell r="AE43" t="str">
            <v/>
          </cell>
          <cell r="AF43" t="str">
            <v>Gauntlet, Spiked</v>
          </cell>
          <cell r="AG43" t="str">
            <v>Greataxe</v>
          </cell>
          <cell r="AH43">
            <v>0</v>
          </cell>
          <cell r="AI43" t="str">
            <v>Greataxe</v>
          </cell>
          <cell r="AJ43" t="str">
            <v>Bolas</v>
          </cell>
          <cell r="AK43">
            <v>0</v>
          </cell>
          <cell r="AL43" t="str">
            <v>Bolas</v>
          </cell>
          <cell r="AM43" t="str">
            <v/>
          </cell>
          <cell r="AN43" t="str">
            <v/>
          </cell>
          <cell r="AO43">
            <v>0</v>
          </cell>
          <cell r="AP43" t="str">
            <v/>
          </cell>
          <cell r="AQ43" t="str">
            <v/>
          </cell>
          <cell r="AR43">
            <v>0</v>
          </cell>
          <cell r="AS43" t="str">
            <v>Bayonet</v>
          </cell>
        </row>
        <row r="44">
          <cell r="A44" t="str">
            <v>Blade, Retractable</v>
          </cell>
          <cell r="B44" t="str">
            <v>Blade, Retractable</v>
          </cell>
          <cell r="D44" t="str">
            <v>S</v>
          </cell>
          <cell r="E44" t="str">
            <v>T</v>
          </cell>
          <cell r="F44">
            <v>6</v>
          </cell>
          <cell r="H44">
            <v>20</v>
          </cell>
          <cell r="I44">
            <v>2</v>
          </cell>
          <cell r="L44">
            <v>0.5</v>
          </cell>
          <cell r="M44" t="str">
            <v>P</v>
          </cell>
          <cell r="R44" t="b">
            <v>0</v>
          </cell>
          <cell r="S44" t="b">
            <v>0</v>
          </cell>
          <cell r="T44" t="b">
            <v>0</v>
          </cell>
          <cell r="U44" t="b">
            <v>0</v>
          </cell>
          <cell r="V44">
            <v>0</v>
          </cell>
          <cell r="W44" t="str">
            <v/>
          </cell>
          <cell r="X44">
            <v>0</v>
          </cell>
          <cell r="Y44" t="str">
            <v/>
          </cell>
          <cell r="Z44">
            <v>1</v>
          </cell>
          <cell r="AA44" t="str">
            <v>Blade, Retractable</v>
          </cell>
          <cell r="AB44">
            <v>4</v>
          </cell>
          <cell r="AC44" t="str">
            <v/>
          </cell>
          <cell r="AD44">
            <v>7</v>
          </cell>
          <cell r="AE44" t="str">
            <v/>
          </cell>
          <cell r="AF44" t="str">
            <v>Javelin</v>
          </cell>
          <cell r="AG44" t="str">
            <v>Greatclub</v>
          </cell>
          <cell r="AH44">
            <v>0</v>
          </cell>
          <cell r="AI44" t="str">
            <v>Greatclub</v>
          </cell>
          <cell r="AJ44" t="str">
            <v>Bolas, Barbed</v>
          </cell>
          <cell r="AK44">
            <v>6</v>
          </cell>
          <cell r="AL44" t="str">
            <v>Barbed Bolas</v>
          </cell>
          <cell r="AM44" t="str">
            <v/>
          </cell>
          <cell r="AN44" t="str">
            <v/>
          </cell>
          <cell r="AO44">
            <v>0</v>
          </cell>
          <cell r="AP44" t="str">
            <v/>
          </cell>
          <cell r="AQ44" t="str">
            <v/>
          </cell>
          <cell r="AR44">
            <v>6</v>
          </cell>
          <cell r="AS44" t="str">
            <v>Retractable Blade</v>
          </cell>
        </row>
        <row r="45">
          <cell r="A45" t="str">
            <v>Blade, Skipping</v>
          </cell>
          <cell r="B45" t="str">
            <v>Blade, Skipping</v>
          </cell>
          <cell r="D45" t="str">
            <v>E</v>
          </cell>
          <cell r="E45" t="str">
            <v>R</v>
          </cell>
          <cell r="F45">
            <v>3</v>
          </cell>
          <cell r="H45">
            <v>20</v>
          </cell>
          <cell r="I45">
            <v>3</v>
          </cell>
          <cell r="K45">
            <v>10</v>
          </cell>
          <cell r="L45">
            <v>0.5</v>
          </cell>
          <cell r="M45" t="str">
            <v>S</v>
          </cell>
          <cell r="P45" t="str">
            <v>T</v>
          </cell>
          <cell r="R45" t="b">
            <v>0</v>
          </cell>
          <cell r="S45" t="b">
            <v>0</v>
          </cell>
          <cell r="T45" t="b">
            <v>0</v>
          </cell>
          <cell r="U45" t="b">
            <v>0</v>
          </cell>
          <cell r="V45">
            <v>0</v>
          </cell>
          <cell r="W45" t="str">
            <v/>
          </cell>
          <cell r="X45">
            <v>0</v>
          </cell>
          <cell r="Y45" t="str">
            <v/>
          </cell>
          <cell r="Z45">
            <v>1</v>
          </cell>
          <cell r="AA45" t="str">
            <v/>
          </cell>
          <cell r="AB45">
            <v>4</v>
          </cell>
          <cell r="AC45" t="str">
            <v/>
          </cell>
          <cell r="AD45">
            <v>8</v>
          </cell>
          <cell r="AE45" t="str">
            <v>Blade, Skipping</v>
          </cell>
          <cell r="AF45" t="str">
            <v>Longspear</v>
          </cell>
          <cell r="AG45" t="str">
            <v>Greatsword</v>
          </cell>
          <cell r="AH45">
            <v>0</v>
          </cell>
          <cell r="AI45" t="str">
            <v>Greatsword</v>
          </cell>
          <cell r="AJ45" t="str">
            <v>Bomb</v>
          </cell>
          <cell r="AK45">
            <v>0</v>
          </cell>
          <cell r="AL45" t="str">
            <v>Bomb</v>
          </cell>
          <cell r="AM45" t="str">
            <v/>
          </cell>
          <cell r="AN45" t="str">
            <v/>
          </cell>
          <cell r="AO45">
            <v>0</v>
          </cell>
          <cell r="AP45" t="str">
            <v/>
          </cell>
          <cell r="AQ45" t="str">
            <v/>
          </cell>
          <cell r="AR45">
            <v>6</v>
          </cell>
          <cell r="AS45" t="str">
            <v>Skipping Blade</v>
          </cell>
        </row>
        <row r="46">
          <cell r="A46" t="str">
            <v>Blowgun</v>
          </cell>
          <cell r="B46" t="str">
            <v>Blowgun</v>
          </cell>
          <cell r="C46" t="str">
            <v>OA</v>
          </cell>
          <cell r="D46" t="str">
            <v>S</v>
          </cell>
          <cell r="E46" t="str">
            <v>R</v>
          </cell>
          <cell r="F46">
            <v>1</v>
          </cell>
          <cell r="H46">
            <v>20</v>
          </cell>
          <cell r="I46">
            <v>2</v>
          </cell>
          <cell r="K46">
            <v>10</v>
          </cell>
          <cell r="L46">
            <v>2</v>
          </cell>
          <cell r="M46" t="str">
            <v>P</v>
          </cell>
          <cell r="Q46" t="b">
            <v>0</v>
          </cell>
          <cell r="R46" t="b">
            <v>0</v>
          </cell>
          <cell r="S46" t="b">
            <v>0</v>
          </cell>
          <cell r="T46" t="b">
            <v>0</v>
          </cell>
          <cell r="U46" t="b">
            <v>0</v>
          </cell>
          <cell r="V46">
            <v>0</v>
          </cell>
          <cell r="W46" t="str">
            <v/>
          </cell>
          <cell r="X46">
            <v>0</v>
          </cell>
          <cell r="Y46" t="str">
            <v/>
          </cell>
          <cell r="Z46">
            <v>2</v>
          </cell>
          <cell r="AA46" t="str">
            <v>Blowgun</v>
          </cell>
          <cell r="AB46">
            <v>4</v>
          </cell>
          <cell r="AC46" t="str">
            <v/>
          </cell>
          <cell r="AD46">
            <v>8</v>
          </cell>
          <cell r="AE46" t="str">
            <v/>
          </cell>
          <cell r="AF46" t="str">
            <v>Mace, Heavy</v>
          </cell>
          <cell r="AG46" t="str">
            <v>Guisarme</v>
          </cell>
          <cell r="AH46">
            <v>0</v>
          </cell>
          <cell r="AI46" t="str">
            <v>Guisarme</v>
          </cell>
          <cell r="AJ46" t="str">
            <v>Boomerang</v>
          </cell>
          <cell r="AK46">
            <v>0</v>
          </cell>
          <cell r="AL46" t="str">
            <v>Boomerang</v>
          </cell>
          <cell r="AM46" t="str">
            <v/>
          </cell>
          <cell r="AN46" t="str">
            <v/>
          </cell>
          <cell r="AO46">
            <v>0</v>
          </cell>
          <cell r="AP46" t="str">
            <v/>
          </cell>
          <cell r="AQ46" t="str">
            <v/>
          </cell>
          <cell r="AR46">
            <v>0</v>
          </cell>
          <cell r="AS46" t="str">
            <v>Blowgun</v>
          </cell>
        </row>
        <row r="47">
          <cell r="A47" t="str">
            <v>Blowgun, Greater</v>
          </cell>
          <cell r="B47" t="str">
            <v>Blowgun, Greater</v>
          </cell>
          <cell r="D47" t="str">
            <v>E</v>
          </cell>
          <cell r="E47" t="str">
            <v>R</v>
          </cell>
          <cell r="F47">
            <v>3</v>
          </cell>
          <cell r="H47">
            <v>20</v>
          </cell>
          <cell r="I47">
            <v>2</v>
          </cell>
          <cell r="K47">
            <v>10</v>
          </cell>
          <cell r="L47">
            <v>2</v>
          </cell>
          <cell r="M47" t="str">
            <v>P</v>
          </cell>
          <cell r="R47" t="b">
            <v>0</v>
          </cell>
          <cell r="S47" t="b">
            <v>0</v>
          </cell>
          <cell r="T47" t="b">
            <v>0</v>
          </cell>
          <cell r="U47" t="b">
            <v>0</v>
          </cell>
          <cell r="V47">
            <v>0</v>
          </cell>
          <cell r="W47" t="str">
            <v/>
          </cell>
          <cell r="X47">
            <v>0</v>
          </cell>
          <cell r="Y47" t="str">
            <v/>
          </cell>
          <cell r="Z47">
            <v>2</v>
          </cell>
          <cell r="AA47" t="str">
            <v/>
          </cell>
          <cell r="AB47">
            <v>4</v>
          </cell>
          <cell r="AC47" t="str">
            <v/>
          </cell>
          <cell r="AD47">
            <v>9</v>
          </cell>
          <cell r="AE47" t="str">
            <v>Blowgun, Greater</v>
          </cell>
          <cell r="AF47" t="str">
            <v>Mace, Light</v>
          </cell>
          <cell r="AG47" t="str">
            <v>Halberd</v>
          </cell>
          <cell r="AH47">
            <v>0</v>
          </cell>
          <cell r="AI47" t="str">
            <v>Halberd</v>
          </cell>
          <cell r="AJ47" t="str">
            <v>Boomerang, Talenta</v>
          </cell>
          <cell r="AK47">
            <v>10</v>
          </cell>
          <cell r="AL47" t="str">
            <v>Talenta Boomerang</v>
          </cell>
          <cell r="AM47" t="str">
            <v/>
          </cell>
          <cell r="AN47" t="str">
            <v/>
          </cell>
          <cell r="AO47">
            <v>0</v>
          </cell>
          <cell r="AP47" t="str">
            <v/>
          </cell>
          <cell r="AQ47" t="str">
            <v/>
          </cell>
          <cell r="AR47">
            <v>8</v>
          </cell>
          <cell r="AS47" t="str">
            <v>Greater Blowgun</v>
          </cell>
        </row>
        <row r="48">
          <cell r="A48" t="str">
            <v>Blunderbuss</v>
          </cell>
          <cell r="B48" t="str">
            <v>Blunderbuss</v>
          </cell>
          <cell r="D48" t="str">
            <v>E</v>
          </cell>
          <cell r="E48" t="str">
            <v>L</v>
          </cell>
          <cell r="L48">
            <v>15</v>
          </cell>
          <cell r="M48" t="str">
            <v>P</v>
          </cell>
          <cell r="R48" t="b">
            <v>0</v>
          </cell>
          <cell r="S48" t="b">
            <v>0</v>
          </cell>
          <cell r="T48" t="b">
            <v>0</v>
          </cell>
          <cell r="U48" t="b">
            <v>0</v>
          </cell>
          <cell r="V48">
            <v>0</v>
          </cell>
          <cell r="W48" t="str">
            <v/>
          </cell>
          <cell r="X48">
            <v>0</v>
          </cell>
          <cell r="Y48" t="str">
            <v/>
          </cell>
          <cell r="Z48">
            <v>2</v>
          </cell>
          <cell r="AA48" t="str">
            <v/>
          </cell>
          <cell r="AB48">
            <v>4</v>
          </cell>
          <cell r="AC48" t="str">
            <v/>
          </cell>
          <cell r="AD48">
            <v>10</v>
          </cell>
          <cell r="AE48" t="str">
            <v>Blunderbuss</v>
          </cell>
          <cell r="AF48" t="str">
            <v>Morningstar</v>
          </cell>
          <cell r="AG48" t="str">
            <v>Hammer, Light</v>
          </cell>
          <cell r="AH48">
            <v>7</v>
          </cell>
          <cell r="AI48" t="str">
            <v>Light Hammer</v>
          </cell>
          <cell r="AJ48" t="str">
            <v>Boomerang, Three-bladed Razor</v>
          </cell>
          <cell r="AK48">
            <v>10</v>
          </cell>
          <cell r="AL48" t="str">
            <v>Three-bladed Razor Boomerang</v>
          </cell>
          <cell r="AM48" t="str">
            <v/>
          </cell>
          <cell r="AN48" t="str">
            <v/>
          </cell>
          <cell r="AO48">
            <v>0</v>
          </cell>
          <cell r="AP48" t="str">
            <v/>
          </cell>
          <cell r="AQ48" t="str">
            <v/>
          </cell>
          <cell r="AR48">
            <v>0</v>
          </cell>
          <cell r="AS48" t="str">
            <v>Blunderbuss</v>
          </cell>
        </row>
        <row r="49">
          <cell r="A49" t="str">
            <v>Bolas</v>
          </cell>
          <cell r="B49" t="str">
            <v>Bolas</v>
          </cell>
          <cell r="D49" t="str">
            <v>E</v>
          </cell>
          <cell r="E49" t="str">
            <v>R</v>
          </cell>
          <cell r="F49">
            <v>4</v>
          </cell>
          <cell r="H49">
            <v>20</v>
          </cell>
          <cell r="I49">
            <v>2</v>
          </cell>
          <cell r="K49">
            <v>10</v>
          </cell>
          <cell r="L49">
            <v>2</v>
          </cell>
          <cell r="M49" t="str">
            <v>B</v>
          </cell>
          <cell r="P49" t="str">
            <v>T</v>
          </cell>
          <cell r="Q49" t="b">
            <v>0</v>
          </cell>
          <cell r="R49" t="b">
            <v>0</v>
          </cell>
          <cell r="S49" t="b">
            <v>0</v>
          </cell>
          <cell r="T49" t="b">
            <v>0</v>
          </cell>
          <cell r="U49" t="b">
            <v>0</v>
          </cell>
          <cell r="V49">
            <v>0</v>
          </cell>
          <cell r="W49" t="str">
            <v/>
          </cell>
          <cell r="X49">
            <v>0</v>
          </cell>
          <cell r="Y49" t="str">
            <v/>
          </cell>
          <cell r="Z49">
            <v>2</v>
          </cell>
          <cell r="AA49" t="str">
            <v/>
          </cell>
          <cell r="AB49">
            <v>4</v>
          </cell>
          <cell r="AC49" t="str">
            <v/>
          </cell>
          <cell r="AD49">
            <v>11</v>
          </cell>
          <cell r="AE49" t="str">
            <v>Bolas</v>
          </cell>
          <cell r="AF49" t="str">
            <v>Muspelrule</v>
          </cell>
          <cell r="AG49" t="str">
            <v>Hammer, Lucerne</v>
          </cell>
          <cell r="AH49">
            <v>7</v>
          </cell>
          <cell r="AI49" t="str">
            <v>Lucerne Hammer</v>
          </cell>
          <cell r="AJ49" t="str">
            <v>Boomerang, Xen'drik</v>
          </cell>
          <cell r="AK49">
            <v>10</v>
          </cell>
          <cell r="AL49" t="str">
            <v>Xen'drik Boomerang</v>
          </cell>
          <cell r="AM49" t="str">
            <v/>
          </cell>
          <cell r="AN49" t="str">
            <v/>
          </cell>
          <cell r="AO49">
            <v>0</v>
          </cell>
          <cell r="AP49" t="str">
            <v/>
          </cell>
          <cell r="AQ49" t="str">
            <v/>
          </cell>
          <cell r="AR49">
            <v>0</v>
          </cell>
          <cell r="AS49" t="str">
            <v>Bolas</v>
          </cell>
        </row>
        <row r="50">
          <cell r="A50" t="str">
            <v>Bolas, Barbed</v>
          </cell>
          <cell r="B50" t="str">
            <v>Bolas, Barbed</v>
          </cell>
          <cell r="D50" t="str">
            <v>E</v>
          </cell>
          <cell r="E50" t="str">
            <v>R</v>
          </cell>
          <cell r="F50">
            <v>4</v>
          </cell>
          <cell r="H50">
            <v>20</v>
          </cell>
          <cell r="I50">
            <v>2</v>
          </cell>
          <cell r="K50">
            <v>10</v>
          </cell>
          <cell r="L50">
            <v>3</v>
          </cell>
          <cell r="M50" t="str">
            <v>P</v>
          </cell>
          <cell r="R50" t="b">
            <v>0</v>
          </cell>
          <cell r="S50" t="b">
            <v>0</v>
          </cell>
          <cell r="T50" t="b">
            <v>0</v>
          </cell>
          <cell r="U50" t="b">
            <v>0</v>
          </cell>
          <cell r="V50">
            <v>0</v>
          </cell>
          <cell r="W50" t="str">
            <v/>
          </cell>
          <cell r="X50">
            <v>0</v>
          </cell>
          <cell r="Y50" t="str">
            <v/>
          </cell>
          <cell r="Z50">
            <v>2</v>
          </cell>
          <cell r="AA50" t="str">
            <v/>
          </cell>
          <cell r="AB50">
            <v>4</v>
          </cell>
          <cell r="AC50" t="str">
            <v/>
          </cell>
          <cell r="AD50">
            <v>12</v>
          </cell>
          <cell r="AE50" t="str">
            <v>Bolas, Barbed</v>
          </cell>
          <cell r="AF50" t="str">
            <v>Quarterstaff</v>
          </cell>
          <cell r="AG50" t="str">
            <v>Handaxe</v>
          </cell>
          <cell r="AH50">
            <v>0</v>
          </cell>
          <cell r="AI50" t="str">
            <v>Handaxe</v>
          </cell>
          <cell r="AJ50" t="str">
            <v>Bow, Bone</v>
          </cell>
          <cell r="AK50">
            <v>4</v>
          </cell>
          <cell r="AL50" t="str">
            <v>Bone Bow</v>
          </cell>
          <cell r="AM50" t="str">
            <v/>
          </cell>
          <cell r="AN50" t="str">
            <v/>
          </cell>
          <cell r="AO50">
            <v>0</v>
          </cell>
          <cell r="AP50" t="str">
            <v/>
          </cell>
          <cell r="AQ50" t="str">
            <v/>
          </cell>
          <cell r="AR50">
            <v>6</v>
          </cell>
          <cell r="AS50" t="str">
            <v>Barbed Bolas</v>
          </cell>
        </row>
        <row r="51">
          <cell r="A51" t="str">
            <v>Bomb</v>
          </cell>
          <cell r="B51" t="str">
            <v>Bomb</v>
          </cell>
          <cell r="D51" t="str">
            <v>E</v>
          </cell>
          <cell r="E51" t="str">
            <v>R</v>
          </cell>
          <cell r="F51">
            <v>12</v>
          </cell>
          <cell r="K51">
            <v>10</v>
          </cell>
          <cell r="L51">
            <v>1</v>
          </cell>
          <cell r="M51" t="str">
            <v>*</v>
          </cell>
          <cell r="P51" t="str">
            <v>5' blast radius</v>
          </cell>
          <cell r="R51" t="b">
            <v>0</v>
          </cell>
          <cell r="S51" t="b">
            <v>0</v>
          </cell>
          <cell r="T51" t="b">
            <v>0</v>
          </cell>
          <cell r="U51" t="b">
            <v>0</v>
          </cell>
          <cell r="V51">
            <v>0</v>
          </cell>
          <cell r="W51" t="str">
            <v/>
          </cell>
          <cell r="X51">
            <v>0</v>
          </cell>
          <cell r="Y51" t="str">
            <v/>
          </cell>
          <cell r="Z51">
            <v>2</v>
          </cell>
          <cell r="AA51" t="str">
            <v/>
          </cell>
          <cell r="AB51">
            <v>4</v>
          </cell>
          <cell r="AC51" t="str">
            <v/>
          </cell>
          <cell r="AD51">
            <v>13</v>
          </cell>
          <cell r="AE51" t="str">
            <v>Bomb</v>
          </cell>
          <cell r="AF51" t="str">
            <v>Shortspear</v>
          </cell>
          <cell r="AG51" t="str">
            <v>Katana</v>
          </cell>
          <cell r="AH51">
            <v>0</v>
          </cell>
          <cell r="AI51" t="str">
            <v>Katana</v>
          </cell>
          <cell r="AJ51" t="str">
            <v>Bow, Yuan-ti Serpent</v>
          </cell>
          <cell r="AK51">
            <v>4</v>
          </cell>
          <cell r="AL51" t="str">
            <v>Yuan-ti Serpent Bow</v>
          </cell>
          <cell r="AM51" t="str">
            <v/>
          </cell>
          <cell r="AN51" t="str">
            <v/>
          </cell>
          <cell r="AO51">
            <v>0</v>
          </cell>
          <cell r="AP51" t="str">
            <v/>
          </cell>
          <cell r="AQ51" t="str">
            <v/>
          </cell>
          <cell r="AR51">
            <v>0</v>
          </cell>
          <cell r="AS51" t="str">
            <v>Bomb</v>
          </cell>
        </row>
        <row r="52">
          <cell r="A52" t="str">
            <v>Boomerang</v>
          </cell>
          <cell r="B52" t="str">
            <v>Boomerang</v>
          </cell>
          <cell r="D52" t="str">
            <v>E</v>
          </cell>
          <cell r="E52" t="str">
            <v>R</v>
          </cell>
          <cell r="F52">
            <v>4</v>
          </cell>
          <cell r="H52">
            <v>20</v>
          </cell>
          <cell r="I52">
            <v>2</v>
          </cell>
          <cell r="K52">
            <v>20</v>
          </cell>
          <cell r="L52">
            <v>2</v>
          </cell>
          <cell r="M52" t="str">
            <v>B</v>
          </cell>
          <cell r="N52" t="str">
            <v>S</v>
          </cell>
          <cell r="P52" t="str">
            <v>T</v>
          </cell>
          <cell r="R52" t="b">
            <v>0</v>
          </cell>
          <cell r="S52" t="b">
            <v>0</v>
          </cell>
          <cell r="T52" t="b">
            <v>0</v>
          </cell>
          <cell r="U52" t="b">
            <v>0</v>
          </cell>
          <cell r="V52">
            <v>0</v>
          </cell>
          <cell r="W52" t="str">
            <v/>
          </cell>
          <cell r="X52">
            <v>0</v>
          </cell>
          <cell r="Y52" t="str">
            <v/>
          </cell>
          <cell r="Z52">
            <v>2</v>
          </cell>
          <cell r="AA52" t="str">
            <v/>
          </cell>
          <cell r="AB52">
            <v>4</v>
          </cell>
          <cell r="AC52" t="str">
            <v/>
          </cell>
          <cell r="AD52">
            <v>14</v>
          </cell>
          <cell r="AE52" t="str">
            <v>Boomerang</v>
          </cell>
          <cell r="AF52" t="str">
            <v>Sickle</v>
          </cell>
          <cell r="AG52" t="str">
            <v>Kukri</v>
          </cell>
          <cell r="AH52">
            <v>0</v>
          </cell>
          <cell r="AI52" t="str">
            <v>Kukri</v>
          </cell>
          <cell r="AJ52" t="str">
            <v>Bracer, Claw</v>
          </cell>
          <cell r="AK52">
            <v>7</v>
          </cell>
          <cell r="AL52" t="str">
            <v>Claw Bracer</v>
          </cell>
          <cell r="AM52" t="str">
            <v/>
          </cell>
          <cell r="AN52" t="str">
            <v/>
          </cell>
          <cell r="AO52">
            <v>0</v>
          </cell>
          <cell r="AP52" t="str">
            <v/>
          </cell>
          <cell r="AQ52" t="str">
            <v/>
          </cell>
          <cell r="AR52">
            <v>0</v>
          </cell>
          <cell r="AS52" t="str">
            <v>Boomerang</v>
          </cell>
        </row>
        <row r="53">
          <cell r="A53" t="str">
            <v>Boomerang, Talenta</v>
          </cell>
          <cell r="B53" t="str">
            <v>Boomerang, Talenta</v>
          </cell>
          <cell r="D53" t="str">
            <v>E</v>
          </cell>
          <cell r="E53" t="str">
            <v>R</v>
          </cell>
          <cell r="F53">
            <v>4</v>
          </cell>
          <cell r="H53">
            <v>20</v>
          </cell>
          <cell r="I53">
            <v>2</v>
          </cell>
          <cell r="K53">
            <v>30</v>
          </cell>
          <cell r="L53">
            <v>1</v>
          </cell>
          <cell r="M53" t="str">
            <v>B</v>
          </cell>
          <cell r="P53" t="str">
            <v>T</v>
          </cell>
          <cell r="R53" t="b">
            <v>0</v>
          </cell>
          <cell r="S53" t="b">
            <v>0</v>
          </cell>
          <cell r="T53" t="b">
            <v>0</v>
          </cell>
          <cell r="U53" t="b">
            <v>0</v>
          </cell>
          <cell r="V53">
            <v>0</v>
          </cell>
          <cell r="W53" t="str">
            <v/>
          </cell>
          <cell r="X53">
            <v>0</v>
          </cell>
          <cell r="Y53" t="str">
            <v/>
          </cell>
          <cell r="Z53">
            <v>2</v>
          </cell>
          <cell r="AA53" t="str">
            <v/>
          </cell>
          <cell r="AB53">
            <v>4</v>
          </cell>
          <cell r="AC53" t="str">
            <v/>
          </cell>
          <cell r="AD53">
            <v>15</v>
          </cell>
          <cell r="AE53" t="str">
            <v>Boomerang, Talenta</v>
          </cell>
          <cell r="AF53" t="str">
            <v>Sickle, Heavy</v>
          </cell>
          <cell r="AG53" t="str">
            <v>Lance</v>
          </cell>
          <cell r="AH53">
            <v>0</v>
          </cell>
          <cell r="AI53" t="str">
            <v>Lance</v>
          </cell>
          <cell r="AJ53" t="str">
            <v>Buckler-axe, Dwarven</v>
          </cell>
          <cell r="AK53">
            <v>12</v>
          </cell>
          <cell r="AL53" t="str">
            <v>Dwarven Buckler-axe</v>
          </cell>
          <cell r="AM53" t="str">
            <v/>
          </cell>
          <cell r="AN53" t="str">
            <v/>
          </cell>
          <cell r="AO53">
            <v>0</v>
          </cell>
          <cell r="AP53" t="str">
            <v/>
          </cell>
          <cell r="AQ53" t="str">
            <v/>
          </cell>
          <cell r="AR53">
            <v>10</v>
          </cell>
          <cell r="AS53" t="str">
            <v>Talenta Boomerang</v>
          </cell>
        </row>
        <row r="54">
          <cell r="A54" t="str">
            <v>Boomerang, Three-bladed Razor</v>
          </cell>
          <cell r="B54" t="str">
            <v>Boomerang, Three-bladed Razor</v>
          </cell>
          <cell r="D54" t="str">
            <v>E</v>
          </cell>
          <cell r="E54" t="str">
            <v>R</v>
          </cell>
          <cell r="F54">
            <v>5</v>
          </cell>
          <cell r="H54">
            <v>20</v>
          </cell>
          <cell r="I54">
            <v>2</v>
          </cell>
          <cell r="K54">
            <v>10</v>
          </cell>
          <cell r="L54">
            <v>4</v>
          </cell>
          <cell r="M54" t="str">
            <v>S</v>
          </cell>
          <cell r="R54" t="b">
            <v>0</v>
          </cell>
          <cell r="S54" t="b">
            <v>0</v>
          </cell>
          <cell r="T54" t="b">
            <v>0</v>
          </cell>
          <cell r="U54" t="b">
            <v>0</v>
          </cell>
          <cell r="V54">
            <v>0</v>
          </cell>
          <cell r="W54" t="str">
            <v/>
          </cell>
          <cell r="X54">
            <v>0</v>
          </cell>
          <cell r="Y54" t="str">
            <v/>
          </cell>
          <cell r="Z54">
            <v>2</v>
          </cell>
          <cell r="AA54" t="str">
            <v/>
          </cell>
          <cell r="AB54">
            <v>4</v>
          </cell>
          <cell r="AC54" t="str">
            <v/>
          </cell>
          <cell r="AD54">
            <v>16</v>
          </cell>
          <cell r="AE54" t="str">
            <v>Boomerang, Three-bladed Razor</v>
          </cell>
          <cell r="AF54" t="str">
            <v>Sling</v>
          </cell>
          <cell r="AG54" t="str">
            <v>Lancet, Gehennan</v>
          </cell>
          <cell r="AH54">
            <v>7</v>
          </cell>
          <cell r="AI54" t="str">
            <v>Gehennan Lancet</v>
          </cell>
          <cell r="AJ54" t="str">
            <v>Cat-o-nine-tails</v>
          </cell>
          <cell r="AK54">
            <v>0</v>
          </cell>
          <cell r="AL54" t="str">
            <v>Cat-o-nine-tails</v>
          </cell>
          <cell r="AM54" t="str">
            <v/>
          </cell>
          <cell r="AN54" t="str">
            <v/>
          </cell>
          <cell r="AO54">
            <v>0</v>
          </cell>
          <cell r="AP54" t="str">
            <v/>
          </cell>
          <cell r="AQ54" t="str">
            <v/>
          </cell>
          <cell r="AR54">
            <v>10</v>
          </cell>
          <cell r="AS54" t="str">
            <v>Three-bladed Razor Boomerang</v>
          </cell>
        </row>
        <row r="55">
          <cell r="A55" t="str">
            <v>Boomerang, Xen'drik</v>
          </cell>
          <cell r="B55" t="str">
            <v>Boomerang, Xen'drik</v>
          </cell>
          <cell r="D55" t="str">
            <v>E</v>
          </cell>
          <cell r="E55" t="str">
            <v>R</v>
          </cell>
          <cell r="F55">
            <v>5</v>
          </cell>
          <cell r="H55">
            <v>20</v>
          </cell>
          <cell r="I55">
            <v>2</v>
          </cell>
          <cell r="K55">
            <v>20</v>
          </cell>
          <cell r="L55">
            <v>2</v>
          </cell>
          <cell r="M55" t="str">
            <v>B/P</v>
          </cell>
          <cell r="P55" t="str">
            <v>T</v>
          </cell>
          <cell r="R55" t="b">
            <v>0</v>
          </cell>
          <cell r="S55" t="b">
            <v>0</v>
          </cell>
          <cell r="T55" t="b">
            <v>0</v>
          </cell>
          <cell r="U55" t="b">
            <v>0</v>
          </cell>
          <cell r="V55">
            <v>0</v>
          </cell>
          <cell r="W55" t="str">
            <v/>
          </cell>
          <cell r="X55">
            <v>0</v>
          </cell>
          <cell r="Y55" t="str">
            <v/>
          </cell>
          <cell r="Z55">
            <v>2</v>
          </cell>
          <cell r="AA55" t="str">
            <v/>
          </cell>
          <cell r="AB55">
            <v>4</v>
          </cell>
          <cell r="AC55" t="str">
            <v/>
          </cell>
          <cell r="AD55">
            <v>17</v>
          </cell>
          <cell r="AE55" t="str">
            <v>Boomerang, Xen'drik</v>
          </cell>
          <cell r="AF55" t="str">
            <v>Spear</v>
          </cell>
          <cell r="AG55" t="str">
            <v>Longbow</v>
          </cell>
          <cell r="AH55">
            <v>0</v>
          </cell>
          <cell r="AI55" t="str">
            <v>Longbow</v>
          </cell>
          <cell r="AJ55" t="str">
            <v>Calculus, Gnome</v>
          </cell>
          <cell r="AK55">
            <v>9</v>
          </cell>
          <cell r="AL55" t="str">
            <v>Gnome Calculus</v>
          </cell>
          <cell r="AM55" t="str">
            <v/>
          </cell>
          <cell r="AN55" t="str">
            <v/>
          </cell>
          <cell r="AO55">
            <v>0</v>
          </cell>
          <cell r="AP55" t="str">
            <v/>
          </cell>
          <cell r="AQ55" t="str">
            <v/>
          </cell>
          <cell r="AR55">
            <v>10</v>
          </cell>
          <cell r="AS55" t="str">
            <v>Xen'drik Boomerang</v>
          </cell>
        </row>
        <row r="56">
          <cell r="A56" t="str">
            <v>Bow, Bone</v>
          </cell>
          <cell r="B56" t="str">
            <v>Bow, Bone</v>
          </cell>
          <cell r="D56" t="str">
            <v>E</v>
          </cell>
          <cell r="E56" t="str">
            <v>R</v>
          </cell>
          <cell r="F56">
            <v>7</v>
          </cell>
          <cell r="H56">
            <v>20</v>
          </cell>
          <cell r="I56">
            <v>3</v>
          </cell>
          <cell r="K56">
            <v>120</v>
          </cell>
          <cell r="L56">
            <v>4</v>
          </cell>
          <cell r="M56" t="str">
            <v>P</v>
          </cell>
          <cell r="R56" t="b">
            <v>0</v>
          </cell>
          <cell r="S56" t="b">
            <v>0</v>
          </cell>
          <cell r="T56" t="b">
            <v>0</v>
          </cell>
          <cell r="U56" t="b">
            <v>0</v>
          </cell>
          <cell r="V56">
            <v>0</v>
          </cell>
          <cell r="W56" t="str">
            <v/>
          </cell>
          <cell r="X56">
            <v>0</v>
          </cell>
          <cell r="Y56" t="str">
            <v/>
          </cell>
          <cell r="Z56">
            <v>2</v>
          </cell>
          <cell r="AA56" t="str">
            <v/>
          </cell>
          <cell r="AB56">
            <v>4</v>
          </cell>
          <cell r="AC56" t="str">
            <v/>
          </cell>
          <cell r="AD56">
            <v>18</v>
          </cell>
          <cell r="AE56" t="str">
            <v>Bow, Bone</v>
          </cell>
          <cell r="AF56" t="str">
            <v>Spearthrower</v>
          </cell>
          <cell r="AG56" t="str">
            <v>Longbow, Aquatic</v>
          </cell>
          <cell r="AH56">
            <v>8</v>
          </cell>
          <cell r="AI56" t="str">
            <v>Aquatic Longbow</v>
          </cell>
          <cell r="AJ56" t="str">
            <v>Cestus, Ward</v>
          </cell>
          <cell r="AK56">
            <v>7</v>
          </cell>
          <cell r="AL56" t="str">
            <v>Ward Cestus</v>
          </cell>
          <cell r="AM56" t="str">
            <v/>
          </cell>
          <cell r="AN56" t="str">
            <v/>
          </cell>
          <cell r="AO56">
            <v>0</v>
          </cell>
          <cell r="AP56" t="str">
            <v/>
          </cell>
          <cell r="AQ56" t="str">
            <v/>
          </cell>
          <cell r="AR56">
            <v>4</v>
          </cell>
          <cell r="AS56" t="str">
            <v>Bone Bow</v>
          </cell>
        </row>
        <row r="57">
          <cell r="A57" t="str">
            <v>Bow, Yuan-ti Serpent</v>
          </cell>
          <cell r="B57" t="str">
            <v>Bow, Yuan-ti Serpent</v>
          </cell>
          <cell r="D57" t="str">
            <v>E</v>
          </cell>
          <cell r="E57" t="str">
            <v>R</v>
          </cell>
          <cell r="F57">
            <v>5</v>
          </cell>
          <cell r="G57">
            <v>6</v>
          </cell>
          <cell r="H57">
            <v>19</v>
          </cell>
          <cell r="I57">
            <v>2</v>
          </cell>
          <cell r="J57">
            <v>3</v>
          </cell>
          <cell r="K57">
            <v>80</v>
          </cell>
          <cell r="L57">
            <v>5</v>
          </cell>
          <cell r="M57" t="str">
            <v>S/P</v>
          </cell>
          <cell r="R57" t="b">
            <v>0</v>
          </cell>
          <cell r="S57" t="b">
            <v>0</v>
          </cell>
          <cell r="T57" t="b">
            <v>0</v>
          </cell>
          <cell r="U57" t="b">
            <v>0</v>
          </cell>
          <cell r="V57">
            <v>0</v>
          </cell>
          <cell r="W57" t="str">
            <v/>
          </cell>
          <cell r="X57">
            <v>0</v>
          </cell>
          <cell r="Y57" t="str">
            <v/>
          </cell>
          <cell r="Z57">
            <v>2</v>
          </cell>
          <cell r="AA57" t="str">
            <v/>
          </cell>
          <cell r="AB57">
            <v>4</v>
          </cell>
          <cell r="AC57" t="str">
            <v/>
          </cell>
          <cell r="AD57">
            <v>19</v>
          </cell>
          <cell r="AE57" t="str">
            <v>Bow, Yuan-ti Serpent</v>
          </cell>
          <cell r="AF57" t="str">
            <v>Staff, Harpoon</v>
          </cell>
          <cell r="AG57" t="str">
            <v>Longbow, Composite</v>
          </cell>
          <cell r="AH57">
            <v>8</v>
          </cell>
          <cell r="AI57" t="str">
            <v>Composite Longbow</v>
          </cell>
          <cell r="AJ57" t="str">
            <v>Chain, Drow Scorpion</v>
          </cell>
          <cell r="AK57">
            <v>6</v>
          </cell>
          <cell r="AL57" t="str">
            <v>Drow Scorpion Chain</v>
          </cell>
          <cell r="AM57" t="str">
            <v/>
          </cell>
          <cell r="AN57" t="str">
            <v/>
          </cell>
          <cell r="AO57">
            <v>0</v>
          </cell>
          <cell r="AP57" t="str">
            <v/>
          </cell>
          <cell r="AQ57" t="str">
            <v/>
          </cell>
          <cell r="AR57">
            <v>4</v>
          </cell>
          <cell r="AS57" t="str">
            <v>Yuan-ti Serpent Bow</v>
          </cell>
        </row>
        <row r="58">
          <cell r="A58" t="str">
            <v>Bracer, Claw</v>
          </cell>
          <cell r="B58" t="str">
            <v>Bracer, Claw</v>
          </cell>
          <cell r="D58" t="str">
            <v>E</v>
          </cell>
          <cell r="E58" t="str">
            <v>L</v>
          </cell>
          <cell r="F58">
            <v>4</v>
          </cell>
          <cell r="H58">
            <v>19</v>
          </cell>
          <cell r="I58">
            <v>2</v>
          </cell>
          <cell r="L58">
            <v>2</v>
          </cell>
          <cell r="M58" t="str">
            <v>P</v>
          </cell>
          <cell r="R58" t="b">
            <v>0</v>
          </cell>
          <cell r="S58" t="b">
            <v>0</v>
          </cell>
          <cell r="T58" t="b">
            <v>0</v>
          </cell>
          <cell r="U58" t="b">
            <v>0</v>
          </cell>
          <cell r="V58">
            <v>0</v>
          </cell>
          <cell r="W58" t="str">
            <v/>
          </cell>
          <cell r="X58">
            <v>0</v>
          </cell>
          <cell r="Y58" t="str">
            <v/>
          </cell>
          <cell r="Z58">
            <v>2</v>
          </cell>
          <cell r="AA58" t="str">
            <v/>
          </cell>
          <cell r="AB58">
            <v>4</v>
          </cell>
          <cell r="AC58" t="str">
            <v/>
          </cell>
          <cell r="AD58">
            <v>20</v>
          </cell>
          <cell r="AE58" t="str">
            <v>Bracer, Claw</v>
          </cell>
          <cell r="AF58" t="str">
            <v>Sword Cane, Dagger</v>
          </cell>
          <cell r="AG58" t="str">
            <v>Longsword</v>
          </cell>
          <cell r="AH58">
            <v>0</v>
          </cell>
          <cell r="AI58" t="str">
            <v>Longsword</v>
          </cell>
          <cell r="AJ58" t="str">
            <v>Chain, Spiked</v>
          </cell>
          <cell r="AK58">
            <v>6</v>
          </cell>
          <cell r="AL58" t="str">
            <v>Spiked Chain</v>
          </cell>
          <cell r="AM58" t="str">
            <v/>
          </cell>
          <cell r="AN58" t="str">
            <v/>
          </cell>
          <cell r="AO58">
            <v>0</v>
          </cell>
          <cell r="AP58" t="str">
            <v/>
          </cell>
          <cell r="AQ58" t="str">
            <v/>
          </cell>
          <cell r="AR58">
            <v>7</v>
          </cell>
          <cell r="AS58" t="str">
            <v>Claw Bracer</v>
          </cell>
        </row>
        <row r="59">
          <cell r="A59" t="str">
            <v>Buckler-axe, Dwarven</v>
          </cell>
          <cell r="B59" t="str">
            <v>Buckler-axe, Dwarven</v>
          </cell>
          <cell r="D59" t="str">
            <v>E</v>
          </cell>
          <cell r="E59" t="str">
            <v>L</v>
          </cell>
          <cell r="F59">
            <v>5</v>
          </cell>
          <cell r="H59">
            <v>20</v>
          </cell>
          <cell r="I59">
            <v>3</v>
          </cell>
          <cell r="L59">
            <v>4</v>
          </cell>
          <cell r="M59" t="str">
            <v>S</v>
          </cell>
          <cell r="P59" t="str">
            <v/>
          </cell>
          <cell r="Q59" t="b">
            <v>0</v>
          </cell>
          <cell r="R59" t="b">
            <v>0</v>
          </cell>
          <cell r="S59" t="b">
            <v>0</v>
          </cell>
          <cell r="T59" t="b">
            <v>0</v>
          </cell>
          <cell r="U59" t="b">
            <v>0</v>
          </cell>
          <cell r="V59">
            <v>0</v>
          </cell>
          <cell r="W59" t="str">
            <v/>
          </cell>
          <cell r="X59">
            <v>0</v>
          </cell>
          <cell r="Y59" t="str">
            <v/>
          </cell>
          <cell r="Z59">
            <v>2</v>
          </cell>
          <cell r="AA59" t="str">
            <v/>
          </cell>
          <cell r="AB59">
            <v>4</v>
          </cell>
          <cell r="AC59" t="str">
            <v/>
          </cell>
          <cell r="AD59">
            <v>21</v>
          </cell>
          <cell r="AE59" t="str">
            <v>Buckler-axe, Dwarven</v>
          </cell>
          <cell r="AF59" t="str">
            <v>Unarmed Strike</v>
          </cell>
          <cell r="AG59" t="str">
            <v>Maquahuitl</v>
          </cell>
          <cell r="AH59">
            <v>0</v>
          </cell>
          <cell r="AI59" t="str">
            <v>Maquahuitl</v>
          </cell>
          <cell r="AJ59" t="str">
            <v>Chain-and-dagger</v>
          </cell>
          <cell r="AK59">
            <v>0</v>
          </cell>
          <cell r="AL59" t="str">
            <v>Chain-and-dagger</v>
          </cell>
          <cell r="AM59" t="str">
            <v/>
          </cell>
          <cell r="AN59" t="str">
            <v/>
          </cell>
          <cell r="AO59">
            <v>0</v>
          </cell>
          <cell r="AP59" t="str">
            <v/>
          </cell>
          <cell r="AQ59" t="str">
            <v/>
          </cell>
          <cell r="AR59">
            <v>12</v>
          </cell>
          <cell r="AS59" t="str">
            <v>Dwarven Buckler-axe</v>
          </cell>
        </row>
        <row r="60">
          <cell r="A60" t="str">
            <v>Catspaw</v>
          </cell>
          <cell r="B60" t="str">
            <v>Catspaw</v>
          </cell>
          <cell r="D60" t="str">
            <v>S</v>
          </cell>
          <cell r="E60" t="str">
            <v>T</v>
          </cell>
          <cell r="F60">
            <v>6</v>
          </cell>
          <cell r="H60">
            <v>20</v>
          </cell>
          <cell r="I60">
            <v>2</v>
          </cell>
          <cell r="L60">
            <v>2</v>
          </cell>
          <cell r="M60" t="str">
            <v>S</v>
          </cell>
          <cell r="R60" t="b">
            <v>0</v>
          </cell>
          <cell r="S60" t="b">
            <v>0</v>
          </cell>
          <cell r="T60" t="b">
            <v>0</v>
          </cell>
          <cell r="U60" t="b">
            <v>0</v>
          </cell>
          <cell r="V60">
            <v>0</v>
          </cell>
          <cell r="W60" t="str">
            <v/>
          </cell>
          <cell r="X60">
            <v>0</v>
          </cell>
          <cell r="Y60" t="str">
            <v/>
          </cell>
          <cell r="Z60">
            <v>3</v>
          </cell>
          <cell r="AA60" t="str">
            <v>Catspaw</v>
          </cell>
          <cell r="AB60">
            <v>4</v>
          </cell>
          <cell r="AC60" t="str">
            <v/>
          </cell>
          <cell r="AD60">
            <v>21</v>
          </cell>
          <cell r="AE60" t="str">
            <v/>
          </cell>
          <cell r="AF60" t="str">
            <v>Grapple</v>
          </cell>
          <cell r="AG60" t="str">
            <v>Maul</v>
          </cell>
          <cell r="AH60">
            <v>0</v>
          </cell>
          <cell r="AI60" t="str">
            <v>Maul</v>
          </cell>
          <cell r="AJ60" t="str">
            <v>Chakram</v>
          </cell>
          <cell r="AK60">
            <v>0</v>
          </cell>
          <cell r="AL60" t="str">
            <v>Chakram</v>
          </cell>
          <cell r="AM60" t="str">
            <v/>
          </cell>
          <cell r="AN60" t="str">
            <v/>
          </cell>
          <cell r="AO60">
            <v>0</v>
          </cell>
          <cell r="AP60" t="str">
            <v/>
          </cell>
          <cell r="AQ60" t="str">
            <v/>
          </cell>
          <cell r="AR60">
            <v>0</v>
          </cell>
          <cell r="AS60" t="str">
            <v>Catspaw</v>
          </cell>
        </row>
        <row r="61">
          <cell r="A61" t="str">
            <v>Cat-o-nine-tails</v>
          </cell>
          <cell r="B61" t="str">
            <v>Cat-o-nine-tails</v>
          </cell>
          <cell r="D61" t="str">
            <v>E</v>
          </cell>
          <cell r="E61" t="str">
            <v>M</v>
          </cell>
          <cell r="F61">
            <v>6</v>
          </cell>
          <cell r="H61">
            <v>20</v>
          </cell>
          <cell r="K61">
            <v>10</v>
          </cell>
          <cell r="L61">
            <v>5</v>
          </cell>
          <cell r="M61" t="str">
            <v>S</v>
          </cell>
          <cell r="Q61" t="b">
            <v>0</v>
          </cell>
          <cell r="R61" t="b">
            <v>0</v>
          </cell>
          <cell r="S61" t="b">
            <v>0</v>
          </cell>
          <cell r="T61" t="b">
            <v>0</v>
          </cell>
          <cell r="U61" t="b">
            <v>0</v>
          </cell>
          <cell r="V61">
            <v>0</v>
          </cell>
          <cell r="W61" t="str">
            <v/>
          </cell>
          <cell r="X61">
            <v>0</v>
          </cell>
          <cell r="Y61" t="str">
            <v/>
          </cell>
          <cell r="Z61">
            <v>3</v>
          </cell>
          <cell r="AA61" t="str">
            <v/>
          </cell>
          <cell r="AB61">
            <v>4</v>
          </cell>
          <cell r="AC61" t="str">
            <v/>
          </cell>
          <cell r="AD61">
            <v>22</v>
          </cell>
          <cell r="AE61" t="str">
            <v>Cat-o-nine-tails</v>
          </cell>
          <cell r="AF61" t="str">
            <v>Touch</v>
          </cell>
          <cell r="AG61" t="str">
            <v>Mind Arrow</v>
          </cell>
          <cell r="AH61">
            <v>0</v>
          </cell>
          <cell r="AI61" t="str">
            <v>Mind Arrow</v>
          </cell>
          <cell r="AJ61" t="str">
            <v>Chatkcha</v>
          </cell>
          <cell r="AK61">
            <v>0</v>
          </cell>
          <cell r="AL61" t="str">
            <v>Chatkcha</v>
          </cell>
          <cell r="AM61" t="str">
            <v/>
          </cell>
          <cell r="AN61" t="str">
            <v/>
          </cell>
          <cell r="AO61">
            <v>0</v>
          </cell>
          <cell r="AP61" t="str">
            <v/>
          </cell>
          <cell r="AQ61" t="str">
            <v/>
          </cell>
          <cell r="AR61">
            <v>0</v>
          </cell>
          <cell r="AS61" t="str">
            <v>Cat-o-nine-tails</v>
          </cell>
        </row>
        <row r="62">
          <cell r="A62" t="str">
            <v>Calculus, Gnome</v>
          </cell>
          <cell r="B62" t="str">
            <v>Calculus, Gnome</v>
          </cell>
          <cell r="D62" t="str">
            <v>E</v>
          </cell>
          <cell r="E62" t="str">
            <v>R</v>
          </cell>
          <cell r="F62">
            <v>13</v>
          </cell>
          <cell r="K62">
            <v>50</v>
          </cell>
          <cell r="L62">
            <v>2</v>
          </cell>
          <cell r="M62" t="str">
            <v>*</v>
          </cell>
          <cell r="P62" t="str">
            <v/>
          </cell>
          <cell r="Q62" t="b">
            <v>0</v>
          </cell>
          <cell r="R62" t="b">
            <v>0</v>
          </cell>
          <cell r="S62" t="b">
            <v>0</v>
          </cell>
          <cell r="T62" t="b">
            <v>0</v>
          </cell>
          <cell r="U62" t="b">
            <v>0</v>
          </cell>
          <cell r="V62">
            <v>0</v>
          </cell>
          <cell r="W62" t="str">
            <v/>
          </cell>
          <cell r="X62">
            <v>0</v>
          </cell>
          <cell r="Y62" t="str">
            <v/>
          </cell>
          <cell r="Z62">
            <v>3</v>
          </cell>
          <cell r="AA62" t="str">
            <v/>
          </cell>
          <cell r="AB62">
            <v>4</v>
          </cell>
          <cell r="AC62" t="str">
            <v/>
          </cell>
          <cell r="AD62">
            <v>23</v>
          </cell>
          <cell r="AE62" t="str">
            <v>Calculus, Gnome</v>
          </cell>
          <cell r="AF62" t="str">
            <v>Ray</v>
          </cell>
          <cell r="AG62" t="str">
            <v>Mind Blade</v>
          </cell>
          <cell r="AH62">
            <v>0</v>
          </cell>
          <cell r="AI62" t="str">
            <v>Mind Blade</v>
          </cell>
          <cell r="AJ62" t="str">
            <v>Chijiriki</v>
          </cell>
          <cell r="AK62">
            <v>0</v>
          </cell>
          <cell r="AL62" t="str">
            <v>Chijiriki</v>
          </cell>
          <cell r="AM62" t="str">
            <v/>
          </cell>
          <cell r="AN62" t="str">
            <v/>
          </cell>
          <cell r="AO62">
            <v>0</v>
          </cell>
          <cell r="AP62" t="str">
            <v/>
          </cell>
          <cell r="AQ62" t="str">
            <v/>
          </cell>
          <cell r="AR62">
            <v>9</v>
          </cell>
          <cell r="AS62" t="str">
            <v>Gnome Calculus</v>
          </cell>
        </row>
        <row r="63">
          <cell r="A63" t="str">
            <v>Cestus, Ward</v>
          </cell>
          <cell r="B63" t="str">
            <v>Cestus, Ward</v>
          </cell>
          <cell r="D63" t="str">
            <v>E</v>
          </cell>
          <cell r="E63" t="str">
            <v>L</v>
          </cell>
          <cell r="F63">
            <v>13</v>
          </cell>
          <cell r="L63">
            <v>4</v>
          </cell>
          <cell r="M63" t="str">
            <v>B</v>
          </cell>
          <cell r="R63" t="b">
            <v>0</v>
          </cell>
          <cell r="S63" t="b">
            <v>0</v>
          </cell>
          <cell r="T63" t="b">
            <v>0</v>
          </cell>
          <cell r="U63" t="b">
            <v>0</v>
          </cell>
          <cell r="V63">
            <v>0</v>
          </cell>
          <cell r="W63" t="str">
            <v/>
          </cell>
          <cell r="X63">
            <v>0</v>
          </cell>
          <cell r="Y63" t="str">
            <v/>
          </cell>
          <cell r="Z63">
            <v>3</v>
          </cell>
          <cell r="AA63" t="str">
            <v/>
          </cell>
          <cell r="AB63">
            <v>4</v>
          </cell>
          <cell r="AC63" t="str">
            <v/>
          </cell>
          <cell r="AD63">
            <v>24</v>
          </cell>
          <cell r="AE63" t="str">
            <v>Cestus, Ward</v>
          </cell>
          <cell r="AF63" t="str">
            <v>Energy Missile</v>
          </cell>
          <cell r="AG63" t="str">
            <v>Nagamaki</v>
          </cell>
          <cell r="AH63">
            <v>0</v>
          </cell>
          <cell r="AI63" t="str">
            <v>Nagamaki</v>
          </cell>
          <cell r="AJ63" t="str">
            <v>Claw, Eagle's</v>
          </cell>
          <cell r="AK63">
            <v>5</v>
          </cell>
          <cell r="AL63" t="str">
            <v>Eagle's Claw</v>
          </cell>
          <cell r="AM63" t="str">
            <v/>
          </cell>
          <cell r="AN63" t="str">
            <v/>
          </cell>
          <cell r="AO63">
            <v>0</v>
          </cell>
          <cell r="AP63" t="str">
            <v/>
          </cell>
          <cell r="AQ63" t="str">
            <v/>
          </cell>
          <cell r="AR63">
            <v>7</v>
          </cell>
          <cell r="AS63" t="str">
            <v>Ward Cestus</v>
          </cell>
        </row>
        <row r="64">
          <cell r="A64" t="str">
            <v>Chain, Drow Scorpion</v>
          </cell>
          <cell r="B64" t="str">
            <v>Chain, Drow Scorpion</v>
          </cell>
          <cell r="D64" t="str">
            <v>E</v>
          </cell>
          <cell r="E64" t="str">
            <v>T</v>
          </cell>
          <cell r="F64">
            <v>5</v>
          </cell>
          <cell r="H64">
            <v>19</v>
          </cell>
          <cell r="I64">
            <v>2</v>
          </cell>
          <cell r="L64">
            <v>3</v>
          </cell>
          <cell r="M64" t="str">
            <v>S</v>
          </cell>
          <cell r="O64" t="b">
            <v>1</v>
          </cell>
          <cell r="Q64" t="b">
            <v>0</v>
          </cell>
          <cell r="R64" t="b">
            <v>0</v>
          </cell>
          <cell r="S64" t="b">
            <v>0</v>
          </cell>
          <cell r="T64" t="b">
            <v>0</v>
          </cell>
          <cell r="U64" t="b">
            <v>0</v>
          </cell>
          <cell r="V64">
            <v>0</v>
          </cell>
          <cell r="W64" t="str">
            <v/>
          </cell>
          <cell r="X64">
            <v>0</v>
          </cell>
          <cell r="Y64" t="str">
            <v/>
          </cell>
          <cell r="Z64">
            <v>3</v>
          </cell>
          <cell r="AA64" t="str">
            <v/>
          </cell>
          <cell r="AB64">
            <v>4</v>
          </cell>
          <cell r="AC64" t="str">
            <v/>
          </cell>
          <cell r="AD64">
            <v>25</v>
          </cell>
          <cell r="AE64" t="str">
            <v>Chain, Drow Scorpion</v>
          </cell>
          <cell r="AF64" t="str">
            <v>Spellfire</v>
          </cell>
          <cell r="AG64" t="str">
            <v>Naginata</v>
          </cell>
          <cell r="AH64">
            <v>0</v>
          </cell>
          <cell r="AI64" t="str">
            <v>Naginata</v>
          </cell>
          <cell r="AJ64" t="str">
            <v>Claw, Panther</v>
          </cell>
          <cell r="AK64">
            <v>5</v>
          </cell>
          <cell r="AL64" t="str">
            <v>Panther Claw</v>
          </cell>
          <cell r="AM64" t="str">
            <v/>
          </cell>
          <cell r="AN64" t="str">
            <v/>
          </cell>
          <cell r="AO64">
            <v>0</v>
          </cell>
          <cell r="AP64" t="str">
            <v/>
          </cell>
          <cell r="AQ64" t="str">
            <v/>
          </cell>
          <cell r="AR64">
            <v>6</v>
          </cell>
          <cell r="AS64" t="str">
            <v>Drow Scorpion Chain</v>
          </cell>
        </row>
        <row r="65">
          <cell r="A65" t="str">
            <v>Chain, Spiked</v>
          </cell>
          <cell r="B65" t="str">
            <v>Chain, Spiked</v>
          </cell>
          <cell r="D65" t="str">
            <v>E</v>
          </cell>
          <cell r="E65" t="str">
            <v>T</v>
          </cell>
          <cell r="F65">
            <v>9</v>
          </cell>
          <cell r="H65">
            <v>20</v>
          </cell>
          <cell r="I65">
            <v>2</v>
          </cell>
          <cell r="L65">
            <v>10</v>
          </cell>
          <cell r="M65" t="str">
            <v>P</v>
          </cell>
          <cell r="O65" t="b">
            <v>1</v>
          </cell>
          <cell r="P65" t="str">
            <v>F</v>
          </cell>
          <cell r="Q65" t="b">
            <v>0</v>
          </cell>
          <cell r="R65" t="b">
            <v>0</v>
          </cell>
          <cell r="S65" t="b">
            <v>0</v>
          </cell>
          <cell r="T65" t="b">
            <v>0</v>
          </cell>
          <cell r="U65" t="b">
            <v>0</v>
          </cell>
          <cell r="V65">
            <v>0</v>
          </cell>
          <cell r="W65" t="str">
            <v/>
          </cell>
          <cell r="X65">
            <v>0</v>
          </cell>
          <cell r="Y65" t="str">
            <v/>
          </cell>
          <cell r="Z65">
            <v>3</v>
          </cell>
          <cell r="AA65" t="str">
            <v/>
          </cell>
          <cell r="AB65">
            <v>4</v>
          </cell>
          <cell r="AC65" t="str">
            <v/>
          </cell>
          <cell r="AD65">
            <v>26</v>
          </cell>
          <cell r="AE65" t="str">
            <v>Chain, Spiked</v>
          </cell>
          <cell r="AF65" t="str">
            <v/>
          </cell>
          <cell r="AG65" t="str">
            <v>Pick, Dire</v>
          </cell>
          <cell r="AH65">
            <v>5</v>
          </cell>
          <cell r="AI65" t="str">
            <v>Dire Pick</v>
          </cell>
          <cell r="AJ65" t="str">
            <v>Claws, Scorpion</v>
          </cell>
          <cell r="AK65">
            <v>6</v>
          </cell>
          <cell r="AL65" t="str">
            <v>Scorpion Claws</v>
          </cell>
          <cell r="AM65" t="str">
            <v/>
          </cell>
          <cell r="AN65" t="str">
            <v/>
          </cell>
          <cell r="AO65">
            <v>0</v>
          </cell>
          <cell r="AP65" t="str">
            <v/>
          </cell>
          <cell r="AQ65" t="str">
            <v/>
          </cell>
          <cell r="AR65">
            <v>6</v>
          </cell>
          <cell r="AS65" t="str">
            <v>Spiked Chain</v>
          </cell>
        </row>
        <row r="66">
          <cell r="A66" t="str">
            <v>Chain-and-dagger</v>
          </cell>
          <cell r="B66" t="str">
            <v>Chain-and-dagger</v>
          </cell>
          <cell r="D66" t="str">
            <v>E</v>
          </cell>
          <cell r="E66" t="str">
            <v>O</v>
          </cell>
          <cell r="F66">
            <v>4</v>
          </cell>
          <cell r="H66">
            <v>19</v>
          </cell>
          <cell r="I66">
            <v>2</v>
          </cell>
          <cell r="L66">
            <v>4</v>
          </cell>
          <cell r="M66" t="str">
            <v>P</v>
          </cell>
          <cell r="R66" t="b">
            <v>0</v>
          </cell>
          <cell r="S66" t="b">
            <v>0</v>
          </cell>
          <cell r="T66" t="b">
            <v>0</v>
          </cell>
          <cell r="U66" t="b">
            <v>0</v>
          </cell>
          <cell r="V66">
            <v>0</v>
          </cell>
          <cell r="W66" t="str">
            <v/>
          </cell>
          <cell r="X66">
            <v>0</v>
          </cell>
          <cell r="Y66" t="str">
            <v/>
          </cell>
          <cell r="Z66">
            <v>3</v>
          </cell>
          <cell r="AA66" t="str">
            <v/>
          </cell>
          <cell r="AB66">
            <v>4</v>
          </cell>
          <cell r="AC66" t="str">
            <v/>
          </cell>
          <cell r="AD66">
            <v>27</v>
          </cell>
          <cell r="AE66" t="str">
            <v>Chain-and-dagger</v>
          </cell>
          <cell r="AF66" t="str">
            <v/>
          </cell>
          <cell r="AG66" t="str">
            <v>Pick, Heavy</v>
          </cell>
          <cell r="AH66">
            <v>5</v>
          </cell>
          <cell r="AI66" t="str">
            <v>Heavy Pick</v>
          </cell>
          <cell r="AJ66" t="str">
            <v>Claws, Tiger</v>
          </cell>
          <cell r="AK66">
            <v>6</v>
          </cell>
          <cell r="AL66" t="str">
            <v>Tiger Claws</v>
          </cell>
          <cell r="AM66" t="str">
            <v/>
          </cell>
          <cell r="AN66" t="str">
            <v/>
          </cell>
          <cell r="AO66">
            <v>0</v>
          </cell>
          <cell r="AP66" t="str">
            <v/>
          </cell>
          <cell r="AQ66" t="str">
            <v/>
          </cell>
          <cell r="AR66">
            <v>0</v>
          </cell>
          <cell r="AS66" t="str">
            <v>Chain-and-dagger</v>
          </cell>
        </row>
        <row r="67">
          <cell r="A67" t="str">
            <v>Chakram</v>
          </cell>
          <cell r="B67" t="str">
            <v>Chakram</v>
          </cell>
          <cell r="D67" t="str">
            <v>E</v>
          </cell>
          <cell r="E67" t="str">
            <v>R</v>
          </cell>
          <cell r="F67">
            <v>4</v>
          </cell>
          <cell r="H67">
            <v>20</v>
          </cell>
          <cell r="I67">
            <v>3</v>
          </cell>
          <cell r="K67">
            <v>30</v>
          </cell>
          <cell r="L67">
            <v>2</v>
          </cell>
          <cell r="M67" t="str">
            <v>S</v>
          </cell>
          <cell r="R67" t="b">
            <v>0</v>
          </cell>
          <cell r="S67" t="b">
            <v>0</v>
          </cell>
          <cell r="T67" t="b">
            <v>0</v>
          </cell>
          <cell r="U67" t="b">
            <v>0</v>
          </cell>
          <cell r="V67">
            <v>0</v>
          </cell>
          <cell r="W67" t="str">
            <v/>
          </cell>
          <cell r="X67">
            <v>0</v>
          </cell>
          <cell r="Y67" t="str">
            <v/>
          </cell>
          <cell r="Z67">
            <v>3</v>
          </cell>
          <cell r="AA67" t="str">
            <v/>
          </cell>
          <cell r="AB67">
            <v>4</v>
          </cell>
          <cell r="AC67" t="str">
            <v/>
          </cell>
          <cell r="AD67">
            <v>28</v>
          </cell>
          <cell r="AE67" t="str">
            <v>Chakram</v>
          </cell>
          <cell r="AF67" t="str">
            <v/>
          </cell>
          <cell r="AG67" t="str">
            <v>Pick, Light</v>
          </cell>
          <cell r="AH67">
            <v>5</v>
          </cell>
          <cell r="AI67" t="str">
            <v>Light Pick</v>
          </cell>
          <cell r="AJ67" t="str">
            <v>Club, Tigerskull</v>
          </cell>
          <cell r="AK67">
            <v>5</v>
          </cell>
          <cell r="AL67" t="str">
            <v>Tigerskull Club</v>
          </cell>
          <cell r="AM67" t="str">
            <v/>
          </cell>
          <cell r="AN67" t="str">
            <v/>
          </cell>
          <cell r="AO67">
            <v>0</v>
          </cell>
          <cell r="AP67" t="str">
            <v/>
          </cell>
          <cell r="AQ67" t="str">
            <v/>
          </cell>
          <cell r="AR67">
            <v>0</v>
          </cell>
          <cell r="AS67" t="str">
            <v>Chakram</v>
          </cell>
        </row>
        <row r="68">
          <cell r="A68" t="str">
            <v>Chatkcha</v>
          </cell>
          <cell r="B68" t="str">
            <v>Chatkcha</v>
          </cell>
          <cell r="D68" t="str">
            <v>E</v>
          </cell>
          <cell r="E68" t="str">
            <v>R</v>
          </cell>
          <cell r="F68">
            <v>5</v>
          </cell>
          <cell r="H68">
            <v>18</v>
          </cell>
          <cell r="I68">
            <v>2</v>
          </cell>
          <cell r="K68">
            <v>20</v>
          </cell>
          <cell r="L68">
            <v>3</v>
          </cell>
          <cell r="M68" t="str">
            <v>P</v>
          </cell>
          <cell r="P68" t="str">
            <v/>
          </cell>
          <cell r="Q68" t="b">
            <v>0</v>
          </cell>
          <cell r="R68" t="b">
            <v>0</v>
          </cell>
          <cell r="S68" t="b">
            <v>0</v>
          </cell>
          <cell r="T68" t="b">
            <v>0</v>
          </cell>
          <cell r="U68" t="b">
            <v>0</v>
          </cell>
          <cell r="V68">
            <v>0</v>
          </cell>
          <cell r="W68" t="str">
            <v/>
          </cell>
          <cell r="X68">
            <v>0</v>
          </cell>
          <cell r="Y68" t="str">
            <v/>
          </cell>
          <cell r="Z68">
            <v>3</v>
          </cell>
          <cell r="AA68" t="str">
            <v/>
          </cell>
          <cell r="AB68">
            <v>4</v>
          </cell>
          <cell r="AC68" t="str">
            <v/>
          </cell>
          <cell r="AD68">
            <v>29</v>
          </cell>
          <cell r="AE68" t="str">
            <v>Chatkcha</v>
          </cell>
          <cell r="AF68" t="str">
            <v/>
          </cell>
          <cell r="AG68" t="str">
            <v>Ranseur</v>
          </cell>
          <cell r="AH68">
            <v>0</v>
          </cell>
          <cell r="AI68" t="str">
            <v>Ranseur</v>
          </cell>
          <cell r="AJ68" t="str">
            <v>Courtblade, Elven</v>
          </cell>
          <cell r="AK68">
            <v>11</v>
          </cell>
          <cell r="AL68" t="str">
            <v>Elven Courtblade</v>
          </cell>
          <cell r="AM68" t="str">
            <v/>
          </cell>
          <cell r="AN68" t="str">
            <v/>
          </cell>
          <cell r="AO68">
            <v>0</v>
          </cell>
          <cell r="AP68" t="str">
            <v/>
          </cell>
          <cell r="AQ68" t="str">
            <v/>
          </cell>
          <cell r="AR68">
            <v>0</v>
          </cell>
          <cell r="AS68" t="str">
            <v>Chatkcha</v>
          </cell>
        </row>
        <row r="69">
          <cell r="A69" t="str">
            <v>Chijiriki</v>
          </cell>
          <cell r="B69" t="str">
            <v>Chijiriki</v>
          </cell>
          <cell r="C69" t="str">
            <v>OA</v>
          </cell>
          <cell r="D69" t="str">
            <v>E</v>
          </cell>
          <cell r="E69" t="str">
            <v>T</v>
          </cell>
          <cell r="F69">
            <v>5</v>
          </cell>
          <cell r="G69">
            <v>4</v>
          </cell>
          <cell r="H69">
            <v>20</v>
          </cell>
          <cell r="I69">
            <v>2</v>
          </cell>
          <cell r="J69">
            <v>2</v>
          </cell>
          <cell r="L69">
            <v>6</v>
          </cell>
          <cell r="M69" t="str">
            <v>P/B</v>
          </cell>
          <cell r="Q69" t="b">
            <v>0</v>
          </cell>
          <cell r="R69" t="b">
            <v>0</v>
          </cell>
          <cell r="S69" t="b">
            <v>0</v>
          </cell>
          <cell r="T69" t="b">
            <v>0</v>
          </cell>
          <cell r="U69" t="b">
            <v>0</v>
          </cell>
          <cell r="V69">
            <v>0</v>
          </cell>
          <cell r="W69" t="str">
            <v/>
          </cell>
          <cell r="X69">
            <v>0</v>
          </cell>
          <cell r="Y69" t="str">
            <v/>
          </cell>
          <cell r="Z69">
            <v>3</v>
          </cell>
          <cell r="AA69" t="str">
            <v/>
          </cell>
          <cell r="AB69">
            <v>4</v>
          </cell>
          <cell r="AC69" t="str">
            <v/>
          </cell>
          <cell r="AD69">
            <v>30</v>
          </cell>
          <cell r="AE69" t="str">
            <v>Chijiriki</v>
          </cell>
          <cell r="AF69" t="str">
            <v/>
          </cell>
          <cell r="AG69" t="str">
            <v>Rapier</v>
          </cell>
          <cell r="AH69">
            <v>0</v>
          </cell>
          <cell r="AI69" t="str">
            <v>Rapier</v>
          </cell>
          <cell r="AJ69" t="str">
            <v>Crossbow, Aquatic</v>
          </cell>
          <cell r="AK69">
            <v>9</v>
          </cell>
          <cell r="AL69" t="str">
            <v>Aquatic Crossbow</v>
          </cell>
          <cell r="AM69" t="str">
            <v/>
          </cell>
          <cell r="AN69" t="str">
            <v/>
          </cell>
          <cell r="AO69">
            <v>0</v>
          </cell>
          <cell r="AP69" t="str">
            <v/>
          </cell>
          <cell r="AQ69" t="str">
            <v/>
          </cell>
          <cell r="AR69">
            <v>0</v>
          </cell>
          <cell r="AS69" t="str">
            <v>Chijiriki</v>
          </cell>
        </row>
        <row r="70">
          <cell r="A70" t="str">
            <v>Claw, Eagle's</v>
          </cell>
          <cell r="B70" t="str">
            <v>Claw, Eagle's</v>
          </cell>
          <cell r="D70" t="str">
            <v>E</v>
          </cell>
          <cell r="E70" t="str">
            <v>L</v>
          </cell>
          <cell r="F70">
            <v>5</v>
          </cell>
          <cell r="H70">
            <v>18</v>
          </cell>
          <cell r="I70">
            <v>2</v>
          </cell>
          <cell r="L70">
            <v>2</v>
          </cell>
          <cell r="M70" t="str">
            <v>S/P</v>
          </cell>
          <cell r="P70" t="str">
            <v/>
          </cell>
          <cell r="Q70" t="b">
            <v>0</v>
          </cell>
          <cell r="R70" t="b">
            <v>0</v>
          </cell>
          <cell r="S70" t="b">
            <v>0</v>
          </cell>
          <cell r="T70" t="b">
            <v>0</v>
          </cell>
          <cell r="U70" t="b">
            <v>0</v>
          </cell>
          <cell r="V70">
            <v>0</v>
          </cell>
          <cell r="W70" t="str">
            <v/>
          </cell>
          <cell r="X70">
            <v>0</v>
          </cell>
          <cell r="Y70" t="str">
            <v/>
          </cell>
          <cell r="Z70">
            <v>3</v>
          </cell>
          <cell r="AA70" t="str">
            <v/>
          </cell>
          <cell r="AB70">
            <v>4</v>
          </cell>
          <cell r="AC70" t="str">
            <v/>
          </cell>
          <cell r="AD70">
            <v>31</v>
          </cell>
          <cell r="AE70" t="str">
            <v>Claw, Eagle's</v>
          </cell>
          <cell r="AF70" t="str">
            <v/>
          </cell>
          <cell r="AG70" t="str">
            <v>Razored armor</v>
          </cell>
          <cell r="AH70">
            <v>0</v>
          </cell>
          <cell r="AI70" t="str">
            <v>Razored armor</v>
          </cell>
          <cell r="AJ70" t="str">
            <v>Crossbow, Great</v>
          </cell>
          <cell r="AK70">
            <v>9</v>
          </cell>
          <cell r="AL70" t="str">
            <v>Great Crossbow</v>
          </cell>
          <cell r="AM70" t="str">
            <v/>
          </cell>
          <cell r="AN70" t="str">
            <v/>
          </cell>
          <cell r="AO70">
            <v>0</v>
          </cell>
          <cell r="AP70" t="str">
            <v/>
          </cell>
          <cell r="AQ70" t="str">
            <v/>
          </cell>
          <cell r="AR70">
            <v>5</v>
          </cell>
          <cell r="AS70" t="str">
            <v>Eagle's Claw</v>
          </cell>
        </row>
        <row r="71">
          <cell r="A71" t="str">
            <v>Claw, Panther</v>
          </cell>
          <cell r="B71" t="str">
            <v>Claw, Panther</v>
          </cell>
          <cell r="D71" t="str">
            <v>E</v>
          </cell>
          <cell r="E71" t="str">
            <v>L</v>
          </cell>
          <cell r="F71">
            <v>4</v>
          </cell>
          <cell r="H71">
            <v>20</v>
          </cell>
          <cell r="I71">
            <v>3</v>
          </cell>
          <cell r="L71">
            <v>3</v>
          </cell>
          <cell r="M71" t="str">
            <v>P/S</v>
          </cell>
          <cell r="R71" t="b">
            <v>0</v>
          </cell>
          <cell r="S71" t="b">
            <v>0</v>
          </cell>
          <cell r="T71" t="b">
            <v>0</v>
          </cell>
          <cell r="U71" t="b">
            <v>0</v>
          </cell>
          <cell r="V71">
            <v>0</v>
          </cell>
          <cell r="W71" t="str">
            <v/>
          </cell>
          <cell r="X71">
            <v>0</v>
          </cell>
          <cell r="Y71" t="str">
            <v/>
          </cell>
          <cell r="Z71">
            <v>3</v>
          </cell>
          <cell r="AA71" t="str">
            <v/>
          </cell>
          <cell r="AB71">
            <v>4</v>
          </cell>
          <cell r="AC71" t="str">
            <v/>
          </cell>
          <cell r="AD71">
            <v>32</v>
          </cell>
          <cell r="AE71" t="str">
            <v>Claw, Panther</v>
          </cell>
          <cell r="AF71" t="str">
            <v/>
          </cell>
          <cell r="AG71" t="str">
            <v>Razored shield, light</v>
          </cell>
          <cell r="AH71">
            <v>15</v>
          </cell>
          <cell r="AI71" t="str">
            <v>light Razored shield</v>
          </cell>
          <cell r="AJ71" t="str">
            <v>Crossbow, Hand</v>
          </cell>
          <cell r="AK71">
            <v>9</v>
          </cell>
          <cell r="AL71" t="str">
            <v>Hand Crossbow</v>
          </cell>
          <cell r="AM71" t="str">
            <v/>
          </cell>
          <cell r="AN71" t="str">
            <v/>
          </cell>
          <cell r="AO71">
            <v>0</v>
          </cell>
          <cell r="AP71" t="str">
            <v/>
          </cell>
          <cell r="AQ71" t="str">
            <v/>
          </cell>
          <cell r="AR71">
            <v>5</v>
          </cell>
          <cell r="AS71" t="str">
            <v>Panther Claw</v>
          </cell>
        </row>
        <row r="72">
          <cell r="A72" t="str">
            <v>Claws, Scorpion</v>
          </cell>
          <cell r="B72" t="str">
            <v>Claws, Scorpion</v>
          </cell>
          <cell r="D72" t="str">
            <v>E</v>
          </cell>
          <cell r="E72" t="str">
            <v>L</v>
          </cell>
          <cell r="F72">
            <v>5</v>
          </cell>
          <cell r="H72">
            <v>20</v>
          </cell>
          <cell r="I72">
            <v>2</v>
          </cell>
          <cell r="L72">
            <v>6</v>
          </cell>
          <cell r="M72" t="str">
            <v>S/P</v>
          </cell>
          <cell r="R72" t="b">
            <v>0</v>
          </cell>
          <cell r="S72" t="b">
            <v>0</v>
          </cell>
          <cell r="T72" t="b">
            <v>0</v>
          </cell>
          <cell r="U72" t="b">
            <v>0</v>
          </cell>
          <cell r="V72">
            <v>0</v>
          </cell>
          <cell r="W72" t="str">
            <v/>
          </cell>
          <cell r="X72">
            <v>0</v>
          </cell>
          <cell r="Y72" t="str">
            <v/>
          </cell>
          <cell r="Z72">
            <v>3</v>
          </cell>
          <cell r="AA72" t="str">
            <v/>
          </cell>
          <cell r="AB72">
            <v>4</v>
          </cell>
          <cell r="AC72" t="str">
            <v/>
          </cell>
          <cell r="AD72">
            <v>33</v>
          </cell>
          <cell r="AE72" t="str">
            <v>Claws, Scorpion</v>
          </cell>
          <cell r="AF72" t="str">
            <v/>
          </cell>
          <cell r="AG72" t="str">
            <v>Razored shield, heavy</v>
          </cell>
          <cell r="AH72">
            <v>15</v>
          </cell>
          <cell r="AI72" t="str">
            <v>heavy Razored shield</v>
          </cell>
          <cell r="AJ72" t="str">
            <v>Crossbow, Repeating Heavy</v>
          </cell>
          <cell r="AK72">
            <v>9</v>
          </cell>
          <cell r="AL72" t="str">
            <v>Repeating Heavy Crossbow</v>
          </cell>
          <cell r="AM72" t="str">
            <v/>
          </cell>
          <cell r="AN72" t="str">
            <v/>
          </cell>
          <cell r="AO72">
            <v>0</v>
          </cell>
          <cell r="AP72" t="str">
            <v/>
          </cell>
          <cell r="AQ72" t="str">
            <v/>
          </cell>
          <cell r="AR72">
            <v>6</v>
          </cell>
          <cell r="AS72" t="str">
            <v>Scorpion Claws</v>
          </cell>
        </row>
        <row r="73">
          <cell r="A73" t="str">
            <v>Claws, Tiger</v>
          </cell>
          <cell r="B73" t="str">
            <v>Claws, Tiger</v>
          </cell>
          <cell r="D73" t="str">
            <v>E</v>
          </cell>
          <cell r="E73" t="str">
            <v>L</v>
          </cell>
          <cell r="F73">
            <v>4</v>
          </cell>
          <cell r="H73">
            <v>20</v>
          </cell>
          <cell r="I73">
            <v>2</v>
          </cell>
          <cell r="L73">
            <v>2</v>
          </cell>
          <cell r="M73" t="str">
            <v>P</v>
          </cell>
          <cell r="R73" t="b">
            <v>0</v>
          </cell>
          <cell r="S73" t="b">
            <v>0</v>
          </cell>
          <cell r="T73" t="b">
            <v>0</v>
          </cell>
          <cell r="U73" t="b">
            <v>0</v>
          </cell>
          <cell r="V73">
            <v>0</v>
          </cell>
          <cell r="W73" t="str">
            <v/>
          </cell>
          <cell r="X73">
            <v>0</v>
          </cell>
          <cell r="Y73" t="str">
            <v/>
          </cell>
          <cell r="Z73">
            <v>3</v>
          </cell>
          <cell r="AA73" t="str">
            <v/>
          </cell>
          <cell r="AB73">
            <v>4</v>
          </cell>
          <cell r="AC73" t="str">
            <v/>
          </cell>
          <cell r="AD73">
            <v>34</v>
          </cell>
          <cell r="AE73" t="str">
            <v>Claws, Tiger</v>
          </cell>
          <cell r="AF73" t="str">
            <v/>
          </cell>
          <cell r="AG73" t="str">
            <v>Ripper</v>
          </cell>
          <cell r="AH73">
            <v>0</v>
          </cell>
          <cell r="AI73" t="str">
            <v>Ripper</v>
          </cell>
          <cell r="AJ73" t="str">
            <v>Crossbow, Repeating Light</v>
          </cell>
          <cell r="AK73">
            <v>9</v>
          </cell>
          <cell r="AL73" t="str">
            <v>Repeating Light Crossbow</v>
          </cell>
          <cell r="AM73" t="str">
            <v/>
          </cell>
          <cell r="AN73" t="str">
            <v/>
          </cell>
          <cell r="AO73">
            <v>0</v>
          </cell>
          <cell r="AP73" t="str">
            <v/>
          </cell>
          <cell r="AQ73" t="str">
            <v/>
          </cell>
          <cell r="AR73">
            <v>6</v>
          </cell>
          <cell r="AS73" t="str">
            <v>Tiger Claws</v>
          </cell>
        </row>
        <row r="74">
          <cell r="A74" t="str">
            <v>Club ●</v>
          </cell>
          <cell r="B74" t="str">
            <v>Club</v>
          </cell>
          <cell r="D74" t="str">
            <v>S</v>
          </cell>
          <cell r="E74" t="str">
            <v>O</v>
          </cell>
          <cell r="F74">
            <v>5</v>
          </cell>
          <cell r="H74">
            <v>20</v>
          </cell>
          <cell r="I74">
            <v>2</v>
          </cell>
          <cell r="K74">
            <v>10</v>
          </cell>
          <cell r="L74">
            <v>3</v>
          </cell>
          <cell r="M74" t="str">
            <v>B</v>
          </cell>
          <cell r="Q74" t="b">
            <v>1</v>
          </cell>
          <cell r="R74" t="b">
            <v>0</v>
          </cell>
          <cell r="S74" t="b">
            <v>0</v>
          </cell>
          <cell r="T74" t="b">
            <v>0</v>
          </cell>
          <cell r="U74" t="b">
            <v>1</v>
          </cell>
          <cell r="V74">
            <v>0</v>
          </cell>
          <cell r="W74" t="str">
            <v/>
          </cell>
          <cell r="X74">
            <v>1</v>
          </cell>
          <cell r="Y74" t="str">
            <v>Club</v>
          </cell>
          <cell r="Z74">
            <v>4</v>
          </cell>
          <cell r="AA74" t="str">
            <v>Club</v>
          </cell>
          <cell r="AB74">
            <v>4</v>
          </cell>
          <cell r="AC74" t="str">
            <v/>
          </cell>
          <cell r="AD74">
            <v>34</v>
          </cell>
          <cell r="AE74" t="str">
            <v/>
          </cell>
          <cell r="AF74" t="str">
            <v/>
          </cell>
          <cell r="AG74" t="str">
            <v>Sap</v>
          </cell>
          <cell r="AH74">
            <v>0</v>
          </cell>
          <cell r="AI74" t="str">
            <v>Sap</v>
          </cell>
          <cell r="AJ74" t="str">
            <v>Crossbow, Staking</v>
          </cell>
          <cell r="AK74">
            <v>9</v>
          </cell>
          <cell r="AL74" t="str">
            <v>Staking Crossbow</v>
          </cell>
          <cell r="AM74" t="str">
            <v/>
          </cell>
          <cell r="AN74" t="str">
            <v/>
          </cell>
          <cell r="AO74">
            <v>0</v>
          </cell>
          <cell r="AP74" t="str">
            <v/>
          </cell>
          <cell r="AQ74" t="str">
            <v/>
          </cell>
          <cell r="AR74">
            <v>0</v>
          </cell>
          <cell r="AS74" t="str">
            <v>Club</v>
          </cell>
        </row>
        <row r="75">
          <cell r="A75" t="str">
            <v>Club, Tigerskull</v>
          </cell>
          <cell r="B75" t="str">
            <v>Club, Tigerskull</v>
          </cell>
          <cell r="D75" t="str">
            <v>E</v>
          </cell>
          <cell r="E75" t="str">
            <v>O</v>
          </cell>
          <cell r="F75">
            <v>6</v>
          </cell>
          <cell r="H75">
            <v>20</v>
          </cell>
          <cell r="I75">
            <v>4</v>
          </cell>
          <cell r="L75">
            <v>8</v>
          </cell>
          <cell r="M75" t="str">
            <v>B&amp;P</v>
          </cell>
          <cell r="R75" t="b">
            <v>0</v>
          </cell>
          <cell r="S75" t="b">
            <v>0</v>
          </cell>
          <cell r="T75" t="b">
            <v>0</v>
          </cell>
          <cell r="U75" t="b">
            <v>0</v>
          </cell>
          <cell r="V75">
            <v>1</v>
          </cell>
          <cell r="W75" t="str">
            <v>Club</v>
          </cell>
          <cell r="X75">
            <v>1</v>
          </cell>
          <cell r="Y75" t="str">
            <v/>
          </cell>
          <cell r="Z75">
            <v>4</v>
          </cell>
          <cell r="AA75" t="str">
            <v/>
          </cell>
          <cell r="AB75">
            <v>4</v>
          </cell>
          <cell r="AC75" t="str">
            <v/>
          </cell>
          <cell r="AD75">
            <v>35</v>
          </cell>
          <cell r="AE75" t="str">
            <v>Club, Tigerskull</v>
          </cell>
          <cell r="AF75" t="str">
            <v/>
          </cell>
          <cell r="AG75" t="str">
            <v>Scimitar</v>
          </cell>
          <cell r="AH75">
            <v>0</v>
          </cell>
          <cell r="AI75" t="str">
            <v>Scimitar</v>
          </cell>
          <cell r="AJ75" t="str">
            <v>Dagger, Barbed</v>
          </cell>
          <cell r="AK75">
            <v>7</v>
          </cell>
          <cell r="AL75" t="str">
            <v>Barbed Dagger</v>
          </cell>
          <cell r="AM75" t="str">
            <v/>
          </cell>
          <cell r="AN75" t="str">
            <v/>
          </cell>
          <cell r="AO75">
            <v>0</v>
          </cell>
          <cell r="AP75" t="str">
            <v/>
          </cell>
          <cell r="AQ75" t="str">
            <v/>
          </cell>
          <cell r="AR75">
            <v>5</v>
          </cell>
          <cell r="AS75" t="str">
            <v>Tigerskull Club</v>
          </cell>
        </row>
        <row r="76">
          <cell r="A76" t="str">
            <v>Courtblade, Elven</v>
          </cell>
          <cell r="B76" t="str">
            <v>Courtblade, Elven</v>
          </cell>
          <cell r="D76" t="str">
            <v>E</v>
          </cell>
          <cell r="E76" t="str">
            <v>T</v>
          </cell>
          <cell r="F76">
            <v>7</v>
          </cell>
          <cell r="H76">
            <v>18</v>
          </cell>
          <cell r="I76">
            <v>2</v>
          </cell>
          <cell r="L76">
            <v>6</v>
          </cell>
          <cell r="M76" t="str">
            <v>P/S</v>
          </cell>
          <cell r="P76" t="str">
            <v>F</v>
          </cell>
          <cell r="Q76" t="b">
            <v>0</v>
          </cell>
          <cell r="R76" t="b">
            <v>0</v>
          </cell>
          <cell r="S76" t="b">
            <v>0</v>
          </cell>
          <cell r="T76" t="b">
            <v>0</v>
          </cell>
          <cell r="U76" t="b">
            <v>0</v>
          </cell>
          <cell r="V76">
            <v>1</v>
          </cell>
          <cell r="W76" t="str">
            <v/>
          </cell>
          <cell r="X76">
            <v>1</v>
          </cell>
          <cell r="Y76" t="str">
            <v/>
          </cell>
          <cell r="Z76">
            <v>4</v>
          </cell>
          <cell r="AA76" t="str">
            <v/>
          </cell>
          <cell r="AB76">
            <v>4</v>
          </cell>
          <cell r="AC76" t="str">
            <v/>
          </cell>
          <cell r="AD76">
            <v>36</v>
          </cell>
          <cell r="AE76" t="str">
            <v>Courtblade, Elven</v>
          </cell>
          <cell r="AF76" t="str">
            <v/>
          </cell>
          <cell r="AG76" t="str">
            <v>Scimitar, Great</v>
          </cell>
          <cell r="AH76">
            <v>9</v>
          </cell>
          <cell r="AI76" t="str">
            <v>Great Scimitar</v>
          </cell>
          <cell r="AJ76" t="str">
            <v>Dagger, Ribbon</v>
          </cell>
          <cell r="AK76">
            <v>7</v>
          </cell>
          <cell r="AL76" t="str">
            <v>Ribbon Dagger</v>
          </cell>
          <cell r="AM76" t="str">
            <v/>
          </cell>
          <cell r="AN76" t="str">
            <v/>
          </cell>
          <cell r="AO76">
            <v>0</v>
          </cell>
          <cell r="AP76" t="str">
            <v/>
          </cell>
          <cell r="AQ76" t="str">
            <v/>
          </cell>
          <cell r="AR76">
            <v>11</v>
          </cell>
          <cell r="AS76" t="str">
            <v>Elven Courtblade</v>
          </cell>
        </row>
        <row r="77">
          <cell r="A77" t="str">
            <v>Crossbow, Aquatic</v>
          </cell>
          <cell r="B77" t="str">
            <v>Crossbow, Aquatic</v>
          </cell>
          <cell r="D77" t="str">
            <v>E</v>
          </cell>
          <cell r="E77" t="str">
            <v>R</v>
          </cell>
          <cell r="F77">
            <v>6</v>
          </cell>
          <cell r="H77">
            <v>19</v>
          </cell>
          <cell r="I77">
            <v>2</v>
          </cell>
          <cell r="K77">
            <v>40</v>
          </cell>
          <cell r="L77">
            <v>4</v>
          </cell>
          <cell r="M77" t="str">
            <v>P</v>
          </cell>
          <cell r="R77" t="b">
            <v>0</v>
          </cell>
          <cell r="S77" t="b">
            <v>0</v>
          </cell>
          <cell r="T77" t="b">
            <v>0</v>
          </cell>
          <cell r="U77" t="b">
            <v>0</v>
          </cell>
          <cell r="V77">
            <v>1</v>
          </cell>
          <cell r="W77" t="str">
            <v/>
          </cell>
          <cell r="X77">
            <v>1</v>
          </cell>
          <cell r="Y77" t="str">
            <v/>
          </cell>
          <cell r="Z77">
            <v>4</v>
          </cell>
          <cell r="AA77" t="str">
            <v/>
          </cell>
          <cell r="AB77">
            <v>4</v>
          </cell>
          <cell r="AC77" t="str">
            <v/>
          </cell>
          <cell r="AD77">
            <v>37</v>
          </cell>
          <cell r="AE77" t="str">
            <v>Crossbow, Aquatic</v>
          </cell>
          <cell r="AF77" t="str">
            <v/>
          </cell>
          <cell r="AG77" t="str">
            <v>Scythe</v>
          </cell>
          <cell r="AH77">
            <v>0</v>
          </cell>
          <cell r="AI77" t="str">
            <v>Scythe</v>
          </cell>
          <cell r="AJ77" t="str">
            <v>Dagger, Triple</v>
          </cell>
          <cell r="AK77">
            <v>7</v>
          </cell>
          <cell r="AL77" t="str">
            <v>Triple Dagger</v>
          </cell>
          <cell r="AM77" t="str">
            <v/>
          </cell>
          <cell r="AN77" t="str">
            <v/>
          </cell>
          <cell r="AO77">
            <v>0</v>
          </cell>
          <cell r="AP77" t="str">
            <v/>
          </cell>
          <cell r="AQ77" t="str">
            <v/>
          </cell>
          <cell r="AR77">
            <v>9</v>
          </cell>
          <cell r="AS77" t="str">
            <v>Aquatic Crossbow</v>
          </cell>
        </row>
        <row r="78">
          <cell r="A78" t="str">
            <v>Crossbow, Great</v>
          </cell>
          <cell r="B78" t="str">
            <v>Crossbow, Great</v>
          </cell>
          <cell r="D78" t="str">
            <v>E</v>
          </cell>
          <cell r="E78" t="str">
            <v>R</v>
          </cell>
          <cell r="F78">
            <v>11</v>
          </cell>
          <cell r="H78">
            <v>18</v>
          </cell>
          <cell r="I78">
            <v>2</v>
          </cell>
          <cell r="K78">
            <v>120</v>
          </cell>
          <cell r="L78">
            <v>14</v>
          </cell>
          <cell r="M78" t="str">
            <v>P</v>
          </cell>
          <cell r="R78" t="b">
            <v>0</v>
          </cell>
          <cell r="S78" t="b">
            <v>0</v>
          </cell>
          <cell r="T78" t="b">
            <v>0</v>
          </cell>
          <cell r="U78" t="b">
            <v>0</v>
          </cell>
          <cell r="V78">
            <v>1</v>
          </cell>
          <cell r="W78" t="str">
            <v/>
          </cell>
          <cell r="X78">
            <v>1</v>
          </cell>
          <cell r="Y78" t="str">
            <v/>
          </cell>
          <cell r="Z78">
            <v>4</v>
          </cell>
          <cell r="AA78" t="str">
            <v/>
          </cell>
          <cell r="AB78">
            <v>4</v>
          </cell>
          <cell r="AC78" t="str">
            <v/>
          </cell>
          <cell r="AD78">
            <v>38</v>
          </cell>
          <cell r="AE78" t="str">
            <v>Crossbow, Great</v>
          </cell>
          <cell r="AF78" t="str">
            <v/>
          </cell>
          <cell r="AG78" t="str">
            <v>Shield, Heavy</v>
          </cell>
          <cell r="AH78">
            <v>7</v>
          </cell>
          <cell r="AI78" t="str">
            <v>Heavy Shield</v>
          </cell>
          <cell r="AJ78" t="str">
            <v>Darkha</v>
          </cell>
          <cell r="AK78">
            <v>0</v>
          </cell>
          <cell r="AL78" t="str">
            <v>Darkha</v>
          </cell>
          <cell r="AM78" t="str">
            <v/>
          </cell>
          <cell r="AN78" t="str">
            <v/>
          </cell>
          <cell r="AO78">
            <v>0</v>
          </cell>
          <cell r="AP78" t="str">
            <v/>
          </cell>
          <cell r="AQ78" t="str">
            <v/>
          </cell>
          <cell r="AR78">
            <v>9</v>
          </cell>
          <cell r="AS78" t="str">
            <v>Great Crossbow</v>
          </cell>
        </row>
        <row r="79">
          <cell r="A79" t="str">
            <v>Crossbow, Hand</v>
          </cell>
          <cell r="B79" t="str">
            <v>Crossbow, Hand</v>
          </cell>
          <cell r="D79" t="str">
            <v>E</v>
          </cell>
          <cell r="E79" t="str">
            <v>R</v>
          </cell>
          <cell r="F79">
            <v>4</v>
          </cell>
          <cell r="H79">
            <v>19</v>
          </cell>
          <cell r="I79">
            <v>2</v>
          </cell>
          <cell r="K79">
            <v>30</v>
          </cell>
          <cell r="L79">
            <v>2</v>
          </cell>
          <cell r="M79" t="str">
            <v>P</v>
          </cell>
          <cell r="P79" t="str">
            <v>O</v>
          </cell>
          <cell r="Q79" t="b">
            <v>0</v>
          </cell>
          <cell r="R79" t="b">
            <v>0</v>
          </cell>
          <cell r="S79" t="b">
            <v>0</v>
          </cell>
          <cell r="T79" t="b">
            <v>0</v>
          </cell>
          <cell r="U79" t="b">
            <v>0</v>
          </cell>
          <cell r="V79">
            <v>1</v>
          </cell>
          <cell r="W79" t="str">
            <v/>
          </cell>
          <cell r="X79">
            <v>1</v>
          </cell>
          <cell r="Y79" t="str">
            <v/>
          </cell>
          <cell r="Z79">
            <v>4</v>
          </cell>
          <cell r="AA79" t="str">
            <v/>
          </cell>
          <cell r="AB79">
            <v>4</v>
          </cell>
          <cell r="AC79" t="str">
            <v/>
          </cell>
          <cell r="AD79">
            <v>39</v>
          </cell>
          <cell r="AE79" t="str">
            <v>Crossbow, Hand</v>
          </cell>
          <cell r="AF79" t="str">
            <v/>
          </cell>
          <cell r="AG79" t="str">
            <v>Shield, Light</v>
          </cell>
          <cell r="AH79">
            <v>7</v>
          </cell>
          <cell r="AI79" t="str">
            <v>Light Shield</v>
          </cell>
          <cell r="AJ79" t="str">
            <v>Double Bow, Elven</v>
          </cell>
          <cell r="AK79">
            <v>11</v>
          </cell>
          <cell r="AL79" t="str">
            <v>Elven Double Bow</v>
          </cell>
          <cell r="AM79" t="str">
            <v/>
          </cell>
          <cell r="AN79" t="str">
            <v/>
          </cell>
          <cell r="AO79">
            <v>0</v>
          </cell>
          <cell r="AP79" t="str">
            <v/>
          </cell>
          <cell r="AQ79" t="str">
            <v/>
          </cell>
          <cell r="AR79">
            <v>9</v>
          </cell>
          <cell r="AS79" t="str">
            <v>Hand Crossbow</v>
          </cell>
        </row>
        <row r="80">
          <cell r="A80" t="str">
            <v>Crossbow, Heavy ●</v>
          </cell>
          <cell r="B80" t="str">
            <v>Crossbow, Heavy</v>
          </cell>
          <cell r="D80" t="str">
            <v>S</v>
          </cell>
          <cell r="E80" t="str">
            <v>R</v>
          </cell>
          <cell r="F80">
            <v>7</v>
          </cell>
          <cell r="H80">
            <v>19</v>
          </cell>
          <cell r="I80">
            <v>2</v>
          </cell>
          <cell r="K80">
            <v>120</v>
          </cell>
          <cell r="L80">
            <v>8</v>
          </cell>
          <cell r="M80" t="str">
            <v>P</v>
          </cell>
          <cell r="Q80" t="b">
            <v>1</v>
          </cell>
          <cell r="R80" t="b">
            <v>0</v>
          </cell>
          <cell r="S80" t="b">
            <v>0</v>
          </cell>
          <cell r="T80" t="b">
            <v>0</v>
          </cell>
          <cell r="U80" t="b">
            <v>1</v>
          </cell>
          <cell r="V80">
            <v>1</v>
          </cell>
          <cell r="W80" t="str">
            <v/>
          </cell>
          <cell r="X80">
            <v>2</v>
          </cell>
          <cell r="Y80" t="str">
            <v>Crossbow, Heavy</v>
          </cell>
          <cell r="Z80">
            <v>5</v>
          </cell>
          <cell r="AA80" t="str">
            <v>Crossbow, Heavy</v>
          </cell>
          <cell r="AB80">
            <v>4</v>
          </cell>
          <cell r="AC80" t="str">
            <v/>
          </cell>
          <cell r="AD80">
            <v>39</v>
          </cell>
          <cell r="AE80" t="str">
            <v/>
          </cell>
          <cell r="AF80" t="str">
            <v/>
          </cell>
          <cell r="AG80" t="str">
            <v>Shortbow</v>
          </cell>
          <cell r="AH80">
            <v>0</v>
          </cell>
          <cell r="AI80" t="str">
            <v>Shortbow</v>
          </cell>
          <cell r="AJ80" t="str">
            <v>Dragonsplit</v>
          </cell>
          <cell r="AK80">
            <v>0</v>
          </cell>
          <cell r="AL80" t="str">
            <v>Dragonsplit</v>
          </cell>
          <cell r="AM80" t="str">
            <v/>
          </cell>
          <cell r="AN80" t="str">
            <v/>
          </cell>
          <cell r="AO80">
            <v>0</v>
          </cell>
          <cell r="AP80" t="str">
            <v/>
          </cell>
          <cell r="AQ80" t="str">
            <v/>
          </cell>
          <cell r="AR80">
            <v>9</v>
          </cell>
          <cell r="AS80" t="str">
            <v>Heavy Crossbow</v>
          </cell>
        </row>
        <row r="81">
          <cell r="A81" t="str">
            <v>Crossbow, Light ●</v>
          </cell>
          <cell r="B81" t="str">
            <v>Crossbow, Light</v>
          </cell>
          <cell r="D81" t="str">
            <v>S</v>
          </cell>
          <cell r="E81" t="str">
            <v>R</v>
          </cell>
          <cell r="F81">
            <v>6</v>
          </cell>
          <cell r="H81">
            <v>19</v>
          </cell>
          <cell r="I81">
            <v>2</v>
          </cell>
          <cell r="K81">
            <v>80</v>
          </cell>
          <cell r="L81">
            <v>4</v>
          </cell>
          <cell r="M81" t="str">
            <v>P</v>
          </cell>
          <cell r="Q81" t="b">
            <v>1</v>
          </cell>
          <cell r="R81" t="b">
            <v>0</v>
          </cell>
          <cell r="S81" t="b">
            <v>0</v>
          </cell>
          <cell r="T81" t="b">
            <v>0</v>
          </cell>
          <cell r="U81" t="b">
            <v>1</v>
          </cell>
          <cell r="V81">
            <v>2</v>
          </cell>
          <cell r="W81" t="str">
            <v>Crossbow, Heavy</v>
          </cell>
          <cell r="X81">
            <v>3</v>
          </cell>
          <cell r="Y81" t="str">
            <v>Crossbow, Light</v>
          </cell>
          <cell r="Z81">
            <v>6</v>
          </cell>
          <cell r="AA81" t="str">
            <v>Crossbow, Light</v>
          </cell>
          <cell r="AB81">
            <v>4</v>
          </cell>
          <cell r="AC81" t="str">
            <v/>
          </cell>
          <cell r="AD81">
            <v>39</v>
          </cell>
          <cell r="AE81" t="str">
            <v/>
          </cell>
          <cell r="AF81" t="str">
            <v/>
          </cell>
          <cell r="AG81" t="str">
            <v>Shortbow, Composite</v>
          </cell>
          <cell r="AH81">
            <v>9</v>
          </cell>
          <cell r="AI81" t="str">
            <v>Composite Shortbow</v>
          </cell>
          <cell r="AJ81" t="str">
            <v>Dragon Pack</v>
          </cell>
          <cell r="AK81">
            <v>0</v>
          </cell>
          <cell r="AL81" t="str">
            <v>Dragon Pack</v>
          </cell>
          <cell r="AM81" t="str">
            <v/>
          </cell>
          <cell r="AN81" t="str">
            <v/>
          </cell>
          <cell r="AO81">
            <v>0</v>
          </cell>
          <cell r="AP81" t="str">
            <v/>
          </cell>
          <cell r="AQ81" t="str">
            <v/>
          </cell>
          <cell r="AR81">
            <v>9</v>
          </cell>
          <cell r="AS81" t="str">
            <v>Light Crossbow</v>
          </cell>
        </row>
        <row r="82">
          <cell r="A82" t="str">
            <v>Crossbow, Repeating Heavy</v>
          </cell>
          <cell r="B82" t="str">
            <v>Crossbow, Repeating Heavy</v>
          </cell>
          <cell r="D82" t="str">
            <v>E</v>
          </cell>
          <cell r="E82" t="str">
            <v>R</v>
          </cell>
          <cell r="F82">
            <v>7</v>
          </cell>
          <cell r="H82">
            <v>19</v>
          </cell>
          <cell r="I82">
            <v>2</v>
          </cell>
          <cell r="K82">
            <v>120</v>
          </cell>
          <cell r="L82">
            <v>12</v>
          </cell>
          <cell r="M82" t="str">
            <v>P</v>
          </cell>
          <cell r="R82" t="b">
            <v>0</v>
          </cell>
          <cell r="S82" t="b">
            <v>0</v>
          </cell>
          <cell r="T82" t="b">
            <v>0</v>
          </cell>
          <cell r="U82" t="b">
            <v>0</v>
          </cell>
          <cell r="V82">
            <v>3</v>
          </cell>
          <cell r="W82" t="str">
            <v>Crossbow, Light</v>
          </cell>
          <cell r="X82">
            <v>3</v>
          </cell>
          <cell r="Y82" t="str">
            <v/>
          </cell>
          <cell r="Z82">
            <v>6</v>
          </cell>
          <cell r="AA82" t="str">
            <v/>
          </cell>
          <cell r="AB82">
            <v>4</v>
          </cell>
          <cell r="AC82" t="str">
            <v/>
          </cell>
          <cell r="AD82">
            <v>40</v>
          </cell>
          <cell r="AE82" t="str">
            <v>Crossbow, Repeating Heavy</v>
          </cell>
          <cell r="AF82" t="str">
            <v/>
          </cell>
          <cell r="AG82" t="str">
            <v>Spiked Armor</v>
          </cell>
          <cell r="AH82">
            <v>0</v>
          </cell>
          <cell r="AI82" t="str">
            <v>Spiked Armor</v>
          </cell>
          <cell r="AJ82" t="str">
            <v>Drow long knife</v>
          </cell>
          <cell r="AK82">
            <v>0</v>
          </cell>
          <cell r="AL82" t="str">
            <v>Drow long knife</v>
          </cell>
          <cell r="AM82" t="str">
            <v/>
          </cell>
          <cell r="AN82" t="str">
            <v/>
          </cell>
          <cell r="AO82">
            <v>0</v>
          </cell>
          <cell r="AP82" t="str">
            <v/>
          </cell>
          <cell r="AQ82" t="str">
            <v/>
          </cell>
          <cell r="AR82">
            <v>9</v>
          </cell>
          <cell r="AS82" t="str">
            <v>Repeating Heavy Crossbow</v>
          </cell>
        </row>
        <row r="83">
          <cell r="A83" t="str">
            <v>Crossbow, Repeating Light</v>
          </cell>
          <cell r="B83" t="str">
            <v>Crossbow, Repeating Light</v>
          </cell>
          <cell r="D83" t="str">
            <v>E</v>
          </cell>
          <cell r="E83" t="str">
            <v>R</v>
          </cell>
          <cell r="F83">
            <v>6</v>
          </cell>
          <cell r="H83">
            <v>19</v>
          </cell>
          <cell r="I83">
            <v>2</v>
          </cell>
          <cell r="K83">
            <v>80</v>
          </cell>
          <cell r="L83">
            <v>6</v>
          </cell>
          <cell r="M83" t="str">
            <v>P</v>
          </cell>
          <cell r="R83" t="b">
            <v>0</v>
          </cell>
          <cell r="S83" t="b">
            <v>0</v>
          </cell>
          <cell r="T83" t="b">
            <v>0</v>
          </cell>
          <cell r="U83" t="b">
            <v>0</v>
          </cell>
          <cell r="V83">
            <v>3</v>
          </cell>
          <cell r="W83" t="str">
            <v/>
          </cell>
          <cell r="X83">
            <v>3</v>
          </cell>
          <cell r="Y83" t="str">
            <v/>
          </cell>
          <cell r="Z83">
            <v>6</v>
          </cell>
          <cell r="AA83" t="str">
            <v/>
          </cell>
          <cell r="AB83">
            <v>4</v>
          </cell>
          <cell r="AC83" t="str">
            <v/>
          </cell>
          <cell r="AD83">
            <v>41</v>
          </cell>
          <cell r="AE83" t="str">
            <v>Crossbow, Repeating Light</v>
          </cell>
          <cell r="AF83" t="str">
            <v/>
          </cell>
          <cell r="AG83" t="str">
            <v>Spiked Shield, Heavy</v>
          </cell>
          <cell r="AH83">
            <v>14</v>
          </cell>
          <cell r="AI83" t="str">
            <v>Heavy Spiked Shield</v>
          </cell>
          <cell r="AJ83" t="str">
            <v>Drow Scorpion Chain</v>
          </cell>
          <cell r="AK83">
            <v>0</v>
          </cell>
          <cell r="AL83" t="str">
            <v>Drow Scorpion Chain</v>
          </cell>
          <cell r="AM83" t="str">
            <v/>
          </cell>
          <cell r="AN83" t="str">
            <v/>
          </cell>
          <cell r="AO83">
            <v>0</v>
          </cell>
          <cell r="AP83" t="str">
            <v/>
          </cell>
          <cell r="AQ83" t="str">
            <v/>
          </cell>
          <cell r="AR83">
            <v>9</v>
          </cell>
          <cell r="AS83" t="str">
            <v>Repeating Light Crossbow</v>
          </cell>
        </row>
        <row r="84">
          <cell r="A84" t="str">
            <v>Crossbow, Staking</v>
          </cell>
          <cell r="B84" t="str">
            <v>Crossbow, Staking</v>
          </cell>
          <cell r="D84" t="str">
            <v>E</v>
          </cell>
          <cell r="E84" t="str">
            <v>T</v>
          </cell>
          <cell r="F84">
            <v>8</v>
          </cell>
          <cell r="H84">
            <v>19</v>
          </cell>
          <cell r="I84">
            <v>2</v>
          </cell>
          <cell r="K84">
            <v>10</v>
          </cell>
          <cell r="L84">
            <v>15</v>
          </cell>
          <cell r="M84" t="str">
            <v>P</v>
          </cell>
          <cell r="R84" t="b">
            <v>0</v>
          </cell>
          <cell r="S84" t="b">
            <v>0</v>
          </cell>
          <cell r="T84" t="b">
            <v>0</v>
          </cell>
          <cell r="U84" t="b">
            <v>0</v>
          </cell>
          <cell r="V84">
            <v>3</v>
          </cell>
          <cell r="W84" t="str">
            <v/>
          </cell>
          <cell r="X84">
            <v>3</v>
          </cell>
          <cell r="Y84" t="str">
            <v/>
          </cell>
          <cell r="Z84">
            <v>6</v>
          </cell>
          <cell r="AA84" t="str">
            <v/>
          </cell>
          <cell r="AB84">
            <v>4</v>
          </cell>
          <cell r="AC84" t="str">
            <v/>
          </cell>
          <cell r="AD84">
            <v>42</v>
          </cell>
          <cell r="AE84" t="str">
            <v>Crossbow, Staking</v>
          </cell>
          <cell r="AF84" t="str">
            <v/>
          </cell>
          <cell r="AG84" t="str">
            <v>Spiked Shield, Light</v>
          </cell>
          <cell r="AH84">
            <v>14</v>
          </cell>
          <cell r="AI84" t="str">
            <v>Light Spiked Shield</v>
          </cell>
          <cell r="AJ84" t="str">
            <v>Duom</v>
          </cell>
          <cell r="AK84">
            <v>0</v>
          </cell>
          <cell r="AL84" t="str">
            <v>Duom</v>
          </cell>
          <cell r="AM84" t="str">
            <v/>
          </cell>
          <cell r="AN84" t="str">
            <v/>
          </cell>
          <cell r="AO84">
            <v>0</v>
          </cell>
          <cell r="AP84" t="str">
            <v/>
          </cell>
          <cell r="AQ84" t="str">
            <v/>
          </cell>
          <cell r="AR84">
            <v>9</v>
          </cell>
          <cell r="AS84" t="str">
            <v>Staking Crossbow</v>
          </cell>
        </row>
        <row r="85">
          <cell r="A85" t="str">
            <v>Cutlass</v>
          </cell>
          <cell r="B85" t="str">
            <v>Cutlass</v>
          </cell>
          <cell r="D85" t="str">
            <v>M</v>
          </cell>
          <cell r="E85" t="str">
            <v>L</v>
          </cell>
          <cell r="F85">
            <v>5</v>
          </cell>
          <cell r="H85">
            <v>19</v>
          </cell>
          <cell r="I85">
            <v>2</v>
          </cell>
          <cell r="L85">
            <v>3</v>
          </cell>
          <cell r="M85" t="str">
            <v>S</v>
          </cell>
          <cell r="Q85" t="b">
            <v>0</v>
          </cell>
          <cell r="R85" t="b">
            <v>0</v>
          </cell>
          <cell r="S85" t="b">
            <v>0</v>
          </cell>
          <cell r="T85" t="b">
            <v>0</v>
          </cell>
          <cell r="U85" t="b">
            <v>0</v>
          </cell>
          <cell r="V85">
            <v>3</v>
          </cell>
          <cell r="W85" t="str">
            <v/>
          </cell>
          <cell r="X85">
            <v>3</v>
          </cell>
          <cell r="Y85" t="str">
            <v/>
          </cell>
          <cell r="Z85">
            <v>6</v>
          </cell>
          <cell r="AA85" t="str">
            <v/>
          </cell>
          <cell r="AB85">
            <v>5</v>
          </cell>
          <cell r="AC85" t="str">
            <v>Cutlass</v>
          </cell>
          <cell r="AD85">
            <v>42</v>
          </cell>
          <cell r="AE85" t="str">
            <v/>
          </cell>
          <cell r="AF85" t="str">
            <v/>
          </cell>
          <cell r="AG85" t="str">
            <v>Stabaxe</v>
          </cell>
          <cell r="AH85">
            <v>0</v>
          </cell>
          <cell r="AI85" t="str">
            <v>Stabaxe</v>
          </cell>
          <cell r="AJ85" t="str">
            <v>Etherblade</v>
          </cell>
          <cell r="AK85">
            <v>0</v>
          </cell>
          <cell r="AL85" t="str">
            <v>Etherblade</v>
          </cell>
          <cell r="AM85" t="str">
            <v/>
          </cell>
          <cell r="AN85" t="str">
            <v/>
          </cell>
          <cell r="AO85">
            <v>0</v>
          </cell>
          <cell r="AP85" t="str">
            <v/>
          </cell>
          <cell r="AQ85" t="str">
            <v/>
          </cell>
          <cell r="AR85">
            <v>0</v>
          </cell>
          <cell r="AS85" t="str">
            <v>Cutlass</v>
          </cell>
        </row>
        <row r="86">
          <cell r="A86" t="str">
            <v>Dagger ●</v>
          </cell>
          <cell r="B86" t="str">
            <v>Dagger</v>
          </cell>
          <cell r="D86" t="str">
            <v>S</v>
          </cell>
          <cell r="E86" t="str">
            <v>L</v>
          </cell>
          <cell r="F86">
            <v>4</v>
          </cell>
          <cell r="H86">
            <v>19</v>
          </cell>
          <cell r="I86">
            <v>2</v>
          </cell>
          <cell r="K86">
            <v>10</v>
          </cell>
          <cell r="L86">
            <v>1</v>
          </cell>
          <cell r="M86" t="str">
            <v>P/S</v>
          </cell>
          <cell r="Q86" t="b">
            <v>1</v>
          </cell>
          <cell r="R86" t="b">
            <v>0</v>
          </cell>
          <cell r="S86" t="b">
            <v>0</v>
          </cell>
          <cell r="T86" t="b">
            <v>0</v>
          </cell>
          <cell r="U86" t="b">
            <v>1</v>
          </cell>
          <cell r="V86">
            <v>3</v>
          </cell>
          <cell r="W86" t="str">
            <v/>
          </cell>
          <cell r="X86">
            <v>4</v>
          </cell>
          <cell r="Y86" t="str">
            <v>Dagger</v>
          </cell>
          <cell r="Z86">
            <v>7</v>
          </cell>
          <cell r="AA86" t="str">
            <v>Dagger</v>
          </cell>
          <cell r="AB86">
            <v>5</v>
          </cell>
          <cell r="AC86" t="str">
            <v/>
          </cell>
          <cell r="AD86">
            <v>42</v>
          </cell>
          <cell r="AE86" t="str">
            <v/>
          </cell>
          <cell r="AF86" t="str">
            <v/>
          </cell>
          <cell r="AG86" t="str">
            <v>Straightblade</v>
          </cell>
          <cell r="AH86">
            <v>0</v>
          </cell>
          <cell r="AI86" t="str">
            <v>Straightblade</v>
          </cell>
          <cell r="AJ86" t="str">
            <v>Falchion, Great</v>
          </cell>
          <cell r="AK86">
            <v>9</v>
          </cell>
          <cell r="AL86" t="str">
            <v>Great Falchion</v>
          </cell>
          <cell r="AM86" t="str">
            <v/>
          </cell>
          <cell r="AN86" t="str">
            <v/>
          </cell>
          <cell r="AO86">
            <v>0</v>
          </cell>
          <cell r="AP86" t="str">
            <v/>
          </cell>
          <cell r="AQ86" t="str">
            <v/>
          </cell>
          <cell r="AR86">
            <v>0</v>
          </cell>
          <cell r="AS86" t="str">
            <v>Dagger</v>
          </cell>
        </row>
        <row r="87">
          <cell r="A87" t="str">
            <v>Dagger, Barbed</v>
          </cell>
          <cell r="B87" t="str">
            <v>Dagger, Barbed</v>
          </cell>
          <cell r="D87" t="str">
            <v>E</v>
          </cell>
          <cell r="E87" t="str">
            <v>L</v>
          </cell>
          <cell r="F87">
            <v>4</v>
          </cell>
          <cell r="H87">
            <v>19</v>
          </cell>
          <cell r="I87">
            <v>2</v>
          </cell>
          <cell r="L87">
            <v>1</v>
          </cell>
          <cell r="M87" t="str">
            <v>P</v>
          </cell>
          <cell r="Q87" t="b">
            <v>0</v>
          </cell>
          <cell r="R87" t="b">
            <v>0</v>
          </cell>
          <cell r="S87" t="b">
            <v>0</v>
          </cell>
          <cell r="T87" t="b">
            <v>0</v>
          </cell>
          <cell r="U87" t="b">
            <v>0</v>
          </cell>
          <cell r="V87">
            <v>4</v>
          </cell>
          <cell r="W87" t="str">
            <v>Dagger</v>
          </cell>
          <cell r="X87">
            <v>4</v>
          </cell>
          <cell r="Y87" t="str">
            <v/>
          </cell>
          <cell r="Z87">
            <v>7</v>
          </cell>
          <cell r="AA87" t="str">
            <v/>
          </cell>
          <cell r="AB87">
            <v>5</v>
          </cell>
          <cell r="AC87" t="str">
            <v/>
          </cell>
          <cell r="AD87">
            <v>43</v>
          </cell>
          <cell r="AE87" t="str">
            <v>Dagger, Barbed</v>
          </cell>
          <cell r="AF87" t="str">
            <v/>
          </cell>
          <cell r="AG87" t="str">
            <v>Straight Razor</v>
          </cell>
          <cell r="AH87">
            <v>0</v>
          </cell>
          <cell r="AI87" t="str">
            <v>Straight Razor</v>
          </cell>
          <cell r="AJ87" t="str">
            <v>Fan, Collapsing Crescent</v>
          </cell>
          <cell r="AK87">
            <v>4</v>
          </cell>
          <cell r="AL87" t="str">
            <v>Collapsing Crescent Fan</v>
          </cell>
          <cell r="AM87" t="str">
            <v/>
          </cell>
          <cell r="AN87" t="str">
            <v/>
          </cell>
          <cell r="AO87">
            <v>0</v>
          </cell>
          <cell r="AP87" t="str">
            <v/>
          </cell>
          <cell r="AQ87" t="str">
            <v/>
          </cell>
          <cell r="AR87">
            <v>7</v>
          </cell>
          <cell r="AS87" t="str">
            <v>Barbed Dagger</v>
          </cell>
        </row>
        <row r="88">
          <cell r="A88" t="str">
            <v>Dagger, Punching</v>
          </cell>
          <cell r="B88" t="str">
            <v>Dagger, Punching</v>
          </cell>
          <cell r="D88" t="str">
            <v>S</v>
          </cell>
          <cell r="E88" t="str">
            <v>L</v>
          </cell>
          <cell r="F88">
            <v>4</v>
          </cell>
          <cell r="H88">
            <v>20</v>
          </cell>
          <cell r="I88">
            <v>3</v>
          </cell>
          <cell r="L88">
            <v>1</v>
          </cell>
          <cell r="M88" t="str">
            <v>P</v>
          </cell>
          <cell r="Q88" t="b">
            <v>0</v>
          </cell>
          <cell r="R88" t="b">
            <v>0</v>
          </cell>
          <cell r="S88" t="b">
            <v>0</v>
          </cell>
          <cell r="T88" t="b">
            <v>0</v>
          </cell>
          <cell r="U88" t="b">
            <v>0</v>
          </cell>
          <cell r="V88">
            <v>4</v>
          </cell>
          <cell r="W88" t="str">
            <v/>
          </cell>
          <cell r="X88">
            <v>4</v>
          </cell>
          <cell r="Y88" t="str">
            <v/>
          </cell>
          <cell r="Z88">
            <v>8</v>
          </cell>
          <cell r="AA88" t="str">
            <v>Dagger, Punching</v>
          </cell>
          <cell r="AB88">
            <v>5</v>
          </cell>
          <cell r="AC88" t="str">
            <v/>
          </cell>
          <cell r="AD88">
            <v>43</v>
          </cell>
          <cell r="AE88" t="str">
            <v/>
          </cell>
          <cell r="AF88" t="str">
            <v/>
          </cell>
          <cell r="AG88" t="str">
            <v>Sword, Bastard</v>
          </cell>
          <cell r="AH88">
            <v>6</v>
          </cell>
          <cell r="AI88" t="str">
            <v>Bastard Sword</v>
          </cell>
          <cell r="AJ88" t="str">
            <v>Fan, War</v>
          </cell>
          <cell r="AK88">
            <v>4</v>
          </cell>
          <cell r="AL88" t="str">
            <v>War Fan</v>
          </cell>
          <cell r="AM88" t="str">
            <v/>
          </cell>
          <cell r="AN88" t="str">
            <v/>
          </cell>
          <cell r="AO88">
            <v>0</v>
          </cell>
          <cell r="AP88" t="str">
            <v/>
          </cell>
          <cell r="AQ88" t="str">
            <v/>
          </cell>
          <cell r="AR88">
            <v>7</v>
          </cell>
          <cell r="AS88" t="str">
            <v>Punching Dagger</v>
          </cell>
        </row>
        <row r="89">
          <cell r="A89" t="str">
            <v>Dagger, Ribbon</v>
          </cell>
          <cell r="B89" t="str">
            <v>Dagger, Ribbon</v>
          </cell>
          <cell r="D89" t="str">
            <v>E</v>
          </cell>
          <cell r="E89" t="str">
            <v>L</v>
          </cell>
          <cell r="F89">
            <v>4</v>
          </cell>
          <cell r="H89">
            <v>20</v>
          </cell>
          <cell r="I89">
            <v>4</v>
          </cell>
          <cell r="L89">
            <v>1</v>
          </cell>
          <cell r="M89" t="str">
            <v>S</v>
          </cell>
          <cell r="Q89" t="b">
            <v>0</v>
          </cell>
          <cell r="R89" t="b">
            <v>0</v>
          </cell>
          <cell r="S89" t="b">
            <v>0</v>
          </cell>
          <cell r="T89" t="b">
            <v>0</v>
          </cell>
          <cell r="U89" t="b">
            <v>0</v>
          </cell>
          <cell r="V89">
            <v>4</v>
          </cell>
          <cell r="W89" t="str">
            <v/>
          </cell>
          <cell r="X89">
            <v>4</v>
          </cell>
          <cell r="Y89" t="str">
            <v/>
          </cell>
          <cell r="Z89">
            <v>8</v>
          </cell>
          <cell r="AA89" t="str">
            <v/>
          </cell>
          <cell r="AB89">
            <v>5</v>
          </cell>
          <cell r="AC89" t="str">
            <v/>
          </cell>
          <cell r="AD89">
            <v>44</v>
          </cell>
          <cell r="AE89" t="str">
            <v>Dagger, Ribbon</v>
          </cell>
          <cell r="AF89" t="str">
            <v/>
          </cell>
          <cell r="AG89" t="str">
            <v>Sword, Short</v>
          </cell>
          <cell r="AH89">
            <v>6</v>
          </cell>
          <cell r="AI89" t="str">
            <v>Short Sword</v>
          </cell>
          <cell r="AJ89" t="str">
            <v>Fingerblade</v>
          </cell>
          <cell r="AK89">
            <v>0</v>
          </cell>
          <cell r="AL89" t="str">
            <v>Fingerblade</v>
          </cell>
          <cell r="AM89" t="str">
            <v/>
          </cell>
          <cell r="AN89" t="str">
            <v/>
          </cell>
          <cell r="AO89">
            <v>0</v>
          </cell>
          <cell r="AP89" t="str">
            <v/>
          </cell>
          <cell r="AQ89" t="str">
            <v/>
          </cell>
          <cell r="AR89">
            <v>7</v>
          </cell>
          <cell r="AS89" t="str">
            <v>Ribbon Dagger</v>
          </cell>
        </row>
        <row r="90">
          <cell r="A90" t="str">
            <v>Dagger, Triple</v>
          </cell>
          <cell r="B90" t="str">
            <v>Dagger, Triple</v>
          </cell>
          <cell r="D90" t="str">
            <v>E</v>
          </cell>
          <cell r="E90" t="str">
            <v>L</v>
          </cell>
          <cell r="F90">
            <v>4</v>
          </cell>
          <cell r="H90">
            <v>19</v>
          </cell>
          <cell r="I90">
            <v>2</v>
          </cell>
          <cell r="L90">
            <v>1</v>
          </cell>
          <cell r="M90" t="str">
            <v>P</v>
          </cell>
          <cell r="Q90" t="b">
            <v>0</v>
          </cell>
          <cell r="R90" t="b">
            <v>0</v>
          </cell>
          <cell r="S90" t="b">
            <v>0</v>
          </cell>
          <cell r="T90" t="b">
            <v>0</v>
          </cell>
          <cell r="U90" t="b">
            <v>0</v>
          </cell>
          <cell r="V90">
            <v>4</v>
          </cell>
          <cell r="W90" t="str">
            <v/>
          </cell>
          <cell r="X90">
            <v>4</v>
          </cell>
          <cell r="Y90" t="str">
            <v/>
          </cell>
          <cell r="Z90">
            <v>8</v>
          </cell>
          <cell r="AA90" t="str">
            <v/>
          </cell>
          <cell r="AB90">
            <v>5</v>
          </cell>
          <cell r="AC90" t="str">
            <v/>
          </cell>
          <cell r="AD90">
            <v>45</v>
          </cell>
          <cell r="AE90" t="str">
            <v>Dagger, Triple</v>
          </cell>
          <cell r="AF90" t="str">
            <v/>
          </cell>
          <cell r="AG90" t="str">
            <v>Sword Cane, Rapier</v>
          </cell>
          <cell r="AH90">
            <v>11</v>
          </cell>
          <cell r="AI90" t="str">
            <v>Rapier Sword Cane</v>
          </cell>
          <cell r="AJ90" t="str">
            <v>Flail, Dire</v>
          </cell>
          <cell r="AK90">
            <v>6</v>
          </cell>
          <cell r="AL90" t="str">
            <v>Dire Flail</v>
          </cell>
          <cell r="AM90" t="str">
            <v/>
          </cell>
          <cell r="AN90" t="str">
            <v/>
          </cell>
          <cell r="AO90">
            <v>0</v>
          </cell>
          <cell r="AP90" t="str">
            <v/>
          </cell>
          <cell r="AQ90" t="str">
            <v/>
          </cell>
          <cell r="AR90">
            <v>7</v>
          </cell>
          <cell r="AS90" t="str">
            <v>Triple Dagger</v>
          </cell>
        </row>
        <row r="91">
          <cell r="A91" t="str">
            <v>Dart</v>
          </cell>
          <cell r="B91" t="str">
            <v>Dart</v>
          </cell>
          <cell r="D91" t="str">
            <v>S</v>
          </cell>
          <cell r="E91" t="str">
            <v>R</v>
          </cell>
          <cell r="F91">
            <v>4</v>
          </cell>
          <cell r="H91">
            <v>20</v>
          </cell>
          <cell r="I91">
            <v>2</v>
          </cell>
          <cell r="K91">
            <v>20</v>
          </cell>
          <cell r="L91">
            <v>0.5</v>
          </cell>
          <cell r="M91" t="str">
            <v>P</v>
          </cell>
          <cell r="P91" t="str">
            <v>T</v>
          </cell>
          <cell r="Q91" t="b">
            <v>0</v>
          </cell>
          <cell r="R91" t="b">
            <v>0</v>
          </cell>
          <cell r="S91" t="b">
            <v>0</v>
          </cell>
          <cell r="T91" t="b">
            <v>0</v>
          </cell>
          <cell r="U91" t="b">
            <v>0</v>
          </cell>
          <cell r="V91">
            <v>4</v>
          </cell>
          <cell r="W91" t="str">
            <v/>
          </cell>
          <cell r="X91">
            <v>4</v>
          </cell>
          <cell r="Y91" t="str">
            <v/>
          </cell>
          <cell r="Z91">
            <v>9</v>
          </cell>
          <cell r="AA91" t="str">
            <v>Dart</v>
          </cell>
          <cell r="AB91">
            <v>5</v>
          </cell>
          <cell r="AC91" t="str">
            <v/>
          </cell>
          <cell r="AD91">
            <v>45</v>
          </cell>
          <cell r="AE91" t="str">
            <v/>
          </cell>
          <cell r="AF91" t="str">
            <v/>
          </cell>
          <cell r="AG91" t="str">
            <v>Trident</v>
          </cell>
          <cell r="AH91">
            <v>0</v>
          </cell>
          <cell r="AI91" t="str">
            <v>Trident</v>
          </cell>
          <cell r="AJ91" t="str">
            <v>Flindbar</v>
          </cell>
          <cell r="AK91">
            <v>0</v>
          </cell>
          <cell r="AL91" t="str">
            <v>Flindbar</v>
          </cell>
          <cell r="AM91" t="str">
            <v/>
          </cell>
          <cell r="AN91" t="str">
            <v/>
          </cell>
          <cell r="AO91">
            <v>0</v>
          </cell>
          <cell r="AP91" t="str">
            <v/>
          </cell>
          <cell r="AQ91" t="str">
            <v/>
          </cell>
          <cell r="AR91">
            <v>0</v>
          </cell>
          <cell r="AS91" t="str">
            <v>Dart</v>
          </cell>
        </row>
        <row r="92">
          <cell r="A92" t="str">
            <v>Dart thruster</v>
          </cell>
          <cell r="B92" t="str">
            <v>Dart thruster</v>
          </cell>
          <cell r="D92" t="str">
            <v>M</v>
          </cell>
          <cell r="E92" t="str">
            <v>R</v>
          </cell>
          <cell r="F92">
            <v>4</v>
          </cell>
          <cell r="H92">
            <v>19</v>
          </cell>
          <cell r="I92">
            <v>2</v>
          </cell>
          <cell r="K92">
            <v>40</v>
          </cell>
          <cell r="L92">
            <v>1</v>
          </cell>
          <cell r="M92" t="str">
            <v>P</v>
          </cell>
          <cell r="R92" t="b">
            <v>0</v>
          </cell>
          <cell r="S92" t="b">
            <v>0</v>
          </cell>
          <cell r="T92" t="b">
            <v>0</v>
          </cell>
          <cell r="U92" t="b">
            <v>0</v>
          </cell>
          <cell r="V92">
            <v>4</v>
          </cell>
          <cell r="W92" t="str">
            <v/>
          </cell>
          <cell r="X92">
            <v>4</v>
          </cell>
          <cell r="Y92" t="str">
            <v/>
          </cell>
          <cell r="Z92">
            <v>9</v>
          </cell>
          <cell r="AA92" t="str">
            <v/>
          </cell>
          <cell r="AB92">
            <v>6</v>
          </cell>
          <cell r="AC92" t="str">
            <v>Dart thruster</v>
          </cell>
          <cell r="AD92">
            <v>45</v>
          </cell>
          <cell r="AE92" t="str">
            <v/>
          </cell>
          <cell r="AF92" t="str">
            <v/>
          </cell>
          <cell r="AG92" t="str">
            <v>Urgrosh, Dwarven</v>
          </cell>
          <cell r="AH92">
            <v>8</v>
          </cell>
          <cell r="AI92" t="str">
            <v>Dwarven Urgrosh</v>
          </cell>
          <cell r="AJ92" t="str">
            <v>Flutter blade</v>
          </cell>
          <cell r="AK92">
            <v>0</v>
          </cell>
          <cell r="AL92" t="str">
            <v>Flutter blade</v>
          </cell>
          <cell r="AM92" t="str">
            <v/>
          </cell>
          <cell r="AN92" t="str">
            <v/>
          </cell>
          <cell r="AO92">
            <v>0</v>
          </cell>
          <cell r="AP92" t="str">
            <v/>
          </cell>
          <cell r="AQ92" t="str">
            <v/>
          </cell>
          <cell r="AR92">
            <v>0</v>
          </cell>
          <cell r="AS92" t="str">
            <v>Dart thruster</v>
          </cell>
        </row>
        <row r="93">
          <cell r="A93" t="str">
            <v>Darkha</v>
          </cell>
          <cell r="B93" t="str">
            <v>Darkha</v>
          </cell>
          <cell r="D93" t="str">
            <v>E</v>
          </cell>
          <cell r="E93" t="str">
            <v>T</v>
          </cell>
          <cell r="F93">
            <v>6</v>
          </cell>
          <cell r="H93">
            <v>20</v>
          </cell>
          <cell r="I93">
            <v>3</v>
          </cell>
          <cell r="K93">
            <v>30</v>
          </cell>
          <cell r="L93">
            <v>4</v>
          </cell>
          <cell r="M93" t="str">
            <v>P</v>
          </cell>
          <cell r="P93" t="str">
            <v>T</v>
          </cell>
          <cell r="R93" t="b">
            <v>0</v>
          </cell>
          <cell r="S93" t="b">
            <v>0</v>
          </cell>
          <cell r="T93" t="b">
            <v>0</v>
          </cell>
          <cell r="U93" t="b">
            <v>0</v>
          </cell>
          <cell r="V93">
            <v>4</v>
          </cell>
          <cell r="W93" t="str">
            <v/>
          </cell>
          <cell r="X93">
            <v>4</v>
          </cell>
          <cell r="Y93" t="str">
            <v/>
          </cell>
          <cell r="Z93">
            <v>9</v>
          </cell>
          <cell r="AA93" t="str">
            <v/>
          </cell>
          <cell r="AB93">
            <v>6</v>
          </cell>
          <cell r="AC93" t="str">
            <v/>
          </cell>
          <cell r="AD93">
            <v>46</v>
          </cell>
          <cell r="AE93" t="str">
            <v>Darkha</v>
          </cell>
          <cell r="AF93" t="str">
            <v/>
          </cell>
          <cell r="AG93" t="str">
            <v>Wakizashi</v>
          </cell>
          <cell r="AH93">
            <v>0</v>
          </cell>
          <cell r="AI93" t="str">
            <v>Wakizashi</v>
          </cell>
          <cell r="AJ93" t="str">
            <v>Foot spike</v>
          </cell>
          <cell r="AK93">
            <v>0</v>
          </cell>
          <cell r="AL93" t="str">
            <v>Foot spike</v>
          </cell>
          <cell r="AM93" t="str">
            <v/>
          </cell>
          <cell r="AN93" t="str">
            <v/>
          </cell>
          <cell r="AO93">
            <v>0</v>
          </cell>
          <cell r="AP93" t="str">
            <v/>
          </cell>
          <cell r="AQ93" t="str">
            <v/>
          </cell>
          <cell r="AR93">
            <v>0</v>
          </cell>
          <cell r="AS93" t="str">
            <v>Darkha</v>
          </cell>
        </row>
        <row r="94">
          <cell r="A94" t="str">
            <v>Double Bow, Elven</v>
          </cell>
          <cell r="B94" t="str">
            <v>Double Bow, Elven</v>
          </cell>
          <cell r="D94" t="str">
            <v>E</v>
          </cell>
          <cell r="E94" t="str">
            <v>R</v>
          </cell>
          <cell r="F94">
            <v>6</v>
          </cell>
          <cell r="H94">
            <v>20</v>
          </cell>
          <cell r="I94">
            <v>3</v>
          </cell>
          <cell r="K94">
            <v>90</v>
          </cell>
          <cell r="L94">
            <v>3</v>
          </cell>
          <cell r="M94" t="str">
            <v>P</v>
          </cell>
          <cell r="P94" t="str">
            <v/>
          </cell>
          <cell r="Q94" t="b">
            <v>0</v>
          </cell>
          <cell r="R94" t="b">
            <v>0</v>
          </cell>
          <cell r="S94" t="b">
            <v>0</v>
          </cell>
          <cell r="T94" t="b">
            <v>0</v>
          </cell>
          <cell r="U94" t="b">
            <v>0</v>
          </cell>
          <cell r="V94">
            <v>4</v>
          </cell>
          <cell r="W94" t="str">
            <v/>
          </cell>
          <cell r="X94">
            <v>4</v>
          </cell>
          <cell r="Y94" t="str">
            <v/>
          </cell>
          <cell r="Z94">
            <v>9</v>
          </cell>
          <cell r="AA94" t="str">
            <v/>
          </cell>
          <cell r="AB94">
            <v>6</v>
          </cell>
          <cell r="AC94" t="str">
            <v/>
          </cell>
          <cell r="AD94">
            <v>47</v>
          </cell>
          <cell r="AE94" t="str">
            <v>Double Bow, Elven</v>
          </cell>
          <cell r="AF94" t="str">
            <v/>
          </cell>
          <cell r="AG94" t="str">
            <v>Waraxe, Dwarven</v>
          </cell>
          <cell r="AH94">
            <v>7</v>
          </cell>
          <cell r="AI94" t="str">
            <v>Dwarven Waraxe</v>
          </cell>
          <cell r="AJ94" t="str">
            <v>Footbow</v>
          </cell>
          <cell r="AK94">
            <v>0</v>
          </cell>
          <cell r="AL94" t="str">
            <v>Footbow</v>
          </cell>
          <cell r="AM94" t="str">
            <v/>
          </cell>
          <cell r="AN94" t="str">
            <v/>
          </cell>
          <cell r="AO94">
            <v>0</v>
          </cell>
          <cell r="AP94" t="str">
            <v/>
          </cell>
          <cell r="AQ94" t="str">
            <v/>
          </cell>
          <cell r="AR94">
            <v>11</v>
          </cell>
          <cell r="AS94" t="str">
            <v>Elven Double Bow</v>
          </cell>
        </row>
        <row r="95">
          <cell r="A95" t="str">
            <v>Dragonsplit</v>
          </cell>
          <cell r="B95" t="str">
            <v>Dragonsplit</v>
          </cell>
          <cell r="D95" t="str">
            <v>E</v>
          </cell>
          <cell r="E95" t="str">
            <v>L</v>
          </cell>
          <cell r="F95">
            <v>5</v>
          </cell>
          <cell r="G95">
            <v>5</v>
          </cell>
          <cell r="H95">
            <v>19</v>
          </cell>
          <cell r="I95">
            <v>2</v>
          </cell>
          <cell r="J95">
            <v>4</v>
          </cell>
          <cell r="L95">
            <v>2</v>
          </cell>
          <cell r="M95" t="str">
            <v>P/S</v>
          </cell>
          <cell r="R95" t="b">
            <v>0</v>
          </cell>
          <cell r="S95" t="b">
            <v>0</v>
          </cell>
          <cell r="T95" t="b">
            <v>0</v>
          </cell>
          <cell r="U95" t="b">
            <v>0</v>
          </cell>
          <cell r="V95">
            <v>4</v>
          </cell>
          <cell r="W95" t="str">
            <v/>
          </cell>
          <cell r="X95">
            <v>4</v>
          </cell>
          <cell r="Y95" t="str">
            <v/>
          </cell>
          <cell r="Z95">
            <v>9</v>
          </cell>
          <cell r="AA95" t="str">
            <v/>
          </cell>
          <cell r="AB95">
            <v>6</v>
          </cell>
          <cell r="AC95" t="str">
            <v/>
          </cell>
          <cell r="AD95">
            <v>48</v>
          </cell>
          <cell r="AE95" t="str">
            <v>Dragonsplit</v>
          </cell>
          <cell r="AF95" t="str">
            <v/>
          </cell>
          <cell r="AG95" t="str">
            <v>Warhammer</v>
          </cell>
          <cell r="AH95">
            <v>0</v>
          </cell>
          <cell r="AI95" t="str">
            <v>Warhammer</v>
          </cell>
          <cell r="AJ95" t="str">
            <v>Fukimi-Bari</v>
          </cell>
          <cell r="AK95">
            <v>0</v>
          </cell>
          <cell r="AL95" t="str">
            <v>Fukimi-Bari</v>
          </cell>
          <cell r="AM95" t="str">
            <v/>
          </cell>
          <cell r="AN95" t="str">
            <v/>
          </cell>
          <cell r="AO95">
            <v>0</v>
          </cell>
          <cell r="AP95" t="str">
            <v/>
          </cell>
          <cell r="AQ95" t="str">
            <v/>
          </cell>
          <cell r="AR95">
            <v>0</v>
          </cell>
          <cell r="AS95" t="str">
            <v>Dragonsplit</v>
          </cell>
        </row>
        <row r="96">
          <cell r="A96" t="str">
            <v>Dragon Pack</v>
          </cell>
          <cell r="B96" t="str">
            <v>Dragon Pack</v>
          </cell>
          <cell r="D96" t="str">
            <v>E</v>
          </cell>
          <cell r="E96" t="str">
            <v>L</v>
          </cell>
          <cell r="K96">
            <v>20</v>
          </cell>
          <cell r="L96">
            <v>25</v>
          </cell>
          <cell r="R96" t="b">
            <v>0</v>
          </cell>
          <cell r="S96" t="b">
            <v>0</v>
          </cell>
          <cell r="T96" t="b">
            <v>0</v>
          </cell>
          <cell r="U96" t="b">
            <v>0</v>
          </cell>
          <cell r="V96">
            <v>4</v>
          </cell>
          <cell r="W96" t="str">
            <v/>
          </cell>
          <cell r="X96">
            <v>4</v>
          </cell>
          <cell r="Y96" t="str">
            <v/>
          </cell>
          <cell r="Z96">
            <v>9</v>
          </cell>
          <cell r="AA96" t="str">
            <v/>
          </cell>
          <cell r="AB96">
            <v>6</v>
          </cell>
          <cell r="AC96" t="str">
            <v/>
          </cell>
          <cell r="AD96">
            <v>49</v>
          </cell>
          <cell r="AE96" t="str">
            <v>Dragon Pack</v>
          </cell>
          <cell r="AF96" t="str">
            <v/>
          </cell>
          <cell r="AG96" t="str">
            <v>Warmace</v>
          </cell>
          <cell r="AH96">
            <v>0</v>
          </cell>
          <cell r="AI96" t="str">
            <v>Warmace</v>
          </cell>
          <cell r="AJ96" t="str">
            <v>Fullblade</v>
          </cell>
          <cell r="AK96">
            <v>0</v>
          </cell>
          <cell r="AL96" t="str">
            <v>Fullblade</v>
          </cell>
          <cell r="AM96" t="str">
            <v/>
          </cell>
          <cell r="AN96" t="str">
            <v/>
          </cell>
          <cell r="AO96">
            <v>0</v>
          </cell>
          <cell r="AP96" t="str">
            <v/>
          </cell>
          <cell r="AQ96" t="str">
            <v/>
          </cell>
          <cell r="AR96">
            <v>0</v>
          </cell>
          <cell r="AS96" t="str">
            <v>Dragon Pack</v>
          </cell>
        </row>
        <row r="97">
          <cell r="A97" t="str">
            <v>Drow long knife</v>
          </cell>
          <cell r="B97" t="str">
            <v>Drow long knife</v>
          </cell>
          <cell r="D97" t="str">
            <v>E</v>
          </cell>
          <cell r="E97" t="str">
            <v>R</v>
          </cell>
          <cell r="F97">
            <v>5</v>
          </cell>
          <cell r="H97">
            <v>19</v>
          </cell>
          <cell r="I97">
            <v>2</v>
          </cell>
          <cell r="K97">
            <v>10</v>
          </cell>
          <cell r="L97">
            <v>2</v>
          </cell>
          <cell r="M97" t="str">
            <v>P</v>
          </cell>
          <cell r="P97" t="str">
            <v/>
          </cell>
          <cell r="R97" t="b">
            <v>0</v>
          </cell>
          <cell r="S97" t="b">
            <v>0</v>
          </cell>
          <cell r="T97" t="b">
            <v>0</v>
          </cell>
          <cell r="U97" t="b">
            <v>0</v>
          </cell>
          <cell r="V97">
            <v>4</v>
          </cell>
          <cell r="W97" t="str">
            <v/>
          </cell>
          <cell r="X97">
            <v>4</v>
          </cell>
          <cell r="Y97" t="str">
            <v/>
          </cell>
          <cell r="Z97">
            <v>9</v>
          </cell>
          <cell r="AA97" t="str">
            <v/>
          </cell>
          <cell r="AB97">
            <v>6</v>
          </cell>
          <cell r="AC97" t="str">
            <v/>
          </cell>
          <cell r="AD97">
            <v>50</v>
          </cell>
          <cell r="AE97" t="str">
            <v>Drow long knife</v>
          </cell>
          <cell r="AF97" t="str">
            <v/>
          </cell>
          <cell r="AG97" t="str">
            <v/>
          </cell>
          <cell r="AH97">
            <v>0</v>
          </cell>
          <cell r="AI97" t="str">
            <v/>
          </cell>
          <cell r="AJ97" t="str">
            <v>Gauntlet, Bladed</v>
          </cell>
          <cell r="AK97">
            <v>9</v>
          </cell>
          <cell r="AL97" t="str">
            <v>Bladed Gauntlet</v>
          </cell>
          <cell r="AM97" t="str">
            <v/>
          </cell>
          <cell r="AN97" t="str">
            <v/>
          </cell>
          <cell r="AO97">
            <v>0</v>
          </cell>
          <cell r="AP97" t="str">
            <v/>
          </cell>
          <cell r="AQ97" t="str">
            <v/>
          </cell>
          <cell r="AR97">
            <v>0</v>
          </cell>
          <cell r="AS97" t="str">
            <v>Drow long knife</v>
          </cell>
        </row>
        <row r="98">
          <cell r="A98" t="str">
            <v>Drow Scorpion Chain</v>
          </cell>
          <cell r="B98" t="str">
            <v>Drow Scorpion Chain</v>
          </cell>
          <cell r="D98" t="str">
            <v>E</v>
          </cell>
          <cell r="E98" t="str">
            <v>T</v>
          </cell>
          <cell r="F98">
            <v>5</v>
          </cell>
          <cell r="H98">
            <v>19</v>
          </cell>
          <cell r="I98">
            <v>2</v>
          </cell>
          <cell r="L98">
            <v>12</v>
          </cell>
          <cell r="M98" t="str">
            <v>S</v>
          </cell>
          <cell r="P98" t="str">
            <v/>
          </cell>
          <cell r="R98" t="b">
            <v>0</v>
          </cell>
          <cell r="S98" t="b">
            <v>0</v>
          </cell>
          <cell r="T98" t="b">
            <v>0</v>
          </cell>
          <cell r="U98" t="b">
            <v>0</v>
          </cell>
          <cell r="V98">
            <v>4</v>
          </cell>
          <cell r="W98" t="str">
            <v/>
          </cell>
          <cell r="X98">
            <v>4</v>
          </cell>
          <cell r="Y98" t="str">
            <v/>
          </cell>
          <cell r="Z98">
            <v>9</v>
          </cell>
          <cell r="AA98" t="str">
            <v/>
          </cell>
          <cell r="AB98">
            <v>6</v>
          </cell>
          <cell r="AC98" t="str">
            <v/>
          </cell>
          <cell r="AD98">
            <v>51</v>
          </cell>
          <cell r="AE98" t="str">
            <v>Drow Scorpion Chain</v>
          </cell>
          <cell r="AF98" t="str">
            <v/>
          </cell>
          <cell r="AG98" t="str">
            <v/>
          </cell>
          <cell r="AH98">
            <v>0</v>
          </cell>
          <cell r="AI98" t="str">
            <v/>
          </cell>
          <cell r="AJ98" t="str">
            <v>Gauntlet, Scorpion Claw</v>
          </cell>
          <cell r="AK98">
            <v>9</v>
          </cell>
          <cell r="AL98" t="str">
            <v>Scorpion Claw Gauntlet</v>
          </cell>
          <cell r="AM98" t="str">
            <v/>
          </cell>
          <cell r="AN98" t="str">
            <v/>
          </cell>
          <cell r="AO98">
            <v>0</v>
          </cell>
          <cell r="AP98" t="str">
            <v/>
          </cell>
          <cell r="AQ98" t="str">
            <v/>
          </cell>
          <cell r="AR98">
            <v>0</v>
          </cell>
          <cell r="AS98" t="str">
            <v>Drow Scorpion Chain</v>
          </cell>
        </row>
        <row r="99">
          <cell r="A99" t="str">
            <v>Duom</v>
          </cell>
          <cell r="B99" t="str">
            <v>Duom</v>
          </cell>
          <cell r="D99" t="str">
            <v>E</v>
          </cell>
          <cell r="E99" t="str">
            <v>T</v>
          </cell>
          <cell r="F99">
            <v>6</v>
          </cell>
          <cell r="H99">
            <v>20</v>
          </cell>
          <cell r="I99">
            <v>3</v>
          </cell>
          <cell r="L99">
            <v>8</v>
          </cell>
          <cell r="M99" t="str">
            <v>P</v>
          </cell>
          <cell r="O99" t="b">
            <v>1</v>
          </cell>
          <cell r="R99" t="b">
            <v>0</v>
          </cell>
          <cell r="S99" t="b">
            <v>0</v>
          </cell>
          <cell r="T99" t="b">
            <v>0</v>
          </cell>
          <cell r="U99" t="b">
            <v>0</v>
          </cell>
          <cell r="V99">
            <v>4</v>
          </cell>
          <cell r="W99" t="str">
            <v/>
          </cell>
          <cell r="X99">
            <v>4</v>
          </cell>
          <cell r="Y99" t="str">
            <v/>
          </cell>
          <cell r="Z99">
            <v>9</v>
          </cell>
          <cell r="AA99" t="str">
            <v/>
          </cell>
          <cell r="AB99">
            <v>6</v>
          </cell>
          <cell r="AC99" t="str">
            <v/>
          </cell>
          <cell r="AD99">
            <v>52</v>
          </cell>
          <cell r="AE99" t="str">
            <v>Duom</v>
          </cell>
          <cell r="AF99" t="str">
            <v/>
          </cell>
          <cell r="AG99" t="str">
            <v/>
          </cell>
          <cell r="AH99">
            <v>0</v>
          </cell>
          <cell r="AI99" t="str">
            <v/>
          </cell>
          <cell r="AJ99" t="str">
            <v>Gauntlet, Spring-Loaded</v>
          </cell>
          <cell r="AK99">
            <v>9</v>
          </cell>
          <cell r="AL99" t="str">
            <v>Spring-Loaded Gauntlet</v>
          </cell>
          <cell r="AM99" t="str">
            <v/>
          </cell>
          <cell r="AN99" t="str">
            <v/>
          </cell>
          <cell r="AO99">
            <v>0</v>
          </cell>
          <cell r="AP99" t="str">
            <v/>
          </cell>
          <cell r="AQ99" t="str">
            <v/>
          </cell>
          <cell r="AR99">
            <v>0</v>
          </cell>
          <cell r="AS99" t="str">
            <v>Duom</v>
          </cell>
        </row>
        <row r="100">
          <cell r="A100" t="str">
            <v>Etherblade</v>
          </cell>
          <cell r="B100" t="str">
            <v>Etherblade</v>
          </cell>
          <cell r="D100" t="str">
            <v>E</v>
          </cell>
          <cell r="E100" t="str">
            <v>T</v>
          </cell>
          <cell r="F100">
            <v>7</v>
          </cell>
          <cell r="H100">
            <v>20</v>
          </cell>
          <cell r="I100">
            <v>2</v>
          </cell>
          <cell r="L100">
            <v>10</v>
          </cell>
          <cell r="M100" t="str">
            <v>S</v>
          </cell>
          <cell r="O100" t="b">
            <v>1</v>
          </cell>
          <cell r="Q100" t="b">
            <v>0</v>
          </cell>
          <cell r="R100" t="b">
            <v>0</v>
          </cell>
          <cell r="S100" t="b">
            <v>0</v>
          </cell>
          <cell r="T100" t="b">
            <v>0</v>
          </cell>
          <cell r="U100" t="b">
            <v>0</v>
          </cell>
          <cell r="V100">
            <v>4</v>
          </cell>
          <cell r="W100" t="str">
            <v/>
          </cell>
          <cell r="X100">
            <v>4</v>
          </cell>
          <cell r="Y100" t="str">
            <v/>
          </cell>
          <cell r="Z100">
            <v>9</v>
          </cell>
          <cell r="AA100" t="str">
            <v/>
          </cell>
          <cell r="AB100">
            <v>6</v>
          </cell>
          <cell r="AC100" t="str">
            <v/>
          </cell>
          <cell r="AD100">
            <v>53</v>
          </cell>
          <cell r="AE100" t="str">
            <v>Etherblade</v>
          </cell>
          <cell r="AF100" t="str">
            <v/>
          </cell>
          <cell r="AG100" t="str">
            <v/>
          </cell>
          <cell r="AH100">
            <v>0</v>
          </cell>
          <cell r="AI100" t="str">
            <v/>
          </cell>
          <cell r="AJ100" t="str">
            <v>Glot</v>
          </cell>
          <cell r="AK100">
            <v>0</v>
          </cell>
          <cell r="AL100" t="str">
            <v>Glot</v>
          </cell>
          <cell r="AM100" t="str">
            <v/>
          </cell>
          <cell r="AN100" t="str">
            <v/>
          </cell>
          <cell r="AO100">
            <v>0</v>
          </cell>
          <cell r="AP100" t="str">
            <v/>
          </cell>
          <cell r="AQ100" t="str">
            <v/>
          </cell>
          <cell r="AR100">
            <v>0</v>
          </cell>
          <cell r="AS100" t="str">
            <v>Etherblade</v>
          </cell>
        </row>
        <row r="101">
          <cell r="A101" t="str">
            <v>Falchion</v>
          </cell>
          <cell r="B101" t="str">
            <v>Falchion</v>
          </cell>
          <cell r="D101" t="str">
            <v>M</v>
          </cell>
          <cell r="E101" t="str">
            <v>T</v>
          </cell>
          <cell r="F101">
            <v>9</v>
          </cell>
          <cell r="H101">
            <v>18</v>
          </cell>
          <cell r="I101">
            <v>2</v>
          </cell>
          <cell r="L101">
            <v>8</v>
          </cell>
          <cell r="M101" t="str">
            <v>S</v>
          </cell>
          <cell r="R101" t="b">
            <v>0</v>
          </cell>
          <cell r="S101" t="b">
            <v>0</v>
          </cell>
          <cell r="T101" t="b">
            <v>0</v>
          </cell>
          <cell r="U101" t="b">
            <v>0</v>
          </cell>
          <cell r="V101">
            <v>4</v>
          </cell>
          <cell r="W101" t="str">
            <v/>
          </cell>
          <cell r="X101">
            <v>4</v>
          </cell>
          <cell r="Y101" t="str">
            <v/>
          </cell>
          <cell r="Z101">
            <v>9</v>
          </cell>
          <cell r="AA101" t="str">
            <v/>
          </cell>
          <cell r="AB101">
            <v>7</v>
          </cell>
          <cell r="AC101" t="str">
            <v>Falchion</v>
          </cell>
          <cell r="AD101">
            <v>53</v>
          </cell>
          <cell r="AE101" t="str">
            <v/>
          </cell>
          <cell r="AF101" t="str">
            <v/>
          </cell>
          <cell r="AG101" t="str">
            <v/>
          </cell>
          <cell r="AH101">
            <v>0</v>
          </cell>
          <cell r="AI101" t="str">
            <v/>
          </cell>
          <cell r="AJ101" t="str">
            <v>Goad</v>
          </cell>
          <cell r="AK101">
            <v>0</v>
          </cell>
          <cell r="AL101" t="str">
            <v>Goad</v>
          </cell>
          <cell r="AM101" t="str">
            <v/>
          </cell>
          <cell r="AN101" t="str">
            <v/>
          </cell>
          <cell r="AO101">
            <v>0</v>
          </cell>
          <cell r="AP101" t="str">
            <v/>
          </cell>
          <cell r="AQ101" t="str">
            <v/>
          </cell>
          <cell r="AR101">
            <v>0</v>
          </cell>
          <cell r="AS101" t="str">
            <v>Falchion</v>
          </cell>
        </row>
        <row r="102">
          <cell r="A102" t="str">
            <v>Falchion, Great</v>
          </cell>
          <cell r="B102" t="str">
            <v>Falchion, Great</v>
          </cell>
          <cell r="D102" t="str">
            <v>E</v>
          </cell>
          <cell r="E102" t="str">
            <v>T</v>
          </cell>
          <cell r="F102">
            <v>8</v>
          </cell>
          <cell r="H102">
            <v>18</v>
          </cell>
          <cell r="I102">
            <v>2</v>
          </cell>
          <cell r="L102">
            <v>12</v>
          </cell>
          <cell r="M102" t="str">
            <v>S</v>
          </cell>
          <cell r="R102" t="b">
            <v>0</v>
          </cell>
          <cell r="S102" t="b">
            <v>0</v>
          </cell>
          <cell r="T102" t="b">
            <v>0</v>
          </cell>
          <cell r="U102" t="b">
            <v>0</v>
          </cell>
          <cell r="V102">
            <v>4</v>
          </cell>
          <cell r="W102" t="str">
            <v/>
          </cell>
          <cell r="X102">
            <v>4</v>
          </cell>
          <cell r="Y102" t="str">
            <v/>
          </cell>
          <cell r="Z102">
            <v>9</v>
          </cell>
          <cell r="AA102" t="str">
            <v/>
          </cell>
          <cell r="AB102">
            <v>7</v>
          </cell>
          <cell r="AC102" t="str">
            <v/>
          </cell>
          <cell r="AD102">
            <v>54</v>
          </cell>
          <cell r="AE102" t="str">
            <v>Falchion, Great</v>
          </cell>
          <cell r="AF102" t="str">
            <v/>
          </cell>
          <cell r="AG102" t="str">
            <v/>
          </cell>
          <cell r="AH102">
            <v>0</v>
          </cell>
          <cell r="AI102" t="str">
            <v/>
          </cell>
          <cell r="AJ102" t="str">
            <v>Greatbow</v>
          </cell>
          <cell r="AK102">
            <v>0</v>
          </cell>
          <cell r="AL102" t="str">
            <v>Greatbow</v>
          </cell>
          <cell r="AM102" t="str">
            <v/>
          </cell>
          <cell r="AN102" t="str">
            <v/>
          </cell>
          <cell r="AO102">
            <v>0</v>
          </cell>
          <cell r="AP102" t="str">
            <v/>
          </cell>
          <cell r="AQ102" t="str">
            <v/>
          </cell>
          <cell r="AR102">
            <v>9</v>
          </cell>
          <cell r="AS102" t="str">
            <v>Great Falchion</v>
          </cell>
        </row>
        <row r="103">
          <cell r="A103" t="str">
            <v>Fan, Collapsing Crescent</v>
          </cell>
          <cell r="B103" t="str">
            <v>Fan, Collapsing Crescent</v>
          </cell>
          <cell r="D103" t="str">
            <v>E</v>
          </cell>
          <cell r="E103" t="str">
            <v>L</v>
          </cell>
          <cell r="F103">
            <v>5</v>
          </cell>
          <cell r="H103">
            <v>19</v>
          </cell>
          <cell r="I103">
            <v>2</v>
          </cell>
          <cell r="L103">
            <v>2</v>
          </cell>
          <cell r="M103" t="str">
            <v>S</v>
          </cell>
          <cell r="R103" t="b">
            <v>0</v>
          </cell>
          <cell r="S103" t="b">
            <v>0</v>
          </cell>
          <cell r="T103" t="b">
            <v>0</v>
          </cell>
          <cell r="U103" t="b">
            <v>0</v>
          </cell>
          <cell r="V103">
            <v>4</v>
          </cell>
          <cell r="W103" t="str">
            <v/>
          </cell>
          <cell r="X103">
            <v>4</v>
          </cell>
          <cell r="Y103" t="str">
            <v/>
          </cell>
          <cell r="Z103">
            <v>9</v>
          </cell>
          <cell r="AA103" t="str">
            <v/>
          </cell>
          <cell r="AB103">
            <v>7</v>
          </cell>
          <cell r="AC103" t="str">
            <v/>
          </cell>
          <cell r="AD103">
            <v>55</v>
          </cell>
          <cell r="AE103" t="str">
            <v>Fan, Collapsing Crescent</v>
          </cell>
          <cell r="AF103" t="str">
            <v/>
          </cell>
          <cell r="AG103" t="str">
            <v/>
          </cell>
          <cell r="AH103">
            <v>0</v>
          </cell>
          <cell r="AI103" t="str">
            <v/>
          </cell>
          <cell r="AJ103" t="str">
            <v>Greatbow, Composite</v>
          </cell>
          <cell r="AK103">
            <v>9</v>
          </cell>
          <cell r="AL103" t="str">
            <v>Composite Greatbow</v>
          </cell>
          <cell r="AM103" t="str">
            <v/>
          </cell>
          <cell r="AN103" t="str">
            <v/>
          </cell>
          <cell r="AO103">
            <v>0</v>
          </cell>
          <cell r="AP103" t="str">
            <v/>
          </cell>
          <cell r="AQ103" t="str">
            <v/>
          </cell>
          <cell r="AR103">
            <v>4</v>
          </cell>
          <cell r="AS103" t="str">
            <v>Collapsing Crescent Fan</v>
          </cell>
        </row>
        <row r="104">
          <cell r="A104" t="str">
            <v>Fan, War</v>
          </cell>
          <cell r="B104" t="str">
            <v>Fan, War</v>
          </cell>
          <cell r="D104" t="str">
            <v>E</v>
          </cell>
          <cell r="E104" t="str">
            <v>O</v>
          </cell>
          <cell r="F104">
            <v>5</v>
          </cell>
          <cell r="H104">
            <v>20</v>
          </cell>
          <cell r="I104">
            <v>3</v>
          </cell>
          <cell r="L104">
            <v>3</v>
          </cell>
          <cell r="M104" t="str">
            <v>S</v>
          </cell>
          <cell r="Q104" t="b">
            <v>0</v>
          </cell>
          <cell r="R104" t="b">
            <v>0</v>
          </cell>
          <cell r="S104" t="b">
            <v>0</v>
          </cell>
          <cell r="T104" t="b">
            <v>0</v>
          </cell>
          <cell r="U104" t="b">
            <v>0</v>
          </cell>
          <cell r="V104">
            <v>4</v>
          </cell>
          <cell r="W104" t="str">
            <v/>
          </cell>
          <cell r="X104">
            <v>4</v>
          </cell>
          <cell r="Y104" t="str">
            <v/>
          </cell>
          <cell r="Z104">
            <v>9</v>
          </cell>
          <cell r="AA104" t="str">
            <v/>
          </cell>
          <cell r="AB104">
            <v>7</v>
          </cell>
          <cell r="AC104" t="str">
            <v/>
          </cell>
          <cell r="AD104">
            <v>56</v>
          </cell>
          <cell r="AE104" t="str">
            <v>Fan, War</v>
          </cell>
          <cell r="AF104" t="str">
            <v/>
          </cell>
          <cell r="AG104" t="str">
            <v/>
          </cell>
          <cell r="AH104">
            <v>0</v>
          </cell>
          <cell r="AI104" t="str">
            <v/>
          </cell>
          <cell r="AJ104" t="str">
            <v>Greathammer, Goliath</v>
          </cell>
          <cell r="AK104">
            <v>12</v>
          </cell>
          <cell r="AL104" t="str">
            <v>Goliath Greathammer</v>
          </cell>
          <cell r="AM104" t="str">
            <v/>
          </cell>
          <cell r="AN104" t="str">
            <v/>
          </cell>
          <cell r="AO104">
            <v>0</v>
          </cell>
          <cell r="AP104" t="str">
            <v/>
          </cell>
          <cell r="AQ104" t="str">
            <v/>
          </cell>
          <cell r="AR104">
            <v>4</v>
          </cell>
          <cell r="AS104" t="str">
            <v>War Fan</v>
          </cell>
        </row>
        <row r="105">
          <cell r="A105" t="str">
            <v>Fingerblade</v>
          </cell>
          <cell r="B105" t="str">
            <v>Fingerblade</v>
          </cell>
          <cell r="D105" t="str">
            <v>E</v>
          </cell>
          <cell r="E105" t="str">
            <v>L</v>
          </cell>
          <cell r="F105">
            <v>5</v>
          </cell>
          <cell r="H105">
            <v>20</v>
          </cell>
          <cell r="I105">
            <v>3</v>
          </cell>
          <cell r="L105">
            <v>2</v>
          </cell>
          <cell r="M105" t="str">
            <v>P</v>
          </cell>
          <cell r="R105" t="b">
            <v>0</v>
          </cell>
          <cell r="S105" t="b">
            <v>0</v>
          </cell>
          <cell r="T105" t="b">
            <v>0</v>
          </cell>
          <cell r="U105" t="b">
            <v>0</v>
          </cell>
          <cell r="V105">
            <v>4</v>
          </cell>
          <cell r="W105" t="str">
            <v/>
          </cell>
          <cell r="X105">
            <v>4</v>
          </cell>
          <cell r="Y105" t="str">
            <v/>
          </cell>
          <cell r="Z105">
            <v>9</v>
          </cell>
          <cell r="AA105" t="str">
            <v/>
          </cell>
          <cell r="AB105">
            <v>7</v>
          </cell>
          <cell r="AC105" t="str">
            <v/>
          </cell>
          <cell r="AD105">
            <v>57</v>
          </cell>
          <cell r="AE105" t="str">
            <v>Fingerblade</v>
          </cell>
          <cell r="AF105" t="str">
            <v/>
          </cell>
          <cell r="AG105" t="str">
            <v/>
          </cell>
          <cell r="AH105">
            <v>0</v>
          </cell>
          <cell r="AI105" t="str">
            <v/>
          </cell>
          <cell r="AJ105" t="str">
            <v>Greatspear</v>
          </cell>
          <cell r="AK105">
            <v>0</v>
          </cell>
          <cell r="AL105" t="str">
            <v>Greatspear</v>
          </cell>
          <cell r="AM105" t="str">
            <v/>
          </cell>
          <cell r="AN105" t="str">
            <v/>
          </cell>
          <cell r="AO105">
            <v>0</v>
          </cell>
          <cell r="AP105" t="str">
            <v/>
          </cell>
          <cell r="AQ105" t="str">
            <v/>
          </cell>
          <cell r="AR105">
            <v>0</v>
          </cell>
          <cell r="AS105" t="str">
            <v>Fingerblade</v>
          </cell>
        </row>
        <row r="106">
          <cell r="A106" t="str">
            <v>Flail</v>
          </cell>
          <cell r="B106" t="str">
            <v>Flail</v>
          </cell>
          <cell r="D106" t="str">
            <v>M</v>
          </cell>
          <cell r="E106" t="str">
            <v>O</v>
          </cell>
          <cell r="F106">
            <v>6</v>
          </cell>
          <cell r="H106">
            <v>20</v>
          </cell>
          <cell r="I106">
            <v>2</v>
          </cell>
          <cell r="L106">
            <v>5</v>
          </cell>
          <cell r="M106" t="str">
            <v>B</v>
          </cell>
          <cell r="R106" t="b">
            <v>0</v>
          </cell>
          <cell r="S106" t="b">
            <v>0</v>
          </cell>
          <cell r="T106" t="b">
            <v>0</v>
          </cell>
          <cell r="U106" t="b">
            <v>0</v>
          </cell>
          <cell r="V106">
            <v>4</v>
          </cell>
          <cell r="W106" t="str">
            <v/>
          </cell>
          <cell r="X106">
            <v>4</v>
          </cell>
          <cell r="Y106" t="str">
            <v/>
          </cell>
          <cell r="Z106">
            <v>9</v>
          </cell>
          <cell r="AA106" t="str">
            <v/>
          </cell>
          <cell r="AB106">
            <v>8</v>
          </cell>
          <cell r="AC106" t="str">
            <v>Flail</v>
          </cell>
          <cell r="AD106">
            <v>57</v>
          </cell>
          <cell r="AE106" t="str">
            <v/>
          </cell>
          <cell r="AF106" t="str">
            <v/>
          </cell>
          <cell r="AG106" t="str">
            <v/>
          </cell>
          <cell r="AH106">
            <v>0</v>
          </cell>
          <cell r="AI106" t="str">
            <v/>
          </cell>
          <cell r="AJ106" t="str">
            <v>Greatsword, Mercurial</v>
          </cell>
          <cell r="AK106">
            <v>11</v>
          </cell>
          <cell r="AL106" t="str">
            <v>Mercurial Greatsword</v>
          </cell>
          <cell r="AM106" t="str">
            <v/>
          </cell>
          <cell r="AN106" t="str">
            <v/>
          </cell>
          <cell r="AO106">
            <v>0</v>
          </cell>
          <cell r="AP106" t="str">
            <v/>
          </cell>
          <cell r="AQ106" t="str">
            <v/>
          </cell>
          <cell r="AR106">
            <v>0</v>
          </cell>
          <cell r="AS106" t="str">
            <v>Flail</v>
          </cell>
        </row>
        <row r="107">
          <cell r="A107" t="str">
            <v>Flail, Dire</v>
          </cell>
          <cell r="B107" t="str">
            <v>Flail, Dire</v>
          </cell>
          <cell r="D107" t="str">
            <v>E</v>
          </cell>
          <cell r="E107" t="str">
            <v>T</v>
          </cell>
          <cell r="F107">
            <v>6</v>
          </cell>
          <cell r="G107">
            <v>6</v>
          </cell>
          <cell r="H107">
            <v>20</v>
          </cell>
          <cell r="I107">
            <v>2</v>
          </cell>
          <cell r="J107">
            <v>2</v>
          </cell>
          <cell r="L107">
            <v>10</v>
          </cell>
          <cell r="M107" t="str">
            <v>B</v>
          </cell>
          <cell r="P107" t="str">
            <v/>
          </cell>
          <cell r="R107" t="b">
            <v>0</v>
          </cell>
          <cell r="S107" t="b">
            <v>0</v>
          </cell>
          <cell r="T107" t="b">
            <v>0</v>
          </cell>
          <cell r="U107" t="b">
            <v>0</v>
          </cell>
          <cell r="V107">
            <v>4</v>
          </cell>
          <cell r="W107" t="str">
            <v/>
          </cell>
          <cell r="X107">
            <v>4</v>
          </cell>
          <cell r="Y107" t="str">
            <v/>
          </cell>
          <cell r="Z107">
            <v>9</v>
          </cell>
          <cell r="AA107" t="str">
            <v/>
          </cell>
          <cell r="AB107">
            <v>8</v>
          </cell>
          <cell r="AC107" t="str">
            <v/>
          </cell>
          <cell r="AD107">
            <v>58</v>
          </cell>
          <cell r="AE107" t="str">
            <v>Flail, Dire</v>
          </cell>
          <cell r="AF107" t="str">
            <v/>
          </cell>
          <cell r="AG107" t="str">
            <v/>
          </cell>
          <cell r="AH107">
            <v>0</v>
          </cell>
          <cell r="AI107" t="str">
            <v/>
          </cell>
          <cell r="AJ107" t="str">
            <v>Gyrspike</v>
          </cell>
          <cell r="AK107">
            <v>0</v>
          </cell>
          <cell r="AL107" t="str">
            <v>Gyrspike</v>
          </cell>
          <cell r="AM107" t="str">
            <v/>
          </cell>
          <cell r="AN107" t="str">
            <v/>
          </cell>
          <cell r="AO107">
            <v>0</v>
          </cell>
          <cell r="AP107" t="str">
            <v/>
          </cell>
          <cell r="AQ107" t="str">
            <v/>
          </cell>
          <cell r="AR107">
            <v>6</v>
          </cell>
          <cell r="AS107" t="str">
            <v>Dire Flail</v>
          </cell>
        </row>
        <row r="108">
          <cell r="A108" t="str">
            <v>Flail, Heavy</v>
          </cell>
          <cell r="B108" t="str">
            <v>Flail, Heavy</v>
          </cell>
          <cell r="D108" t="str">
            <v>M</v>
          </cell>
          <cell r="E108" t="str">
            <v>T</v>
          </cell>
          <cell r="F108">
            <v>7</v>
          </cell>
          <cell r="H108">
            <v>19</v>
          </cell>
          <cell r="I108">
            <v>2</v>
          </cell>
          <cell r="L108">
            <v>10</v>
          </cell>
          <cell r="M108" t="str">
            <v>B</v>
          </cell>
          <cell r="R108" t="b">
            <v>0</v>
          </cell>
          <cell r="S108" t="b">
            <v>0</v>
          </cell>
          <cell r="T108" t="b">
            <v>0</v>
          </cell>
          <cell r="U108" t="b">
            <v>0</v>
          </cell>
          <cell r="V108">
            <v>4</v>
          </cell>
          <cell r="W108" t="str">
            <v/>
          </cell>
          <cell r="X108">
            <v>4</v>
          </cell>
          <cell r="Y108" t="str">
            <v/>
          </cell>
          <cell r="Z108">
            <v>9</v>
          </cell>
          <cell r="AA108" t="str">
            <v/>
          </cell>
          <cell r="AB108">
            <v>9</v>
          </cell>
          <cell r="AC108" t="str">
            <v>Flail, Heavy</v>
          </cell>
          <cell r="AD108">
            <v>58</v>
          </cell>
          <cell r="AE108" t="str">
            <v/>
          </cell>
          <cell r="AF108" t="str">
            <v/>
          </cell>
          <cell r="AG108" t="str">
            <v/>
          </cell>
          <cell r="AH108">
            <v>0</v>
          </cell>
          <cell r="AI108" t="str">
            <v/>
          </cell>
          <cell r="AJ108" t="str">
            <v>Gythka</v>
          </cell>
          <cell r="AK108">
            <v>0</v>
          </cell>
          <cell r="AL108" t="str">
            <v>Gythka</v>
          </cell>
          <cell r="AM108" t="str">
            <v/>
          </cell>
          <cell r="AN108" t="str">
            <v/>
          </cell>
          <cell r="AO108">
            <v>0</v>
          </cell>
          <cell r="AP108" t="str">
            <v/>
          </cell>
          <cell r="AQ108" t="str">
            <v/>
          </cell>
          <cell r="AR108">
            <v>6</v>
          </cell>
          <cell r="AS108" t="str">
            <v>Heavy Flail</v>
          </cell>
        </row>
        <row r="109">
          <cell r="A109" t="str">
            <v>Flindbar</v>
          </cell>
          <cell r="B109" t="str">
            <v>Flindbar</v>
          </cell>
          <cell r="D109" t="str">
            <v>E</v>
          </cell>
          <cell r="E109" t="str">
            <v>O</v>
          </cell>
          <cell r="F109">
            <v>9</v>
          </cell>
          <cell r="H109">
            <v>19</v>
          </cell>
          <cell r="I109">
            <v>2</v>
          </cell>
          <cell r="L109">
            <v>2</v>
          </cell>
          <cell r="M109" t="str">
            <v>B</v>
          </cell>
          <cell r="Q109" t="b">
            <v>0</v>
          </cell>
          <cell r="R109" t="b">
            <v>0</v>
          </cell>
          <cell r="S109" t="b">
            <v>0</v>
          </cell>
          <cell r="T109" t="b">
            <v>0</v>
          </cell>
          <cell r="U109" t="b">
            <v>0</v>
          </cell>
          <cell r="V109">
            <v>4</v>
          </cell>
          <cell r="W109" t="str">
            <v/>
          </cell>
          <cell r="X109">
            <v>4</v>
          </cell>
          <cell r="Y109" t="str">
            <v/>
          </cell>
          <cell r="Z109">
            <v>9</v>
          </cell>
          <cell r="AA109" t="str">
            <v/>
          </cell>
          <cell r="AB109">
            <v>9</v>
          </cell>
          <cell r="AC109" t="str">
            <v/>
          </cell>
          <cell r="AD109">
            <v>59</v>
          </cell>
          <cell r="AE109" t="str">
            <v>Flindbar</v>
          </cell>
          <cell r="AF109" t="str">
            <v/>
          </cell>
          <cell r="AG109" t="str">
            <v/>
          </cell>
          <cell r="AH109">
            <v>0</v>
          </cell>
          <cell r="AI109" t="str">
            <v/>
          </cell>
          <cell r="AJ109" t="str">
            <v>Hammer, Double</v>
          </cell>
          <cell r="AK109">
            <v>7</v>
          </cell>
          <cell r="AL109" t="str">
            <v>Double Hammer</v>
          </cell>
          <cell r="AM109" t="str">
            <v/>
          </cell>
          <cell r="AN109" t="str">
            <v/>
          </cell>
          <cell r="AO109">
            <v>0</v>
          </cell>
          <cell r="AP109" t="str">
            <v/>
          </cell>
          <cell r="AQ109" t="str">
            <v/>
          </cell>
          <cell r="AR109">
            <v>0</v>
          </cell>
          <cell r="AS109" t="str">
            <v>Flindbar</v>
          </cell>
        </row>
        <row r="110">
          <cell r="A110" t="str">
            <v>Flutter blade</v>
          </cell>
          <cell r="B110" t="str">
            <v>Flutter blade</v>
          </cell>
          <cell r="D110" t="str">
            <v>E</v>
          </cell>
          <cell r="E110" t="str">
            <v>O</v>
          </cell>
          <cell r="F110">
            <v>4</v>
          </cell>
          <cell r="H110">
            <v>19</v>
          </cell>
          <cell r="I110">
            <v>3</v>
          </cell>
          <cell r="L110">
            <v>2</v>
          </cell>
          <cell r="M110" t="str">
            <v>P/S</v>
          </cell>
          <cell r="Q110" t="b">
            <v>0</v>
          </cell>
          <cell r="R110" t="b">
            <v>0</v>
          </cell>
          <cell r="S110" t="b">
            <v>0</v>
          </cell>
          <cell r="T110" t="b">
            <v>0</v>
          </cell>
          <cell r="U110" t="b">
            <v>0</v>
          </cell>
          <cell r="V110">
            <v>4</v>
          </cell>
          <cell r="W110" t="str">
            <v/>
          </cell>
          <cell r="X110">
            <v>4</v>
          </cell>
          <cell r="Y110" t="str">
            <v/>
          </cell>
          <cell r="Z110">
            <v>9</v>
          </cell>
          <cell r="AA110" t="str">
            <v/>
          </cell>
          <cell r="AB110">
            <v>9</v>
          </cell>
          <cell r="AC110" t="str">
            <v/>
          </cell>
          <cell r="AD110">
            <v>60</v>
          </cell>
          <cell r="AE110" t="str">
            <v>Flutter blade</v>
          </cell>
          <cell r="AF110" t="str">
            <v/>
          </cell>
          <cell r="AG110" t="str">
            <v/>
          </cell>
          <cell r="AH110">
            <v>0</v>
          </cell>
          <cell r="AI110" t="str">
            <v/>
          </cell>
          <cell r="AJ110" t="str">
            <v>Hammer, Gnome Hooked</v>
          </cell>
          <cell r="AK110">
            <v>7</v>
          </cell>
          <cell r="AL110" t="str">
            <v>Gnome Hooked Hammer</v>
          </cell>
          <cell r="AM110" t="str">
            <v/>
          </cell>
          <cell r="AN110" t="str">
            <v/>
          </cell>
          <cell r="AO110">
            <v>0</v>
          </cell>
          <cell r="AP110" t="str">
            <v/>
          </cell>
          <cell r="AQ110" t="str">
            <v/>
          </cell>
          <cell r="AR110">
            <v>0</v>
          </cell>
          <cell r="AS110" t="str">
            <v>Flutter blade</v>
          </cell>
        </row>
        <row r="111">
          <cell r="A111" t="str">
            <v>Foot spike</v>
          </cell>
          <cell r="B111" t="str">
            <v>Foot spike</v>
          </cell>
          <cell r="D111" t="str">
            <v>E</v>
          </cell>
          <cell r="E111" t="str">
            <v>L</v>
          </cell>
          <cell r="F111">
            <v>4</v>
          </cell>
          <cell r="H111">
            <v>20</v>
          </cell>
          <cell r="I111">
            <v>3</v>
          </cell>
          <cell r="L111">
            <v>1</v>
          </cell>
          <cell r="M111" t="str">
            <v>P</v>
          </cell>
          <cell r="R111" t="b">
            <v>0</v>
          </cell>
          <cell r="S111" t="b">
            <v>0</v>
          </cell>
          <cell r="T111" t="b">
            <v>0</v>
          </cell>
          <cell r="U111" t="b">
            <v>0</v>
          </cell>
          <cell r="V111">
            <v>4</v>
          </cell>
          <cell r="W111" t="str">
            <v/>
          </cell>
          <cell r="X111">
            <v>4</v>
          </cell>
          <cell r="Y111" t="str">
            <v/>
          </cell>
          <cell r="Z111">
            <v>9</v>
          </cell>
          <cell r="AA111" t="str">
            <v/>
          </cell>
          <cell r="AB111">
            <v>9</v>
          </cell>
          <cell r="AC111" t="str">
            <v/>
          </cell>
          <cell r="AD111">
            <v>61</v>
          </cell>
          <cell r="AE111" t="str">
            <v>Foot spike</v>
          </cell>
          <cell r="AF111" t="str">
            <v/>
          </cell>
          <cell r="AG111" t="str">
            <v/>
          </cell>
          <cell r="AH111">
            <v>0</v>
          </cell>
          <cell r="AI111" t="str">
            <v/>
          </cell>
          <cell r="AJ111" t="str">
            <v>Hammer, Throwing</v>
          </cell>
          <cell r="AK111">
            <v>7</v>
          </cell>
          <cell r="AL111" t="str">
            <v>Throwing Hammer</v>
          </cell>
          <cell r="AM111" t="str">
            <v/>
          </cell>
          <cell r="AN111" t="str">
            <v/>
          </cell>
          <cell r="AO111">
            <v>0</v>
          </cell>
          <cell r="AP111" t="str">
            <v/>
          </cell>
          <cell r="AQ111" t="str">
            <v/>
          </cell>
          <cell r="AR111">
            <v>0</v>
          </cell>
          <cell r="AS111" t="str">
            <v>Foot spike</v>
          </cell>
        </row>
        <row r="112">
          <cell r="A112" t="str">
            <v>Footbow</v>
          </cell>
          <cell r="B112" t="str">
            <v>Footbow</v>
          </cell>
          <cell r="D112" t="str">
            <v>E</v>
          </cell>
          <cell r="E112" t="str">
            <v>R</v>
          </cell>
          <cell r="F112">
            <v>6</v>
          </cell>
          <cell r="H112">
            <v>20</v>
          </cell>
          <cell r="I112">
            <v>3</v>
          </cell>
          <cell r="K112">
            <v>110</v>
          </cell>
          <cell r="L112">
            <v>3</v>
          </cell>
          <cell r="M112" t="str">
            <v>P</v>
          </cell>
          <cell r="R112" t="b">
            <v>0</v>
          </cell>
          <cell r="S112" t="b">
            <v>0</v>
          </cell>
          <cell r="T112" t="b">
            <v>0</v>
          </cell>
          <cell r="U112" t="b">
            <v>0</v>
          </cell>
          <cell r="V112">
            <v>4</v>
          </cell>
          <cell r="W112" t="str">
            <v/>
          </cell>
          <cell r="X112">
            <v>4</v>
          </cell>
          <cell r="Y112" t="str">
            <v/>
          </cell>
          <cell r="Z112">
            <v>9</v>
          </cell>
          <cell r="AA112" t="str">
            <v/>
          </cell>
          <cell r="AB112">
            <v>9</v>
          </cell>
          <cell r="AC112" t="str">
            <v/>
          </cell>
          <cell r="AD112">
            <v>62</v>
          </cell>
          <cell r="AE112" t="str">
            <v>Footbow</v>
          </cell>
          <cell r="AF112" t="str">
            <v/>
          </cell>
          <cell r="AG112" t="str">
            <v/>
          </cell>
          <cell r="AH112">
            <v>0</v>
          </cell>
          <cell r="AI112" t="str">
            <v/>
          </cell>
          <cell r="AJ112" t="str">
            <v>Harpoon</v>
          </cell>
          <cell r="AK112">
            <v>0</v>
          </cell>
          <cell r="AL112" t="str">
            <v>Harpoon</v>
          </cell>
          <cell r="AM112" t="str">
            <v/>
          </cell>
          <cell r="AN112" t="str">
            <v/>
          </cell>
          <cell r="AO112">
            <v>0</v>
          </cell>
          <cell r="AP112" t="str">
            <v/>
          </cell>
          <cell r="AQ112" t="str">
            <v/>
          </cell>
          <cell r="AR112">
            <v>0</v>
          </cell>
          <cell r="AS112" t="str">
            <v>Footbow</v>
          </cell>
        </row>
        <row r="113">
          <cell r="A113" t="str">
            <v>Fukimi-Bari</v>
          </cell>
          <cell r="B113" t="str">
            <v>Fukimi-Bari</v>
          </cell>
          <cell r="D113" t="str">
            <v>E</v>
          </cell>
          <cell r="E113" t="str">
            <v>R</v>
          </cell>
          <cell r="F113">
            <v>1</v>
          </cell>
          <cell r="H113">
            <v>20</v>
          </cell>
          <cell r="I113">
            <v>2</v>
          </cell>
          <cell r="K113">
            <v>5</v>
          </cell>
          <cell r="L113">
            <v>0.1</v>
          </cell>
          <cell r="M113" t="str">
            <v>P</v>
          </cell>
          <cell r="P113" t="str">
            <v>T</v>
          </cell>
          <cell r="Q113" t="b">
            <v>0</v>
          </cell>
          <cell r="R113" t="b">
            <v>0</v>
          </cell>
          <cell r="S113" t="b">
            <v>0</v>
          </cell>
          <cell r="T113" t="b">
            <v>0</v>
          </cell>
          <cell r="U113" t="b">
            <v>0</v>
          </cell>
          <cell r="V113">
            <v>4</v>
          </cell>
          <cell r="W113" t="str">
            <v/>
          </cell>
          <cell r="X113">
            <v>4</v>
          </cell>
          <cell r="Y113" t="str">
            <v/>
          </cell>
          <cell r="Z113">
            <v>9</v>
          </cell>
          <cell r="AA113" t="str">
            <v/>
          </cell>
          <cell r="AB113">
            <v>9</v>
          </cell>
          <cell r="AC113" t="str">
            <v/>
          </cell>
          <cell r="AD113">
            <v>63</v>
          </cell>
          <cell r="AE113" t="str">
            <v>Fukimi-Bari</v>
          </cell>
          <cell r="AF113" t="str">
            <v/>
          </cell>
          <cell r="AG113" t="str">
            <v/>
          </cell>
          <cell r="AH113">
            <v>0</v>
          </cell>
          <cell r="AI113" t="str">
            <v/>
          </cell>
          <cell r="AJ113" t="str">
            <v>Icechucker</v>
          </cell>
          <cell r="AK113">
            <v>0</v>
          </cell>
          <cell r="AL113" t="str">
            <v>Icechucker</v>
          </cell>
          <cell r="AM113" t="str">
            <v/>
          </cell>
          <cell r="AN113" t="str">
            <v/>
          </cell>
          <cell r="AO113">
            <v>0</v>
          </cell>
          <cell r="AP113" t="str">
            <v/>
          </cell>
          <cell r="AQ113" t="str">
            <v/>
          </cell>
          <cell r="AR113">
            <v>0</v>
          </cell>
          <cell r="AS113" t="str">
            <v>Fukimi-Bari</v>
          </cell>
        </row>
        <row r="114">
          <cell r="A114" t="str">
            <v>Fullblade</v>
          </cell>
          <cell r="B114" t="str">
            <v>Fullblade</v>
          </cell>
          <cell r="D114" t="str">
            <v>E</v>
          </cell>
          <cell r="E114" t="str">
            <v>T</v>
          </cell>
          <cell r="F114">
            <v>11</v>
          </cell>
          <cell r="H114">
            <v>19</v>
          </cell>
          <cell r="I114">
            <v>2</v>
          </cell>
          <cell r="L114">
            <v>23</v>
          </cell>
          <cell r="M114" t="str">
            <v>S</v>
          </cell>
          <cell r="R114" t="b">
            <v>0</v>
          </cell>
          <cell r="S114" t="b">
            <v>0</v>
          </cell>
          <cell r="T114" t="b">
            <v>0</v>
          </cell>
          <cell r="U114" t="b">
            <v>0</v>
          </cell>
          <cell r="V114">
            <v>4</v>
          </cell>
          <cell r="W114" t="str">
            <v/>
          </cell>
          <cell r="X114">
            <v>4</v>
          </cell>
          <cell r="Y114" t="str">
            <v/>
          </cell>
          <cell r="Z114">
            <v>9</v>
          </cell>
          <cell r="AA114" t="str">
            <v/>
          </cell>
          <cell r="AB114">
            <v>9</v>
          </cell>
          <cell r="AC114" t="str">
            <v/>
          </cell>
          <cell r="AD114">
            <v>64</v>
          </cell>
          <cell r="AE114" t="str">
            <v>Fullblade</v>
          </cell>
          <cell r="AF114" t="str">
            <v/>
          </cell>
          <cell r="AG114" t="str">
            <v/>
          </cell>
          <cell r="AH114">
            <v>0</v>
          </cell>
          <cell r="AI114" t="str">
            <v/>
          </cell>
          <cell r="AJ114" t="str">
            <v>Iron, Throwing</v>
          </cell>
          <cell r="AK114">
            <v>5</v>
          </cell>
          <cell r="AL114" t="str">
            <v>Throwing Iron</v>
          </cell>
          <cell r="AM114" t="str">
            <v/>
          </cell>
          <cell r="AN114" t="str">
            <v/>
          </cell>
          <cell r="AO114">
            <v>0</v>
          </cell>
          <cell r="AP114" t="str">
            <v/>
          </cell>
          <cell r="AQ114" t="str">
            <v/>
          </cell>
          <cell r="AR114">
            <v>0</v>
          </cell>
          <cell r="AS114" t="str">
            <v>Fullblade</v>
          </cell>
        </row>
        <row r="115">
          <cell r="A115" t="str">
            <v>Gauntlet</v>
          </cell>
          <cell r="B115" t="str">
            <v>Gauntlet</v>
          </cell>
          <cell r="D115" t="str">
            <v>S</v>
          </cell>
          <cell r="E115" t="str">
            <v>U</v>
          </cell>
          <cell r="F115">
            <v>3</v>
          </cell>
          <cell r="H115">
            <v>20</v>
          </cell>
          <cell r="I115">
            <v>2</v>
          </cell>
          <cell r="L115">
            <v>1</v>
          </cell>
          <cell r="M115" t="str">
            <v>B</v>
          </cell>
          <cell r="R115" t="b">
            <v>0</v>
          </cell>
          <cell r="S115" t="b">
            <v>0</v>
          </cell>
          <cell r="T115" t="b">
            <v>0</v>
          </cell>
          <cell r="U115" t="b">
            <v>0</v>
          </cell>
          <cell r="V115">
            <v>4</v>
          </cell>
          <cell r="W115" t="str">
            <v/>
          </cell>
          <cell r="X115">
            <v>4</v>
          </cell>
          <cell r="Y115" t="str">
            <v/>
          </cell>
          <cell r="Z115">
            <v>10</v>
          </cell>
          <cell r="AA115" t="str">
            <v>Gauntlet</v>
          </cell>
          <cell r="AB115">
            <v>9</v>
          </cell>
          <cell r="AC115" t="str">
            <v/>
          </cell>
          <cell r="AD115">
            <v>64</v>
          </cell>
          <cell r="AE115" t="str">
            <v/>
          </cell>
          <cell r="AF115" t="str">
            <v/>
          </cell>
          <cell r="AG115" t="str">
            <v/>
          </cell>
          <cell r="AH115">
            <v>0</v>
          </cell>
          <cell r="AI115" t="str">
            <v/>
          </cell>
          <cell r="AJ115" t="str">
            <v>Iuak</v>
          </cell>
          <cell r="AK115">
            <v>0</v>
          </cell>
          <cell r="AL115" t="str">
            <v>Iuak</v>
          </cell>
          <cell r="AM115" t="str">
            <v/>
          </cell>
          <cell r="AN115" t="str">
            <v/>
          </cell>
          <cell r="AO115">
            <v>0</v>
          </cell>
          <cell r="AP115" t="str">
            <v/>
          </cell>
          <cell r="AQ115" t="str">
            <v/>
          </cell>
          <cell r="AR115">
            <v>0</v>
          </cell>
          <cell r="AS115" t="str">
            <v>Gauntlet</v>
          </cell>
        </row>
        <row r="116">
          <cell r="A116" t="str">
            <v>Gauntlet, Bladed</v>
          </cell>
          <cell r="B116" t="str">
            <v>Gauntlet, Bladed</v>
          </cell>
          <cell r="D116" t="str">
            <v>E</v>
          </cell>
          <cell r="E116" t="str">
            <v>L</v>
          </cell>
          <cell r="F116">
            <v>5</v>
          </cell>
          <cell r="H116">
            <v>19</v>
          </cell>
          <cell r="I116">
            <v>2</v>
          </cell>
          <cell r="L116">
            <v>4</v>
          </cell>
          <cell r="M116" t="str">
            <v>S</v>
          </cell>
          <cell r="R116" t="b">
            <v>0</v>
          </cell>
          <cell r="S116" t="b">
            <v>0</v>
          </cell>
          <cell r="T116" t="b">
            <v>0</v>
          </cell>
          <cell r="U116" t="b">
            <v>0</v>
          </cell>
          <cell r="V116">
            <v>4</v>
          </cell>
          <cell r="W116" t="str">
            <v/>
          </cell>
          <cell r="X116">
            <v>4</v>
          </cell>
          <cell r="Y116" t="str">
            <v/>
          </cell>
          <cell r="Z116">
            <v>10</v>
          </cell>
          <cell r="AA116" t="str">
            <v/>
          </cell>
          <cell r="AB116">
            <v>9</v>
          </cell>
          <cell r="AC116" t="str">
            <v/>
          </cell>
          <cell r="AD116">
            <v>65</v>
          </cell>
          <cell r="AE116" t="str">
            <v>Gauntlet, Bladed</v>
          </cell>
          <cell r="AF116" t="str">
            <v/>
          </cell>
          <cell r="AG116" t="str">
            <v/>
          </cell>
          <cell r="AH116">
            <v>0</v>
          </cell>
          <cell r="AI116" t="str">
            <v/>
          </cell>
          <cell r="AJ116" t="str">
            <v>Javelin, Spinning</v>
          </cell>
          <cell r="AK116">
            <v>8</v>
          </cell>
          <cell r="AL116" t="str">
            <v>Spinning Javelin</v>
          </cell>
          <cell r="AM116" t="str">
            <v/>
          </cell>
          <cell r="AN116" t="str">
            <v/>
          </cell>
          <cell r="AO116">
            <v>0</v>
          </cell>
          <cell r="AP116" t="str">
            <v/>
          </cell>
          <cell r="AQ116" t="str">
            <v/>
          </cell>
          <cell r="AR116">
            <v>9</v>
          </cell>
          <cell r="AS116" t="str">
            <v>Bladed Gauntlet</v>
          </cell>
        </row>
        <row r="117">
          <cell r="A117" t="str">
            <v>Gauntlet, Scorpion Claw</v>
          </cell>
          <cell r="B117" t="str">
            <v>Gauntlet, Scorpion Claw</v>
          </cell>
          <cell r="D117" t="str">
            <v>E</v>
          </cell>
          <cell r="E117" t="str">
            <v>L</v>
          </cell>
          <cell r="F117">
            <v>5</v>
          </cell>
          <cell r="H117">
            <v>20</v>
          </cell>
          <cell r="I117">
            <v>2</v>
          </cell>
          <cell r="L117">
            <v>6</v>
          </cell>
          <cell r="M117" t="str">
            <v>S</v>
          </cell>
          <cell r="R117" t="b">
            <v>0</v>
          </cell>
          <cell r="S117" t="b">
            <v>0</v>
          </cell>
          <cell r="T117" t="b">
            <v>0</v>
          </cell>
          <cell r="U117" t="b">
            <v>0</v>
          </cell>
          <cell r="V117">
            <v>4</v>
          </cell>
          <cell r="W117" t="str">
            <v/>
          </cell>
          <cell r="X117">
            <v>4</v>
          </cell>
          <cell r="Y117" t="str">
            <v/>
          </cell>
          <cell r="Z117">
            <v>10</v>
          </cell>
          <cell r="AA117" t="str">
            <v/>
          </cell>
          <cell r="AB117">
            <v>9</v>
          </cell>
          <cell r="AC117" t="str">
            <v/>
          </cell>
          <cell r="AD117">
            <v>66</v>
          </cell>
          <cell r="AE117" t="str">
            <v>Gauntlet, Scorpion Claw</v>
          </cell>
          <cell r="AF117" t="str">
            <v/>
          </cell>
          <cell r="AG117" t="str">
            <v/>
          </cell>
          <cell r="AH117">
            <v>0</v>
          </cell>
          <cell r="AI117" t="str">
            <v/>
          </cell>
          <cell r="AJ117" t="str">
            <v>Jitte</v>
          </cell>
          <cell r="AK117">
            <v>0</v>
          </cell>
          <cell r="AL117" t="str">
            <v>Jitte</v>
          </cell>
          <cell r="AM117" t="str">
            <v/>
          </cell>
          <cell r="AN117" t="str">
            <v/>
          </cell>
          <cell r="AO117">
            <v>0</v>
          </cell>
          <cell r="AP117" t="str">
            <v/>
          </cell>
          <cell r="AQ117" t="str">
            <v/>
          </cell>
          <cell r="AR117">
            <v>9</v>
          </cell>
          <cell r="AS117" t="str">
            <v>Scorpion Claw Gauntlet</v>
          </cell>
        </row>
        <row r="118">
          <cell r="A118" t="str">
            <v>Gauntlet, Spiked</v>
          </cell>
          <cell r="B118" t="str">
            <v>Gauntlet, Spiked</v>
          </cell>
          <cell r="D118" t="str">
            <v>S</v>
          </cell>
          <cell r="E118" t="str">
            <v>L</v>
          </cell>
          <cell r="F118">
            <v>4</v>
          </cell>
          <cell r="H118">
            <v>20</v>
          </cell>
          <cell r="I118">
            <v>2</v>
          </cell>
          <cell r="L118">
            <v>1</v>
          </cell>
          <cell r="M118" t="str">
            <v>P</v>
          </cell>
          <cell r="R118" t="b">
            <v>0</v>
          </cell>
          <cell r="S118" t="b">
            <v>0</v>
          </cell>
          <cell r="T118" t="b">
            <v>0</v>
          </cell>
          <cell r="U118" t="b">
            <v>0</v>
          </cell>
          <cell r="V118">
            <v>4</v>
          </cell>
          <cell r="W118" t="str">
            <v/>
          </cell>
          <cell r="X118">
            <v>4</v>
          </cell>
          <cell r="Y118" t="str">
            <v/>
          </cell>
          <cell r="Z118">
            <v>11</v>
          </cell>
          <cell r="AA118" t="str">
            <v>Gauntlet, Spiked</v>
          </cell>
          <cell r="AB118">
            <v>9</v>
          </cell>
          <cell r="AC118" t="str">
            <v/>
          </cell>
          <cell r="AD118">
            <v>66</v>
          </cell>
          <cell r="AE118" t="str">
            <v/>
          </cell>
          <cell r="AF118" t="str">
            <v/>
          </cell>
          <cell r="AG118" t="str">
            <v/>
          </cell>
          <cell r="AH118">
            <v>0</v>
          </cell>
          <cell r="AI118" t="str">
            <v/>
          </cell>
          <cell r="AJ118" t="str">
            <v>Jovar</v>
          </cell>
          <cell r="AK118">
            <v>0</v>
          </cell>
          <cell r="AL118" t="str">
            <v>Jovar</v>
          </cell>
          <cell r="AM118" t="str">
            <v/>
          </cell>
          <cell r="AN118" t="str">
            <v/>
          </cell>
          <cell r="AO118">
            <v>0</v>
          </cell>
          <cell r="AP118" t="str">
            <v/>
          </cell>
          <cell r="AQ118" t="str">
            <v/>
          </cell>
          <cell r="AR118">
            <v>9</v>
          </cell>
          <cell r="AS118" t="str">
            <v>Spiked Gauntlet</v>
          </cell>
        </row>
        <row r="119">
          <cell r="A119" t="str">
            <v>Gauntlet, Spring-Loaded</v>
          </cell>
          <cell r="B119" t="str">
            <v>Gauntlet, Spring-Loaded</v>
          </cell>
          <cell r="D119" t="str">
            <v>E</v>
          </cell>
          <cell r="E119" t="str">
            <v>R</v>
          </cell>
          <cell r="F119">
            <v>4</v>
          </cell>
          <cell r="H119">
            <v>20</v>
          </cell>
          <cell r="I119">
            <v>2</v>
          </cell>
          <cell r="K119">
            <v>20</v>
          </cell>
          <cell r="L119">
            <v>4</v>
          </cell>
          <cell r="M119" t="str">
            <v>P</v>
          </cell>
          <cell r="R119" t="b">
            <v>0</v>
          </cell>
          <cell r="S119" t="b">
            <v>0</v>
          </cell>
          <cell r="T119" t="b">
            <v>0</v>
          </cell>
          <cell r="U119" t="b">
            <v>0</v>
          </cell>
          <cell r="V119">
            <v>4</v>
          </cell>
          <cell r="W119" t="str">
            <v/>
          </cell>
          <cell r="X119">
            <v>4</v>
          </cell>
          <cell r="Y119" t="str">
            <v/>
          </cell>
          <cell r="Z119">
            <v>11</v>
          </cell>
          <cell r="AA119" t="str">
            <v/>
          </cell>
          <cell r="AB119">
            <v>9</v>
          </cell>
          <cell r="AC119" t="str">
            <v/>
          </cell>
          <cell r="AD119">
            <v>67</v>
          </cell>
          <cell r="AE119" t="str">
            <v>Gauntlet, Spring-Loaded</v>
          </cell>
          <cell r="AF119" t="str">
            <v/>
          </cell>
          <cell r="AG119" t="str">
            <v/>
          </cell>
          <cell r="AH119">
            <v>0</v>
          </cell>
          <cell r="AI119" t="str">
            <v/>
          </cell>
          <cell r="AJ119" t="str">
            <v>Kama</v>
          </cell>
          <cell r="AK119">
            <v>0</v>
          </cell>
          <cell r="AL119" t="str">
            <v>Kama</v>
          </cell>
          <cell r="AM119" t="str">
            <v/>
          </cell>
          <cell r="AN119" t="str">
            <v/>
          </cell>
          <cell r="AO119">
            <v>0</v>
          </cell>
          <cell r="AP119" t="str">
            <v/>
          </cell>
          <cell r="AQ119" t="str">
            <v/>
          </cell>
          <cell r="AR119">
            <v>9</v>
          </cell>
          <cell r="AS119" t="str">
            <v>Spring-Loaded Gauntlet</v>
          </cell>
        </row>
        <row r="120">
          <cell r="A120" t="str">
            <v>Glaive</v>
          </cell>
          <cell r="B120" t="str">
            <v>Glaive</v>
          </cell>
          <cell r="D120" t="str">
            <v>M</v>
          </cell>
          <cell r="E120" t="str">
            <v>T</v>
          </cell>
          <cell r="F120">
            <v>7</v>
          </cell>
          <cell r="H120">
            <v>20</v>
          </cell>
          <cell r="I120">
            <v>3</v>
          </cell>
          <cell r="L120">
            <v>10</v>
          </cell>
          <cell r="M120" t="str">
            <v>S</v>
          </cell>
          <cell r="O120" t="b">
            <v>1</v>
          </cell>
          <cell r="R120" t="b">
            <v>0</v>
          </cell>
          <cell r="S120" t="b">
            <v>0</v>
          </cell>
          <cell r="T120" t="b">
            <v>0</v>
          </cell>
          <cell r="U120" t="b">
            <v>0</v>
          </cell>
          <cell r="V120">
            <v>4</v>
          </cell>
          <cell r="W120" t="str">
            <v/>
          </cell>
          <cell r="X120">
            <v>4</v>
          </cell>
          <cell r="Y120" t="str">
            <v/>
          </cell>
          <cell r="Z120">
            <v>11</v>
          </cell>
          <cell r="AA120" t="str">
            <v/>
          </cell>
          <cell r="AB120">
            <v>10</v>
          </cell>
          <cell r="AC120" t="str">
            <v>Glaive</v>
          </cell>
          <cell r="AD120">
            <v>67</v>
          </cell>
          <cell r="AE120" t="str">
            <v/>
          </cell>
          <cell r="AF120" t="str">
            <v/>
          </cell>
          <cell r="AG120" t="str">
            <v/>
          </cell>
          <cell r="AH120">
            <v>0</v>
          </cell>
          <cell r="AI120" t="str">
            <v/>
          </cell>
          <cell r="AJ120" t="str">
            <v>Katana</v>
          </cell>
          <cell r="AK120">
            <v>0</v>
          </cell>
          <cell r="AL120" t="str">
            <v>Katana</v>
          </cell>
          <cell r="AM120" t="str">
            <v/>
          </cell>
          <cell r="AN120" t="str">
            <v/>
          </cell>
          <cell r="AO120">
            <v>0</v>
          </cell>
          <cell r="AP120" t="str">
            <v/>
          </cell>
          <cell r="AQ120" t="str">
            <v/>
          </cell>
          <cell r="AR120">
            <v>0</v>
          </cell>
          <cell r="AS120" t="str">
            <v>Glaive</v>
          </cell>
        </row>
        <row r="121">
          <cell r="A121" t="str">
            <v>Glot</v>
          </cell>
          <cell r="B121" t="str">
            <v>Glot</v>
          </cell>
          <cell r="D121" t="str">
            <v>E</v>
          </cell>
          <cell r="E121" t="str">
            <v>R</v>
          </cell>
          <cell r="F121">
            <v>4</v>
          </cell>
          <cell r="H121">
            <v>18</v>
          </cell>
          <cell r="I121">
            <v>2</v>
          </cell>
          <cell r="K121">
            <v>10</v>
          </cell>
          <cell r="L121">
            <v>1</v>
          </cell>
          <cell r="M121" t="str">
            <v>B</v>
          </cell>
          <cell r="R121" t="b">
            <v>0</v>
          </cell>
          <cell r="S121" t="b">
            <v>0</v>
          </cell>
          <cell r="T121" t="b">
            <v>0</v>
          </cell>
          <cell r="U121" t="b">
            <v>0</v>
          </cell>
          <cell r="V121">
            <v>4</v>
          </cell>
          <cell r="W121" t="str">
            <v/>
          </cell>
          <cell r="X121">
            <v>4</v>
          </cell>
          <cell r="Y121" t="str">
            <v/>
          </cell>
          <cell r="Z121">
            <v>11</v>
          </cell>
          <cell r="AA121" t="str">
            <v/>
          </cell>
          <cell r="AB121">
            <v>10</v>
          </cell>
          <cell r="AC121" t="str">
            <v/>
          </cell>
          <cell r="AD121">
            <v>68</v>
          </cell>
          <cell r="AE121" t="str">
            <v>Glot</v>
          </cell>
          <cell r="AF121" t="str">
            <v/>
          </cell>
          <cell r="AG121" t="str">
            <v/>
          </cell>
          <cell r="AH121">
            <v>0</v>
          </cell>
          <cell r="AI121" t="str">
            <v/>
          </cell>
          <cell r="AJ121" t="str">
            <v>Kau Sin Ke</v>
          </cell>
          <cell r="AK121">
            <v>0</v>
          </cell>
          <cell r="AL121" t="str">
            <v>Kau Sin Ke</v>
          </cell>
          <cell r="AM121" t="str">
            <v/>
          </cell>
          <cell r="AN121" t="str">
            <v/>
          </cell>
          <cell r="AO121">
            <v>0</v>
          </cell>
          <cell r="AP121" t="str">
            <v/>
          </cell>
          <cell r="AQ121" t="str">
            <v/>
          </cell>
          <cell r="AR121">
            <v>0</v>
          </cell>
          <cell r="AS121" t="str">
            <v>Glot</v>
          </cell>
        </row>
        <row r="122">
          <cell r="A122" t="str">
            <v>Goad</v>
          </cell>
          <cell r="B122" t="str">
            <v>Goad</v>
          </cell>
          <cell r="D122" t="str">
            <v>E</v>
          </cell>
          <cell r="E122" t="str">
            <v>T</v>
          </cell>
          <cell r="F122">
            <v>9</v>
          </cell>
          <cell r="H122">
            <v>20</v>
          </cell>
          <cell r="I122">
            <v>2</v>
          </cell>
          <cell r="L122">
            <v>10</v>
          </cell>
          <cell r="M122" t="str">
            <v>B/P</v>
          </cell>
          <cell r="R122" t="b">
            <v>0</v>
          </cell>
          <cell r="S122" t="b">
            <v>0</v>
          </cell>
          <cell r="T122" t="b">
            <v>0</v>
          </cell>
          <cell r="U122" t="b">
            <v>0</v>
          </cell>
          <cell r="V122">
            <v>4</v>
          </cell>
          <cell r="W122" t="str">
            <v/>
          </cell>
          <cell r="X122">
            <v>4</v>
          </cell>
          <cell r="Y122" t="str">
            <v/>
          </cell>
          <cell r="Z122">
            <v>11</v>
          </cell>
          <cell r="AA122" t="str">
            <v/>
          </cell>
          <cell r="AB122">
            <v>10</v>
          </cell>
          <cell r="AC122" t="str">
            <v/>
          </cell>
          <cell r="AD122">
            <v>69</v>
          </cell>
          <cell r="AE122" t="str">
            <v>Goad</v>
          </cell>
          <cell r="AF122" t="str">
            <v/>
          </cell>
          <cell r="AG122" t="str">
            <v/>
          </cell>
          <cell r="AH122">
            <v>0</v>
          </cell>
          <cell r="AI122" t="str">
            <v/>
          </cell>
          <cell r="AJ122" t="str">
            <v>Kawanaga</v>
          </cell>
          <cell r="AK122">
            <v>0</v>
          </cell>
          <cell r="AL122" t="str">
            <v>Kawanaga</v>
          </cell>
          <cell r="AM122" t="str">
            <v/>
          </cell>
          <cell r="AN122" t="str">
            <v/>
          </cell>
          <cell r="AO122">
            <v>0</v>
          </cell>
          <cell r="AP122" t="str">
            <v/>
          </cell>
          <cell r="AQ122" t="str">
            <v/>
          </cell>
          <cell r="AR122">
            <v>0</v>
          </cell>
          <cell r="AS122" t="str">
            <v>Goad</v>
          </cell>
        </row>
        <row r="123">
          <cell r="A123" t="str">
            <v>Greataxe</v>
          </cell>
          <cell r="B123" t="str">
            <v>Greataxe</v>
          </cell>
          <cell r="D123" t="str">
            <v>M</v>
          </cell>
          <cell r="E123" t="str">
            <v>T</v>
          </cell>
          <cell r="F123">
            <v>8</v>
          </cell>
          <cell r="H123">
            <v>20</v>
          </cell>
          <cell r="I123">
            <v>3</v>
          </cell>
          <cell r="L123">
            <v>12</v>
          </cell>
          <cell r="M123" t="str">
            <v>S</v>
          </cell>
          <cell r="Q123" t="b">
            <v>0</v>
          </cell>
          <cell r="R123" t="b">
            <v>0</v>
          </cell>
          <cell r="S123" t="b">
            <v>0</v>
          </cell>
          <cell r="T123" t="b">
            <v>0</v>
          </cell>
          <cell r="U123" t="b">
            <v>0</v>
          </cell>
          <cell r="V123">
            <v>4</v>
          </cell>
          <cell r="W123" t="str">
            <v/>
          </cell>
          <cell r="X123">
            <v>4</v>
          </cell>
          <cell r="Y123" t="str">
            <v/>
          </cell>
          <cell r="Z123">
            <v>11</v>
          </cell>
          <cell r="AA123" t="str">
            <v/>
          </cell>
          <cell r="AB123">
            <v>11</v>
          </cell>
          <cell r="AC123" t="str">
            <v>Greataxe</v>
          </cell>
          <cell r="AD123">
            <v>69</v>
          </cell>
          <cell r="AE123" t="str">
            <v/>
          </cell>
          <cell r="AF123" t="str">
            <v/>
          </cell>
          <cell r="AG123" t="str">
            <v/>
          </cell>
          <cell r="AH123">
            <v>0</v>
          </cell>
          <cell r="AI123" t="str">
            <v/>
          </cell>
          <cell r="AJ123" t="str">
            <v>Khopesh</v>
          </cell>
          <cell r="AK123">
            <v>0</v>
          </cell>
          <cell r="AL123" t="str">
            <v>Khopesh</v>
          </cell>
          <cell r="AM123" t="str">
            <v/>
          </cell>
          <cell r="AN123" t="str">
            <v/>
          </cell>
          <cell r="AO123">
            <v>0</v>
          </cell>
          <cell r="AP123" t="str">
            <v/>
          </cell>
          <cell r="AQ123" t="str">
            <v/>
          </cell>
          <cell r="AR123">
            <v>0</v>
          </cell>
          <cell r="AS123" t="str">
            <v>Greataxe</v>
          </cell>
        </row>
        <row r="124">
          <cell r="A124" t="str">
            <v>Greatbow</v>
          </cell>
          <cell r="B124" t="str">
            <v>Greatbow</v>
          </cell>
          <cell r="D124" t="str">
            <v>E</v>
          </cell>
          <cell r="E124" t="str">
            <v>R</v>
          </cell>
          <cell r="F124">
            <v>7</v>
          </cell>
          <cell r="H124">
            <v>20</v>
          </cell>
          <cell r="I124">
            <v>3</v>
          </cell>
          <cell r="K124">
            <v>120</v>
          </cell>
          <cell r="L124">
            <v>6</v>
          </cell>
          <cell r="M124" t="str">
            <v>P</v>
          </cell>
          <cell r="R124" t="b">
            <v>0</v>
          </cell>
          <cell r="S124" t="b">
            <v>0</v>
          </cell>
          <cell r="T124" t="b">
            <v>0</v>
          </cell>
          <cell r="U124" t="b">
            <v>0</v>
          </cell>
          <cell r="V124">
            <v>4</v>
          </cell>
          <cell r="W124" t="str">
            <v/>
          </cell>
          <cell r="X124">
            <v>4</v>
          </cell>
          <cell r="Y124" t="str">
            <v/>
          </cell>
          <cell r="Z124">
            <v>11</v>
          </cell>
          <cell r="AA124" t="str">
            <v/>
          </cell>
          <cell r="AB124">
            <v>11</v>
          </cell>
          <cell r="AC124" t="str">
            <v/>
          </cell>
          <cell r="AD124">
            <v>70</v>
          </cell>
          <cell r="AE124" t="str">
            <v>Greatbow</v>
          </cell>
          <cell r="AF124" t="str">
            <v/>
          </cell>
          <cell r="AG124" t="str">
            <v/>
          </cell>
          <cell r="AH124">
            <v>0</v>
          </cell>
          <cell r="AI124" t="str">
            <v/>
          </cell>
          <cell r="AJ124" t="str">
            <v>Khopesh, Double</v>
          </cell>
          <cell r="AK124">
            <v>8</v>
          </cell>
          <cell r="AL124" t="str">
            <v>Double Khopesh</v>
          </cell>
          <cell r="AM124" t="str">
            <v/>
          </cell>
          <cell r="AN124" t="str">
            <v/>
          </cell>
          <cell r="AO124">
            <v>0</v>
          </cell>
          <cell r="AP124" t="str">
            <v/>
          </cell>
          <cell r="AQ124" t="str">
            <v/>
          </cell>
          <cell r="AR124">
            <v>0</v>
          </cell>
          <cell r="AS124" t="str">
            <v>Greatbow</v>
          </cell>
        </row>
        <row r="125">
          <cell r="A125" t="str">
            <v>Greatbow, Composite</v>
          </cell>
          <cell r="B125" t="str">
            <v>Greatbow, Composite</v>
          </cell>
          <cell r="D125" t="str">
            <v>E</v>
          </cell>
          <cell r="E125" t="str">
            <v>R</v>
          </cell>
          <cell r="F125">
            <v>7</v>
          </cell>
          <cell r="H125">
            <v>20</v>
          </cell>
          <cell r="I125">
            <v>3</v>
          </cell>
          <cell r="K125">
            <v>130</v>
          </cell>
          <cell r="L125">
            <v>6</v>
          </cell>
          <cell r="M125" t="str">
            <v>P</v>
          </cell>
          <cell r="P125" t="str">
            <v>M</v>
          </cell>
          <cell r="R125" t="b">
            <v>0</v>
          </cell>
          <cell r="S125" t="b">
            <v>0</v>
          </cell>
          <cell r="T125" t="b">
            <v>0</v>
          </cell>
          <cell r="U125" t="b">
            <v>0</v>
          </cell>
          <cell r="V125">
            <v>4</v>
          </cell>
          <cell r="W125" t="str">
            <v/>
          </cell>
          <cell r="X125">
            <v>4</v>
          </cell>
          <cell r="Y125" t="str">
            <v/>
          </cell>
          <cell r="Z125">
            <v>11</v>
          </cell>
          <cell r="AA125" t="str">
            <v/>
          </cell>
          <cell r="AB125">
            <v>11</v>
          </cell>
          <cell r="AC125" t="str">
            <v/>
          </cell>
          <cell r="AD125">
            <v>71</v>
          </cell>
          <cell r="AE125" t="str">
            <v>Greatbow, Composite</v>
          </cell>
          <cell r="AF125" t="str">
            <v/>
          </cell>
          <cell r="AG125" t="str">
            <v/>
          </cell>
          <cell r="AH125">
            <v>0</v>
          </cell>
          <cell r="AI125" t="str">
            <v/>
          </cell>
          <cell r="AJ125" t="str">
            <v>Knife, Drow Long</v>
          </cell>
          <cell r="AK125">
            <v>6</v>
          </cell>
          <cell r="AL125" t="str">
            <v>Drow Long Knife</v>
          </cell>
          <cell r="AM125" t="str">
            <v/>
          </cell>
          <cell r="AN125" t="str">
            <v/>
          </cell>
          <cell r="AO125">
            <v>0</v>
          </cell>
          <cell r="AP125" t="str">
            <v/>
          </cell>
          <cell r="AQ125" t="str">
            <v/>
          </cell>
          <cell r="AR125">
            <v>9</v>
          </cell>
          <cell r="AS125" t="str">
            <v>Composite Greatbow</v>
          </cell>
        </row>
        <row r="126">
          <cell r="A126" t="str">
            <v>Greatclub</v>
          </cell>
          <cell r="B126" t="str">
            <v>Greatclub</v>
          </cell>
          <cell r="D126" t="str">
            <v>M</v>
          </cell>
          <cell r="E126" t="str">
            <v>T</v>
          </cell>
          <cell r="F126">
            <v>7</v>
          </cell>
          <cell r="H126">
            <v>20</v>
          </cell>
          <cell r="I126">
            <v>2</v>
          </cell>
          <cell r="L126">
            <v>8</v>
          </cell>
          <cell r="M126" t="str">
            <v>B</v>
          </cell>
          <cell r="Q126" t="b">
            <v>0</v>
          </cell>
          <cell r="R126" t="b">
            <v>0</v>
          </cell>
          <cell r="S126" t="b">
            <v>0</v>
          </cell>
          <cell r="T126" t="b">
            <v>0</v>
          </cell>
          <cell r="U126" t="b">
            <v>0</v>
          </cell>
          <cell r="V126">
            <v>4</v>
          </cell>
          <cell r="W126" t="str">
            <v/>
          </cell>
          <cell r="X126">
            <v>4</v>
          </cell>
          <cell r="Y126" t="str">
            <v/>
          </cell>
          <cell r="Z126">
            <v>11</v>
          </cell>
          <cell r="AA126" t="str">
            <v/>
          </cell>
          <cell r="AB126">
            <v>12</v>
          </cell>
          <cell r="AC126" t="str">
            <v>Greatclub</v>
          </cell>
          <cell r="AD126">
            <v>71</v>
          </cell>
          <cell r="AE126" t="str">
            <v/>
          </cell>
          <cell r="AF126" t="str">
            <v/>
          </cell>
          <cell r="AG126" t="str">
            <v/>
          </cell>
          <cell r="AH126">
            <v>0</v>
          </cell>
          <cell r="AI126" t="str">
            <v/>
          </cell>
          <cell r="AJ126" t="str">
            <v>Knife, Stump</v>
          </cell>
          <cell r="AK126">
            <v>6</v>
          </cell>
          <cell r="AL126" t="str">
            <v>Stump Knife</v>
          </cell>
          <cell r="AM126" t="str">
            <v/>
          </cell>
          <cell r="AN126" t="str">
            <v/>
          </cell>
          <cell r="AO126">
            <v>0</v>
          </cell>
          <cell r="AP126" t="str">
            <v/>
          </cell>
          <cell r="AQ126" t="str">
            <v/>
          </cell>
          <cell r="AR126">
            <v>0</v>
          </cell>
          <cell r="AS126" t="str">
            <v>Greatclub</v>
          </cell>
        </row>
        <row r="127">
          <cell r="A127" t="str">
            <v>Greathammer, Goliath</v>
          </cell>
          <cell r="B127" t="str">
            <v>Greathammer, Goliath</v>
          </cell>
          <cell r="D127" t="str">
            <v>E</v>
          </cell>
          <cell r="E127" t="str">
            <v>T</v>
          </cell>
          <cell r="F127">
            <v>8</v>
          </cell>
          <cell r="H127">
            <v>20</v>
          </cell>
          <cell r="I127">
            <v>4</v>
          </cell>
          <cell r="L127">
            <v>30</v>
          </cell>
          <cell r="M127" t="str">
            <v>B</v>
          </cell>
          <cell r="P127" t="str">
            <v/>
          </cell>
          <cell r="Q127" t="b">
            <v>0</v>
          </cell>
          <cell r="R127" t="b">
            <v>0</v>
          </cell>
          <cell r="S127" t="b">
            <v>0</v>
          </cell>
          <cell r="T127" t="b">
            <v>0</v>
          </cell>
          <cell r="U127" t="b">
            <v>0</v>
          </cell>
          <cell r="V127">
            <v>4</v>
          </cell>
          <cell r="W127" t="str">
            <v/>
          </cell>
          <cell r="X127">
            <v>4</v>
          </cell>
          <cell r="Y127" t="str">
            <v/>
          </cell>
          <cell r="Z127">
            <v>11</v>
          </cell>
          <cell r="AA127" t="str">
            <v/>
          </cell>
          <cell r="AB127">
            <v>12</v>
          </cell>
          <cell r="AC127" t="str">
            <v/>
          </cell>
          <cell r="AD127">
            <v>72</v>
          </cell>
          <cell r="AE127" t="str">
            <v>Greathammer, Goliath</v>
          </cell>
          <cell r="AF127" t="str">
            <v/>
          </cell>
          <cell r="AG127" t="str">
            <v/>
          </cell>
          <cell r="AH127">
            <v>0</v>
          </cell>
          <cell r="AI127" t="str">
            <v/>
          </cell>
          <cell r="AJ127" t="str">
            <v>Kusari-Gama</v>
          </cell>
          <cell r="AK127">
            <v>0</v>
          </cell>
          <cell r="AL127" t="str">
            <v>Kusari-Gama</v>
          </cell>
          <cell r="AM127" t="str">
            <v/>
          </cell>
          <cell r="AN127" t="str">
            <v/>
          </cell>
          <cell r="AO127">
            <v>0</v>
          </cell>
          <cell r="AP127" t="str">
            <v/>
          </cell>
          <cell r="AQ127" t="str">
            <v/>
          </cell>
          <cell r="AR127">
            <v>12</v>
          </cell>
          <cell r="AS127" t="str">
            <v>Goliath Greathammer</v>
          </cell>
        </row>
        <row r="128">
          <cell r="A128" t="str">
            <v>Greatspear</v>
          </cell>
          <cell r="B128" t="str">
            <v>Greatspear</v>
          </cell>
          <cell r="D128" t="str">
            <v>E</v>
          </cell>
          <cell r="E128" t="str">
            <v>T</v>
          </cell>
          <cell r="F128">
            <v>10</v>
          </cell>
          <cell r="H128">
            <v>20</v>
          </cell>
          <cell r="I128">
            <v>3</v>
          </cell>
          <cell r="K128">
            <v>10</v>
          </cell>
          <cell r="L128">
            <v>9</v>
          </cell>
          <cell r="M128" t="str">
            <v>P</v>
          </cell>
          <cell r="R128" t="b">
            <v>0</v>
          </cell>
          <cell r="S128" t="b">
            <v>0</v>
          </cell>
          <cell r="T128" t="b">
            <v>0</v>
          </cell>
          <cell r="U128" t="b">
            <v>0</v>
          </cell>
          <cell r="V128">
            <v>4</v>
          </cell>
          <cell r="W128" t="str">
            <v/>
          </cell>
          <cell r="X128">
            <v>4</v>
          </cell>
          <cell r="Y128" t="str">
            <v/>
          </cell>
          <cell r="Z128">
            <v>11</v>
          </cell>
          <cell r="AA128" t="str">
            <v/>
          </cell>
          <cell r="AB128">
            <v>12</v>
          </cell>
          <cell r="AC128" t="str">
            <v/>
          </cell>
          <cell r="AD128">
            <v>73</v>
          </cell>
          <cell r="AE128" t="str">
            <v>Greatspear</v>
          </cell>
          <cell r="AF128" t="str">
            <v/>
          </cell>
          <cell r="AG128" t="str">
            <v/>
          </cell>
          <cell r="AH128">
            <v>0</v>
          </cell>
          <cell r="AI128" t="str">
            <v/>
          </cell>
          <cell r="AJ128" t="str">
            <v>Kylie</v>
          </cell>
          <cell r="AK128">
            <v>0</v>
          </cell>
          <cell r="AL128" t="str">
            <v>Kylie</v>
          </cell>
          <cell r="AM128" t="str">
            <v/>
          </cell>
          <cell r="AN128" t="str">
            <v/>
          </cell>
          <cell r="AO128">
            <v>0</v>
          </cell>
          <cell r="AP128" t="str">
            <v/>
          </cell>
          <cell r="AQ128" t="str">
            <v/>
          </cell>
          <cell r="AR128">
            <v>0</v>
          </cell>
          <cell r="AS128" t="str">
            <v>Greatspear</v>
          </cell>
        </row>
        <row r="129">
          <cell r="A129" t="str">
            <v>Greatsword</v>
          </cell>
          <cell r="B129" t="str">
            <v>Greatsword</v>
          </cell>
          <cell r="D129" t="str">
            <v>M</v>
          </cell>
          <cell r="E129" t="str">
            <v>T</v>
          </cell>
          <cell r="F129">
            <v>10</v>
          </cell>
          <cell r="H129">
            <v>19</v>
          </cell>
          <cell r="I129">
            <v>2</v>
          </cell>
          <cell r="L129">
            <v>8</v>
          </cell>
          <cell r="M129" t="str">
            <v>S</v>
          </cell>
          <cell r="Q129" t="b">
            <v>0</v>
          </cell>
          <cell r="R129" t="b">
            <v>0</v>
          </cell>
          <cell r="S129" t="b">
            <v>0</v>
          </cell>
          <cell r="T129" t="b">
            <v>0</v>
          </cell>
          <cell r="U129" t="b">
            <v>0</v>
          </cell>
          <cell r="V129">
            <v>4</v>
          </cell>
          <cell r="W129" t="str">
            <v/>
          </cell>
          <cell r="X129">
            <v>4</v>
          </cell>
          <cell r="Y129" t="str">
            <v/>
          </cell>
          <cell r="Z129">
            <v>11</v>
          </cell>
          <cell r="AA129" t="str">
            <v/>
          </cell>
          <cell r="AB129">
            <v>13</v>
          </cell>
          <cell r="AC129" t="str">
            <v>Greatsword</v>
          </cell>
          <cell r="AD129">
            <v>73</v>
          </cell>
          <cell r="AE129" t="str">
            <v/>
          </cell>
          <cell r="AF129" t="str">
            <v/>
          </cell>
          <cell r="AG129" t="str">
            <v/>
          </cell>
          <cell r="AH129">
            <v>0</v>
          </cell>
          <cell r="AI129" t="str">
            <v/>
          </cell>
          <cell r="AJ129" t="str">
            <v>Lajatang</v>
          </cell>
          <cell r="AK129">
            <v>0</v>
          </cell>
          <cell r="AL129" t="str">
            <v>Lajatang</v>
          </cell>
          <cell r="AM129" t="str">
            <v/>
          </cell>
          <cell r="AN129" t="str">
            <v/>
          </cell>
          <cell r="AO129">
            <v>0</v>
          </cell>
          <cell r="AP129" t="str">
            <v/>
          </cell>
          <cell r="AQ129" t="str">
            <v/>
          </cell>
          <cell r="AR129">
            <v>0</v>
          </cell>
          <cell r="AS129" t="str">
            <v>Greatsword</v>
          </cell>
        </row>
        <row r="130">
          <cell r="A130" t="str">
            <v>Greatsword, Mercurial</v>
          </cell>
          <cell r="B130" t="str">
            <v>Greatsword, Mercurial</v>
          </cell>
          <cell r="D130" t="str">
            <v>E</v>
          </cell>
          <cell r="E130" t="str">
            <v>T</v>
          </cell>
          <cell r="F130">
            <v>10</v>
          </cell>
          <cell r="H130">
            <v>20</v>
          </cell>
          <cell r="I130">
            <v>4</v>
          </cell>
          <cell r="L130">
            <v>17</v>
          </cell>
          <cell r="M130" t="str">
            <v>S</v>
          </cell>
          <cell r="R130" t="b">
            <v>0</v>
          </cell>
          <cell r="S130" t="b">
            <v>0</v>
          </cell>
          <cell r="T130" t="b">
            <v>0</v>
          </cell>
          <cell r="U130" t="b">
            <v>0</v>
          </cell>
          <cell r="V130">
            <v>4</v>
          </cell>
          <cell r="W130" t="str">
            <v/>
          </cell>
          <cell r="X130">
            <v>4</v>
          </cell>
          <cell r="Y130" t="str">
            <v/>
          </cell>
          <cell r="Z130">
            <v>11</v>
          </cell>
          <cell r="AA130" t="str">
            <v/>
          </cell>
          <cell r="AB130">
            <v>13</v>
          </cell>
          <cell r="AC130" t="str">
            <v/>
          </cell>
          <cell r="AD130">
            <v>74</v>
          </cell>
          <cell r="AE130" t="str">
            <v>Greatsword, Mercurial</v>
          </cell>
          <cell r="AF130" t="str">
            <v/>
          </cell>
          <cell r="AG130" t="str">
            <v/>
          </cell>
          <cell r="AH130">
            <v>0</v>
          </cell>
          <cell r="AI130" t="str">
            <v/>
          </cell>
          <cell r="AJ130" t="str">
            <v>Lightblade, Elven</v>
          </cell>
          <cell r="AK130">
            <v>11</v>
          </cell>
          <cell r="AL130" t="str">
            <v>Elven Lightblade</v>
          </cell>
          <cell r="AM130" t="str">
            <v/>
          </cell>
          <cell r="AN130" t="str">
            <v/>
          </cell>
          <cell r="AO130">
            <v>0</v>
          </cell>
          <cell r="AP130" t="str">
            <v/>
          </cell>
          <cell r="AQ130" t="str">
            <v/>
          </cell>
          <cell r="AR130">
            <v>11</v>
          </cell>
          <cell r="AS130" t="str">
            <v>Mercurial Greatsword</v>
          </cell>
        </row>
        <row r="131">
          <cell r="A131" t="str">
            <v>Guisarme</v>
          </cell>
          <cell r="B131" t="str">
            <v>Guisarme</v>
          </cell>
          <cell r="D131" t="str">
            <v>M</v>
          </cell>
          <cell r="E131" t="str">
            <v>T</v>
          </cell>
          <cell r="F131">
            <v>9</v>
          </cell>
          <cell r="H131">
            <v>20</v>
          </cell>
          <cell r="I131">
            <v>3</v>
          </cell>
          <cell r="L131">
            <v>12</v>
          </cell>
          <cell r="M131" t="str">
            <v>S</v>
          </cell>
          <cell r="O131" t="b">
            <v>1</v>
          </cell>
          <cell r="R131" t="b">
            <v>0</v>
          </cell>
          <cell r="S131" t="b">
            <v>0</v>
          </cell>
          <cell r="T131" t="b">
            <v>0</v>
          </cell>
          <cell r="U131" t="b">
            <v>0</v>
          </cell>
          <cell r="V131">
            <v>4</v>
          </cell>
          <cell r="W131" t="str">
            <v/>
          </cell>
          <cell r="X131">
            <v>4</v>
          </cell>
          <cell r="Y131" t="str">
            <v/>
          </cell>
          <cell r="Z131">
            <v>11</v>
          </cell>
          <cell r="AA131" t="str">
            <v/>
          </cell>
          <cell r="AB131">
            <v>14</v>
          </cell>
          <cell r="AC131" t="str">
            <v>Guisarme</v>
          </cell>
          <cell r="AD131">
            <v>74</v>
          </cell>
          <cell r="AE131" t="str">
            <v/>
          </cell>
          <cell r="AF131" t="str">
            <v/>
          </cell>
          <cell r="AG131" t="str">
            <v/>
          </cell>
          <cell r="AH131">
            <v>0</v>
          </cell>
          <cell r="AI131" t="str">
            <v/>
          </cell>
          <cell r="AJ131" t="str">
            <v>Longaxe</v>
          </cell>
          <cell r="AK131">
            <v>0</v>
          </cell>
          <cell r="AL131" t="str">
            <v>Longaxe</v>
          </cell>
          <cell r="AM131" t="str">
            <v/>
          </cell>
          <cell r="AN131" t="str">
            <v/>
          </cell>
          <cell r="AO131">
            <v>0</v>
          </cell>
          <cell r="AP131" t="str">
            <v/>
          </cell>
          <cell r="AQ131" t="str">
            <v/>
          </cell>
          <cell r="AR131">
            <v>0</v>
          </cell>
          <cell r="AS131" t="str">
            <v>Guisarme</v>
          </cell>
        </row>
        <row r="132">
          <cell r="A132" t="str">
            <v>Gyrspike</v>
          </cell>
          <cell r="B132" t="str">
            <v>Gyrspike</v>
          </cell>
          <cell r="D132" t="str">
            <v>E</v>
          </cell>
          <cell r="E132" t="str">
            <v>T</v>
          </cell>
          <cell r="F132">
            <v>6</v>
          </cell>
          <cell r="G132">
            <v>6</v>
          </cell>
          <cell r="H132">
            <v>19</v>
          </cell>
          <cell r="I132">
            <v>2</v>
          </cell>
          <cell r="J132">
            <v>6</v>
          </cell>
          <cell r="L132">
            <v>20</v>
          </cell>
          <cell r="M132" t="str">
            <v>B/S</v>
          </cell>
          <cell r="R132" t="b">
            <v>0</v>
          </cell>
          <cell r="S132" t="b">
            <v>0</v>
          </cell>
          <cell r="T132" t="b">
            <v>0</v>
          </cell>
          <cell r="U132" t="b">
            <v>0</v>
          </cell>
          <cell r="V132">
            <v>4</v>
          </cell>
          <cell r="W132" t="str">
            <v/>
          </cell>
          <cell r="X132">
            <v>4</v>
          </cell>
          <cell r="Y132" t="str">
            <v/>
          </cell>
          <cell r="Z132">
            <v>11</v>
          </cell>
          <cell r="AA132" t="str">
            <v/>
          </cell>
          <cell r="AB132">
            <v>14</v>
          </cell>
          <cell r="AC132" t="str">
            <v/>
          </cell>
          <cell r="AD132">
            <v>75</v>
          </cell>
          <cell r="AE132" t="str">
            <v>Gyrspike</v>
          </cell>
          <cell r="AF132" t="str">
            <v/>
          </cell>
          <cell r="AG132" t="str">
            <v/>
          </cell>
          <cell r="AH132">
            <v>0</v>
          </cell>
          <cell r="AI132" t="str">
            <v/>
          </cell>
          <cell r="AJ132" t="str">
            <v>Longstaff</v>
          </cell>
          <cell r="AK132">
            <v>0</v>
          </cell>
          <cell r="AL132" t="str">
            <v>Longstaff</v>
          </cell>
          <cell r="AM132" t="str">
            <v/>
          </cell>
          <cell r="AN132" t="str">
            <v/>
          </cell>
          <cell r="AO132">
            <v>0</v>
          </cell>
          <cell r="AP132" t="str">
            <v/>
          </cell>
          <cell r="AQ132" t="str">
            <v/>
          </cell>
          <cell r="AR132">
            <v>0</v>
          </cell>
          <cell r="AS132" t="str">
            <v>Gyrspike</v>
          </cell>
        </row>
        <row r="133">
          <cell r="A133" t="str">
            <v>Gythka</v>
          </cell>
          <cell r="B133" t="str">
            <v>Gythka</v>
          </cell>
          <cell r="D133" t="str">
            <v>E</v>
          </cell>
          <cell r="E133" t="str">
            <v>T</v>
          </cell>
          <cell r="F133">
            <v>7</v>
          </cell>
          <cell r="G133">
            <v>7</v>
          </cell>
          <cell r="H133">
            <v>20</v>
          </cell>
          <cell r="I133">
            <v>2</v>
          </cell>
          <cell r="J133">
            <v>2</v>
          </cell>
          <cell r="L133">
            <v>25</v>
          </cell>
          <cell r="M133" t="str">
            <v>S</v>
          </cell>
          <cell r="P133" t="str">
            <v/>
          </cell>
          <cell r="Q133" t="b">
            <v>0</v>
          </cell>
          <cell r="R133" t="b">
            <v>0</v>
          </cell>
          <cell r="S133" t="b">
            <v>0</v>
          </cell>
          <cell r="T133" t="b">
            <v>0</v>
          </cell>
          <cell r="U133" t="b">
            <v>0</v>
          </cell>
          <cell r="V133">
            <v>4</v>
          </cell>
          <cell r="W133" t="str">
            <v/>
          </cell>
          <cell r="X133">
            <v>4</v>
          </cell>
          <cell r="Y133" t="str">
            <v/>
          </cell>
          <cell r="Z133">
            <v>11</v>
          </cell>
          <cell r="AA133" t="str">
            <v/>
          </cell>
          <cell r="AB133">
            <v>14</v>
          </cell>
          <cell r="AC133" t="str">
            <v/>
          </cell>
          <cell r="AD133">
            <v>76</v>
          </cell>
          <cell r="AE133" t="str">
            <v>Gythka</v>
          </cell>
          <cell r="AF133" t="str">
            <v/>
          </cell>
          <cell r="AG133" t="str">
            <v/>
          </cell>
          <cell r="AH133">
            <v>0</v>
          </cell>
          <cell r="AI133" t="str">
            <v/>
          </cell>
          <cell r="AJ133" t="str">
            <v>Longsword, Mercurial</v>
          </cell>
          <cell r="AK133">
            <v>10</v>
          </cell>
          <cell r="AL133" t="str">
            <v>Mercurial Longsword</v>
          </cell>
          <cell r="AM133" t="str">
            <v/>
          </cell>
          <cell r="AN133" t="str">
            <v/>
          </cell>
          <cell r="AO133">
            <v>0</v>
          </cell>
          <cell r="AP133" t="str">
            <v/>
          </cell>
          <cell r="AQ133" t="str">
            <v/>
          </cell>
          <cell r="AR133">
            <v>0</v>
          </cell>
          <cell r="AS133" t="str">
            <v>Gythka</v>
          </cell>
        </row>
        <row r="134">
          <cell r="A134" t="str">
            <v>Halberd</v>
          </cell>
          <cell r="B134" t="str">
            <v>Halberd</v>
          </cell>
          <cell r="D134" t="str">
            <v>M</v>
          </cell>
          <cell r="E134" t="str">
            <v>T</v>
          </cell>
          <cell r="F134">
            <v>7</v>
          </cell>
          <cell r="H134">
            <v>20</v>
          </cell>
          <cell r="I134">
            <v>3</v>
          </cell>
          <cell r="L134">
            <v>12</v>
          </cell>
          <cell r="M134" t="str">
            <v>P/S</v>
          </cell>
          <cell r="R134" t="b">
            <v>0</v>
          </cell>
          <cell r="S134" t="b">
            <v>0</v>
          </cell>
          <cell r="T134" t="b">
            <v>0</v>
          </cell>
          <cell r="U134" t="b">
            <v>0</v>
          </cell>
          <cell r="V134">
            <v>4</v>
          </cell>
          <cell r="W134" t="str">
            <v/>
          </cell>
          <cell r="X134">
            <v>4</v>
          </cell>
          <cell r="Y134" t="str">
            <v/>
          </cell>
          <cell r="Z134">
            <v>11</v>
          </cell>
          <cell r="AA134" t="str">
            <v/>
          </cell>
          <cell r="AB134">
            <v>15</v>
          </cell>
          <cell r="AC134" t="str">
            <v>Halberd</v>
          </cell>
          <cell r="AD134">
            <v>76</v>
          </cell>
          <cell r="AE134" t="str">
            <v/>
          </cell>
          <cell r="AF134" t="str">
            <v/>
          </cell>
          <cell r="AG134" t="str">
            <v/>
          </cell>
          <cell r="AH134">
            <v>0</v>
          </cell>
          <cell r="AI134" t="str">
            <v/>
          </cell>
          <cell r="AJ134" t="str">
            <v>Lynxpaw</v>
          </cell>
          <cell r="AK134">
            <v>0</v>
          </cell>
          <cell r="AL134" t="str">
            <v>Lynxpaw</v>
          </cell>
          <cell r="AM134" t="str">
            <v/>
          </cell>
          <cell r="AN134" t="str">
            <v/>
          </cell>
          <cell r="AO134">
            <v>0</v>
          </cell>
          <cell r="AP134" t="str">
            <v/>
          </cell>
          <cell r="AQ134" t="str">
            <v/>
          </cell>
          <cell r="AR134">
            <v>0</v>
          </cell>
          <cell r="AS134" t="str">
            <v>Halberd</v>
          </cell>
        </row>
        <row r="135">
          <cell r="A135" t="str">
            <v>Hammer, Double</v>
          </cell>
          <cell r="B135" t="str">
            <v>Hammer, Double</v>
          </cell>
          <cell r="D135" t="str">
            <v>E</v>
          </cell>
          <cell r="E135" t="str">
            <v>T</v>
          </cell>
          <cell r="F135">
            <v>6</v>
          </cell>
          <cell r="G135">
            <v>6</v>
          </cell>
          <cell r="H135">
            <v>20</v>
          </cell>
          <cell r="I135">
            <v>3</v>
          </cell>
          <cell r="J135">
            <v>3</v>
          </cell>
          <cell r="L135">
            <v>18</v>
          </cell>
          <cell r="M135" t="str">
            <v>B</v>
          </cell>
          <cell r="R135" t="b">
            <v>0</v>
          </cell>
          <cell r="S135" t="b">
            <v>0</v>
          </cell>
          <cell r="T135" t="b">
            <v>0</v>
          </cell>
          <cell r="U135" t="b">
            <v>0</v>
          </cell>
          <cell r="V135">
            <v>4</v>
          </cell>
          <cell r="W135" t="str">
            <v/>
          </cell>
          <cell r="X135">
            <v>4</v>
          </cell>
          <cell r="Y135" t="str">
            <v/>
          </cell>
          <cell r="Z135">
            <v>11</v>
          </cell>
          <cell r="AA135" t="str">
            <v/>
          </cell>
          <cell r="AB135">
            <v>15</v>
          </cell>
          <cell r="AC135" t="str">
            <v/>
          </cell>
          <cell r="AD135">
            <v>77</v>
          </cell>
          <cell r="AE135" t="str">
            <v>Hammer, Double</v>
          </cell>
          <cell r="AF135" t="str">
            <v/>
          </cell>
          <cell r="AG135" t="str">
            <v/>
          </cell>
          <cell r="AH135">
            <v>0</v>
          </cell>
          <cell r="AI135" t="str">
            <v/>
          </cell>
          <cell r="AJ135" t="str">
            <v>Mace, Double</v>
          </cell>
          <cell r="AK135">
            <v>5</v>
          </cell>
          <cell r="AL135" t="str">
            <v>Double Mace</v>
          </cell>
          <cell r="AM135" t="str">
            <v/>
          </cell>
          <cell r="AN135" t="str">
            <v/>
          </cell>
          <cell r="AO135">
            <v>0</v>
          </cell>
          <cell r="AP135" t="str">
            <v/>
          </cell>
          <cell r="AQ135" t="str">
            <v/>
          </cell>
          <cell r="AR135">
            <v>7</v>
          </cell>
          <cell r="AS135" t="str">
            <v>Double Hammer</v>
          </cell>
        </row>
        <row r="136">
          <cell r="A136" t="str">
            <v>Hammer, Gnome Hooked</v>
          </cell>
          <cell r="B136" t="str">
            <v>Hammer, Gnome Hooked</v>
          </cell>
          <cell r="D136" t="str">
            <v>E</v>
          </cell>
          <cell r="E136" t="str">
            <v>T</v>
          </cell>
          <cell r="F136">
            <v>6</v>
          </cell>
          <cell r="G136">
            <v>5</v>
          </cell>
          <cell r="H136">
            <v>20</v>
          </cell>
          <cell r="I136">
            <v>3</v>
          </cell>
          <cell r="J136">
            <v>4</v>
          </cell>
          <cell r="L136">
            <v>6</v>
          </cell>
          <cell r="M136" t="str">
            <v>B/P</v>
          </cell>
          <cell r="P136" t="str">
            <v/>
          </cell>
          <cell r="Q136" t="b">
            <v>0</v>
          </cell>
          <cell r="R136" t="b">
            <v>0</v>
          </cell>
          <cell r="S136" t="b">
            <v>0</v>
          </cell>
          <cell r="T136" t="b">
            <v>0</v>
          </cell>
          <cell r="U136" t="b">
            <v>0</v>
          </cell>
          <cell r="V136">
            <v>4</v>
          </cell>
          <cell r="W136" t="str">
            <v/>
          </cell>
          <cell r="X136">
            <v>4</v>
          </cell>
          <cell r="Y136" t="str">
            <v/>
          </cell>
          <cell r="Z136">
            <v>11</v>
          </cell>
          <cell r="AA136" t="str">
            <v/>
          </cell>
          <cell r="AB136">
            <v>15</v>
          </cell>
          <cell r="AC136" t="str">
            <v/>
          </cell>
          <cell r="AD136">
            <v>78</v>
          </cell>
          <cell r="AE136" t="str">
            <v>Hammer, Gnome Hooked</v>
          </cell>
          <cell r="AF136" t="str">
            <v/>
          </cell>
          <cell r="AG136" t="str">
            <v/>
          </cell>
          <cell r="AH136">
            <v>0</v>
          </cell>
          <cell r="AI136" t="str">
            <v/>
          </cell>
          <cell r="AJ136" t="str">
            <v>Mancatcher</v>
          </cell>
          <cell r="AK136">
            <v>0</v>
          </cell>
          <cell r="AL136" t="str">
            <v>Mancatcher</v>
          </cell>
          <cell r="AM136" t="str">
            <v/>
          </cell>
          <cell r="AN136" t="str">
            <v/>
          </cell>
          <cell r="AO136">
            <v>0</v>
          </cell>
          <cell r="AP136" t="str">
            <v/>
          </cell>
          <cell r="AQ136" t="str">
            <v/>
          </cell>
          <cell r="AR136">
            <v>7</v>
          </cell>
          <cell r="AS136" t="str">
            <v>Gnome Hooked Hammer</v>
          </cell>
        </row>
        <row r="137">
          <cell r="A137" t="str">
            <v>Hammer, Light</v>
          </cell>
          <cell r="B137" t="str">
            <v>Hammer, Light</v>
          </cell>
          <cell r="D137" t="str">
            <v>M</v>
          </cell>
          <cell r="E137" t="str">
            <v>L</v>
          </cell>
          <cell r="F137">
            <v>4</v>
          </cell>
          <cell r="H137">
            <v>20</v>
          </cell>
          <cell r="I137">
            <v>2</v>
          </cell>
          <cell r="K137">
            <v>20</v>
          </cell>
          <cell r="L137">
            <v>2</v>
          </cell>
          <cell r="M137" t="str">
            <v>B</v>
          </cell>
          <cell r="R137" t="b">
            <v>0</v>
          </cell>
          <cell r="S137" t="b">
            <v>0</v>
          </cell>
          <cell r="T137" t="b">
            <v>0</v>
          </cell>
          <cell r="U137" t="b">
            <v>0</v>
          </cell>
          <cell r="V137">
            <v>4</v>
          </cell>
          <cell r="W137" t="str">
            <v/>
          </cell>
          <cell r="X137">
            <v>4</v>
          </cell>
          <cell r="Y137" t="str">
            <v/>
          </cell>
          <cell r="Z137">
            <v>11</v>
          </cell>
          <cell r="AA137" t="str">
            <v/>
          </cell>
          <cell r="AB137">
            <v>16</v>
          </cell>
          <cell r="AC137" t="str">
            <v>Hammer, Light</v>
          </cell>
          <cell r="AD137">
            <v>78</v>
          </cell>
          <cell r="AE137" t="str">
            <v/>
          </cell>
          <cell r="AF137" t="str">
            <v/>
          </cell>
          <cell r="AG137" t="str">
            <v/>
          </cell>
          <cell r="AH137">
            <v>0</v>
          </cell>
          <cell r="AI137" t="str">
            <v/>
          </cell>
          <cell r="AJ137" t="str">
            <v>Manriki-gusari</v>
          </cell>
          <cell r="AK137">
            <v>0</v>
          </cell>
          <cell r="AL137" t="str">
            <v>Manriki-gusari</v>
          </cell>
          <cell r="AM137" t="str">
            <v/>
          </cell>
          <cell r="AN137" t="str">
            <v/>
          </cell>
          <cell r="AO137">
            <v>0</v>
          </cell>
          <cell r="AP137" t="str">
            <v/>
          </cell>
          <cell r="AQ137" t="str">
            <v/>
          </cell>
          <cell r="AR137">
            <v>7</v>
          </cell>
          <cell r="AS137" t="str">
            <v>Light Hammer</v>
          </cell>
        </row>
        <row r="138">
          <cell r="A138" t="str">
            <v>Hammer, Lucerne</v>
          </cell>
          <cell r="B138" t="str">
            <v>Hammer, Lucerne</v>
          </cell>
          <cell r="D138" t="str">
            <v>M</v>
          </cell>
          <cell r="E138" t="str">
            <v>T</v>
          </cell>
          <cell r="F138">
            <v>9</v>
          </cell>
          <cell r="H138">
            <v>20</v>
          </cell>
          <cell r="I138">
            <v>4</v>
          </cell>
          <cell r="L138">
            <v>10</v>
          </cell>
          <cell r="M138" t="str">
            <v>P</v>
          </cell>
          <cell r="O138" t="b">
            <v>1</v>
          </cell>
          <cell r="R138" t="b">
            <v>0</v>
          </cell>
          <cell r="S138" t="b">
            <v>0</v>
          </cell>
          <cell r="T138" t="b">
            <v>0</v>
          </cell>
          <cell r="U138" t="b">
            <v>0</v>
          </cell>
          <cell r="V138">
            <v>4</v>
          </cell>
          <cell r="W138" t="str">
            <v/>
          </cell>
          <cell r="X138">
            <v>4</v>
          </cell>
          <cell r="Y138" t="str">
            <v/>
          </cell>
          <cell r="Z138">
            <v>11</v>
          </cell>
          <cell r="AA138" t="str">
            <v/>
          </cell>
          <cell r="AB138">
            <v>17</v>
          </cell>
          <cell r="AC138" t="str">
            <v>Hammer, Lucerne</v>
          </cell>
          <cell r="AD138">
            <v>78</v>
          </cell>
          <cell r="AE138" t="str">
            <v/>
          </cell>
          <cell r="AF138" t="str">
            <v/>
          </cell>
          <cell r="AG138" t="str">
            <v/>
          </cell>
          <cell r="AH138">
            <v>0</v>
          </cell>
          <cell r="AI138" t="str">
            <v/>
          </cell>
          <cell r="AJ138" t="str">
            <v>Manople</v>
          </cell>
          <cell r="AK138">
            <v>0</v>
          </cell>
          <cell r="AL138" t="str">
            <v>Manople</v>
          </cell>
          <cell r="AM138" t="str">
            <v/>
          </cell>
          <cell r="AN138" t="str">
            <v/>
          </cell>
          <cell r="AO138">
            <v>0</v>
          </cell>
          <cell r="AP138" t="str">
            <v/>
          </cell>
          <cell r="AQ138" t="str">
            <v/>
          </cell>
          <cell r="AR138">
            <v>7</v>
          </cell>
          <cell r="AS138" t="str">
            <v>Lucerne Hammer</v>
          </cell>
        </row>
        <row r="139">
          <cell r="A139" t="str">
            <v>Hammer, Throwing</v>
          </cell>
          <cell r="B139" t="str">
            <v>Hammer, Throwing</v>
          </cell>
          <cell r="D139" t="str">
            <v>E</v>
          </cell>
          <cell r="E139" t="str">
            <v>L</v>
          </cell>
          <cell r="F139">
            <v>5</v>
          </cell>
          <cell r="H139">
            <v>20</v>
          </cell>
          <cell r="I139">
            <v>2</v>
          </cell>
          <cell r="K139">
            <v>20</v>
          </cell>
          <cell r="L139">
            <v>2</v>
          </cell>
          <cell r="M139" t="str">
            <v>B</v>
          </cell>
          <cell r="R139" t="b">
            <v>0</v>
          </cell>
          <cell r="S139" t="b">
            <v>0</v>
          </cell>
          <cell r="T139" t="b">
            <v>0</v>
          </cell>
          <cell r="U139" t="b">
            <v>0</v>
          </cell>
          <cell r="V139">
            <v>4</v>
          </cell>
          <cell r="W139" t="str">
            <v/>
          </cell>
          <cell r="X139">
            <v>4</v>
          </cell>
          <cell r="Y139" t="str">
            <v/>
          </cell>
          <cell r="Z139">
            <v>11</v>
          </cell>
          <cell r="AA139" t="str">
            <v/>
          </cell>
          <cell r="AB139">
            <v>17</v>
          </cell>
          <cell r="AC139" t="str">
            <v/>
          </cell>
          <cell r="AD139">
            <v>79</v>
          </cell>
          <cell r="AE139" t="str">
            <v>Hammer, Throwing</v>
          </cell>
          <cell r="AF139" t="str">
            <v/>
          </cell>
          <cell r="AG139" t="str">
            <v/>
          </cell>
          <cell r="AH139">
            <v>0</v>
          </cell>
          <cell r="AI139" t="str">
            <v/>
          </cell>
          <cell r="AJ139" t="str">
            <v>Manti</v>
          </cell>
          <cell r="AK139">
            <v>0</v>
          </cell>
          <cell r="AL139" t="str">
            <v>Manti</v>
          </cell>
          <cell r="AM139" t="str">
            <v/>
          </cell>
          <cell r="AN139" t="str">
            <v/>
          </cell>
          <cell r="AO139">
            <v>0</v>
          </cell>
          <cell r="AP139" t="str">
            <v/>
          </cell>
          <cell r="AQ139" t="str">
            <v/>
          </cell>
          <cell r="AR139">
            <v>7</v>
          </cell>
          <cell r="AS139" t="str">
            <v>Throwing Hammer</v>
          </cell>
        </row>
        <row r="140">
          <cell r="A140" t="str">
            <v>Handaxe</v>
          </cell>
          <cell r="B140" t="str">
            <v>Handaxe</v>
          </cell>
          <cell r="D140" t="str">
            <v>M</v>
          </cell>
          <cell r="E140" t="str">
            <v>L</v>
          </cell>
          <cell r="F140">
            <v>5</v>
          </cell>
          <cell r="H140">
            <v>20</v>
          </cell>
          <cell r="I140">
            <v>3</v>
          </cell>
          <cell r="L140">
            <v>3</v>
          </cell>
          <cell r="M140" t="str">
            <v>S</v>
          </cell>
          <cell r="Q140" t="b">
            <v>0</v>
          </cell>
          <cell r="R140" t="b">
            <v>0</v>
          </cell>
          <cell r="S140" t="b">
            <v>0</v>
          </cell>
          <cell r="T140" t="b">
            <v>0</v>
          </cell>
          <cell r="U140" t="b">
            <v>0</v>
          </cell>
          <cell r="V140">
            <v>4</v>
          </cell>
          <cell r="W140" t="str">
            <v/>
          </cell>
          <cell r="X140">
            <v>4</v>
          </cell>
          <cell r="Y140" t="str">
            <v/>
          </cell>
          <cell r="Z140">
            <v>11</v>
          </cell>
          <cell r="AA140" t="str">
            <v/>
          </cell>
          <cell r="AB140">
            <v>18</v>
          </cell>
          <cell r="AC140" t="str">
            <v>Handaxe</v>
          </cell>
          <cell r="AD140">
            <v>79</v>
          </cell>
          <cell r="AE140" t="str">
            <v/>
          </cell>
          <cell r="AF140" t="str">
            <v/>
          </cell>
          <cell r="AG140" t="str">
            <v/>
          </cell>
          <cell r="AH140">
            <v>0</v>
          </cell>
          <cell r="AI140" t="str">
            <v/>
          </cell>
          <cell r="AJ140" t="str">
            <v>Maul</v>
          </cell>
          <cell r="AK140">
            <v>0</v>
          </cell>
          <cell r="AL140" t="str">
            <v>Maul</v>
          </cell>
          <cell r="AM140" t="str">
            <v/>
          </cell>
          <cell r="AN140" t="str">
            <v/>
          </cell>
          <cell r="AO140">
            <v>0</v>
          </cell>
          <cell r="AP140" t="str">
            <v/>
          </cell>
          <cell r="AQ140" t="str">
            <v/>
          </cell>
          <cell r="AR140">
            <v>0</v>
          </cell>
          <cell r="AS140" t="str">
            <v>Handaxe</v>
          </cell>
        </row>
        <row r="141">
          <cell r="A141" t="str">
            <v>Harpoon</v>
          </cell>
          <cell r="B141" t="str">
            <v>Harpoon</v>
          </cell>
          <cell r="D141" t="str">
            <v>E</v>
          </cell>
          <cell r="E141" t="str">
            <v>R</v>
          </cell>
          <cell r="F141">
            <v>7</v>
          </cell>
          <cell r="H141">
            <v>20</v>
          </cell>
          <cell r="I141">
            <v>2</v>
          </cell>
          <cell r="K141">
            <v>30</v>
          </cell>
          <cell r="L141">
            <v>10</v>
          </cell>
          <cell r="M141" t="str">
            <v>P</v>
          </cell>
          <cell r="R141" t="b">
            <v>0</v>
          </cell>
          <cell r="S141" t="b">
            <v>0</v>
          </cell>
          <cell r="T141" t="b">
            <v>0</v>
          </cell>
          <cell r="U141" t="b">
            <v>0</v>
          </cell>
          <cell r="V141">
            <v>4</v>
          </cell>
          <cell r="W141" t="str">
            <v/>
          </cell>
          <cell r="X141">
            <v>4</v>
          </cell>
          <cell r="Y141" t="str">
            <v/>
          </cell>
          <cell r="Z141">
            <v>11</v>
          </cell>
          <cell r="AA141" t="str">
            <v/>
          </cell>
          <cell r="AB141">
            <v>18</v>
          </cell>
          <cell r="AC141" t="str">
            <v/>
          </cell>
          <cell r="AD141">
            <v>80</v>
          </cell>
          <cell r="AE141" t="str">
            <v>Harpoon</v>
          </cell>
          <cell r="AF141" t="str">
            <v/>
          </cell>
          <cell r="AG141" t="str">
            <v/>
          </cell>
          <cell r="AH141">
            <v>0</v>
          </cell>
          <cell r="AI141" t="str">
            <v/>
          </cell>
          <cell r="AJ141" t="str">
            <v>Musket</v>
          </cell>
          <cell r="AK141">
            <v>0</v>
          </cell>
          <cell r="AL141" t="str">
            <v>Musket</v>
          </cell>
          <cell r="AM141" t="str">
            <v/>
          </cell>
          <cell r="AN141" t="str">
            <v/>
          </cell>
          <cell r="AO141">
            <v>0</v>
          </cell>
          <cell r="AP141" t="str">
            <v/>
          </cell>
          <cell r="AQ141" t="str">
            <v/>
          </cell>
          <cell r="AR141">
            <v>0</v>
          </cell>
          <cell r="AS141" t="str">
            <v>Harpoon</v>
          </cell>
        </row>
        <row r="142">
          <cell r="A142" t="str">
            <v>Icechucker</v>
          </cell>
          <cell r="B142" t="str">
            <v>Icechucker</v>
          </cell>
          <cell r="D142" t="str">
            <v>E</v>
          </cell>
          <cell r="E142" t="str">
            <v>R</v>
          </cell>
          <cell r="F142">
            <v>8</v>
          </cell>
          <cell r="H142">
            <v>20</v>
          </cell>
          <cell r="I142">
            <v>3</v>
          </cell>
          <cell r="K142">
            <v>30</v>
          </cell>
          <cell r="L142">
            <v>12</v>
          </cell>
          <cell r="M142" t="str">
            <v>P</v>
          </cell>
          <cell r="R142" t="b">
            <v>0</v>
          </cell>
          <cell r="S142" t="b">
            <v>0</v>
          </cell>
          <cell r="T142" t="b">
            <v>0</v>
          </cell>
          <cell r="U142" t="b">
            <v>0</v>
          </cell>
          <cell r="V142">
            <v>4</v>
          </cell>
          <cell r="W142" t="str">
            <v/>
          </cell>
          <cell r="X142">
            <v>4</v>
          </cell>
          <cell r="Y142" t="str">
            <v/>
          </cell>
          <cell r="Z142">
            <v>11</v>
          </cell>
          <cell r="AA142" t="str">
            <v/>
          </cell>
          <cell r="AB142">
            <v>18</v>
          </cell>
          <cell r="AC142" t="str">
            <v/>
          </cell>
          <cell r="AD142">
            <v>81</v>
          </cell>
          <cell r="AE142" t="str">
            <v>Icechucker</v>
          </cell>
          <cell r="AF142" t="str">
            <v/>
          </cell>
          <cell r="AG142" t="str">
            <v/>
          </cell>
          <cell r="AH142">
            <v>0</v>
          </cell>
          <cell r="AI142" t="str">
            <v/>
          </cell>
          <cell r="AJ142" t="str">
            <v>Net</v>
          </cell>
          <cell r="AK142">
            <v>0</v>
          </cell>
          <cell r="AL142" t="str">
            <v>Net</v>
          </cell>
          <cell r="AM142" t="str">
            <v/>
          </cell>
          <cell r="AN142" t="str">
            <v/>
          </cell>
          <cell r="AO142">
            <v>0</v>
          </cell>
          <cell r="AP142" t="str">
            <v/>
          </cell>
          <cell r="AQ142" t="str">
            <v/>
          </cell>
          <cell r="AR142">
            <v>0</v>
          </cell>
          <cell r="AS142" t="str">
            <v>Icechucker</v>
          </cell>
        </row>
        <row r="143">
          <cell r="A143" t="str">
            <v>Iron, Throwing</v>
          </cell>
          <cell r="B143" t="str">
            <v>Iron, Throwing</v>
          </cell>
          <cell r="D143" t="str">
            <v>E</v>
          </cell>
          <cell r="E143" t="str">
            <v>R</v>
          </cell>
          <cell r="F143">
            <v>5</v>
          </cell>
          <cell r="H143">
            <v>20</v>
          </cell>
          <cell r="I143">
            <v>3</v>
          </cell>
          <cell r="K143">
            <v>10</v>
          </cell>
          <cell r="L143">
            <v>3</v>
          </cell>
          <cell r="M143" t="str">
            <v>S</v>
          </cell>
          <cell r="P143" t="str">
            <v>T</v>
          </cell>
          <cell r="R143" t="b">
            <v>0</v>
          </cell>
          <cell r="S143" t="b">
            <v>0</v>
          </cell>
          <cell r="T143" t="b">
            <v>0</v>
          </cell>
          <cell r="U143" t="b">
            <v>0</v>
          </cell>
          <cell r="V143">
            <v>4</v>
          </cell>
          <cell r="W143" t="str">
            <v/>
          </cell>
          <cell r="X143">
            <v>4</v>
          </cell>
          <cell r="Y143" t="str">
            <v/>
          </cell>
          <cell r="Z143">
            <v>11</v>
          </cell>
          <cell r="AA143" t="str">
            <v/>
          </cell>
          <cell r="AB143">
            <v>18</v>
          </cell>
          <cell r="AC143" t="str">
            <v/>
          </cell>
          <cell r="AD143">
            <v>82</v>
          </cell>
          <cell r="AE143" t="str">
            <v>Iron, Throwing</v>
          </cell>
          <cell r="AF143" t="str">
            <v/>
          </cell>
          <cell r="AG143" t="str">
            <v/>
          </cell>
          <cell r="AH143">
            <v>0</v>
          </cell>
          <cell r="AI143" t="str">
            <v/>
          </cell>
          <cell r="AJ143" t="str">
            <v>Nekode</v>
          </cell>
          <cell r="AK143">
            <v>0</v>
          </cell>
          <cell r="AL143" t="str">
            <v>Nekode</v>
          </cell>
          <cell r="AM143" t="str">
            <v/>
          </cell>
          <cell r="AN143" t="str">
            <v/>
          </cell>
          <cell r="AO143">
            <v>0</v>
          </cell>
          <cell r="AP143" t="str">
            <v/>
          </cell>
          <cell r="AQ143" t="str">
            <v/>
          </cell>
          <cell r="AR143">
            <v>5</v>
          </cell>
          <cell r="AS143" t="str">
            <v>Throwing Iron</v>
          </cell>
        </row>
        <row r="144">
          <cell r="A144" t="str">
            <v>Iuak</v>
          </cell>
          <cell r="B144" t="str">
            <v>Iuak</v>
          </cell>
          <cell r="D144" t="str">
            <v>E</v>
          </cell>
          <cell r="E144" t="str">
            <v>O</v>
          </cell>
          <cell r="F144">
            <v>5</v>
          </cell>
          <cell r="H144">
            <v>19</v>
          </cell>
          <cell r="I144">
            <v>2</v>
          </cell>
          <cell r="L144">
            <v>4</v>
          </cell>
          <cell r="M144" t="str">
            <v>S</v>
          </cell>
          <cell r="R144" t="b">
            <v>0</v>
          </cell>
          <cell r="S144" t="b">
            <v>0</v>
          </cell>
          <cell r="T144" t="b">
            <v>0</v>
          </cell>
          <cell r="U144" t="b">
            <v>0</v>
          </cell>
          <cell r="V144">
            <v>4</v>
          </cell>
          <cell r="W144" t="str">
            <v/>
          </cell>
          <cell r="X144">
            <v>4</v>
          </cell>
          <cell r="Y144" t="str">
            <v/>
          </cell>
          <cell r="Z144">
            <v>11</v>
          </cell>
          <cell r="AA144" t="str">
            <v/>
          </cell>
          <cell r="AB144">
            <v>18</v>
          </cell>
          <cell r="AC144" t="str">
            <v/>
          </cell>
          <cell r="AD144">
            <v>83</v>
          </cell>
          <cell r="AE144" t="str">
            <v>Iuak</v>
          </cell>
          <cell r="AF144" t="str">
            <v/>
          </cell>
          <cell r="AG144" t="str">
            <v/>
          </cell>
          <cell r="AH144">
            <v>0</v>
          </cell>
          <cell r="AI144" t="str">
            <v/>
          </cell>
          <cell r="AJ144" t="str">
            <v>Ninja-to</v>
          </cell>
          <cell r="AK144">
            <v>0</v>
          </cell>
          <cell r="AL144" t="str">
            <v>Ninja-to</v>
          </cell>
          <cell r="AM144" t="str">
            <v/>
          </cell>
          <cell r="AN144" t="str">
            <v/>
          </cell>
          <cell r="AO144">
            <v>0</v>
          </cell>
          <cell r="AP144" t="str">
            <v/>
          </cell>
          <cell r="AQ144" t="str">
            <v/>
          </cell>
          <cell r="AR144">
            <v>0</v>
          </cell>
          <cell r="AS144" t="str">
            <v>Iuak</v>
          </cell>
        </row>
        <row r="145">
          <cell r="A145" t="str">
            <v>Javelin</v>
          </cell>
          <cell r="B145" t="str">
            <v>Javelin</v>
          </cell>
          <cell r="D145" t="str">
            <v>S</v>
          </cell>
          <cell r="E145" t="str">
            <v>R</v>
          </cell>
          <cell r="F145">
            <v>5</v>
          </cell>
          <cell r="H145">
            <v>20</v>
          </cell>
          <cell r="I145">
            <v>2</v>
          </cell>
          <cell r="K145">
            <v>30</v>
          </cell>
          <cell r="L145">
            <v>2</v>
          </cell>
          <cell r="M145" t="str">
            <v>P</v>
          </cell>
          <cell r="P145" t="str">
            <v>T</v>
          </cell>
          <cell r="Q145" t="b">
            <v>0</v>
          </cell>
          <cell r="R145" t="b">
            <v>0</v>
          </cell>
          <cell r="S145" t="b">
            <v>0</v>
          </cell>
          <cell r="T145" t="b">
            <v>0</v>
          </cell>
          <cell r="U145" t="b">
            <v>0</v>
          </cell>
          <cell r="V145">
            <v>4</v>
          </cell>
          <cell r="W145" t="str">
            <v/>
          </cell>
          <cell r="X145">
            <v>4</v>
          </cell>
          <cell r="Y145" t="str">
            <v/>
          </cell>
          <cell r="Z145">
            <v>12</v>
          </cell>
          <cell r="AA145" t="str">
            <v>Javelin</v>
          </cell>
          <cell r="AB145">
            <v>18</v>
          </cell>
          <cell r="AC145" t="str">
            <v/>
          </cell>
          <cell r="AD145">
            <v>83</v>
          </cell>
          <cell r="AE145" t="str">
            <v/>
          </cell>
          <cell r="AF145" t="str">
            <v/>
          </cell>
          <cell r="AG145" t="str">
            <v/>
          </cell>
          <cell r="AH145">
            <v>0</v>
          </cell>
          <cell r="AI145" t="str">
            <v/>
          </cell>
          <cell r="AJ145" t="str">
            <v>Notbora</v>
          </cell>
          <cell r="AK145">
            <v>0</v>
          </cell>
          <cell r="AL145" t="str">
            <v>Notbora</v>
          </cell>
          <cell r="AM145" t="str">
            <v/>
          </cell>
          <cell r="AN145" t="str">
            <v/>
          </cell>
          <cell r="AO145">
            <v>0</v>
          </cell>
          <cell r="AP145" t="str">
            <v/>
          </cell>
          <cell r="AQ145" t="str">
            <v/>
          </cell>
          <cell r="AR145">
            <v>0</v>
          </cell>
          <cell r="AS145" t="str">
            <v>Javelin</v>
          </cell>
        </row>
        <row r="146">
          <cell r="A146" t="str">
            <v>Javelin, Spinning</v>
          </cell>
          <cell r="B146" t="str">
            <v>Javelin, Spinning</v>
          </cell>
          <cell r="D146" t="str">
            <v>E</v>
          </cell>
          <cell r="E146" t="str">
            <v>R</v>
          </cell>
          <cell r="F146">
            <v>6</v>
          </cell>
          <cell r="H146">
            <v>19</v>
          </cell>
          <cell r="I146">
            <v>2</v>
          </cell>
          <cell r="K146">
            <v>50</v>
          </cell>
          <cell r="L146">
            <v>2</v>
          </cell>
          <cell r="M146" t="str">
            <v>P</v>
          </cell>
          <cell r="P146" t="str">
            <v>T</v>
          </cell>
          <cell r="R146" t="b">
            <v>0</v>
          </cell>
          <cell r="S146" t="b">
            <v>0</v>
          </cell>
          <cell r="T146" t="b">
            <v>0</v>
          </cell>
          <cell r="U146" t="b">
            <v>0</v>
          </cell>
          <cell r="V146">
            <v>4</v>
          </cell>
          <cell r="W146" t="str">
            <v/>
          </cell>
          <cell r="X146">
            <v>4</v>
          </cell>
          <cell r="Y146" t="str">
            <v/>
          </cell>
          <cell r="Z146">
            <v>12</v>
          </cell>
          <cell r="AA146" t="str">
            <v/>
          </cell>
          <cell r="AB146">
            <v>18</v>
          </cell>
          <cell r="AC146" t="str">
            <v/>
          </cell>
          <cell r="AD146">
            <v>84</v>
          </cell>
          <cell r="AE146" t="str">
            <v>Javelin, Spinning</v>
          </cell>
          <cell r="AF146" t="str">
            <v/>
          </cell>
          <cell r="AG146" t="str">
            <v/>
          </cell>
          <cell r="AH146">
            <v>0</v>
          </cell>
          <cell r="AI146" t="str">
            <v/>
          </cell>
          <cell r="AJ146" t="str">
            <v>Nunchaku</v>
          </cell>
          <cell r="AK146">
            <v>0</v>
          </cell>
          <cell r="AL146" t="str">
            <v>Nunchaku</v>
          </cell>
          <cell r="AM146" t="str">
            <v/>
          </cell>
          <cell r="AN146" t="str">
            <v/>
          </cell>
          <cell r="AO146">
            <v>0</v>
          </cell>
          <cell r="AP146" t="str">
            <v/>
          </cell>
          <cell r="AQ146" t="str">
            <v/>
          </cell>
          <cell r="AR146">
            <v>8</v>
          </cell>
          <cell r="AS146" t="str">
            <v>Spinning Javelin</v>
          </cell>
        </row>
        <row r="147">
          <cell r="A147" t="str">
            <v>Jitte</v>
          </cell>
          <cell r="B147" t="str">
            <v>Jitte</v>
          </cell>
          <cell r="C147" t="str">
            <v>OA</v>
          </cell>
          <cell r="D147" t="str">
            <v>E</v>
          </cell>
          <cell r="E147" t="str">
            <v>L</v>
          </cell>
          <cell r="F147">
            <v>4</v>
          </cell>
          <cell r="H147">
            <v>30</v>
          </cell>
          <cell r="I147">
            <v>2</v>
          </cell>
          <cell r="L147">
            <v>2</v>
          </cell>
          <cell r="M147" t="str">
            <v>B</v>
          </cell>
          <cell r="P147" t="str">
            <v>U</v>
          </cell>
          <cell r="Q147" t="b">
            <v>0</v>
          </cell>
          <cell r="R147" t="b">
            <v>0</v>
          </cell>
          <cell r="S147" t="b">
            <v>0</v>
          </cell>
          <cell r="T147" t="b">
            <v>0</v>
          </cell>
          <cell r="U147" t="b">
            <v>0</v>
          </cell>
          <cell r="V147">
            <v>4</v>
          </cell>
          <cell r="W147" t="str">
            <v/>
          </cell>
          <cell r="X147">
            <v>4</v>
          </cell>
          <cell r="Y147" t="str">
            <v/>
          </cell>
          <cell r="Z147">
            <v>12</v>
          </cell>
          <cell r="AA147" t="str">
            <v/>
          </cell>
          <cell r="AB147">
            <v>18</v>
          </cell>
          <cell r="AC147" t="str">
            <v/>
          </cell>
          <cell r="AD147">
            <v>85</v>
          </cell>
          <cell r="AE147" t="str">
            <v>Jitte</v>
          </cell>
          <cell r="AF147" t="str">
            <v/>
          </cell>
          <cell r="AG147" t="str">
            <v/>
          </cell>
          <cell r="AH147">
            <v>0</v>
          </cell>
          <cell r="AI147" t="str">
            <v/>
          </cell>
          <cell r="AJ147" t="str">
            <v>Petard, doorbreaker</v>
          </cell>
          <cell r="AK147">
            <v>7</v>
          </cell>
          <cell r="AL147" t="str">
            <v>doorbreaker Petard</v>
          </cell>
          <cell r="AM147" t="str">
            <v/>
          </cell>
          <cell r="AN147" t="str">
            <v/>
          </cell>
          <cell r="AO147">
            <v>0</v>
          </cell>
          <cell r="AP147" t="str">
            <v/>
          </cell>
          <cell r="AQ147" t="str">
            <v/>
          </cell>
          <cell r="AR147">
            <v>0</v>
          </cell>
          <cell r="AS147" t="str">
            <v>Jitte</v>
          </cell>
        </row>
        <row r="148">
          <cell r="A148" t="str">
            <v>Jovar</v>
          </cell>
          <cell r="B148" t="str">
            <v>Jovar</v>
          </cell>
          <cell r="D148" t="str">
            <v>E</v>
          </cell>
          <cell r="E148" t="str">
            <v>T</v>
          </cell>
          <cell r="F148">
            <v>10</v>
          </cell>
          <cell r="H148">
            <v>18</v>
          </cell>
          <cell r="I148">
            <v>2</v>
          </cell>
          <cell r="L148">
            <v>13</v>
          </cell>
          <cell r="M148" t="str">
            <v>S</v>
          </cell>
          <cell r="R148" t="b">
            <v>0</v>
          </cell>
          <cell r="S148" t="b">
            <v>0</v>
          </cell>
          <cell r="T148" t="b">
            <v>0</v>
          </cell>
          <cell r="U148" t="b">
            <v>0</v>
          </cell>
          <cell r="V148">
            <v>4</v>
          </cell>
          <cell r="W148" t="str">
            <v/>
          </cell>
          <cell r="X148">
            <v>4</v>
          </cell>
          <cell r="Y148" t="str">
            <v/>
          </cell>
          <cell r="Z148">
            <v>12</v>
          </cell>
          <cell r="AA148" t="str">
            <v/>
          </cell>
          <cell r="AB148">
            <v>18</v>
          </cell>
          <cell r="AC148" t="str">
            <v/>
          </cell>
          <cell r="AD148">
            <v>86</v>
          </cell>
          <cell r="AE148" t="str">
            <v>Jovar</v>
          </cell>
          <cell r="AF148" t="str">
            <v/>
          </cell>
          <cell r="AG148" t="str">
            <v/>
          </cell>
          <cell r="AH148">
            <v>0</v>
          </cell>
          <cell r="AI148" t="str">
            <v/>
          </cell>
          <cell r="AJ148" t="str">
            <v>Petard, triggered</v>
          </cell>
          <cell r="AK148">
            <v>7</v>
          </cell>
          <cell r="AL148" t="str">
            <v>triggered Petard</v>
          </cell>
          <cell r="AM148" t="str">
            <v/>
          </cell>
          <cell r="AN148" t="str">
            <v/>
          </cell>
          <cell r="AO148">
            <v>0</v>
          </cell>
          <cell r="AP148" t="str">
            <v/>
          </cell>
          <cell r="AQ148" t="str">
            <v/>
          </cell>
          <cell r="AR148">
            <v>0</v>
          </cell>
          <cell r="AS148" t="str">
            <v>Jovar</v>
          </cell>
        </row>
        <row r="149">
          <cell r="A149" t="str">
            <v>Kama</v>
          </cell>
          <cell r="B149" t="str">
            <v>Kama</v>
          </cell>
          <cell r="D149" t="str">
            <v>E</v>
          </cell>
          <cell r="E149" t="str">
            <v>L</v>
          </cell>
          <cell r="F149">
            <v>5</v>
          </cell>
          <cell r="H149">
            <v>20</v>
          </cell>
          <cell r="I149">
            <v>2</v>
          </cell>
          <cell r="L149">
            <v>2</v>
          </cell>
          <cell r="M149" t="str">
            <v>S</v>
          </cell>
          <cell r="P149" t="str">
            <v>U</v>
          </cell>
          <cell r="Q149" t="b">
            <v>0</v>
          </cell>
          <cell r="R149" t="b">
            <v>0</v>
          </cell>
          <cell r="S149" t="b">
            <v>0</v>
          </cell>
          <cell r="T149" t="b">
            <v>0</v>
          </cell>
          <cell r="U149" t="b">
            <v>0</v>
          </cell>
          <cell r="V149">
            <v>4</v>
          </cell>
          <cell r="W149" t="str">
            <v/>
          </cell>
          <cell r="X149">
            <v>4</v>
          </cell>
          <cell r="Y149" t="str">
            <v/>
          </cell>
          <cell r="Z149">
            <v>12</v>
          </cell>
          <cell r="AA149" t="str">
            <v/>
          </cell>
          <cell r="AB149">
            <v>18</v>
          </cell>
          <cell r="AC149" t="str">
            <v/>
          </cell>
          <cell r="AD149">
            <v>87</v>
          </cell>
          <cell r="AE149" t="str">
            <v>Kama</v>
          </cell>
          <cell r="AF149" t="str">
            <v/>
          </cell>
          <cell r="AG149" t="str">
            <v/>
          </cell>
          <cell r="AH149">
            <v>0</v>
          </cell>
          <cell r="AI149" t="str">
            <v/>
          </cell>
          <cell r="AJ149" t="str">
            <v>Pick, Dire</v>
          </cell>
          <cell r="AK149">
            <v>5</v>
          </cell>
          <cell r="AL149" t="str">
            <v>Dire Pick</v>
          </cell>
          <cell r="AM149" t="str">
            <v/>
          </cell>
          <cell r="AN149" t="str">
            <v/>
          </cell>
          <cell r="AO149">
            <v>0</v>
          </cell>
          <cell r="AP149" t="str">
            <v/>
          </cell>
          <cell r="AQ149" t="str">
            <v/>
          </cell>
          <cell r="AR149">
            <v>0</v>
          </cell>
          <cell r="AS149" t="str">
            <v>Kama</v>
          </cell>
        </row>
        <row r="150">
          <cell r="A150" t="str">
            <v>Katana</v>
          </cell>
          <cell r="B150" t="str">
            <v>Katana</v>
          </cell>
          <cell r="C150" t="str">
            <v>OA</v>
          </cell>
          <cell r="D150" t="str">
            <v>E</v>
          </cell>
          <cell r="E150" t="str">
            <v>O</v>
          </cell>
          <cell r="F150">
            <v>7</v>
          </cell>
          <cell r="H150">
            <v>19</v>
          </cell>
          <cell r="I150">
            <v>2</v>
          </cell>
          <cell r="L150">
            <v>6</v>
          </cell>
          <cell r="M150" t="str">
            <v>S</v>
          </cell>
          <cell r="P150" t="str">
            <v>X</v>
          </cell>
          <cell r="Q150" t="b">
            <v>0</v>
          </cell>
          <cell r="R150" t="b">
            <v>0</v>
          </cell>
          <cell r="S150" t="b">
            <v>0</v>
          </cell>
          <cell r="T150" t="b">
            <v>0</v>
          </cell>
          <cell r="U150" t="b">
            <v>0</v>
          </cell>
          <cell r="V150">
            <v>4</v>
          </cell>
          <cell r="W150" t="str">
            <v/>
          </cell>
          <cell r="X150">
            <v>4</v>
          </cell>
          <cell r="Y150" t="str">
            <v/>
          </cell>
          <cell r="Z150">
            <v>12</v>
          </cell>
          <cell r="AA150" t="str">
            <v/>
          </cell>
          <cell r="AB150">
            <v>19</v>
          </cell>
          <cell r="AC150" t="str">
            <v>Katana</v>
          </cell>
          <cell r="AD150">
            <v>88</v>
          </cell>
          <cell r="AE150" t="str">
            <v>Katana</v>
          </cell>
          <cell r="AF150" t="str">
            <v/>
          </cell>
          <cell r="AG150" t="str">
            <v/>
          </cell>
          <cell r="AH150">
            <v>0</v>
          </cell>
          <cell r="AI150" t="str">
            <v/>
          </cell>
          <cell r="AJ150" t="str">
            <v>Pincer Staff</v>
          </cell>
          <cell r="AK150">
            <v>0</v>
          </cell>
          <cell r="AL150" t="str">
            <v>Pincer Staff</v>
          </cell>
          <cell r="AM150" t="str">
            <v/>
          </cell>
          <cell r="AN150" t="str">
            <v/>
          </cell>
          <cell r="AO150">
            <v>0</v>
          </cell>
          <cell r="AP150" t="str">
            <v/>
          </cell>
          <cell r="AQ150" t="str">
            <v/>
          </cell>
          <cell r="AR150">
            <v>0</v>
          </cell>
          <cell r="AS150" t="str">
            <v>Katana</v>
          </cell>
        </row>
        <row r="151">
          <cell r="A151" t="str">
            <v>Kau Sin Ke</v>
          </cell>
          <cell r="B151" t="str">
            <v>Kau Sin Ke</v>
          </cell>
          <cell r="C151" t="str">
            <v>OA</v>
          </cell>
          <cell r="D151" t="str">
            <v>E</v>
          </cell>
          <cell r="E151" t="str">
            <v>O</v>
          </cell>
          <cell r="F151">
            <v>6</v>
          </cell>
          <cell r="H151">
            <v>20</v>
          </cell>
          <cell r="I151">
            <v>2</v>
          </cell>
          <cell r="L151">
            <v>4</v>
          </cell>
          <cell r="M151" t="str">
            <v>B</v>
          </cell>
          <cell r="R151" t="b">
            <v>0</v>
          </cell>
          <cell r="S151" t="b">
            <v>0</v>
          </cell>
          <cell r="T151" t="b">
            <v>0</v>
          </cell>
          <cell r="U151" t="b">
            <v>0</v>
          </cell>
          <cell r="V151">
            <v>4</v>
          </cell>
          <cell r="W151" t="str">
            <v/>
          </cell>
          <cell r="X151">
            <v>4</v>
          </cell>
          <cell r="Y151" t="str">
            <v/>
          </cell>
          <cell r="Z151">
            <v>12</v>
          </cell>
          <cell r="AA151" t="str">
            <v/>
          </cell>
          <cell r="AB151">
            <v>19</v>
          </cell>
          <cell r="AC151" t="str">
            <v/>
          </cell>
          <cell r="AD151">
            <v>89</v>
          </cell>
          <cell r="AE151" t="str">
            <v>Kau Sin Ke</v>
          </cell>
          <cell r="AF151" t="str">
            <v/>
          </cell>
          <cell r="AG151" t="str">
            <v/>
          </cell>
          <cell r="AH151">
            <v>0</v>
          </cell>
          <cell r="AI151" t="str">
            <v/>
          </cell>
          <cell r="AJ151" t="str">
            <v>Pistol</v>
          </cell>
          <cell r="AK151">
            <v>0</v>
          </cell>
          <cell r="AL151" t="str">
            <v>Pistol</v>
          </cell>
          <cell r="AM151" t="str">
            <v/>
          </cell>
          <cell r="AN151" t="str">
            <v/>
          </cell>
          <cell r="AO151">
            <v>0</v>
          </cell>
          <cell r="AP151" t="str">
            <v/>
          </cell>
          <cell r="AQ151" t="str">
            <v/>
          </cell>
          <cell r="AR151">
            <v>0</v>
          </cell>
          <cell r="AS151" t="str">
            <v>Kau Sin Ke</v>
          </cell>
        </row>
        <row r="152">
          <cell r="A152" t="str">
            <v>Kawanaga</v>
          </cell>
          <cell r="B152" t="str">
            <v>Kawanaga</v>
          </cell>
          <cell r="C152" t="str">
            <v>OA</v>
          </cell>
          <cell r="D152" t="str">
            <v>E</v>
          </cell>
          <cell r="E152" t="str">
            <v>O</v>
          </cell>
          <cell r="F152">
            <v>3</v>
          </cell>
          <cell r="G152">
            <v>3</v>
          </cell>
          <cell r="H152">
            <v>20</v>
          </cell>
          <cell r="I152">
            <v>2</v>
          </cell>
          <cell r="L152">
            <v>1</v>
          </cell>
          <cell r="M152" t="str">
            <v>S/B</v>
          </cell>
          <cell r="O152" t="b">
            <v>1</v>
          </cell>
          <cell r="R152" t="b">
            <v>0</v>
          </cell>
          <cell r="S152" t="b">
            <v>0</v>
          </cell>
          <cell r="T152" t="b">
            <v>0</v>
          </cell>
          <cell r="U152" t="b">
            <v>0</v>
          </cell>
          <cell r="V152">
            <v>4</v>
          </cell>
          <cell r="W152" t="str">
            <v/>
          </cell>
          <cell r="X152">
            <v>4</v>
          </cell>
          <cell r="Y152" t="str">
            <v/>
          </cell>
          <cell r="Z152">
            <v>12</v>
          </cell>
          <cell r="AA152" t="str">
            <v/>
          </cell>
          <cell r="AB152">
            <v>19</v>
          </cell>
          <cell r="AC152" t="str">
            <v/>
          </cell>
          <cell r="AD152">
            <v>90</v>
          </cell>
          <cell r="AE152" t="str">
            <v>Kawanaga</v>
          </cell>
          <cell r="AF152" t="str">
            <v/>
          </cell>
          <cell r="AG152" t="str">
            <v/>
          </cell>
          <cell r="AH152">
            <v>0</v>
          </cell>
          <cell r="AI152" t="str">
            <v/>
          </cell>
          <cell r="AJ152" t="str">
            <v>Poker</v>
          </cell>
          <cell r="AK152">
            <v>0</v>
          </cell>
          <cell r="AL152" t="str">
            <v>Poker</v>
          </cell>
          <cell r="AM152" t="str">
            <v/>
          </cell>
          <cell r="AN152" t="str">
            <v/>
          </cell>
          <cell r="AO152">
            <v>0</v>
          </cell>
          <cell r="AP152" t="str">
            <v/>
          </cell>
          <cell r="AQ152" t="str">
            <v/>
          </cell>
          <cell r="AR152">
            <v>0</v>
          </cell>
          <cell r="AS152" t="str">
            <v>Kawanaga</v>
          </cell>
        </row>
        <row r="153">
          <cell r="A153" t="str">
            <v>Khopesh</v>
          </cell>
          <cell r="B153" t="str">
            <v>Khopesh</v>
          </cell>
          <cell r="D153" t="str">
            <v>E</v>
          </cell>
          <cell r="E153" t="str">
            <v>O</v>
          </cell>
          <cell r="F153">
            <v>5</v>
          </cell>
          <cell r="H153">
            <v>18</v>
          </cell>
          <cell r="I153">
            <v>2</v>
          </cell>
          <cell r="L153">
            <v>4</v>
          </cell>
          <cell r="M153" t="str">
            <v>S</v>
          </cell>
          <cell r="R153" t="b">
            <v>0</v>
          </cell>
          <cell r="S153" t="b">
            <v>0</v>
          </cell>
          <cell r="T153" t="b">
            <v>0</v>
          </cell>
          <cell r="U153" t="b">
            <v>0</v>
          </cell>
          <cell r="V153">
            <v>4</v>
          </cell>
          <cell r="W153" t="str">
            <v/>
          </cell>
          <cell r="X153">
            <v>4</v>
          </cell>
          <cell r="Y153" t="str">
            <v/>
          </cell>
          <cell r="Z153">
            <v>12</v>
          </cell>
          <cell r="AA153" t="str">
            <v/>
          </cell>
          <cell r="AB153">
            <v>19</v>
          </cell>
          <cell r="AC153" t="str">
            <v/>
          </cell>
          <cell r="AD153">
            <v>91</v>
          </cell>
          <cell r="AE153" t="str">
            <v>Khopesh</v>
          </cell>
          <cell r="AF153" t="str">
            <v/>
          </cell>
          <cell r="AG153" t="str">
            <v/>
          </cell>
          <cell r="AH153">
            <v>0</v>
          </cell>
          <cell r="AI153" t="str">
            <v/>
          </cell>
          <cell r="AJ153" t="str">
            <v>Poleaxe, Heavy</v>
          </cell>
          <cell r="AK153">
            <v>8</v>
          </cell>
          <cell r="AL153" t="str">
            <v>Heavy Poleaxe</v>
          </cell>
          <cell r="AM153" t="str">
            <v/>
          </cell>
          <cell r="AN153" t="str">
            <v/>
          </cell>
          <cell r="AO153">
            <v>0</v>
          </cell>
          <cell r="AP153" t="str">
            <v/>
          </cell>
          <cell r="AQ153" t="str">
            <v/>
          </cell>
          <cell r="AR153">
            <v>0</v>
          </cell>
          <cell r="AS153" t="str">
            <v>Khopesh</v>
          </cell>
        </row>
        <row r="154">
          <cell r="A154" t="str">
            <v>Khopesh, Double</v>
          </cell>
          <cell r="B154" t="str">
            <v>Khopesh, Double</v>
          </cell>
          <cell r="D154" t="str">
            <v>E</v>
          </cell>
          <cell r="E154" t="str">
            <v>T</v>
          </cell>
          <cell r="F154">
            <v>5</v>
          </cell>
          <cell r="G154">
            <v>5</v>
          </cell>
          <cell r="H154">
            <v>18</v>
          </cell>
          <cell r="I154">
            <v>2</v>
          </cell>
          <cell r="J154">
            <v>2</v>
          </cell>
          <cell r="L154">
            <v>8</v>
          </cell>
          <cell r="M154" t="str">
            <v>S</v>
          </cell>
          <cell r="R154" t="b">
            <v>0</v>
          </cell>
          <cell r="S154" t="b">
            <v>0</v>
          </cell>
          <cell r="T154" t="b">
            <v>0</v>
          </cell>
          <cell r="U154" t="b">
            <v>0</v>
          </cell>
          <cell r="V154">
            <v>4</v>
          </cell>
          <cell r="W154" t="str">
            <v/>
          </cell>
          <cell r="X154">
            <v>4</v>
          </cell>
          <cell r="Y154" t="str">
            <v/>
          </cell>
          <cell r="Z154">
            <v>12</v>
          </cell>
          <cell r="AA154" t="str">
            <v/>
          </cell>
          <cell r="AB154">
            <v>19</v>
          </cell>
          <cell r="AC154" t="str">
            <v/>
          </cell>
          <cell r="AD154">
            <v>92</v>
          </cell>
          <cell r="AE154" t="str">
            <v>Khopesh, Double</v>
          </cell>
          <cell r="AF154" t="str">
            <v/>
          </cell>
          <cell r="AG154" t="str">
            <v/>
          </cell>
          <cell r="AH154">
            <v>0</v>
          </cell>
          <cell r="AI154" t="str">
            <v/>
          </cell>
          <cell r="AJ154" t="str">
            <v>Quickrazor, Gnome</v>
          </cell>
          <cell r="AK154">
            <v>11</v>
          </cell>
          <cell r="AL154" t="str">
            <v>Gnome Quickrazor</v>
          </cell>
          <cell r="AM154" t="str">
            <v/>
          </cell>
          <cell r="AN154" t="str">
            <v/>
          </cell>
          <cell r="AO154">
            <v>0</v>
          </cell>
          <cell r="AP154" t="str">
            <v/>
          </cell>
          <cell r="AQ154" t="str">
            <v/>
          </cell>
          <cell r="AR154">
            <v>8</v>
          </cell>
          <cell r="AS154" t="str">
            <v>Double Khopesh</v>
          </cell>
        </row>
        <row r="155">
          <cell r="A155" t="str">
            <v>Knife, Drow Long</v>
          </cell>
          <cell r="B155" t="str">
            <v>Knife, Drow Long</v>
          </cell>
          <cell r="D155" t="str">
            <v>E</v>
          </cell>
          <cell r="E155" t="str">
            <v>L</v>
          </cell>
          <cell r="F155">
            <v>5</v>
          </cell>
          <cell r="H155">
            <v>19</v>
          </cell>
          <cell r="I155">
            <v>2</v>
          </cell>
          <cell r="K155">
            <v>10</v>
          </cell>
          <cell r="L155">
            <v>2</v>
          </cell>
          <cell r="M155" t="str">
            <v>P</v>
          </cell>
          <cell r="Q155" t="b">
            <v>0</v>
          </cell>
          <cell r="R155" t="b">
            <v>0</v>
          </cell>
          <cell r="S155" t="b">
            <v>0</v>
          </cell>
          <cell r="T155" t="b">
            <v>0</v>
          </cell>
          <cell r="U155" t="b">
            <v>0</v>
          </cell>
          <cell r="V155">
            <v>4</v>
          </cell>
          <cell r="W155" t="str">
            <v/>
          </cell>
          <cell r="X155">
            <v>4</v>
          </cell>
          <cell r="Y155" t="str">
            <v/>
          </cell>
          <cell r="Z155">
            <v>12</v>
          </cell>
          <cell r="AA155" t="str">
            <v/>
          </cell>
          <cell r="AB155">
            <v>19</v>
          </cell>
          <cell r="AC155" t="str">
            <v/>
          </cell>
          <cell r="AD155">
            <v>93</v>
          </cell>
          <cell r="AE155" t="str">
            <v>Knife, Drow Long</v>
          </cell>
          <cell r="AF155" t="str">
            <v/>
          </cell>
          <cell r="AG155" t="str">
            <v/>
          </cell>
          <cell r="AH155">
            <v>0</v>
          </cell>
          <cell r="AI155" t="str">
            <v/>
          </cell>
          <cell r="AJ155" t="str">
            <v>Ramhammer</v>
          </cell>
          <cell r="AK155">
            <v>0</v>
          </cell>
          <cell r="AL155" t="str">
            <v>Ramhammer</v>
          </cell>
          <cell r="AM155" t="str">
            <v/>
          </cell>
          <cell r="AN155" t="str">
            <v/>
          </cell>
          <cell r="AO155">
            <v>0</v>
          </cell>
          <cell r="AP155" t="str">
            <v/>
          </cell>
          <cell r="AQ155" t="str">
            <v/>
          </cell>
          <cell r="AR155">
            <v>6</v>
          </cell>
          <cell r="AS155" t="str">
            <v>Drow Long Knife</v>
          </cell>
        </row>
        <row r="156">
          <cell r="A156" t="str">
            <v>Knife, Stump</v>
          </cell>
          <cell r="B156" t="str">
            <v>Knife, Stump</v>
          </cell>
          <cell r="D156" t="str">
            <v>E</v>
          </cell>
          <cell r="E156" t="str">
            <v>L</v>
          </cell>
          <cell r="F156">
            <v>4</v>
          </cell>
          <cell r="H156">
            <v>19</v>
          </cell>
          <cell r="I156">
            <v>2</v>
          </cell>
          <cell r="L156">
            <v>2</v>
          </cell>
          <cell r="M156" t="str">
            <v>P</v>
          </cell>
          <cell r="R156" t="b">
            <v>0</v>
          </cell>
          <cell r="S156" t="b">
            <v>0</v>
          </cell>
          <cell r="T156" t="b">
            <v>0</v>
          </cell>
          <cell r="U156" t="b">
            <v>0</v>
          </cell>
          <cell r="V156">
            <v>4</v>
          </cell>
          <cell r="W156" t="str">
            <v/>
          </cell>
          <cell r="X156">
            <v>4</v>
          </cell>
          <cell r="Y156" t="str">
            <v/>
          </cell>
          <cell r="Z156">
            <v>12</v>
          </cell>
          <cell r="AA156" t="str">
            <v/>
          </cell>
          <cell r="AB156">
            <v>19</v>
          </cell>
          <cell r="AC156" t="str">
            <v/>
          </cell>
          <cell r="AD156">
            <v>94</v>
          </cell>
          <cell r="AE156" t="str">
            <v>Knife, Stump</v>
          </cell>
          <cell r="AF156" t="str">
            <v/>
          </cell>
          <cell r="AG156" t="str">
            <v/>
          </cell>
          <cell r="AH156">
            <v>0</v>
          </cell>
          <cell r="AI156" t="str">
            <v/>
          </cell>
          <cell r="AJ156" t="str">
            <v>Rapier, Parthian</v>
          </cell>
          <cell r="AK156">
            <v>7</v>
          </cell>
          <cell r="AL156" t="str">
            <v>Parthian Rapier</v>
          </cell>
          <cell r="AM156" t="str">
            <v/>
          </cell>
          <cell r="AN156" t="str">
            <v/>
          </cell>
          <cell r="AO156">
            <v>0</v>
          </cell>
          <cell r="AP156" t="str">
            <v/>
          </cell>
          <cell r="AQ156" t="str">
            <v/>
          </cell>
          <cell r="AR156">
            <v>6</v>
          </cell>
          <cell r="AS156" t="str">
            <v>Stump Knife</v>
          </cell>
        </row>
        <row r="157">
          <cell r="A157" t="str">
            <v>Kukri</v>
          </cell>
          <cell r="B157" t="str">
            <v>Kukri</v>
          </cell>
          <cell r="D157" t="str">
            <v>M</v>
          </cell>
          <cell r="E157" t="str">
            <v>L</v>
          </cell>
          <cell r="F157">
            <v>4</v>
          </cell>
          <cell r="H157">
            <v>18</v>
          </cell>
          <cell r="I157">
            <v>2</v>
          </cell>
          <cell r="L157">
            <v>3</v>
          </cell>
          <cell r="M157" t="str">
            <v>S</v>
          </cell>
          <cell r="Q157" t="b">
            <v>0</v>
          </cell>
          <cell r="R157" t="b">
            <v>0</v>
          </cell>
          <cell r="S157" t="b">
            <v>0</v>
          </cell>
          <cell r="T157" t="b">
            <v>0</v>
          </cell>
          <cell r="U157" t="b">
            <v>0</v>
          </cell>
          <cell r="V157">
            <v>4</v>
          </cell>
          <cell r="W157" t="str">
            <v/>
          </cell>
          <cell r="X157">
            <v>4</v>
          </cell>
          <cell r="Y157" t="str">
            <v/>
          </cell>
          <cell r="Z157">
            <v>12</v>
          </cell>
          <cell r="AA157" t="str">
            <v/>
          </cell>
          <cell r="AB157">
            <v>20</v>
          </cell>
          <cell r="AC157" t="str">
            <v>Kukri</v>
          </cell>
          <cell r="AD157">
            <v>94</v>
          </cell>
          <cell r="AE157" t="str">
            <v/>
          </cell>
          <cell r="AF157" t="str">
            <v/>
          </cell>
          <cell r="AG157" t="str">
            <v/>
          </cell>
          <cell r="AH157">
            <v>0</v>
          </cell>
          <cell r="AI157" t="str">
            <v/>
          </cell>
          <cell r="AJ157" t="str">
            <v>Rapier, Quickblade</v>
          </cell>
          <cell r="AK157">
            <v>7</v>
          </cell>
          <cell r="AL157" t="str">
            <v>Quickblade Rapier</v>
          </cell>
          <cell r="AM157" t="str">
            <v/>
          </cell>
          <cell r="AN157" t="str">
            <v/>
          </cell>
          <cell r="AO157">
            <v>0</v>
          </cell>
          <cell r="AP157" t="str">
            <v/>
          </cell>
          <cell r="AQ157" t="str">
            <v/>
          </cell>
          <cell r="AR157">
            <v>0</v>
          </cell>
          <cell r="AS157" t="str">
            <v>Kukri</v>
          </cell>
        </row>
        <row r="158">
          <cell r="A158" t="str">
            <v>Kusari-Gama</v>
          </cell>
          <cell r="B158" t="str">
            <v>Kusari-Gama</v>
          </cell>
          <cell r="C158" t="str">
            <v>OA</v>
          </cell>
          <cell r="D158" t="str">
            <v>E</v>
          </cell>
          <cell r="E158" t="str">
            <v>T</v>
          </cell>
          <cell r="F158">
            <v>5</v>
          </cell>
          <cell r="G158">
            <v>4</v>
          </cell>
          <cell r="H158">
            <v>20</v>
          </cell>
          <cell r="I158">
            <v>2</v>
          </cell>
          <cell r="J158">
            <v>2</v>
          </cell>
          <cell r="L158">
            <v>3</v>
          </cell>
          <cell r="M158" t="str">
            <v>S/B</v>
          </cell>
          <cell r="O158" t="b">
            <v>1</v>
          </cell>
          <cell r="P158" t="str">
            <v>F</v>
          </cell>
          <cell r="Q158" t="b">
            <v>0</v>
          </cell>
          <cell r="R158" t="b">
            <v>0</v>
          </cell>
          <cell r="S158" t="b">
            <v>0</v>
          </cell>
          <cell r="T158" t="b">
            <v>0</v>
          </cell>
          <cell r="U158" t="b">
            <v>0</v>
          </cell>
          <cell r="V158">
            <v>4</v>
          </cell>
          <cell r="W158" t="str">
            <v/>
          </cell>
          <cell r="X158">
            <v>4</v>
          </cell>
          <cell r="Y158" t="str">
            <v/>
          </cell>
          <cell r="Z158">
            <v>12</v>
          </cell>
          <cell r="AA158" t="str">
            <v/>
          </cell>
          <cell r="AB158">
            <v>20</v>
          </cell>
          <cell r="AC158" t="str">
            <v/>
          </cell>
          <cell r="AD158">
            <v>95</v>
          </cell>
          <cell r="AE158" t="str">
            <v>Kusari-Gama</v>
          </cell>
          <cell r="AF158" t="str">
            <v/>
          </cell>
          <cell r="AG158" t="str">
            <v/>
          </cell>
          <cell r="AH158">
            <v>0</v>
          </cell>
          <cell r="AI158" t="str">
            <v/>
          </cell>
          <cell r="AJ158" t="str">
            <v>Ribbonweave</v>
          </cell>
          <cell r="AK158">
            <v>0</v>
          </cell>
          <cell r="AL158" t="str">
            <v>Ribbonweave</v>
          </cell>
          <cell r="AM158" t="str">
            <v/>
          </cell>
          <cell r="AN158" t="str">
            <v/>
          </cell>
          <cell r="AO158">
            <v>0</v>
          </cell>
          <cell r="AP158" t="str">
            <v/>
          </cell>
          <cell r="AQ158" t="str">
            <v/>
          </cell>
          <cell r="AR158">
            <v>0</v>
          </cell>
          <cell r="AS158" t="str">
            <v>Kusari-Gama</v>
          </cell>
        </row>
        <row r="159">
          <cell r="A159" t="str">
            <v>Kylie</v>
          </cell>
          <cell r="B159" t="str">
            <v>Kylie</v>
          </cell>
          <cell r="D159" t="str">
            <v>E</v>
          </cell>
          <cell r="E159" t="str">
            <v>R</v>
          </cell>
          <cell r="F159">
            <v>5</v>
          </cell>
          <cell r="H159">
            <v>20</v>
          </cell>
          <cell r="I159">
            <v>2</v>
          </cell>
          <cell r="K159">
            <v>20</v>
          </cell>
          <cell r="L159">
            <v>5</v>
          </cell>
          <cell r="M159" t="str">
            <v>B</v>
          </cell>
          <cell r="R159" t="b">
            <v>0</v>
          </cell>
          <cell r="S159" t="b">
            <v>0</v>
          </cell>
          <cell r="T159" t="b">
            <v>0</v>
          </cell>
          <cell r="U159" t="b">
            <v>0</v>
          </cell>
          <cell r="V159">
            <v>4</v>
          </cell>
          <cell r="W159" t="str">
            <v/>
          </cell>
          <cell r="X159">
            <v>4</v>
          </cell>
          <cell r="Y159" t="str">
            <v/>
          </cell>
          <cell r="Z159">
            <v>12</v>
          </cell>
          <cell r="AA159" t="str">
            <v/>
          </cell>
          <cell r="AB159">
            <v>20</v>
          </cell>
          <cell r="AC159" t="str">
            <v/>
          </cell>
          <cell r="AD159">
            <v>96</v>
          </cell>
          <cell r="AE159" t="str">
            <v>Kylie</v>
          </cell>
          <cell r="AF159" t="str">
            <v/>
          </cell>
          <cell r="AG159" t="str">
            <v/>
          </cell>
          <cell r="AH159">
            <v>0</v>
          </cell>
          <cell r="AI159" t="str">
            <v/>
          </cell>
          <cell r="AJ159" t="str">
            <v>Ritiik</v>
          </cell>
          <cell r="AK159">
            <v>0</v>
          </cell>
          <cell r="AL159" t="str">
            <v>Ritiik</v>
          </cell>
          <cell r="AM159" t="str">
            <v/>
          </cell>
          <cell r="AN159" t="str">
            <v/>
          </cell>
          <cell r="AO159">
            <v>0</v>
          </cell>
          <cell r="AP159" t="str">
            <v/>
          </cell>
          <cell r="AQ159" t="str">
            <v/>
          </cell>
          <cell r="AR159">
            <v>0</v>
          </cell>
          <cell r="AS159" t="str">
            <v>Kylie</v>
          </cell>
        </row>
        <row r="160">
          <cell r="A160" t="str">
            <v>Lajatang</v>
          </cell>
          <cell r="B160" t="str">
            <v>Lajatang</v>
          </cell>
          <cell r="C160" t="str">
            <v>OA</v>
          </cell>
          <cell r="D160" t="str">
            <v>E</v>
          </cell>
          <cell r="E160" t="str">
            <v>T</v>
          </cell>
          <cell r="F160">
            <v>6</v>
          </cell>
          <cell r="G160">
            <v>6</v>
          </cell>
          <cell r="H160">
            <v>20</v>
          </cell>
          <cell r="I160">
            <v>2</v>
          </cell>
          <cell r="J160">
            <v>2</v>
          </cell>
          <cell r="L160">
            <v>7</v>
          </cell>
          <cell r="M160" t="str">
            <v>S</v>
          </cell>
          <cell r="P160" t="str">
            <v>U</v>
          </cell>
          <cell r="R160" t="b">
            <v>0</v>
          </cell>
          <cell r="S160" t="b">
            <v>0</v>
          </cell>
          <cell r="T160" t="b">
            <v>0</v>
          </cell>
          <cell r="U160" t="b">
            <v>0</v>
          </cell>
          <cell r="V160">
            <v>4</v>
          </cell>
          <cell r="W160" t="str">
            <v/>
          </cell>
          <cell r="X160">
            <v>4</v>
          </cell>
          <cell r="Y160" t="str">
            <v/>
          </cell>
          <cell r="Z160">
            <v>12</v>
          </cell>
          <cell r="AA160" t="str">
            <v/>
          </cell>
          <cell r="AB160">
            <v>20</v>
          </cell>
          <cell r="AC160" t="str">
            <v/>
          </cell>
          <cell r="AD160">
            <v>97</v>
          </cell>
          <cell r="AE160" t="str">
            <v>Lajatang</v>
          </cell>
          <cell r="AF160" t="str">
            <v/>
          </cell>
          <cell r="AG160" t="str">
            <v/>
          </cell>
          <cell r="AH160">
            <v>0</v>
          </cell>
          <cell r="AI160" t="str">
            <v/>
          </cell>
          <cell r="AJ160" t="str">
            <v>Sai</v>
          </cell>
          <cell r="AK160">
            <v>0</v>
          </cell>
          <cell r="AL160" t="str">
            <v>Sai</v>
          </cell>
          <cell r="AM160" t="str">
            <v/>
          </cell>
          <cell r="AN160" t="str">
            <v/>
          </cell>
          <cell r="AO160">
            <v>0</v>
          </cell>
          <cell r="AP160" t="str">
            <v/>
          </cell>
          <cell r="AQ160" t="str">
            <v/>
          </cell>
          <cell r="AR160">
            <v>0</v>
          </cell>
          <cell r="AS160" t="str">
            <v>Lajatang</v>
          </cell>
        </row>
        <row r="161">
          <cell r="A161" t="str">
            <v>Lance</v>
          </cell>
          <cell r="B161" t="str">
            <v>Lance</v>
          </cell>
          <cell r="D161" t="str">
            <v>M</v>
          </cell>
          <cell r="E161" t="str">
            <v>T</v>
          </cell>
          <cell r="F161">
            <v>6</v>
          </cell>
          <cell r="H161">
            <v>20</v>
          </cell>
          <cell r="I161">
            <v>3</v>
          </cell>
          <cell r="L161">
            <v>10</v>
          </cell>
          <cell r="M161" t="str">
            <v>P</v>
          </cell>
          <cell r="O161" t="b">
            <v>1</v>
          </cell>
          <cell r="Q161" t="b">
            <v>0</v>
          </cell>
          <cell r="R161" t="b">
            <v>0</v>
          </cell>
          <cell r="S161" t="b">
            <v>0</v>
          </cell>
          <cell r="T161" t="b">
            <v>0</v>
          </cell>
          <cell r="U161" t="b">
            <v>0</v>
          </cell>
          <cell r="V161">
            <v>4</v>
          </cell>
          <cell r="W161" t="str">
            <v/>
          </cell>
          <cell r="X161">
            <v>4</v>
          </cell>
          <cell r="Y161" t="str">
            <v/>
          </cell>
          <cell r="Z161">
            <v>12</v>
          </cell>
          <cell r="AA161" t="str">
            <v/>
          </cell>
          <cell r="AB161">
            <v>21</v>
          </cell>
          <cell r="AC161" t="str">
            <v>Lance</v>
          </cell>
          <cell r="AD161">
            <v>97</v>
          </cell>
          <cell r="AE161" t="str">
            <v/>
          </cell>
          <cell r="AF161" t="str">
            <v/>
          </cell>
          <cell r="AG161" t="str">
            <v/>
          </cell>
          <cell r="AH161">
            <v>0</v>
          </cell>
          <cell r="AI161" t="str">
            <v/>
          </cell>
          <cell r="AJ161" t="str">
            <v>Sandblaster</v>
          </cell>
          <cell r="AK161">
            <v>0</v>
          </cell>
          <cell r="AL161" t="str">
            <v>Sandblaster</v>
          </cell>
          <cell r="AM161" t="str">
            <v/>
          </cell>
          <cell r="AN161" t="str">
            <v/>
          </cell>
          <cell r="AO161">
            <v>0</v>
          </cell>
          <cell r="AP161" t="str">
            <v/>
          </cell>
          <cell r="AQ161" t="str">
            <v/>
          </cell>
          <cell r="AR161">
            <v>0</v>
          </cell>
          <cell r="AS161" t="str">
            <v>Lance</v>
          </cell>
        </row>
        <row r="162">
          <cell r="A162" t="str">
            <v>Lancet, Gehennan</v>
          </cell>
          <cell r="B162" t="str">
            <v>Lancet, Gehennan</v>
          </cell>
          <cell r="D162" t="str">
            <v>M</v>
          </cell>
          <cell r="E162" t="str">
            <v>L</v>
          </cell>
          <cell r="F162">
            <v>4</v>
          </cell>
          <cell r="H162">
            <v>18</v>
          </cell>
          <cell r="I162">
            <v>2</v>
          </cell>
          <cell r="L162">
            <v>3</v>
          </cell>
          <cell r="M162" t="str">
            <v>P</v>
          </cell>
          <cell r="R162" t="b">
            <v>0</v>
          </cell>
          <cell r="S162" t="b">
            <v>0</v>
          </cell>
          <cell r="T162" t="b">
            <v>0</v>
          </cell>
          <cell r="U162" t="b">
            <v>0</v>
          </cell>
          <cell r="V162">
            <v>4</v>
          </cell>
          <cell r="W162" t="str">
            <v/>
          </cell>
          <cell r="X162">
            <v>4</v>
          </cell>
          <cell r="Y162" t="str">
            <v/>
          </cell>
          <cell r="Z162">
            <v>12</v>
          </cell>
          <cell r="AA162" t="str">
            <v/>
          </cell>
          <cell r="AB162">
            <v>22</v>
          </cell>
          <cell r="AC162" t="str">
            <v>Lancet, Gehennan</v>
          </cell>
          <cell r="AD162">
            <v>97</v>
          </cell>
          <cell r="AE162" t="str">
            <v/>
          </cell>
          <cell r="AF162" t="str">
            <v/>
          </cell>
          <cell r="AG162" t="str">
            <v/>
          </cell>
          <cell r="AH162">
            <v>0</v>
          </cell>
          <cell r="AI162" t="str">
            <v/>
          </cell>
          <cell r="AJ162" t="str">
            <v>Sand Pipe</v>
          </cell>
          <cell r="AK162">
            <v>0</v>
          </cell>
          <cell r="AL162" t="str">
            <v>Sand Pipe</v>
          </cell>
          <cell r="AM162" t="str">
            <v/>
          </cell>
          <cell r="AN162" t="str">
            <v/>
          </cell>
          <cell r="AO162">
            <v>0</v>
          </cell>
          <cell r="AP162" t="str">
            <v/>
          </cell>
          <cell r="AQ162" t="str">
            <v/>
          </cell>
          <cell r="AR162">
            <v>7</v>
          </cell>
          <cell r="AS162" t="str">
            <v>Gehennan Lancet</v>
          </cell>
        </row>
        <row r="163">
          <cell r="A163" t="str">
            <v>Lightblade, Elven</v>
          </cell>
          <cell r="B163" t="str">
            <v>Lightblade, Elven</v>
          </cell>
          <cell r="D163" t="str">
            <v>E</v>
          </cell>
          <cell r="E163" t="str">
            <v>L</v>
          </cell>
          <cell r="F163">
            <v>5</v>
          </cell>
          <cell r="H163">
            <v>18</v>
          </cell>
          <cell r="I163">
            <v>2</v>
          </cell>
          <cell r="L163">
            <v>1</v>
          </cell>
          <cell r="M163" t="str">
            <v>P</v>
          </cell>
          <cell r="P163" t="str">
            <v/>
          </cell>
          <cell r="Q163" t="b">
            <v>0</v>
          </cell>
          <cell r="R163" t="b">
            <v>0</v>
          </cell>
          <cell r="S163" t="b">
            <v>0</v>
          </cell>
          <cell r="T163" t="b">
            <v>0</v>
          </cell>
          <cell r="U163" t="b">
            <v>0</v>
          </cell>
          <cell r="V163">
            <v>4</v>
          </cell>
          <cell r="W163" t="str">
            <v/>
          </cell>
          <cell r="X163">
            <v>4</v>
          </cell>
          <cell r="Y163" t="str">
            <v/>
          </cell>
          <cell r="Z163">
            <v>12</v>
          </cell>
          <cell r="AA163" t="str">
            <v/>
          </cell>
          <cell r="AB163">
            <v>22</v>
          </cell>
          <cell r="AC163" t="str">
            <v/>
          </cell>
          <cell r="AD163">
            <v>98</v>
          </cell>
          <cell r="AE163" t="str">
            <v>Lightblade, Elven</v>
          </cell>
          <cell r="AF163" t="str">
            <v/>
          </cell>
          <cell r="AG163" t="str">
            <v/>
          </cell>
          <cell r="AH163">
            <v>0</v>
          </cell>
          <cell r="AI163" t="str">
            <v/>
          </cell>
          <cell r="AJ163" t="str">
            <v>Scimitar, Double</v>
          </cell>
          <cell r="AK163">
            <v>9</v>
          </cell>
          <cell r="AL163" t="str">
            <v>Double Scimitar</v>
          </cell>
          <cell r="AM163" t="str">
            <v/>
          </cell>
          <cell r="AN163" t="str">
            <v/>
          </cell>
          <cell r="AO163">
            <v>0</v>
          </cell>
          <cell r="AP163" t="str">
            <v/>
          </cell>
          <cell r="AQ163" t="str">
            <v/>
          </cell>
          <cell r="AR163">
            <v>11</v>
          </cell>
          <cell r="AS163" t="str">
            <v>Elven Lightblade</v>
          </cell>
        </row>
        <row r="164">
          <cell r="A164" t="str">
            <v>Longaxe</v>
          </cell>
          <cell r="B164" t="str">
            <v>Longaxe</v>
          </cell>
          <cell r="D164" t="str">
            <v>E</v>
          </cell>
          <cell r="E164" t="str">
            <v>T</v>
          </cell>
          <cell r="F164">
            <v>8</v>
          </cell>
          <cell r="H164">
            <v>20</v>
          </cell>
          <cell r="I164">
            <v>3</v>
          </cell>
          <cell r="L164">
            <v>15</v>
          </cell>
          <cell r="M164" t="str">
            <v>S</v>
          </cell>
          <cell r="R164" t="b">
            <v>0</v>
          </cell>
          <cell r="S164" t="b">
            <v>0</v>
          </cell>
          <cell r="T164" t="b">
            <v>0</v>
          </cell>
          <cell r="U164" t="b">
            <v>0</v>
          </cell>
          <cell r="V164">
            <v>4</v>
          </cell>
          <cell r="W164" t="str">
            <v/>
          </cell>
          <cell r="X164">
            <v>4</v>
          </cell>
          <cell r="Y164" t="str">
            <v/>
          </cell>
          <cell r="Z164">
            <v>12</v>
          </cell>
          <cell r="AA164" t="str">
            <v/>
          </cell>
          <cell r="AB164">
            <v>22</v>
          </cell>
          <cell r="AC164" t="str">
            <v/>
          </cell>
          <cell r="AD164">
            <v>99</v>
          </cell>
          <cell r="AE164" t="str">
            <v>Longaxe</v>
          </cell>
          <cell r="AF164" t="str">
            <v/>
          </cell>
          <cell r="AG164" t="str">
            <v/>
          </cell>
          <cell r="AH164">
            <v>0</v>
          </cell>
          <cell r="AI164" t="str">
            <v/>
          </cell>
          <cell r="AJ164" t="str">
            <v>Scimitar, Great</v>
          </cell>
          <cell r="AK164">
            <v>9</v>
          </cell>
          <cell r="AL164" t="str">
            <v>Great Scimitar</v>
          </cell>
          <cell r="AM164" t="str">
            <v/>
          </cell>
          <cell r="AN164" t="str">
            <v/>
          </cell>
          <cell r="AO164">
            <v>0</v>
          </cell>
          <cell r="AP164" t="str">
            <v/>
          </cell>
          <cell r="AQ164" t="str">
            <v/>
          </cell>
          <cell r="AR164">
            <v>0</v>
          </cell>
          <cell r="AS164" t="str">
            <v>Longaxe</v>
          </cell>
        </row>
        <row r="165">
          <cell r="A165" t="str">
            <v>Longbow</v>
          </cell>
          <cell r="B165" t="str">
            <v>Longbow</v>
          </cell>
          <cell r="D165" t="str">
            <v>M</v>
          </cell>
          <cell r="E165" t="str">
            <v>R</v>
          </cell>
          <cell r="F165">
            <v>6</v>
          </cell>
          <cell r="H165">
            <v>20</v>
          </cell>
          <cell r="I165">
            <v>3</v>
          </cell>
          <cell r="K165">
            <v>100</v>
          </cell>
          <cell r="L165">
            <v>3</v>
          </cell>
          <cell r="M165" t="str">
            <v>P</v>
          </cell>
          <cell r="Q165" t="b">
            <v>0</v>
          </cell>
          <cell r="R165" t="b">
            <v>0</v>
          </cell>
          <cell r="S165" t="b">
            <v>0</v>
          </cell>
          <cell r="T165" t="b">
            <v>0</v>
          </cell>
          <cell r="U165" t="b">
            <v>0</v>
          </cell>
          <cell r="V165">
            <v>4</v>
          </cell>
          <cell r="W165" t="str">
            <v/>
          </cell>
          <cell r="X165">
            <v>4</v>
          </cell>
          <cell r="Y165" t="str">
            <v/>
          </cell>
          <cell r="Z165">
            <v>12</v>
          </cell>
          <cell r="AA165" t="str">
            <v/>
          </cell>
          <cell r="AB165">
            <v>23</v>
          </cell>
          <cell r="AC165" t="str">
            <v>Longbow</v>
          </cell>
          <cell r="AD165">
            <v>99</v>
          </cell>
          <cell r="AE165" t="str">
            <v/>
          </cell>
          <cell r="AF165" t="str">
            <v/>
          </cell>
          <cell r="AG165" t="str">
            <v/>
          </cell>
          <cell r="AH165">
            <v>0</v>
          </cell>
          <cell r="AI165" t="str">
            <v/>
          </cell>
          <cell r="AJ165" t="str">
            <v>Scimitar, Valenar double</v>
          </cell>
          <cell r="AK165">
            <v>9</v>
          </cell>
          <cell r="AL165" t="str">
            <v>Valenar double Scimitar</v>
          </cell>
          <cell r="AM165" t="str">
            <v/>
          </cell>
          <cell r="AN165" t="str">
            <v/>
          </cell>
          <cell r="AO165">
            <v>0</v>
          </cell>
          <cell r="AP165" t="str">
            <v/>
          </cell>
          <cell r="AQ165" t="str">
            <v/>
          </cell>
          <cell r="AR165">
            <v>0</v>
          </cell>
          <cell r="AS165" t="str">
            <v>Longbow</v>
          </cell>
        </row>
        <row r="166">
          <cell r="A166" t="str">
            <v>Longbow, Aquatic</v>
          </cell>
          <cell r="B166" t="str">
            <v>Longbow, Aquatic</v>
          </cell>
          <cell r="D166" t="str">
            <v>M</v>
          </cell>
          <cell r="E166" t="str">
            <v>R</v>
          </cell>
          <cell r="F166">
            <v>6</v>
          </cell>
          <cell r="H166">
            <v>20</v>
          </cell>
          <cell r="I166">
            <v>3</v>
          </cell>
          <cell r="K166">
            <v>60</v>
          </cell>
          <cell r="L166">
            <v>3</v>
          </cell>
          <cell r="M166" t="str">
            <v>P</v>
          </cell>
          <cell r="R166" t="b">
            <v>0</v>
          </cell>
          <cell r="S166" t="b">
            <v>0</v>
          </cell>
          <cell r="T166" t="b">
            <v>0</v>
          </cell>
          <cell r="U166" t="b">
            <v>0</v>
          </cell>
          <cell r="V166">
            <v>4</v>
          </cell>
          <cell r="W166" t="str">
            <v/>
          </cell>
          <cell r="X166">
            <v>4</v>
          </cell>
          <cell r="Y166" t="str">
            <v/>
          </cell>
          <cell r="Z166">
            <v>12</v>
          </cell>
          <cell r="AA166" t="str">
            <v/>
          </cell>
          <cell r="AB166">
            <v>24</v>
          </cell>
          <cell r="AC166" t="str">
            <v>Longbow, Aquatic</v>
          </cell>
          <cell r="AD166">
            <v>99</v>
          </cell>
          <cell r="AE166" t="str">
            <v/>
          </cell>
          <cell r="AF166" t="str">
            <v/>
          </cell>
          <cell r="AG166" t="str">
            <v/>
          </cell>
          <cell r="AH166">
            <v>0</v>
          </cell>
          <cell r="AI166" t="str">
            <v/>
          </cell>
          <cell r="AJ166" t="str">
            <v>Scourge</v>
          </cell>
          <cell r="AK166">
            <v>0</v>
          </cell>
          <cell r="AL166" t="str">
            <v>Scourge</v>
          </cell>
          <cell r="AM166" t="str">
            <v/>
          </cell>
          <cell r="AN166" t="str">
            <v/>
          </cell>
          <cell r="AO166">
            <v>0</v>
          </cell>
          <cell r="AP166" t="str">
            <v/>
          </cell>
          <cell r="AQ166" t="str">
            <v/>
          </cell>
          <cell r="AR166">
            <v>8</v>
          </cell>
          <cell r="AS166" t="str">
            <v>Aquatic Longbow</v>
          </cell>
        </row>
        <row r="167">
          <cell r="A167" t="str">
            <v>Longbow, Composite</v>
          </cell>
          <cell r="B167" t="str">
            <v>Longbow, Composite</v>
          </cell>
          <cell r="D167" t="str">
            <v>M</v>
          </cell>
          <cell r="E167" t="str">
            <v>R</v>
          </cell>
          <cell r="F167">
            <v>6</v>
          </cell>
          <cell r="H167">
            <v>20</v>
          </cell>
          <cell r="I167">
            <v>3</v>
          </cell>
          <cell r="K167">
            <v>110</v>
          </cell>
          <cell r="L167">
            <v>3</v>
          </cell>
          <cell r="M167" t="str">
            <v>P</v>
          </cell>
          <cell r="P167" t="str">
            <v>M</v>
          </cell>
          <cell r="Q167" t="b">
            <v>0</v>
          </cell>
          <cell r="R167" t="b">
            <v>0</v>
          </cell>
          <cell r="S167" t="b">
            <v>0</v>
          </cell>
          <cell r="T167" t="b">
            <v>0</v>
          </cell>
          <cell r="U167" t="b">
            <v>0</v>
          </cell>
          <cell r="V167">
            <v>4</v>
          </cell>
          <cell r="W167" t="str">
            <v/>
          </cell>
          <cell r="X167">
            <v>4</v>
          </cell>
          <cell r="Y167" t="str">
            <v/>
          </cell>
          <cell r="Z167">
            <v>12</v>
          </cell>
          <cell r="AA167" t="str">
            <v/>
          </cell>
          <cell r="AB167">
            <v>25</v>
          </cell>
          <cell r="AC167" t="str">
            <v>Longbow, Composite</v>
          </cell>
          <cell r="AD167">
            <v>99</v>
          </cell>
          <cell r="AE167" t="str">
            <v/>
          </cell>
          <cell r="AF167" t="str">
            <v/>
          </cell>
          <cell r="AG167" t="str">
            <v/>
          </cell>
          <cell r="AH167">
            <v>0</v>
          </cell>
          <cell r="AI167" t="str">
            <v/>
          </cell>
          <cell r="AJ167" t="str">
            <v>Scythe, Crescent</v>
          </cell>
          <cell r="AK167">
            <v>7</v>
          </cell>
          <cell r="AL167" t="str">
            <v>Crescent Scythe</v>
          </cell>
          <cell r="AM167" t="str">
            <v/>
          </cell>
          <cell r="AN167" t="str">
            <v/>
          </cell>
          <cell r="AO167">
            <v>0</v>
          </cell>
          <cell r="AP167" t="str">
            <v/>
          </cell>
          <cell r="AQ167" t="str">
            <v/>
          </cell>
          <cell r="AR167">
            <v>8</v>
          </cell>
          <cell r="AS167" t="str">
            <v>Composite Longbow</v>
          </cell>
        </row>
        <row r="168">
          <cell r="A168" t="str">
            <v>Longspear</v>
          </cell>
          <cell r="B168" t="str">
            <v>Longspear</v>
          </cell>
          <cell r="D168" t="str">
            <v>S</v>
          </cell>
          <cell r="E168" t="str">
            <v>T</v>
          </cell>
          <cell r="F168">
            <v>6</v>
          </cell>
          <cell r="H168">
            <v>20</v>
          </cell>
          <cell r="I168">
            <v>3</v>
          </cell>
          <cell r="L168">
            <v>9</v>
          </cell>
          <cell r="M168" t="str">
            <v>P</v>
          </cell>
          <cell r="O168" t="b">
            <v>1</v>
          </cell>
          <cell r="P168" t="str">
            <v/>
          </cell>
          <cell r="Q168" t="b">
            <v>0</v>
          </cell>
          <cell r="R168" t="b">
            <v>0</v>
          </cell>
          <cell r="S168" t="b">
            <v>0</v>
          </cell>
          <cell r="T168" t="b">
            <v>0</v>
          </cell>
          <cell r="U168" t="b">
            <v>0</v>
          </cell>
          <cell r="V168">
            <v>4</v>
          </cell>
          <cell r="W168" t="str">
            <v/>
          </cell>
          <cell r="X168">
            <v>4</v>
          </cell>
          <cell r="Y168" t="str">
            <v/>
          </cell>
          <cell r="Z168">
            <v>13</v>
          </cell>
          <cell r="AA168" t="str">
            <v>Longspear</v>
          </cell>
          <cell r="AB168">
            <v>25</v>
          </cell>
          <cell r="AC168" t="str">
            <v/>
          </cell>
          <cell r="AD168">
            <v>99</v>
          </cell>
          <cell r="AE168" t="str">
            <v/>
          </cell>
          <cell r="AF168" t="str">
            <v/>
          </cell>
          <cell r="AG168" t="str">
            <v/>
          </cell>
          <cell r="AH168">
            <v>0</v>
          </cell>
          <cell r="AI168" t="str">
            <v/>
          </cell>
          <cell r="AJ168" t="str">
            <v>Sharrash, Talenta</v>
          </cell>
          <cell r="AK168">
            <v>9</v>
          </cell>
          <cell r="AL168" t="str">
            <v>Talenta Sharrash</v>
          </cell>
          <cell r="AM168" t="str">
            <v/>
          </cell>
          <cell r="AN168" t="str">
            <v/>
          </cell>
          <cell r="AO168">
            <v>0</v>
          </cell>
          <cell r="AP168" t="str">
            <v/>
          </cell>
          <cell r="AQ168" t="str">
            <v/>
          </cell>
          <cell r="AR168">
            <v>0</v>
          </cell>
          <cell r="AS168" t="str">
            <v>Longspear</v>
          </cell>
        </row>
        <row r="169">
          <cell r="A169" t="str">
            <v>Longstaff</v>
          </cell>
          <cell r="B169" t="str">
            <v>Longstaff</v>
          </cell>
          <cell r="D169" t="str">
            <v>E</v>
          </cell>
          <cell r="E169" t="str">
            <v>T</v>
          </cell>
          <cell r="F169">
            <v>5</v>
          </cell>
          <cell r="G169">
            <v>5</v>
          </cell>
          <cell r="H169">
            <v>20</v>
          </cell>
          <cell r="I169">
            <v>2</v>
          </cell>
          <cell r="J169">
            <v>2</v>
          </cell>
          <cell r="L169">
            <v>6</v>
          </cell>
          <cell r="M169" t="str">
            <v>B</v>
          </cell>
          <cell r="R169" t="b">
            <v>0</v>
          </cell>
          <cell r="S169" t="b">
            <v>0</v>
          </cell>
          <cell r="T169" t="b">
            <v>0</v>
          </cell>
          <cell r="U169" t="b">
            <v>0</v>
          </cell>
          <cell r="V169">
            <v>4</v>
          </cell>
          <cell r="W169" t="str">
            <v/>
          </cell>
          <cell r="X169">
            <v>4</v>
          </cell>
          <cell r="Y169" t="str">
            <v/>
          </cell>
          <cell r="Z169">
            <v>13</v>
          </cell>
          <cell r="AA169" t="str">
            <v/>
          </cell>
          <cell r="AB169">
            <v>25</v>
          </cell>
          <cell r="AC169" t="str">
            <v/>
          </cell>
          <cell r="AD169">
            <v>100</v>
          </cell>
          <cell r="AE169" t="str">
            <v>Longstaff</v>
          </cell>
          <cell r="AF169" t="str">
            <v/>
          </cell>
          <cell r="AG169" t="str">
            <v/>
          </cell>
          <cell r="AH169">
            <v>0</v>
          </cell>
          <cell r="AI169" t="str">
            <v/>
          </cell>
          <cell r="AJ169" t="str">
            <v>Shikomi-Zue</v>
          </cell>
          <cell r="AK169">
            <v>0</v>
          </cell>
          <cell r="AL169" t="str">
            <v>Shikomi-Zue</v>
          </cell>
          <cell r="AM169" t="str">
            <v/>
          </cell>
          <cell r="AN169" t="str">
            <v/>
          </cell>
          <cell r="AO169">
            <v>0</v>
          </cell>
          <cell r="AP169" t="str">
            <v/>
          </cell>
          <cell r="AQ169" t="str">
            <v/>
          </cell>
          <cell r="AR169">
            <v>0</v>
          </cell>
          <cell r="AS169" t="str">
            <v>Longstaff</v>
          </cell>
        </row>
        <row r="170">
          <cell r="A170" t="str">
            <v>Longsword</v>
          </cell>
          <cell r="B170" t="str">
            <v>Longsword</v>
          </cell>
          <cell r="D170" t="str">
            <v>M</v>
          </cell>
          <cell r="E170" t="str">
            <v>O</v>
          </cell>
          <cell r="F170">
            <v>6</v>
          </cell>
          <cell r="H170">
            <v>19</v>
          </cell>
          <cell r="I170">
            <v>2</v>
          </cell>
          <cell r="L170">
            <v>4</v>
          </cell>
          <cell r="M170" t="str">
            <v>S</v>
          </cell>
          <cell r="P170" t="str">
            <v/>
          </cell>
          <cell r="Q170" t="b">
            <v>0</v>
          </cell>
          <cell r="R170" t="b">
            <v>0</v>
          </cell>
          <cell r="S170" t="b">
            <v>0</v>
          </cell>
          <cell r="T170" t="b">
            <v>0</v>
          </cell>
          <cell r="U170" t="b">
            <v>0</v>
          </cell>
          <cell r="V170">
            <v>4</v>
          </cell>
          <cell r="W170" t="str">
            <v/>
          </cell>
          <cell r="X170">
            <v>4</v>
          </cell>
          <cell r="Y170" t="str">
            <v/>
          </cell>
          <cell r="Z170">
            <v>13</v>
          </cell>
          <cell r="AA170" t="str">
            <v/>
          </cell>
          <cell r="AB170">
            <v>26</v>
          </cell>
          <cell r="AC170" t="str">
            <v>Longsword</v>
          </cell>
          <cell r="AD170">
            <v>100</v>
          </cell>
          <cell r="AE170" t="str">
            <v/>
          </cell>
          <cell r="AF170" t="str">
            <v/>
          </cell>
          <cell r="AG170" t="str">
            <v/>
          </cell>
          <cell r="AH170">
            <v>0</v>
          </cell>
          <cell r="AI170" t="str">
            <v/>
          </cell>
          <cell r="AJ170" t="str">
            <v>Shotput, Orc</v>
          </cell>
          <cell r="AK170">
            <v>8</v>
          </cell>
          <cell r="AL170" t="str">
            <v>Orc Shotput</v>
          </cell>
          <cell r="AM170" t="str">
            <v/>
          </cell>
          <cell r="AN170" t="str">
            <v/>
          </cell>
          <cell r="AO170">
            <v>0</v>
          </cell>
          <cell r="AP170" t="str">
            <v/>
          </cell>
          <cell r="AQ170" t="str">
            <v/>
          </cell>
          <cell r="AR170">
            <v>0</v>
          </cell>
          <cell r="AS170" t="str">
            <v>Longsword</v>
          </cell>
        </row>
        <row r="171">
          <cell r="A171" t="str">
            <v>Longsword, Mercurial</v>
          </cell>
          <cell r="B171" t="str">
            <v>Longsword, Mercurial</v>
          </cell>
          <cell r="D171" t="str">
            <v>E</v>
          </cell>
          <cell r="E171" t="str">
            <v>O</v>
          </cell>
          <cell r="F171">
            <v>6</v>
          </cell>
          <cell r="H171">
            <v>20</v>
          </cell>
          <cell r="I171">
            <v>4</v>
          </cell>
          <cell r="L171">
            <v>6</v>
          </cell>
          <cell r="M171" t="str">
            <v>S</v>
          </cell>
          <cell r="R171" t="b">
            <v>0</v>
          </cell>
          <cell r="S171" t="b">
            <v>0</v>
          </cell>
          <cell r="T171" t="b">
            <v>0</v>
          </cell>
          <cell r="U171" t="b">
            <v>0</v>
          </cell>
          <cell r="V171">
            <v>4</v>
          </cell>
          <cell r="W171" t="str">
            <v/>
          </cell>
          <cell r="X171">
            <v>4</v>
          </cell>
          <cell r="Y171" t="str">
            <v/>
          </cell>
          <cell r="Z171">
            <v>13</v>
          </cell>
          <cell r="AA171" t="str">
            <v/>
          </cell>
          <cell r="AB171">
            <v>26</v>
          </cell>
          <cell r="AC171" t="str">
            <v/>
          </cell>
          <cell r="AD171">
            <v>101</v>
          </cell>
          <cell r="AE171" t="str">
            <v>Longsword, Mercurial</v>
          </cell>
          <cell r="AF171" t="str">
            <v/>
          </cell>
          <cell r="AG171" t="str">
            <v/>
          </cell>
          <cell r="AH171">
            <v>0</v>
          </cell>
          <cell r="AI171" t="str">
            <v/>
          </cell>
          <cell r="AJ171" t="str">
            <v>Shuriken</v>
          </cell>
          <cell r="AK171">
            <v>0</v>
          </cell>
          <cell r="AL171" t="str">
            <v>Shuriken</v>
          </cell>
          <cell r="AM171" t="str">
            <v/>
          </cell>
          <cell r="AN171" t="str">
            <v/>
          </cell>
          <cell r="AO171">
            <v>0</v>
          </cell>
          <cell r="AP171" t="str">
            <v/>
          </cell>
          <cell r="AQ171" t="str">
            <v/>
          </cell>
          <cell r="AR171">
            <v>10</v>
          </cell>
          <cell r="AS171" t="str">
            <v>Mercurial Longsword</v>
          </cell>
        </row>
        <row r="172">
          <cell r="A172" t="str">
            <v>Lynxpaw</v>
          </cell>
          <cell r="B172" t="str">
            <v>Lynxpaw</v>
          </cell>
          <cell r="D172" t="str">
            <v>E</v>
          </cell>
          <cell r="E172" t="str">
            <v>T</v>
          </cell>
          <cell r="F172">
            <v>5</v>
          </cell>
          <cell r="G172">
            <v>4</v>
          </cell>
          <cell r="H172">
            <v>18</v>
          </cell>
          <cell r="I172">
            <v>2</v>
          </cell>
          <cell r="J172">
            <v>3</v>
          </cell>
          <cell r="L172">
            <v>4</v>
          </cell>
          <cell r="M172" t="str">
            <v>P/S</v>
          </cell>
          <cell r="R172" t="b">
            <v>0</v>
          </cell>
          <cell r="S172" t="b">
            <v>0</v>
          </cell>
          <cell r="T172" t="b">
            <v>0</v>
          </cell>
          <cell r="U172" t="b">
            <v>0</v>
          </cell>
          <cell r="V172">
            <v>4</v>
          </cell>
          <cell r="W172" t="str">
            <v/>
          </cell>
          <cell r="X172">
            <v>4</v>
          </cell>
          <cell r="Y172" t="str">
            <v/>
          </cell>
          <cell r="Z172">
            <v>13</v>
          </cell>
          <cell r="AA172" t="str">
            <v/>
          </cell>
          <cell r="AB172">
            <v>26</v>
          </cell>
          <cell r="AC172" t="str">
            <v/>
          </cell>
          <cell r="AD172">
            <v>102</v>
          </cell>
          <cell r="AE172" t="str">
            <v>Lynxpaw</v>
          </cell>
          <cell r="AF172" t="str">
            <v/>
          </cell>
          <cell r="AG172" t="str">
            <v/>
          </cell>
          <cell r="AH172">
            <v>0</v>
          </cell>
          <cell r="AI172" t="str">
            <v/>
          </cell>
          <cell r="AJ172" t="str">
            <v>Siangham</v>
          </cell>
          <cell r="AK172">
            <v>0</v>
          </cell>
          <cell r="AL172" t="str">
            <v>Siangham</v>
          </cell>
          <cell r="AM172" t="str">
            <v/>
          </cell>
          <cell r="AN172" t="str">
            <v/>
          </cell>
          <cell r="AO172">
            <v>0</v>
          </cell>
          <cell r="AP172" t="str">
            <v/>
          </cell>
          <cell r="AQ172" t="str">
            <v/>
          </cell>
          <cell r="AR172">
            <v>0</v>
          </cell>
          <cell r="AS172" t="str">
            <v>Lynxpaw</v>
          </cell>
        </row>
        <row r="173">
          <cell r="A173" t="str">
            <v>Mace, Double</v>
          </cell>
          <cell r="B173" t="str">
            <v>Mace, Double</v>
          </cell>
          <cell r="D173" t="str">
            <v>E</v>
          </cell>
          <cell r="E173" t="str">
            <v>T</v>
          </cell>
          <cell r="F173">
            <v>6</v>
          </cell>
          <cell r="G173">
            <v>6</v>
          </cell>
          <cell r="H173">
            <v>20</v>
          </cell>
          <cell r="I173">
            <v>2</v>
          </cell>
          <cell r="J173">
            <v>2</v>
          </cell>
          <cell r="L173">
            <v>25</v>
          </cell>
          <cell r="M173" t="str">
            <v>B</v>
          </cell>
          <cell r="R173" t="b">
            <v>0</v>
          </cell>
          <cell r="S173" t="b">
            <v>0</v>
          </cell>
          <cell r="T173" t="b">
            <v>0</v>
          </cell>
          <cell r="U173" t="b">
            <v>0</v>
          </cell>
          <cell r="V173">
            <v>4</v>
          </cell>
          <cell r="W173" t="str">
            <v/>
          </cell>
          <cell r="X173">
            <v>4</v>
          </cell>
          <cell r="Y173" t="str">
            <v/>
          </cell>
          <cell r="Z173">
            <v>13</v>
          </cell>
          <cell r="AA173" t="str">
            <v/>
          </cell>
          <cell r="AB173">
            <v>26</v>
          </cell>
          <cell r="AC173" t="str">
            <v/>
          </cell>
          <cell r="AD173">
            <v>103</v>
          </cell>
          <cell r="AE173" t="str">
            <v>Mace, Double</v>
          </cell>
          <cell r="AF173" t="str">
            <v/>
          </cell>
          <cell r="AG173" t="str">
            <v/>
          </cell>
          <cell r="AH173">
            <v>0</v>
          </cell>
          <cell r="AI173" t="str">
            <v/>
          </cell>
          <cell r="AJ173" t="str">
            <v>Skipdisk, Razor</v>
          </cell>
          <cell r="AK173">
            <v>9</v>
          </cell>
          <cell r="AL173" t="str">
            <v>Razor Skipdisk</v>
          </cell>
          <cell r="AM173" t="str">
            <v/>
          </cell>
          <cell r="AN173" t="str">
            <v/>
          </cell>
          <cell r="AO173">
            <v>0</v>
          </cell>
          <cell r="AP173" t="str">
            <v/>
          </cell>
          <cell r="AQ173" t="str">
            <v/>
          </cell>
          <cell r="AR173">
            <v>5</v>
          </cell>
          <cell r="AS173" t="str">
            <v>Double Mace</v>
          </cell>
        </row>
        <row r="174">
          <cell r="A174" t="str">
            <v>Mace, Heavy</v>
          </cell>
          <cell r="B174" t="str">
            <v>Mace, Heavy</v>
          </cell>
          <cell r="D174" t="str">
            <v>S</v>
          </cell>
          <cell r="E174" t="str">
            <v>O</v>
          </cell>
          <cell r="F174">
            <v>6</v>
          </cell>
          <cell r="H174">
            <v>20</v>
          </cell>
          <cell r="I174">
            <v>2</v>
          </cell>
          <cell r="L174">
            <v>8</v>
          </cell>
          <cell r="M174" t="str">
            <v>B</v>
          </cell>
          <cell r="Q174" t="b">
            <v>0</v>
          </cell>
          <cell r="R174" t="b">
            <v>0</v>
          </cell>
          <cell r="S174" t="b">
            <v>0</v>
          </cell>
          <cell r="T174" t="b">
            <v>0</v>
          </cell>
          <cell r="U174" t="b">
            <v>0</v>
          </cell>
          <cell r="V174">
            <v>4</v>
          </cell>
          <cell r="W174" t="str">
            <v/>
          </cell>
          <cell r="X174">
            <v>4</v>
          </cell>
          <cell r="Y174" t="str">
            <v/>
          </cell>
          <cell r="Z174">
            <v>14</v>
          </cell>
          <cell r="AA174" t="str">
            <v>Mace, Heavy</v>
          </cell>
          <cell r="AB174">
            <v>26</v>
          </cell>
          <cell r="AC174" t="str">
            <v/>
          </cell>
          <cell r="AD174">
            <v>103</v>
          </cell>
          <cell r="AE174" t="str">
            <v/>
          </cell>
          <cell r="AF174" t="str">
            <v/>
          </cell>
          <cell r="AG174" t="str">
            <v/>
          </cell>
          <cell r="AH174">
            <v>0</v>
          </cell>
          <cell r="AI174" t="str">
            <v/>
          </cell>
          <cell r="AJ174" t="str">
            <v>Skiprock</v>
          </cell>
          <cell r="AK174">
            <v>0</v>
          </cell>
          <cell r="AL174" t="str">
            <v>Skiprock</v>
          </cell>
          <cell r="AM174" t="str">
            <v/>
          </cell>
          <cell r="AN174" t="str">
            <v/>
          </cell>
          <cell r="AO174">
            <v>0</v>
          </cell>
          <cell r="AP174" t="str">
            <v/>
          </cell>
          <cell r="AQ174" t="str">
            <v/>
          </cell>
          <cell r="AR174">
            <v>5</v>
          </cell>
          <cell r="AS174" t="str">
            <v>Heavy Mace</v>
          </cell>
        </row>
        <row r="175">
          <cell r="A175" t="str">
            <v>Mace, Light</v>
          </cell>
          <cell r="B175" t="str">
            <v>Mace, Light</v>
          </cell>
          <cell r="D175" t="str">
            <v>S</v>
          </cell>
          <cell r="E175" t="str">
            <v>L</v>
          </cell>
          <cell r="F175">
            <v>5</v>
          </cell>
          <cell r="H175">
            <v>20</v>
          </cell>
          <cell r="I175">
            <v>2</v>
          </cell>
          <cell r="L175">
            <v>4</v>
          </cell>
          <cell r="M175" t="str">
            <v>B</v>
          </cell>
          <cell r="Q175" t="b">
            <v>0</v>
          </cell>
          <cell r="R175" t="b">
            <v>0</v>
          </cell>
          <cell r="S175" t="b">
            <v>0</v>
          </cell>
          <cell r="T175" t="b">
            <v>0</v>
          </cell>
          <cell r="U175" t="b">
            <v>0</v>
          </cell>
          <cell r="V175">
            <v>4</v>
          </cell>
          <cell r="W175" t="str">
            <v/>
          </cell>
          <cell r="X175">
            <v>4</v>
          </cell>
          <cell r="Y175" t="str">
            <v/>
          </cell>
          <cell r="Z175">
            <v>15</v>
          </cell>
          <cell r="AA175" t="str">
            <v>Mace, Light</v>
          </cell>
          <cell r="AB175">
            <v>26</v>
          </cell>
          <cell r="AC175" t="str">
            <v/>
          </cell>
          <cell r="AD175">
            <v>103</v>
          </cell>
          <cell r="AE175" t="str">
            <v/>
          </cell>
          <cell r="AF175" t="str">
            <v/>
          </cell>
          <cell r="AG175" t="str">
            <v/>
          </cell>
          <cell r="AH175">
            <v>0</v>
          </cell>
          <cell r="AI175" t="str">
            <v/>
          </cell>
          <cell r="AJ175" t="str">
            <v>Sling, War</v>
          </cell>
          <cell r="AK175">
            <v>6</v>
          </cell>
          <cell r="AL175" t="str">
            <v>War Sling</v>
          </cell>
          <cell r="AM175" t="str">
            <v/>
          </cell>
          <cell r="AN175" t="str">
            <v/>
          </cell>
          <cell r="AO175">
            <v>0</v>
          </cell>
          <cell r="AP175" t="str">
            <v/>
          </cell>
          <cell r="AQ175" t="str">
            <v/>
          </cell>
          <cell r="AR175">
            <v>5</v>
          </cell>
          <cell r="AS175" t="str">
            <v>Light Mace</v>
          </cell>
        </row>
        <row r="176">
          <cell r="A176" t="str">
            <v>Mancatcher</v>
          </cell>
          <cell r="B176" t="str">
            <v>Mancatcher</v>
          </cell>
          <cell r="D176" t="str">
            <v>E</v>
          </cell>
          <cell r="E176" t="str">
            <v>T</v>
          </cell>
          <cell r="F176">
            <v>4</v>
          </cell>
          <cell r="H176">
            <v>20</v>
          </cell>
          <cell r="I176">
            <v>2</v>
          </cell>
          <cell r="L176">
            <v>8</v>
          </cell>
          <cell r="M176" t="str">
            <v>B</v>
          </cell>
          <cell r="R176" t="b">
            <v>0</v>
          </cell>
          <cell r="S176" t="b">
            <v>0</v>
          </cell>
          <cell r="T176" t="b">
            <v>0</v>
          </cell>
          <cell r="U176" t="b">
            <v>0</v>
          </cell>
          <cell r="V176">
            <v>4</v>
          </cell>
          <cell r="W176" t="str">
            <v/>
          </cell>
          <cell r="X176">
            <v>4</v>
          </cell>
          <cell r="Y176" t="str">
            <v/>
          </cell>
          <cell r="Z176">
            <v>15</v>
          </cell>
          <cell r="AA176" t="str">
            <v/>
          </cell>
          <cell r="AB176">
            <v>26</v>
          </cell>
          <cell r="AC176" t="str">
            <v/>
          </cell>
          <cell r="AD176">
            <v>104</v>
          </cell>
          <cell r="AE176" t="str">
            <v>Mancatcher</v>
          </cell>
          <cell r="AF176" t="str">
            <v/>
          </cell>
          <cell r="AG176" t="str">
            <v/>
          </cell>
          <cell r="AH176">
            <v>0</v>
          </cell>
          <cell r="AI176" t="str">
            <v/>
          </cell>
          <cell r="AJ176" t="str">
            <v>Smokebomb</v>
          </cell>
          <cell r="AK176">
            <v>0</v>
          </cell>
          <cell r="AL176" t="str">
            <v>Smokebomb</v>
          </cell>
          <cell r="AM176" t="str">
            <v/>
          </cell>
          <cell r="AN176" t="str">
            <v/>
          </cell>
          <cell r="AO176">
            <v>0</v>
          </cell>
          <cell r="AP176" t="str">
            <v/>
          </cell>
          <cell r="AQ176" t="str">
            <v/>
          </cell>
          <cell r="AR176">
            <v>0</v>
          </cell>
          <cell r="AS176" t="str">
            <v>Mancatcher</v>
          </cell>
        </row>
        <row r="177">
          <cell r="A177" t="str">
            <v>Manriki-gusari</v>
          </cell>
          <cell r="B177" t="str">
            <v>Manriki-gusari</v>
          </cell>
          <cell r="C177" t="str">
            <v>OA</v>
          </cell>
          <cell r="D177" t="str">
            <v>E</v>
          </cell>
          <cell r="E177" t="str">
            <v>T</v>
          </cell>
          <cell r="F177">
            <v>5</v>
          </cell>
          <cell r="G177">
            <v>5</v>
          </cell>
          <cell r="H177">
            <v>20</v>
          </cell>
          <cell r="I177">
            <v>2</v>
          </cell>
          <cell r="J177">
            <v>2</v>
          </cell>
          <cell r="L177">
            <v>5</v>
          </cell>
          <cell r="M177" t="str">
            <v>B</v>
          </cell>
          <cell r="O177" t="b">
            <v>1</v>
          </cell>
          <cell r="Q177" t="b">
            <v>0</v>
          </cell>
          <cell r="R177" t="b">
            <v>0</v>
          </cell>
          <cell r="S177" t="b">
            <v>0</v>
          </cell>
          <cell r="T177" t="b">
            <v>0</v>
          </cell>
          <cell r="U177" t="b">
            <v>0</v>
          </cell>
          <cell r="V177">
            <v>4</v>
          </cell>
          <cell r="W177" t="str">
            <v/>
          </cell>
          <cell r="X177">
            <v>4</v>
          </cell>
          <cell r="Y177" t="str">
            <v/>
          </cell>
          <cell r="Z177">
            <v>15</v>
          </cell>
          <cell r="AA177" t="str">
            <v/>
          </cell>
          <cell r="AB177">
            <v>26</v>
          </cell>
          <cell r="AC177" t="str">
            <v/>
          </cell>
          <cell r="AD177">
            <v>105</v>
          </cell>
          <cell r="AE177" t="str">
            <v>Manriki-gusari</v>
          </cell>
          <cell r="AF177" t="str">
            <v/>
          </cell>
          <cell r="AG177" t="str">
            <v/>
          </cell>
          <cell r="AH177">
            <v>0</v>
          </cell>
          <cell r="AI177" t="str">
            <v/>
          </cell>
          <cell r="AJ177" t="str">
            <v>Spear, Dwarven double</v>
          </cell>
          <cell r="AK177">
            <v>6</v>
          </cell>
          <cell r="AL177" t="str">
            <v>Dwarven double Spear</v>
          </cell>
          <cell r="AM177" t="str">
            <v/>
          </cell>
          <cell r="AN177" t="str">
            <v/>
          </cell>
          <cell r="AO177">
            <v>0</v>
          </cell>
          <cell r="AP177" t="str">
            <v/>
          </cell>
          <cell r="AQ177" t="str">
            <v/>
          </cell>
          <cell r="AR177">
            <v>0</v>
          </cell>
          <cell r="AS177" t="str">
            <v>Manriki-gusari</v>
          </cell>
        </row>
        <row r="178">
          <cell r="A178" t="str">
            <v>Manople</v>
          </cell>
          <cell r="B178" t="str">
            <v>Manople</v>
          </cell>
          <cell r="D178" t="str">
            <v>E</v>
          </cell>
          <cell r="E178" t="str">
            <v>L</v>
          </cell>
          <cell r="F178">
            <v>5</v>
          </cell>
          <cell r="H178">
            <v>19</v>
          </cell>
          <cell r="I178">
            <v>2</v>
          </cell>
          <cell r="L178">
            <v>1</v>
          </cell>
          <cell r="M178" t="str">
            <v>S/P</v>
          </cell>
          <cell r="R178" t="b">
            <v>0</v>
          </cell>
          <cell r="S178" t="b">
            <v>0</v>
          </cell>
          <cell r="T178" t="b">
            <v>0</v>
          </cell>
          <cell r="U178" t="b">
            <v>0</v>
          </cell>
          <cell r="V178">
            <v>4</v>
          </cell>
          <cell r="W178" t="str">
            <v/>
          </cell>
          <cell r="X178">
            <v>4</v>
          </cell>
          <cell r="Y178" t="str">
            <v/>
          </cell>
          <cell r="Z178">
            <v>15</v>
          </cell>
          <cell r="AA178" t="str">
            <v/>
          </cell>
          <cell r="AB178">
            <v>26</v>
          </cell>
          <cell r="AC178" t="str">
            <v/>
          </cell>
          <cell r="AD178">
            <v>106</v>
          </cell>
          <cell r="AE178" t="str">
            <v>Manople</v>
          </cell>
          <cell r="AF178" t="str">
            <v/>
          </cell>
          <cell r="AG178" t="str">
            <v/>
          </cell>
          <cell r="AH178">
            <v>0</v>
          </cell>
          <cell r="AI178" t="str">
            <v/>
          </cell>
          <cell r="AJ178" t="str">
            <v>Spear Spikard</v>
          </cell>
          <cell r="AK178">
            <v>0</v>
          </cell>
          <cell r="AL178" t="str">
            <v>Spear Spikard</v>
          </cell>
          <cell r="AM178" t="str">
            <v/>
          </cell>
          <cell r="AN178" t="str">
            <v/>
          </cell>
          <cell r="AO178">
            <v>0</v>
          </cell>
          <cell r="AP178" t="str">
            <v/>
          </cell>
          <cell r="AQ178" t="str">
            <v/>
          </cell>
          <cell r="AR178">
            <v>0</v>
          </cell>
          <cell r="AS178" t="str">
            <v>Manople</v>
          </cell>
        </row>
        <row r="179">
          <cell r="A179" t="str">
            <v>Manti</v>
          </cell>
          <cell r="B179" t="str">
            <v>Manti</v>
          </cell>
          <cell r="D179" t="str">
            <v>E</v>
          </cell>
          <cell r="E179" t="str">
            <v>T</v>
          </cell>
          <cell r="F179">
            <v>6</v>
          </cell>
          <cell r="H179">
            <v>20</v>
          </cell>
          <cell r="I179">
            <v>3</v>
          </cell>
          <cell r="L179">
            <v>9</v>
          </cell>
          <cell r="M179" t="str">
            <v>P</v>
          </cell>
          <cell r="R179" t="b">
            <v>0</v>
          </cell>
          <cell r="S179" t="b">
            <v>0</v>
          </cell>
          <cell r="T179" t="b">
            <v>0</v>
          </cell>
          <cell r="U179" t="b">
            <v>0</v>
          </cell>
          <cell r="V179">
            <v>4</v>
          </cell>
          <cell r="W179" t="str">
            <v/>
          </cell>
          <cell r="X179">
            <v>4</v>
          </cell>
          <cell r="Y179" t="str">
            <v/>
          </cell>
          <cell r="Z179">
            <v>15</v>
          </cell>
          <cell r="AA179" t="str">
            <v/>
          </cell>
          <cell r="AB179">
            <v>26</v>
          </cell>
          <cell r="AC179" t="str">
            <v/>
          </cell>
          <cell r="AD179">
            <v>107</v>
          </cell>
          <cell r="AE179" t="str">
            <v>Manti</v>
          </cell>
          <cell r="AF179" t="str">
            <v/>
          </cell>
          <cell r="AG179" t="str">
            <v/>
          </cell>
          <cell r="AH179">
            <v>0</v>
          </cell>
          <cell r="AI179" t="str">
            <v/>
          </cell>
          <cell r="AJ179" t="str">
            <v>Staff, Three-section</v>
          </cell>
          <cell r="AK179">
            <v>6</v>
          </cell>
          <cell r="AL179" t="str">
            <v>Three-section Staff</v>
          </cell>
          <cell r="AM179" t="str">
            <v/>
          </cell>
          <cell r="AN179" t="str">
            <v/>
          </cell>
          <cell r="AO179">
            <v>0</v>
          </cell>
          <cell r="AP179" t="str">
            <v/>
          </cell>
          <cell r="AQ179" t="str">
            <v/>
          </cell>
          <cell r="AR179">
            <v>0</v>
          </cell>
          <cell r="AS179" t="str">
            <v>Manti</v>
          </cell>
        </row>
        <row r="180">
          <cell r="A180" t="str">
            <v>Maquahuitl</v>
          </cell>
          <cell r="B180" t="str">
            <v>Maquahuitl</v>
          </cell>
          <cell r="D180" t="str">
            <v>M</v>
          </cell>
          <cell r="E180" t="str">
            <v>T</v>
          </cell>
          <cell r="F180">
            <v>7</v>
          </cell>
          <cell r="H180">
            <v>20</v>
          </cell>
          <cell r="I180">
            <v>2</v>
          </cell>
          <cell r="L180">
            <v>10</v>
          </cell>
          <cell r="M180" t="str">
            <v>B/P</v>
          </cell>
          <cell r="R180" t="b">
            <v>0</v>
          </cell>
          <cell r="S180" t="b">
            <v>0</v>
          </cell>
          <cell r="T180" t="b">
            <v>0</v>
          </cell>
          <cell r="U180" t="b">
            <v>0</v>
          </cell>
          <cell r="V180">
            <v>4</v>
          </cell>
          <cell r="W180" t="str">
            <v/>
          </cell>
          <cell r="X180">
            <v>4</v>
          </cell>
          <cell r="Y180" t="str">
            <v/>
          </cell>
          <cell r="Z180">
            <v>15</v>
          </cell>
          <cell r="AA180" t="str">
            <v/>
          </cell>
          <cell r="AB180">
            <v>27</v>
          </cell>
          <cell r="AC180" t="str">
            <v>Maquahuitl</v>
          </cell>
          <cell r="AD180">
            <v>107</v>
          </cell>
          <cell r="AE180" t="str">
            <v/>
          </cell>
          <cell r="AF180" t="str">
            <v/>
          </cell>
          <cell r="AG180" t="str">
            <v/>
          </cell>
          <cell r="AH180">
            <v>0</v>
          </cell>
          <cell r="AI180" t="str">
            <v/>
          </cell>
          <cell r="AJ180" t="str">
            <v>Steel Fins</v>
          </cell>
          <cell r="AK180">
            <v>0</v>
          </cell>
          <cell r="AL180" t="str">
            <v>Steel Fins</v>
          </cell>
          <cell r="AM180" t="str">
            <v/>
          </cell>
          <cell r="AN180" t="str">
            <v/>
          </cell>
          <cell r="AO180">
            <v>0</v>
          </cell>
          <cell r="AP180" t="str">
            <v/>
          </cell>
          <cell r="AQ180" t="str">
            <v/>
          </cell>
          <cell r="AR180">
            <v>0</v>
          </cell>
          <cell r="AS180" t="str">
            <v>Maquahuitl</v>
          </cell>
        </row>
        <row r="181">
          <cell r="A181" t="str">
            <v>Maul</v>
          </cell>
          <cell r="B181" t="str">
            <v>Maul</v>
          </cell>
          <cell r="D181" t="str">
            <v>E</v>
          </cell>
          <cell r="E181" t="str">
            <v>O</v>
          </cell>
          <cell r="F181">
            <v>7</v>
          </cell>
          <cell r="H181">
            <v>20</v>
          </cell>
          <cell r="I181">
            <v>3</v>
          </cell>
          <cell r="L181">
            <v>20</v>
          </cell>
          <cell r="M181" t="str">
            <v>B</v>
          </cell>
          <cell r="P181" t="str">
            <v>X</v>
          </cell>
          <cell r="R181" t="b">
            <v>0</v>
          </cell>
          <cell r="S181" t="b">
            <v>0</v>
          </cell>
          <cell r="T181" t="b">
            <v>0</v>
          </cell>
          <cell r="U181" t="b">
            <v>0</v>
          </cell>
          <cell r="V181">
            <v>4</v>
          </cell>
          <cell r="W181" t="str">
            <v/>
          </cell>
          <cell r="X181">
            <v>4</v>
          </cell>
          <cell r="Y181" t="str">
            <v/>
          </cell>
          <cell r="Z181">
            <v>15</v>
          </cell>
          <cell r="AA181" t="str">
            <v/>
          </cell>
          <cell r="AB181">
            <v>28</v>
          </cell>
          <cell r="AC181" t="str">
            <v>Maul</v>
          </cell>
          <cell r="AD181">
            <v>108</v>
          </cell>
          <cell r="AE181" t="str">
            <v>Maul</v>
          </cell>
          <cell r="AF181" t="str">
            <v/>
          </cell>
          <cell r="AG181" t="str">
            <v/>
          </cell>
          <cell r="AH181">
            <v>0</v>
          </cell>
          <cell r="AI181" t="str">
            <v/>
          </cell>
          <cell r="AJ181" t="str">
            <v>Sugliin</v>
          </cell>
          <cell r="AK181">
            <v>0</v>
          </cell>
          <cell r="AL181" t="str">
            <v>Sugliin</v>
          </cell>
          <cell r="AM181" t="str">
            <v/>
          </cell>
          <cell r="AN181" t="str">
            <v/>
          </cell>
          <cell r="AO181">
            <v>0</v>
          </cell>
          <cell r="AP181" t="str">
            <v/>
          </cell>
          <cell r="AQ181" t="str">
            <v/>
          </cell>
          <cell r="AR181">
            <v>0</v>
          </cell>
          <cell r="AS181" t="str">
            <v>Maul</v>
          </cell>
        </row>
        <row r="182">
          <cell r="A182" t="str">
            <v>Mind Arrow</v>
          </cell>
          <cell r="B182" t="str">
            <v>Mind Arrow</v>
          </cell>
          <cell r="D182" t="str">
            <v>M</v>
          </cell>
          <cell r="E182" t="str">
            <v>R</v>
          </cell>
          <cell r="F182">
            <v>6</v>
          </cell>
          <cell r="H182">
            <v>20</v>
          </cell>
          <cell r="I182">
            <v>3</v>
          </cell>
          <cell r="K182">
            <v>110</v>
          </cell>
          <cell r="L182">
            <v>2</v>
          </cell>
          <cell r="M182" t="str">
            <v>P</v>
          </cell>
          <cell r="Q182" t="b">
            <v>0</v>
          </cell>
          <cell r="R182" t="b">
            <v>0</v>
          </cell>
          <cell r="S182" t="b">
            <v>0</v>
          </cell>
          <cell r="T182" t="b">
            <v>0</v>
          </cell>
          <cell r="U182" t="b">
            <v>0</v>
          </cell>
          <cell r="V182">
            <v>4</v>
          </cell>
          <cell r="W182" t="str">
            <v/>
          </cell>
          <cell r="X182">
            <v>4</v>
          </cell>
          <cell r="Y182" t="str">
            <v/>
          </cell>
          <cell r="Z182">
            <v>15</v>
          </cell>
          <cell r="AA182" t="str">
            <v/>
          </cell>
          <cell r="AB182">
            <v>29</v>
          </cell>
          <cell r="AC182" t="str">
            <v>Mind Arrow</v>
          </cell>
          <cell r="AD182">
            <v>108</v>
          </cell>
          <cell r="AE182" t="str">
            <v/>
          </cell>
          <cell r="AF182" t="str">
            <v/>
          </cell>
          <cell r="AG182" t="str">
            <v/>
          </cell>
          <cell r="AH182">
            <v>0</v>
          </cell>
          <cell r="AI182" t="str">
            <v/>
          </cell>
          <cell r="AJ182" t="str">
            <v>Sword, Bastard</v>
          </cell>
          <cell r="AK182">
            <v>6</v>
          </cell>
          <cell r="AL182" t="str">
            <v>Bastard Sword</v>
          </cell>
          <cell r="AM182" t="str">
            <v/>
          </cell>
          <cell r="AN182" t="str">
            <v/>
          </cell>
          <cell r="AO182">
            <v>0</v>
          </cell>
          <cell r="AP182" t="str">
            <v/>
          </cell>
          <cell r="AQ182" t="str">
            <v/>
          </cell>
          <cell r="AR182">
            <v>0</v>
          </cell>
          <cell r="AS182" t="str">
            <v>Mind Arrow</v>
          </cell>
        </row>
        <row r="183">
          <cell r="A183" t="str">
            <v>Mind Blade</v>
          </cell>
          <cell r="B183" t="str">
            <v>Mind Blade</v>
          </cell>
          <cell r="D183" t="str">
            <v>M</v>
          </cell>
          <cell r="E183" t="str">
            <v>L</v>
          </cell>
          <cell r="F183">
            <v>5</v>
          </cell>
          <cell r="H183">
            <v>19</v>
          </cell>
          <cell r="I183">
            <v>2</v>
          </cell>
          <cell r="K183">
            <v>30</v>
          </cell>
          <cell r="L183">
            <v>2</v>
          </cell>
          <cell r="M183" t="str">
            <v>P</v>
          </cell>
          <cell r="Q183" t="b">
            <v>0</v>
          </cell>
          <cell r="R183" t="b">
            <v>0</v>
          </cell>
          <cell r="S183" t="b">
            <v>0</v>
          </cell>
          <cell r="T183" t="b">
            <v>0</v>
          </cell>
          <cell r="U183" t="b">
            <v>0</v>
          </cell>
          <cell r="V183">
            <v>4</v>
          </cell>
          <cell r="W183" t="str">
            <v/>
          </cell>
          <cell r="X183">
            <v>4</v>
          </cell>
          <cell r="Y183" t="str">
            <v/>
          </cell>
          <cell r="Z183">
            <v>15</v>
          </cell>
          <cell r="AA183" t="str">
            <v/>
          </cell>
          <cell r="AB183">
            <v>30</v>
          </cell>
          <cell r="AC183" t="str">
            <v>Mind Blade</v>
          </cell>
          <cell r="AD183">
            <v>108</v>
          </cell>
          <cell r="AE183" t="str">
            <v/>
          </cell>
          <cell r="AF183" t="str">
            <v/>
          </cell>
          <cell r="AG183" t="str">
            <v/>
          </cell>
          <cell r="AH183">
            <v>0</v>
          </cell>
          <cell r="AI183" t="str">
            <v/>
          </cell>
          <cell r="AJ183" t="str">
            <v>Sword, Butterfly</v>
          </cell>
          <cell r="AK183">
            <v>6</v>
          </cell>
          <cell r="AL183" t="str">
            <v>Butterfly Sword</v>
          </cell>
          <cell r="AM183" t="str">
            <v/>
          </cell>
          <cell r="AN183" t="str">
            <v/>
          </cell>
          <cell r="AO183">
            <v>0</v>
          </cell>
          <cell r="AP183" t="str">
            <v/>
          </cell>
          <cell r="AQ183" t="str">
            <v/>
          </cell>
          <cell r="AR183">
            <v>0</v>
          </cell>
          <cell r="AS183" t="str">
            <v>Mind Blade</v>
          </cell>
        </row>
        <row r="184">
          <cell r="A184" t="str">
            <v>Morningstar</v>
          </cell>
          <cell r="B184" t="str">
            <v>Morningstar</v>
          </cell>
          <cell r="D184" t="str">
            <v>S</v>
          </cell>
          <cell r="E184" t="str">
            <v>O</v>
          </cell>
          <cell r="F184">
            <v>6</v>
          </cell>
          <cell r="H184">
            <v>20</v>
          </cell>
          <cell r="I184">
            <v>2</v>
          </cell>
          <cell r="L184">
            <v>6</v>
          </cell>
          <cell r="M184" t="str">
            <v>B/P</v>
          </cell>
          <cell r="Q184" t="b">
            <v>0</v>
          </cell>
          <cell r="R184" t="b">
            <v>0</v>
          </cell>
          <cell r="S184" t="b">
            <v>0</v>
          </cell>
          <cell r="T184" t="b">
            <v>0</v>
          </cell>
          <cell r="U184" t="b">
            <v>0</v>
          </cell>
          <cell r="V184">
            <v>4</v>
          </cell>
          <cell r="W184" t="str">
            <v/>
          </cell>
          <cell r="X184">
            <v>4</v>
          </cell>
          <cell r="Y184" t="str">
            <v/>
          </cell>
          <cell r="Z184">
            <v>16</v>
          </cell>
          <cell r="AA184" t="str">
            <v>Morningstar</v>
          </cell>
          <cell r="AB184">
            <v>30</v>
          </cell>
          <cell r="AC184" t="str">
            <v/>
          </cell>
          <cell r="AD184">
            <v>108</v>
          </cell>
          <cell r="AE184" t="str">
            <v/>
          </cell>
          <cell r="AF184" t="str">
            <v/>
          </cell>
          <cell r="AG184" t="str">
            <v/>
          </cell>
          <cell r="AH184">
            <v>0</v>
          </cell>
          <cell r="AI184" t="str">
            <v/>
          </cell>
          <cell r="AJ184" t="str">
            <v>Sword, Short Broadblade</v>
          </cell>
          <cell r="AK184">
            <v>6</v>
          </cell>
          <cell r="AL184" t="str">
            <v>Short Broadblade Sword</v>
          </cell>
          <cell r="AM184" t="str">
            <v/>
          </cell>
          <cell r="AN184" t="str">
            <v/>
          </cell>
          <cell r="AO184">
            <v>0</v>
          </cell>
          <cell r="AP184" t="str">
            <v/>
          </cell>
          <cell r="AQ184" t="str">
            <v/>
          </cell>
          <cell r="AR184">
            <v>0</v>
          </cell>
          <cell r="AS184" t="str">
            <v>Morningstar</v>
          </cell>
        </row>
        <row r="185">
          <cell r="A185" t="str">
            <v>Musket</v>
          </cell>
          <cell r="B185" t="str">
            <v>Musket</v>
          </cell>
          <cell r="D185" t="str">
            <v>E</v>
          </cell>
          <cell r="E185" t="str">
            <v>M</v>
          </cell>
          <cell r="F185">
            <v>8</v>
          </cell>
          <cell r="H185">
            <v>20</v>
          </cell>
          <cell r="I185">
            <v>3</v>
          </cell>
          <cell r="K185">
            <v>150</v>
          </cell>
          <cell r="L185">
            <v>10</v>
          </cell>
          <cell r="M185" t="str">
            <v>P</v>
          </cell>
          <cell r="Q185" t="b">
            <v>0</v>
          </cell>
          <cell r="R185" t="b">
            <v>0</v>
          </cell>
          <cell r="S185" t="b">
            <v>0</v>
          </cell>
          <cell r="T185" t="b">
            <v>0</v>
          </cell>
          <cell r="U185" t="b">
            <v>0</v>
          </cell>
          <cell r="V185">
            <v>4</v>
          </cell>
          <cell r="W185" t="str">
            <v/>
          </cell>
          <cell r="X185">
            <v>4</v>
          </cell>
          <cell r="Y185" t="str">
            <v/>
          </cell>
          <cell r="Z185">
            <v>16</v>
          </cell>
          <cell r="AA185" t="str">
            <v/>
          </cell>
          <cell r="AB185">
            <v>30</v>
          </cell>
          <cell r="AC185" t="str">
            <v/>
          </cell>
          <cell r="AD185">
            <v>109</v>
          </cell>
          <cell r="AE185" t="str">
            <v>Musket</v>
          </cell>
          <cell r="AF185" t="str">
            <v/>
          </cell>
          <cell r="AG185" t="str">
            <v/>
          </cell>
          <cell r="AH185">
            <v>0</v>
          </cell>
          <cell r="AI185" t="str">
            <v/>
          </cell>
          <cell r="AJ185" t="str">
            <v>Sword, Two-bladed</v>
          </cell>
          <cell r="AK185">
            <v>6</v>
          </cell>
          <cell r="AL185" t="str">
            <v>Two-bladed Sword</v>
          </cell>
          <cell r="AM185" t="str">
            <v/>
          </cell>
          <cell r="AN185" t="str">
            <v/>
          </cell>
          <cell r="AO185">
            <v>0</v>
          </cell>
          <cell r="AP185" t="str">
            <v/>
          </cell>
          <cell r="AQ185" t="str">
            <v/>
          </cell>
          <cell r="AR185">
            <v>0</v>
          </cell>
          <cell r="AS185" t="str">
            <v>Musket</v>
          </cell>
        </row>
        <row r="186">
          <cell r="A186" t="str">
            <v>Muspelrule</v>
          </cell>
          <cell r="B186" t="str">
            <v>Muspelrule</v>
          </cell>
          <cell r="D186" t="str">
            <v>S</v>
          </cell>
          <cell r="E186" t="str">
            <v>L</v>
          </cell>
          <cell r="F186">
            <v>4</v>
          </cell>
          <cell r="H186">
            <v>19</v>
          </cell>
          <cell r="I186">
            <v>2</v>
          </cell>
          <cell r="L186">
            <v>1</v>
          </cell>
          <cell r="M186" t="str">
            <v>B</v>
          </cell>
          <cell r="R186" t="b">
            <v>0</v>
          </cell>
          <cell r="S186" t="b">
            <v>0</v>
          </cell>
          <cell r="T186" t="b">
            <v>0</v>
          </cell>
          <cell r="U186" t="b">
            <v>0</v>
          </cell>
          <cell r="V186">
            <v>4</v>
          </cell>
          <cell r="W186" t="str">
            <v/>
          </cell>
          <cell r="X186">
            <v>4</v>
          </cell>
          <cell r="Y186" t="str">
            <v/>
          </cell>
          <cell r="Z186">
            <v>17</v>
          </cell>
          <cell r="AA186" t="str">
            <v>Muspelrule</v>
          </cell>
          <cell r="AB186">
            <v>30</v>
          </cell>
          <cell r="AC186" t="str">
            <v/>
          </cell>
          <cell r="AD186">
            <v>109</v>
          </cell>
          <cell r="AE186" t="str">
            <v/>
          </cell>
          <cell r="AF186" t="str">
            <v/>
          </cell>
          <cell r="AG186" t="str">
            <v/>
          </cell>
          <cell r="AH186">
            <v>0</v>
          </cell>
          <cell r="AI186" t="str">
            <v/>
          </cell>
          <cell r="AJ186" t="str">
            <v>Swordcatcher, Gnome</v>
          </cell>
          <cell r="AK186">
            <v>13</v>
          </cell>
          <cell r="AL186" t="str">
            <v>Gnome Swordcatcher</v>
          </cell>
          <cell r="AM186" t="str">
            <v/>
          </cell>
          <cell r="AN186" t="str">
            <v/>
          </cell>
          <cell r="AO186">
            <v>0</v>
          </cell>
          <cell r="AP186" t="str">
            <v/>
          </cell>
          <cell r="AQ186" t="str">
            <v/>
          </cell>
          <cell r="AR186">
            <v>0</v>
          </cell>
          <cell r="AS186" t="str">
            <v>Muspelrule</v>
          </cell>
        </row>
        <row r="187">
          <cell r="A187" t="str">
            <v>Nagamaki</v>
          </cell>
          <cell r="B187" t="str">
            <v>Nagamaki</v>
          </cell>
          <cell r="C187" t="str">
            <v>OA</v>
          </cell>
          <cell r="D187" t="str">
            <v>M</v>
          </cell>
          <cell r="E187" t="str">
            <v>T</v>
          </cell>
          <cell r="F187">
            <v>9</v>
          </cell>
          <cell r="H187">
            <v>20</v>
          </cell>
          <cell r="I187">
            <v>3</v>
          </cell>
          <cell r="L187">
            <v>10</v>
          </cell>
          <cell r="M187" t="str">
            <v>S</v>
          </cell>
          <cell r="R187" t="b">
            <v>0</v>
          </cell>
          <cell r="S187" t="b">
            <v>0</v>
          </cell>
          <cell r="T187" t="b">
            <v>0</v>
          </cell>
          <cell r="U187" t="b">
            <v>0</v>
          </cell>
          <cell r="V187">
            <v>4</v>
          </cell>
          <cell r="W187" t="str">
            <v/>
          </cell>
          <cell r="X187">
            <v>4</v>
          </cell>
          <cell r="Y187" t="str">
            <v/>
          </cell>
          <cell r="Z187">
            <v>17</v>
          </cell>
          <cell r="AA187" t="str">
            <v/>
          </cell>
          <cell r="AB187">
            <v>31</v>
          </cell>
          <cell r="AC187" t="str">
            <v>Nagamaki</v>
          </cell>
          <cell r="AD187">
            <v>109</v>
          </cell>
          <cell r="AE187" t="str">
            <v/>
          </cell>
          <cell r="AF187" t="str">
            <v/>
          </cell>
          <cell r="AG187" t="str">
            <v/>
          </cell>
          <cell r="AH187">
            <v>0</v>
          </cell>
          <cell r="AI187" t="str">
            <v/>
          </cell>
          <cell r="AJ187" t="str">
            <v>Tangat, Talenta</v>
          </cell>
          <cell r="AK187">
            <v>7</v>
          </cell>
          <cell r="AL187" t="str">
            <v>Talenta Tangat</v>
          </cell>
          <cell r="AM187" t="str">
            <v/>
          </cell>
          <cell r="AN187" t="str">
            <v/>
          </cell>
          <cell r="AO187">
            <v>0</v>
          </cell>
          <cell r="AP187" t="str">
            <v/>
          </cell>
          <cell r="AQ187" t="str">
            <v/>
          </cell>
          <cell r="AR187">
            <v>0</v>
          </cell>
          <cell r="AS187" t="str">
            <v>Nagamaki</v>
          </cell>
        </row>
        <row r="188">
          <cell r="A188" t="str">
            <v>Naginata</v>
          </cell>
          <cell r="B188" t="str">
            <v>Naginata</v>
          </cell>
          <cell r="C188" t="str">
            <v>OA</v>
          </cell>
          <cell r="D188" t="str">
            <v>M</v>
          </cell>
          <cell r="E188" t="str">
            <v>T</v>
          </cell>
          <cell r="F188">
            <v>7</v>
          </cell>
          <cell r="H188">
            <v>20</v>
          </cell>
          <cell r="I188">
            <v>3</v>
          </cell>
          <cell r="L188">
            <v>15</v>
          </cell>
          <cell r="M188" t="str">
            <v>S</v>
          </cell>
          <cell r="O188" t="b">
            <v>1</v>
          </cell>
          <cell r="R188" t="b">
            <v>0</v>
          </cell>
          <cell r="S188" t="b">
            <v>0</v>
          </cell>
          <cell r="T188" t="b">
            <v>0</v>
          </cell>
          <cell r="U188" t="b">
            <v>0</v>
          </cell>
          <cell r="V188">
            <v>4</v>
          </cell>
          <cell r="W188" t="str">
            <v/>
          </cell>
          <cell r="X188">
            <v>4</v>
          </cell>
          <cell r="Y188" t="str">
            <v/>
          </cell>
          <cell r="Z188">
            <v>17</v>
          </cell>
          <cell r="AA188" t="str">
            <v/>
          </cell>
          <cell r="AB188">
            <v>32</v>
          </cell>
          <cell r="AC188" t="str">
            <v>Naginata</v>
          </cell>
          <cell r="AD188">
            <v>109</v>
          </cell>
          <cell r="AE188" t="str">
            <v/>
          </cell>
          <cell r="AF188" t="str">
            <v/>
          </cell>
          <cell r="AG188" t="str">
            <v/>
          </cell>
          <cell r="AH188">
            <v>0</v>
          </cell>
          <cell r="AI188" t="str">
            <v/>
          </cell>
          <cell r="AJ188" t="str">
            <v>Thinblade, Elven</v>
          </cell>
          <cell r="AK188">
            <v>10</v>
          </cell>
          <cell r="AL188" t="str">
            <v>Elven Thinblade</v>
          </cell>
          <cell r="AM188" t="str">
            <v/>
          </cell>
          <cell r="AN188" t="str">
            <v/>
          </cell>
          <cell r="AO188">
            <v>0</v>
          </cell>
          <cell r="AP188" t="str">
            <v/>
          </cell>
          <cell r="AQ188" t="str">
            <v/>
          </cell>
          <cell r="AR188">
            <v>0</v>
          </cell>
          <cell r="AS188" t="str">
            <v>Naginata</v>
          </cell>
        </row>
        <row r="189">
          <cell r="A189" t="str">
            <v>Net</v>
          </cell>
          <cell r="B189" t="str">
            <v>Net</v>
          </cell>
          <cell r="D189" t="str">
            <v>E</v>
          </cell>
          <cell r="E189" t="str">
            <v>R</v>
          </cell>
          <cell r="F189">
            <v>13</v>
          </cell>
          <cell r="K189">
            <v>10</v>
          </cell>
          <cell r="L189">
            <v>6</v>
          </cell>
          <cell r="M189" t="str">
            <v>-</v>
          </cell>
          <cell r="Q189" t="b">
            <v>0</v>
          </cell>
          <cell r="R189" t="b">
            <v>0</v>
          </cell>
          <cell r="S189" t="b">
            <v>0</v>
          </cell>
          <cell r="T189" t="b">
            <v>0</v>
          </cell>
          <cell r="U189" t="b">
            <v>0</v>
          </cell>
          <cell r="V189">
            <v>4</v>
          </cell>
          <cell r="W189" t="str">
            <v/>
          </cell>
          <cell r="X189">
            <v>4</v>
          </cell>
          <cell r="Y189" t="str">
            <v/>
          </cell>
          <cell r="Z189">
            <v>17</v>
          </cell>
          <cell r="AA189" t="str">
            <v/>
          </cell>
          <cell r="AB189">
            <v>32</v>
          </cell>
          <cell r="AC189" t="str">
            <v/>
          </cell>
          <cell r="AD189">
            <v>110</v>
          </cell>
          <cell r="AE189" t="str">
            <v>Net</v>
          </cell>
          <cell r="AF189" t="str">
            <v/>
          </cell>
          <cell r="AG189" t="str">
            <v/>
          </cell>
          <cell r="AH189">
            <v>0</v>
          </cell>
          <cell r="AI189" t="str">
            <v/>
          </cell>
          <cell r="AJ189" t="str">
            <v>Thrombash</v>
          </cell>
          <cell r="AK189">
            <v>0</v>
          </cell>
          <cell r="AL189" t="str">
            <v>Thrombash</v>
          </cell>
          <cell r="AM189" t="str">
            <v/>
          </cell>
          <cell r="AN189" t="str">
            <v/>
          </cell>
          <cell r="AO189">
            <v>0</v>
          </cell>
          <cell r="AP189" t="str">
            <v/>
          </cell>
          <cell r="AQ189" t="str">
            <v/>
          </cell>
          <cell r="AR189">
            <v>0</v>
          </cell>
          <cell r="AS189" t="str">
            <v>Net</v>
          </cell>
        </row>
        <row r="190">
          <cell r="A190" t="str">
            <v>Nekode</v>
          </cell>
          <cell r="B190" t="str">
            <v>Nekode</v>
          </cell>
          <cell r="C190" t="str">
            <v>OA</v>
          </cell>
          <cell r="D190" t="str">
            <v>E</v>
          </cell>
          <cell r="E190" t="str">
            <v>L</v>
          </cell>
          <cell r="F190">
            <v>4</v>
          </cell>
          <cell r="H190">
            <v>20</v>
          </cell>
          <cell r="I190">
            <v>2</v>
          </cell>
          <cell r="L190">
            <v>2</v>
          </cell>
          <cell r="M190" t="str">
            <v>P</v>
          </cell>
          <cell r="Q190" t="b">
            <v>0</v>
          </cell>
          <cell r="R190" t="b">
            <v>0</v>
          </cell>
          <cell r="S190" t="b">
            <v>0</v>
          </cell>
          <cell r="T190" t="b">
            <v>0</v>
          </cell>
          <cell r="U190" t="b">
            <v>0</v>
          </cell>
          <cell r="V190">
            <v>4</v>
          </cell>
          <cell r="W190" t="str">
            <v/>
          </cell>
          <cell r="X190">
            <v>4</v>
          </cell>
          <cell r="Y190" t="str">
            <v/>
          </cell>
          <cell r="Z190">
            <v>17</v>
          </cell>
          <cell r="AA190" t="str">
            <v/>
          </cell>
          <cell r="AB190">
            <v>32</v>
          </cell>
          <cell r="AC190" t="str">
            <v/>
          </cell>
          <cell r="AD190">
            <v>111</v>
          </cell>
          <cell r="AE190" t="str">
            <v>Nekode</v>
          </cell>
          <cell r="AF190" t="str">
            <v/>
          </cell>
          <cell r="AG190" t="str">
            <v/>
          </cell>
          <cell r="AH190">
            <v>0</v>
          </cell>
          <cell r="AI190" t="str">
            <v/>
          </cell>
          <cell r="AJ190" t="str">
            <v>Throwing-knife, Desert</v>
          </cell>
          <cell r="AK190">
            <v>15</v>
          </cell>
          <cell r="AL190" t="str">
            <v>Desert Throwing-knife</v>
          </cell>
          <cell r="AM190" t="str">
            <v/>
          </cell>
          <cell r="AN190" t="str">
            <v/>
          </cell>
          <cell r="AO190">
            <v>0</v>
          </cell>
          <cell r="AP190" t="str">
            <v/>
          </cell>
          <cell r="AQ190" t="str">
            <v/>
          </cell>
          <cell r="AR190">
            <v>0</v>
          </cell>
          <cell r="AS190" t="str">
            <v>Nekode</v>
          </cell>
        </row>
        <row r="191">
          <cell r="A191" t="str">
            <v>Ninja-to</v>
          </cell>
          <cell r="B191" t="str">
            <v>Ninja-to</v>
          </cell>
          <cell r="C191" t="str">
            <v>OA</v>
          </cell>
          <cell r="D191" t="str">
            <v>E</v>
          </cell>
          <cell r="E191" t="str">
            <v>L</v>
          </cell>
          <cell r="F191">
            <v>5</v>
          </cell>
          <cell r="H191">
            <v>19</v>
          </cell>
          <cell r="I191">
            <v>2</v>
          </cell>
          <cell r="L191">
            <v>3</v>
          </cell>
          <cell r="M191" t="str">
            <v>S</v>
          </cell>
          <cell r="Q191" t="b">
            <v>0</v>
          </cell>
          <cell r="R191" t="b">
            <v>0</v>
          </cell>
          <cell r="S191" t="b">
            <v>0</v>
          </cell>
          <cell r="T191" t="b">
            <v>0</v>
          </cell>
          <cell r="U191" t="b">
            <v>0</v>
          </cell>
          <cell r="V191">
            <v>4</v>
          </cell>
          <cell r="W191" t="str">
            <v/>
          </cell>
          <cell r="X191">
            <v>4</v>
          </cell>
          <cell r="Y191" t="str">
            <v/>
          </cell>
          <cell r="Z191">
            <v>17</v>
          </cell>
          <cell r="AA191" t="str">
            <v/>
          </cell>
          <cell r="AB191">
            <v>32</v>
          </cell>
          <cell r="AC191" t="str">
            <v/>
          </cell>
          <cell r="AD191">
            <v>112</v>
          </cell>
          <cell r="AE191" t="str">
            <v>Ninja-to</v>
          </cell>
          <cell r="AF191" t="str">
            <v/>
          </cell>
          <cell r="AG191" t="str">
            <v/>
          </cell>
          <cell r="AH191">
            <v>0</v>
          </cell>
          <cell r="AI191" t="str">
            <v/>
          </cell>
          <cell r="AJ191" t="str">
            <v>Tonfa</v>
          </cell>
          <cell r="AK191">
            <v>0</v>
          </cell>
          <cell r="AL191" t="str">
            <v>Tonfa</v>
          </cell>
          <cell r="AM191" t="str">
            <v/>
          </cell>
          <cell r="AN191" t="str">
            <v/>
          </cell>
          <cell r="AO191">
            <v>0</v>
          </cell>
          <cell r="AP191" t="str">
            <v/>
          </cell>
          <cell r="AQ191" t="str">
            <v/>
          </cell>
          <cell r="AR191">
            <v>0</v>
          </cell>
          <cell r="AS191" t="str">
            <v>Ninja-to</v>
          </cell>
        </row>
        <row r="192">
          <cell r="A192" t="str">
            <v>Notbora</v>
          </cell>
          <cell r="B192" t="str">
            <v>Notbora</v>
          </cell>
          <cell r="D192" t="str">
            <v>E</v>
          </cell>
          <cell r="E192" t="str">
            <v>T</v>
          </cell>
          <cell r="F192">
            <v>9</v>
          </cell>
          <cell r="G192">
            <v>9</v>
          </cell>
          <cell r="H192">
            <v>19</v>
          </cell>
          <cell r="I192">
            <v>2</v>
          </cell>
          <cell r="J192">
            <v>2</v>
          </cell>
          <cell r="L192">
            <v>1</v>
          </cell>
          <cell r="M192" t="str">
            <v>B/S</v>
          </cell>
          <cell r="Q192" t="b">
            <v>0</v>
          </cell>
          <cell r="R192" t="b">
            <v>0</v>
          </cell>
          <cell r="S192" t="b">
            <v>0</v>
          </cell>
          <cell r="T192" t="b">
            <v>0</v>
          </cell>
          <cell r="U192" t="b">
            <v>0</v>
          </cell>
          <cell r="V192">
            <v>4</v>
          </cell>
          <cell r="W192" t="str">
            <v/>
          </cell>
          <cell r="X192">
            <v>4</v>
          </cell>
          <cell r="Y192" t="str">
            <v/>
          </cell>
          <cell r="Z192">
            <v>17</v>
          </cell>
          <cell r="AA192" t="str">
            <v/>
          </cell>
          <cell r="AB192">
            <v>32</v>
          </cell>
          <cell r="AC192" t="str">
            <v/>
          </cell>
          <cell r="AD192">
            <v>113</v>
          </cell>
          <cell r="AE192" t="str">
            <v>Notbora</v>
          </cell>
          <cell r="AF192" t="str">
            <v/>
          </cell>
          <cell r="AG192" t="str">
            <v/>
          </cell>
          <cell r="AH192">
            <v>0</v>
          </cell>
          <cell r="AI192" t="str">
            <v/>
          </cell>
          <cell r="AJ192" t="str">
            <v>Tortoise blade, Gnome</v>
          </cell>
          <cell r="AK192">
            <v>15</v>
          </cell>
          <cell r="AL192" t="str">
            <v>Gnome Tortoise blade</v>
          </cell>
          <cell r="AM192" t="str">
            <v/>
          </cell>
          <cell r="AN192" t="str">
            <v/>
          </cell>
          <cell r="AO192">
            <v>0</v>
          </cell>
          <cell r="AP192" t="str">
            <v/>
          </cell>
          <cell r="AQ192" t="str">
            <v/>
          </cell>
          <cell r="AR192">
            <v>0</v>
          </cell>
          <cell r="AS192" t="str">
            <v>Notbora</v>
          </cell>
        </row>
        <row r="193">
          <cell r="A193" t="str">
            <v>Nunchaku</v>
          </cell>
          <cell r="B193" t="str">
            <v>Nunchaku</v>
          </cell>
          <cell r="D193" t="str">
            <v>E</v>
          </cell>
          <cell r="E193" t="str">
            <v>L</v>
          </cell>
          <cell r="F193">
            <v>5</v>
          </cell>
          <cell r="H193">
            <v>20</v>
          </cell>
          <cell r="I193">
            <v>2</v>
          </cell>
          <cell r="L193">
            <v>2</v>
          </cell>
          <cell r="M193" t="str">
            <v>B</v>
          </cell>
          <cell r="P193" t="str">
            <v>U</v>
          </cell>
          <cell r="Q193" t="b">
            <v>0</v>
          </cell>
          <cell r="R193" t="b">
            <v>0</v>
          </cell>
          <cell r="S193" t="b">
            <v>0</v>
          </cell>
          <cell r="T193" t="b">
            <v>0</v>
          </cell>
          <cell r="U193" t="b">
            <v>0</v>
          </cell>
          <cell r="V193">
            <v>4</v>
          </cell>
          <cell r="W193" t="str">
            <v/>
          </cell>
          <cell r="X193">
            <v>4</v>
          </cell>
          <cell r="Y193" t="str">
            <v/>
          </cell>
          <cell r="Z193">
            <v>17</v>
          </cell>
          <cell r="AA193" t="str">
            <v/>
          </cell>
          <cell r="AB193">
            <v>32</v>
          </cell>
          <cell r="AC193" t="str">
            <v/>
          </cell>
          <cell r="AD193">
            <v>114</v>
          </cell>
          <cell r="AE193" t="str">
            <v>Nunchaku</v>
          </cell>
          <cell r="AF193" t="str">
            <v/>
          </cell>
          <cell r="AG193" t="str">
            <v/>
          </cell>
          <cell r="AH193">
            <v>0</v>
          </cell>
          <cell r="AI193" t="str">
            <v/>
          </cell>
          <cell r="AJ193" t="str">
            <v>Urgrosh, Dwarven</v>
          </cell>
          <cell r="AK193">
            <v>8</v>
          </cell>
          <cell r="AL193" t="str">
            <v>Dwarven Urgrosh</v>
          </cell>
          <cell r="AM193" t="str">
            <v/>
          </cell>
          <cell r="AN193" t="str">
            <v/>
          </cell>
          <cell r="AO193">
            <v>0</v>
          </cell>
          <cell r="AP193" t="str">
            <v/>
          </cell>
          <cell r="AQ193" t="str">
            <v/>
          </cell>
          <cell r="AR193">
            <v>0</v>
          </cell>
          <cell r="AS193" t="str">
            <v>Nunchaku</v>
          </cell>
        </row>
        <row r="194">
          <cell r="A194" t="str">
            <v>Petard, doorbreaker</v>
          </cell>
          <cell r="B194" t="str">
            <v>Petard, doorbreaker</v>
          </cell>
          <cell r="D194" t="str">
            <v>E</v>
          </cell>
          <cell r="E194" t="str">
            <v>T</v>
          </cell>
          <cell r="R194" t="b">
            <v>0</v>
          </cell>
          <cell r="S194" t="b">
            <v>0</v>
          </cell>
          <cell r="T194" t="b">
            <v>0</v>
          </cell>
          <cell r="U194" t="b">
            <v>0</v>
          </cell>
          <cell r="V194">
            <v>4</v>
          </cell>
          <cell r="W194" t="str">
            <v/>
          </cell>
          <cell r="X194">
            <v>4</v>
          </cell>
          <cell r="Y194" t="str">
            <v/>
          </cell>
          <cell r="Z194">
            <v>17</v>
          </cell>
          <cell r="AA194" t="str">
            <v/>
          </cell>
          <cell r="AB194">
            <v>32</v>
          </cell>
          <cell r="AC194" t="str">
            <v/>
          </cell>
          <cell r="AD194">
            <v>115</v>
          </cell>
          <cell r="AE194" t="str">
            <v>Petard, doorbreaker</v>
          </cell>
          <cell r="AF194" t="str">
            <v/>
          </cell>
          <cell r="AG194" t="str">
            <v/>
          </cell>
          <cell r="AH194">
            <v>0</v>
          </cell>
          <cell r="AI194" t="str">
            <v/>
          </cell>
          <cell r="AJ194" t="str">
            <v>War Spikard</v>
          </cell>
          <cell r="AK194">
            <v>0</v>
          </cell>
          <cell r="AL194" t="str">
            <v>War Spikard</v>
          </cell>
          <cell r="AM194" t="str">
            <v/>
          </cell>
          <cell r="AN194" t="str">
            <v/>
          </cell>
          <cell r="AO194">
            <v>0</v>
          </cell>
          <cell r="AP194" t="str">
            <v/>
          </cell>
          <cell r="AQ194" t="str">
            <v/>
          </cell>
          <cell r="AR194">
            <v>7</v>
          </cell>
          <cell r="AS194" t="str">
            <v>doorbreaker Petard</v>
          </cell>
        </row>
        <row r="195">
          <cell r="A195" t="str">
            <v>Petard, triggered</v>
          </cell>
          <cell r="B195" t="str">
            <v>Petard, triggered</v>
          </cell>
          <cell r="D195" t="str">
            <v>E</v>
          </cell>
          <cell r="E195" t="str">
            <v>T</v>
          </cell>
          <cell r="F195">
            <v>13</v>
          </cell>
          <cell r="R195" t="b">
            <v>0</v>
          </cell>
          <cell r="S195" t="b">
            <v>0</v>
          </cell>
          <cell r="T195" t="b">
            <v>0</v>
          </cell>
          <cell r="U195" t="b">
            <v>0</v>
          </cell>
          <cell r="V195">
            <v>4</v>
          </cell>
          <cell r="W195" t="str">
            <v/>
          </cell>
          <cell r="X195">
            <v>4</v>
          </cell>
          <cell r="Y195" t="str">
            <v/>
          </cell>
          <cell r="Z195">
            <v>17</v>
          </cell>
          <cell r="AA195" t="str">
            <v/>
          </cell>
          <cell r="AB195">
            <v>32</v>
          </cell>
          <cell r="AC195" t="str">
            <v/>
          </cell>
          <cell r="AD195">
            <v>116</v>
          </cell>
          <cell r="AE195" t="str">
            <v>Petard, triggered</v>
          </cell>
          <cell r="AF195" t="str">
            <v/>
          </cell>
          <cell r="AG195" t="str">
            <v/>
          </cell>
          <cell r="AH195">
            <v>0</v>
          </cell>
          <cell r="AI195" t="str">
            <v/>
          </cell>
          <cell r="AJ195" t="str">
            <v>Waraxe, Dwarven</v>
          </cell>
          <cell r="AK195">
            <v>7</v>
          </cell>
          <cell r="AL195" t="str">
            <v>Dwarven Waraxe</v>
          </cell>
          <cell r="AM195" t="str">
            <v/>
          </cell>
          <cell r="AN195" t="str">
            <v/>
          </cell>
          <cell r="AO195">
            <v>0</v>
          </cell>
          <cell r="AP195" t="str">
            <v/>
          </cell>
          <cell r="AQ195" t="str">
            <v/>
          </cell>
          <cell r="AR195">
            <v>7</v>
          </cell>
          <cell r="AS195" t="str">
            <v>triggered Petard</v>
          </cell>
        </row>
        <row r="196">
          <cell r="A196" t="str">
            <v>Pick, Dire</v>
          </cell>
          <cell r="B196" t="str">
            <v>Pick, Dire</v>
          </cell>
          <cell r="D196" t="str">
            <v>E</v>
          </cell>
          <cell r="E196" t="str">
            <v>O</v>
          </cell>
          <cell r="F196">
            <v>6</v>
          </cell>
          <cell r="H196">
            <v>20</v>
          </cell>
          <cell r="I196">
            <v>4</v>
          </cell>
          <cell r="L196">
            <v>12</v>
          </cell>
          <cell r="M196" t="str">
            <v>P</v>
          </cell>
          <cell r="P196" t="str">
            <v>X</v>
          </cell>
          <cell r="R196" t="b">
            <v>0</v>
          </cell>
          <cell r="S196" t="b">
            <v>0</v>
          </cell>
          <cell r="T196" t="b">
            <v>0</v>
          </cell>
          <cell r="U196" t="b">
            <v>0</v>
          </cell>
          <cell r="V196">
            <v>4</v>
          </cell>
          <cell r="W196" t="str">
            <v/>
          </cell>
          <cell r="X196">
            <v>4</v>
          </cell>
          <cell r="Y196" t="str">
            <v/>
          </cell>
          <cell r="Z196">
            <v>17</v>
          </cell>
          <cell r="AA196" t="str">
            <v/>
          </cell>
          <cell r="AB196">
            <v>33</v>
          </cell>
          <cell r="AC196" t="str">
            <v>Pick, Dire</v>
          </cell>
          <cell r="AD196">
            <v>117</v>
          </cell>
          <cell r="AE196" t="str">
            <v>Pick, Dire</v>
          </cell>
          <cell r="AF196" t="str">
            <v/>
          </cell>
          <cell r="AG196" t="str">
            <v/>
          </cell>
          <cell r="AH196">
            <v>0</v>
          </cell>
          <cell r="AI196" t="str">
            <v/>
          </cell>
          <cell r="AJ196" t="str">
            <v>Warmace</v>
          </cell>
          <cell r="AK196">
            <v>0</v>
          </cell>
          <cell r="AL196" t="str">
            <v>Warmace</v>
          </cell>
          <cell r="AM196" t="str">
            <v/>
          </cell>
          <cell r="AN196" t="str">
            <v/>
          </cell>
          <cell r="AO196">
            <v>0</v>
          </cell>
          <cell r="AP196" t="str">
            <v/>
          </cell>
          <cell r="AQ196" t="str">
            <v/>
          </cell>
          <cell r="AR196">
            <v>5</v>
          </cell>
          <cell r="AS196" t="str">
            <v>Dire Pick</v>
          </cell>
        </row>
        <row r="197">
          <cell r="A197" t="str">
            <v>Pick, Heavy</v>
          </cell>
          <cell r="B197" t="str">
            <v>Pick, Heavy</v>
          </cell>
          <cell r="D197" t="str">
            <v>M</v>
          </cell>
          <cell r="E197" t="str">
            <v>O</v>
          </cell>
          <cell r="F197">
            <v>5</v>
          </cell>
          <cell r="H197">
            <v>20</v>
          </cell>
          <cell r="I197">
            <v>4</v>
          </cell>
          <cell r="L197">
            <v>6</v>
          </cell>
          <cell r="M197" t="str">
            <v>P</v>
          </cell>
          <cell r="Q197" t="b">
            <v>0</v>
          </cell>
          <cell r="R197" t="b">
            <v>0</v>
          </cell>
          <cell r="S197" t="b">
            <v>0</v>
          </cell>
          <cell r="T197" t="b">
            <v>0</v>
          </cell>
          <cell r="U197" t="b">
            <v>0</v>
          </cell>
          <cell r="V197">
            <v>4</v>
          </cell>
          <cell r="W197" t="str">
            <v/>
          </cell>
          <cell r="X197">
            <v>4</v>
          </cell>
          <cell r="Y197" t="str">
            <v/>
          </cell>
          <cell r="Z197">
            <v>17</v>
          </cell>
          <cell r="AA197" t="str">
            <v/>
          </cell>
          <cell r="AB197">
            <v>34</v>
          </cell>
          <cell r="AC197" t="str">
            <v>Pick, Heavy</v>
          </cell>
          <cell r="AD197">
            <v>117</v>
          </cell>
          <cell r="AE197" t="str">
            <v/>
          </cell>
          <cell r="AF197" t="str">
            <v/>
          </cell>
          <cell r="AG197" t="str">
            <v/>
          </cell>
          <cell r="AH197">
            <v>0</v>
          </cell>
          <cell r="AI197" t="str">
            <v/>
          </cell>
          <cell r="AJ197" t="str">
            <v>Warpike, Dwarven</v>
          </cell>
          <cell r="AK197">
            <v>8</v>
          </cell>
          <cell r="AL197" t="str">
            <v>Dwarven Warpike</v>
          </cell>
          <cell r="AM197" t="str">
            <v/>
          </cell>
          <cell r="AN197" t="str">
            <v/>
          </cell>
          <cell r="AO197">
            <v>0</v>
          </cell>
          <cell r="AP197" t="str">
            <v/>
          </cell>
          <cell r="AQ197" t="str">
            <v/>
          </cell>
          <cell r="AR197">
            <v>5</v>
          </cell>
          <cell r="AS197" t="str">
            <v>Heavy Pick</v>
          </cell>
        </row>
        <row r="198">
          <cell r="A198" t="str">
            <v>Pick, Light</v>
          </cell>
          <cell r="B198" t="str">
            <v>Pick, Light</v>
          </cell>
          <cell r="D198" t="str">
            <v>M</v>
          </cell>
          <cell r="E198" t="str">
            <v>L</v>
          </cell>
          <cell r="F198">
            <v>4</v>
          </cell>
          <cell r="H198">
            <v>20</v>
          </cell>
          <cell r="I198">
            <v>4</v>
          </cell>
          <cell r="L198">
            <v>3</v>
          </cell>
          <cell r="M198" t="str">
            <v>P</v>
          </cell>
          <cell r="Q198" t="b">
            <v>0</v>
          </cell>
          <cell r="R198" t="b">
            <v>0</v>
          </cell>
          <cell r="S198" t="b">
            <v>0</v>
          </cell>
          <cell r="T198" t="b">
            <v>0</v>
          </cell>
          <cell r="U198" t="b">
            <v>0</v>
          </cell>
          <cell r="V198">
            <v>4</v>
          </cell>
          <cell r="W198" t="str">
            <v/>
          </cell>
          <cell r="X198">
            <v>4</v>
          </cell>
          <cell r="Y198" t="str">
            <v/>
          </cell>
          <cell r="Z198">
            <v>17</v>
          </cell>
          <cell r="AA198" t="str">
            <v/>
          </cell>
          <cell r="AB198">
            <v>35</v>
          </cell>
          <cell r="AC198" t="str">
            <v>Pick, Light</v>
          </cell>
          <cell r="AD198">
            <v>117</v>
          </cell>
          <cell r="AE198" t="str">
            <v/>
          </cell>
          <cell r="AF198" t="str">
            <v/>
          </cell>
          <cell r="AG198" t="str">
            <v/>
          </cell>
          <cell r="AH198">
            <v>0</v>
          </cell>
          <cell r="AI198" t="str">
            <v/>
          </cell>
          <cell r="AJ198" t="str">
            <v>Whip</v>
          </cell>
          <cell r="AK198">
            <v>0</v>
          </cell>
          <cell r="AL198" t="str">
            <v>Whip</v>
          </cell>
          <cell r="AM198" t="str">
            <v/>
          </cell>
          <cell r="AN198" t="str">
            <v/>
          </cell>
          <cell r="AO198">
            <v>0</v>
          </cell>
          <cell r="AP198" t="str">
            <v/>
          </cell>
          <cell r="AQ198" t="str">
            <v/>
          </cell>
          <cell r="AR198">
            <v>5</v>
          </cell>
          <cell r="AS198" t="str">
            <v>Light Pick</v>
          </cell>
        </row>
        <row r="199">
          <cell r="A199" t="str">
            <v>Pincer Staff</v>
          </cell>
          <cell r="B199" t="str">
            <v>Pincer Staff</v>
          </cell>
          <cell r="D199" t="str">
            <v>E</v>
          </cell>
          <cell r="E199" t="str">
            <v>T</v>
          </cell>
          <cell r="F199">
            <v>7</v>
          </cell>
          <cell r="H199">
            <v>20</v>
          </cell>
          <cell r="I199">
            <v>2</v>
          </cell>
          <cell r="K199" t="str">
            <v>-</v>
          </cell>
          <cell r="L199">
            <v>15</v>
          </cell>
          <cell r="M199" t="str">
            <v>B</v>
          </cell>
          <cell r="R199" t="b">
            <v>0</v>
          </cell>
          <cell r="S199" t="b">
            <v>0</v>
          </cell>
          <cell r="T199" t="b">
            <v>0</v>
          </cell>
          <cell r="U199" t="b">
            <v>0</v>
          </cell>
          <cell r="V199">
            <v>4</v>
          </cell>
          <cell r="W199" t="str">
            <v/>
          </cell>
          <cell r="X199">
            <v>4</v>
          </cell>
          <cell r="Y199" t="str">
            <v/>
          </cell>
          <cell r="Z199">
            <v>17</v>
          </cell>
          <cell r="AA199" t="str">
            <v/>
          </cell>
          <cell r="AB199">
            <v>35</v>
          </cell>
          <cell r="AC199" t="str">
            <v/>
          </cell>
          <cell r="AD199">
            <v>118</v>
          </cell>
          <cell r="AE199" t="str">
            <v>Pincer Staff</v>
          </cell>
          <cell r="AF199" t="str">
            <v/>
          </cell>
          <cell r="AG199" t="str">
            <v/>
          </cell>
          <cell r="AH199">
            <v>0</v>
          </cell>
          <cell r="AI199" t="str">
            <v/>
          </cell>
          <cell r="AJ199" t="str">
            <v>Whip, Scorpion-tail</v>
          </cell>
          <cell r="AK199">
            <v>5</v>
          </cell>
          <cell r="AL199" t="str">
            <v>Scorpion-tail Whip</v>
          </cell>
          <cell r="AM199" t="str">
            <v/>
          </cell>
          <cell r="AN199" t="str">
            <v/>
          </cell>
          <cell r="AO199">
            <v>0</v>
          </cell>
          <cell r="AP199" t="str">
            <v/>
          </cell>
          <cell r="AQ199" t="str">
            <v/>
          </cell>
          <cell r="AR199">
            <v>0</v>
          </cell>
          <cell r="AS199" t="str">
            <v>Pincer Staff</v>
          </cell>
        </row>
        <row r="200">
          <cell r="A200" t="str">
            <v>Pistol</v>
          </cell>
          <cell r="B200" t="str">
            <v>Pistol</v>
          </cell>
          <cell r="D200" t="str">
            <v>E</v>
          </cell>
          <cell r="E200" t="str">
            <v>R</v>
          </cell>
          <cell r="F200">
            <v>8</v>
          </cell>
          <cell r="H200">
            <v>20</v>
          </cell>
          <cell r="I200">
            <v>3</v>
          </cell>
          <cell r="K200">
            <v>50</v>
          </cell>
          <cell r="L200">
            <v>3</v>
          </cell>
          <cell r="M200" t="str">
            <v>P</v>
          </cell>
          <cell r="Q200" t="b">
            <v>0</v>
          </cell>
          <cell r="R200" t="b">
            <v>0</v>
          </cell>
          <cell r="S200" t="b">
            <v>0</v>
          </cell>
          <cell r="T200" t="b">
            <v>0</v>
          </cell>
          <cell r="U200" t="b">
            <v>0</v>
          </cell>
          <cell r="V200">
            <v>4</v>
          </cell>
          <cell r="W200" t="str">
            <v/>
          </cell>
          <cell r="X200">
            <v>4</v>
          </cell>
          <cell r="Y200" t="str">
            <v/>
          </cell>
          <cell r="Z200">
            <v>17</v>
          </cell>
          <cell r="AA200" t="str">
            <v/>
          </cell>
          <cell r="AB200">
            <v>35</v>
          </cell>
          <cell r="AC200" t="str">
            <v/>
          </cell>
          <cell r="AD200">
            <v>119</v>
          </cell>
          <cell r="AE200" t="str">
            <v>Pistol</v>
          </cell>
          <cell r="AF200" t="str">
            <v/>
          </cell>
          <cell r="AG200" t="str">
            <v/>
          </cell>
          <cell r="AH200">
            <v>0</v>
          </cell>
          <cell r="AI200" t="str">
            <v/>
          </cell>
          <cell r="AJ200" t="str">
            <v>Whip, Stingray</v>
          </cell>
          <cell r="AK200">
            <v>5</v>
          </cell>
          <cell r="AL200" t="str">
            <v>Stingray Whip</v>
          </cell>
          <cell r="AM200" t="str">
            <v/>
          </cell>
          <cell r="AN200" t="str">
            <v/>
          </cell>
          <cell r="AO200">
            <v>0</v>
          </cell>
          <cell r="AP200" t="str">
            <v/>
          </cell>
          <cell r="AQ200" t="str">
            <v/>
          </cell>
          <cell r="AR200">
            <v>0</v>
          </cell>
          <cell r="AS200" t="str">
            <v>Pistol</v>
          </cell>
        </row>
        <row r="201">
          <cell r="A201" t="str">
            <v>Poker</v>
          </cell>
          <cell r="B201" t="str">
            <v>Poker</v>
          </cell>
          <cell r="D201" t="str">
            <v>E</v>
          </cell>
          <cell r="E201" t="str">
            <v>M</v>
          </cell>
          <cell r="F201">
            <v>5</v>
          </cell>
          <cell r="H201">
            <v>20</v>
          </cell>
          <cell r="I201">
            <v>2</v>
          </cell>
          <cell r="L201">
            <v>3</v>
          </cell>
          <cell r="M201" t="str">
            <v>P</v>
          </cell>
          <cell r="Q201" t="b">
            <v>0</v>
          </cell>
          <cell r="R201" t="b">
            <v>0</v>
          </cell>
          <cell r="S201" t="b">
            <v>0</v>
          </cell>
          <cell r="T201" t="b">
            <v>0</v>
          </cell>
          <cell r="U201" t="b">
            <v>0</v>
          </cell>
          <cell r="V201">
            <v>4</v>
          </cell>
          <cell r="W201" t="str">
            <v/>
          </cell>
          <cell r="X201">
            <v>4</v>
          </cell>
          <cell r="Y201" t="str">
            <v/>
          </cell>
          <cell r="Z201">
            <v>17</v>
          </cell>
          <cell r="AA201" t="str">
            <v/>
          </cell>
          <cell r="AB201">
            <v>35</v>
          </cell>
          <cell r="AC201" t="str">
            <v/>
          </cell>
          <cell r="AD201">
            <v>120</v>
          </cell>
          <cell r="AE201" t="str">
            <v>Poker</v>
          </cell>
          <cell r="AF201" t="str">
            <v/>
          </cell>
          <cell r="AG201" t="str">
            <v/>
          </cell>
          <cell r="AH201">
            <v>0</v>
          </cell>
          <cell r="AI201" t="str">
            <v/>
          </cell>
          <cell r="AJ201" t="str">
            <v>Whip-dagger</v>
          </cell>
          <cell r="AK201">
            <v>0</v>
          </cell>
          <cell r="AL201" t="str">
            <v>Whip-dagger</v>
          </cell>
          <cell r="AM201" t="str">
            <v/>
          </cell>
          <cell r="AN201" t="str">
            <v/>
          </cell>
          <cell r="AO201">
            <v>0</v>
          </cell>
          <cell r="AP201" t="str">
            <v/>
          </cell>
          <cell r="AQ201" t="str">
            <v/>
          </cell>
          <cell r="AR201">
            <v>0</v>
          </cell>
          <cell r="AS201" t="str">
            <v>Poker</v>
          </cell>
        </row>
        <row r="202">
          <cell r="A202" t="str">
            <v>Poleaxe, Heavy</v>
          </cell>
          <cell r="B202" t="str">
            <v>Poleaxe, Heavy</v>
          </cell>
          <cell r="D202" t="str">
            <v>E</v>
          </cell>
          <cell r="E202" t="str">
            <v>T</v>
          </cell>
          <cell r="F202">
            <v>10</v>
          </cell>
          <cell r="H202">
            <v>20</v>
          </cell>
          <cell r="I202">
            <v>3</v>
          </cell>
          <cell r="L202">
            <v>15</v>
          </cell>
          <cell r="M202" t="str">
            <v>P/S</v>
          </cell>
          <cell r="R202" t="b">
            <v>0</v>
          </cell>
          <cell r="S202" t="b">
            <v>0</v>
          </cell>
          <cell r="T202" t="b">
            <v>0</v>
          </cell>
          <cell r="U202" t="b">
            <v>0</v>
          </cell>
          <cell r="V202">
            <v>4</v>
          </cell>
          <cell r="W202" t="str">
            <v/>
          </cell>
          <cell r="X202">
            <v>4</v>
          </cell>
          <cell r="Y202" t="str">
            <v/>
          </cell>
          <cell r="Z202">
            <v>17</v>
          </cell>
          <cell r="AA202" t="str">
            <v/>
          </cell>
          <cell r="AB202">
            <v>35</v>
          </cell>
          <cell r="AC202" t="str">
            <v/>
          </cell>
          <cell r="AD202">
            <v>121</v>
          </cell>
          <cell r="AE202" t="str">
            <v>Poleaxe, Heavy</v>
          </cell>
          <cell r="AF202" t="str">
            <v/>
          </cell>
          <cell r="AG202" t="str">
            <v/>
          </cell>
          <cell r="AH202">
            <v>0</v>
          </cell>
          <cell r="AI202" t="str">
            <v/>
          </cell>
          <cell r="AJ202" t="str">
            <v/>
          </cell>
          <cell r="AK202">
            <v>0</v>
          </cell>
          <cell r="AL202" t="str">
            <v/>
          </cell>
          <cell r="AM202" t="str">
            <v/>
          </cell>
          <cell r="AN202" t="str">
            <v/>
          </cell>
          <cell r="AO202">
            <v>0</v>
          </cell>
          <cell r="AP202" t="str">
            <v/>
          </cell>
          <cell r="AQ202" t="str">
            <v/>
          </cell>
          <cell r="AR202">
            <v>8</v>
          </cell>
          <cell r="AS202" t="str">
            <v>Heavy Poleaxe</v>
          </cell>
        </row>
        <row r="203">
          <cell r="A203" t="str">
            <v>Quarterstaff ●</v>
          </cell>
          <cell r="B203" t="str">
            <v>Quarterstaff</v>
          </cell>
          <cell r="D203" t="str">
            <v>S</v>
          </cell>
          <cell r="E203" t="str">
            <v>T</v>
          </cell>
          <cell r="F203">
            <v>5</v>
          </cell>
          <cell r="G203">
            <v>5</v>
          </cell>
          <cell r="H203">
            <v>20</v>
          </cell>
          <cell r="I203">
            <v>2</v>
          </cell>
          <cell r="J203">
            <v>2</v>
          </cell>
          <cell r="L203">
            <v>4</v>
          </cell>
          <cell r="M203" t="str">
            <v>B</v>
          </cell>
          <cell r="P203" t="str">
            <v>U</v>
          </cell>
          <cell r="Q203" t="b">
            <v>1</v>
          </cell>
          <cell r="R203" t="b">
            <v>0</v>
          </cell>
          <cell r="S203" t="b">
            <v>0</v>
          </cell>
          <cell r="T203" t="b">
            <v>0</v>
          </cell>
          <cell r="U203" t="b">
            <v>1</v>
          </cell>
          <cell r="V203">
            <v>4</v>
          </cell>
          <cell r="W203" t="str">
            <v/>
          </cell>
          <cell r="X203">
            <v>5</v>
          </cell>
          <cell r="Y203" t="str">
            <v>Quarterstaff</v>
          </cell>
          <cell r="Z203">
            <v>18</v>
          </cell>
          <cell r="AA203" t="str">
            <v>Quarterstaff</v>
          </cell>
          <cell r="AB203">
            <v>35</v>
          </cell>
          <cell r="AC203" t="str">
            <v/>
          </cell>
          <cell r="AD203">
            <v>121</v>
          </cell>
          <cell r="AE203" t="str">
            <v/>
          </cell>
          <cell r="AF203" t="str">
            <v/>
          </cell>
          <cell r="AG203" t="str">
            <v/>
          </cell>
          <cell r="AH203">
            <v>0</v>
          </cell>
          <cell r="AI203" t="str">
            <v/>
          </cell>
          <cell r="AJ203" t="str">
            <v/>
          </cell>
          <cell r="AK203">
            <v>0</v>
          </cell>
          <cell r="AL203" t="str">
            <v/>
          </cell>
          <cell r="AM203" t="str">
            <v/>
          </cell>
          <cell r="AN203" t="str">
            <v/>
          </cell>
          <cell r="AO203">
            <v>0</v>
          </cell>
          <cell r="AP203" t="str">
            <v/>
          </cell>
          <cell r="AQ203" t="str">
            <v/>
          </cell>
          <cell r="AR203">
            <v>0</v>
          </cell>
          <cell r="AS203" t="str">
            <v>Quarterstaff</v>
          </cell>
        </row>
        <row r="204">
          <cell r="A204" t="str">
            <v>Quickrazor, Gnome</v>
          </cell>
          <cell r="B204" t="str">
            <v>Quickrazor, Gnome</v>
          </cell>
          <cell r="D204" t="str">
            <v>E</v>
          </cell>
          <cell r="E204" t="str">
            <v>L</v>
          </cell>
          <cell r="F204">
            <v>4</v>
          </cell>
          <cell r="H204">
            <v>19</v>
          </cell>
          <cell r="I204">
            <v>2</v>
          </cell>
          <cell r="L204">
            <v>1</v>
          </cell>
          <cell r="M204" t="str">
            <v>S</v>
          </cell>
          <cell r="P204" t="str">
            <v/>
          </cell>
          <cell r="Q204" t="b">
            <v>0</v>
          </cell>
          <cell r="R204" t="b">
            <v>0</v>
          </cell>
          <cell r="S204" t="b">
            <v>0</v>
          </cell>
          <cell r="T204" t="b">
            <v>0</v>
          </cell>
          <cell r="U204" t="b">
            <v>0</v>
          </cell>
          <cell r="V204">
            <v>5</v>
          </cell>
          <cell r="W204" t="str">
            <v>Quarterstaff</v>
          </cell>
          <cell r="X204">
            <v>5</v>
          </cell>
          <cell r="Y204" t="str">
            <v/>
          </cell>
          <cell r="Z204">
            <v>18</v>
          </cell>
          <cell r="AA204" t="str">
            <v/>
          </cell>
          <cell r="AB204">
            <v>35</v>
          </cell>
          <cell r="AC204" t="str">
            <v/>
          </cell>
          <cell r="AD204">
            <v>122</v>
          </cell>
          <cell r="AE204" t="str">
            <v>Quickrazor, Gnome</v>
          </cell>
          <cell r="AF204" t="str">
            <v/>
          </cell>
          <cell r="AG204" t="str">
            <v/>
          </cell>
          <cell r="AH204">
            <v>0</v>
          </cell>
          <cell r="AI204" t="str">
            <v/>
          </cell>
          <cell r="AJ204" t="str">
            <v/>
          </cell>
          <cell r="AK204">
            <v>0</v>
          </cell>
          <cell r="AL204" t="str">
            <v/>
          </cell>
          <cell r="AM204" t="str">
            <v/>
          </cell>
          <cell r="AN204" t="str">
            <v/>
          </cell>
          <cell r="AO204">
            <v>0</v>
          </cell>
          <cell r="AP204" t="str">
            <v/>
          </cell>
          <cell r="AQ204" t="str">
            <v/>
          </cell>
          <cell r="AR204">
            <v>11</v>
          </cell>
          <cell r="AS204" t="str">
            <v>Gnome Quickrazor</v>
          </cell>
        </row>
        <row r="205">
          <cell r="A205" t="str">
            <v>Ramhammer</v>
          </cell>
          <cell r="B205" t="str">
            <v>Ramhammer</v>
          </cell>
          <cell r="D205" t="str">
            <v>E</v>
          </cell>
          <cell r="E205" t="str">
            <v>T</v>
          </cell>
          <cell r="F205">
            <v>7</v>
          </cell>
          <cell r="H205">
            <v>20</v>
          </cell>
          <cell r="I205">
            <v>2</v>
          </cell>
          <cell r="L205">
            <v>15</v>
          </cell>
          <cell r="M205" t="str">
            <v>B</v>
          </cell>
          <cell r="O205" t="b">
            <v>1</v>
          </cell>
          <cell r="R205" t="b">
            <v>0</v>
          </cell>
          <cell r="S205" t="b">
            <v>0</v>
          </cell>
          <cell r="T205" t="b">
            <v>0</v>
          </cell>
          <cell r="U205" t="b">
            <v>0</v>
          </cell>
          <cell r="V205">
            <v>5</v>
          </cell>
          <cell r="W205" t="str">
            <v/>
          </cell>
          <cell r="X205">
            <v>5</v>
          </cell>
          <cell r="Y205" t="str">
            <v/>
          </cell>
          <cell r="Z205">
            <v>18</v>
          </cell>
          <cell r="AA205" t="str">
            <v/>
          </cell>
          <cell r="AB205">
            <v>35</v>
          </cell>
          <cell r="AC205" t="str">
            <v/>
          </cell>
          <cell r="AD205">
            <v>123</v>
          </cell>
          <cell r="AE205" t="str">
            <v>Ramhammer</v>
          </cell>
          <cell r="AF205" t="str">
            <v/>
          </cell>
          <cell r="AG205" t="str">
            <v/>
          </cell>
          <cell r="AH205">
            <v>0</v>
          </cell>
          <cell r="AI205" t="str">
            <v/>
          </cell>
          <cell r="AJ205" t="str">
            <v/>
          </cell>
          <cell r="AK205">
            <v>0</v>
          </cell>
          <cell r="AL205" t="str">
            <v/>
          </cell>
          <cell r="AM205" t="str">
            <v/>
          </cell>
          <cell r="AN205" t="str">
            <v/>
          </cell>
          <cell r="AO205">
            <v>0</v>
          </cell>
          <cell r="AP205" t="str">
            <v/>
          </cell>
          <cell r="AQ205" t="str">
            <v/>
          </cell>
          <cell r="AR205">
            <v>0</v>
          </cell>
          <cell r="AS205" t="str">
            <v>Ramhammer</v>
          </cell>
        </row>
        <row r="206">
          <cell r="A206" t="str">
            <v>Ranseur</v>
          </cell>
          <cell r="B206" t="str">
            <v>Ranseur</v>
          </cell>
          <cell r="D206" t="str">
            <v>M</v>
          </cell>
          <cell r="E206" t="str">
            <v>T</v>
          </cell>
          <cell r="F206">
            <v>9</v>
          </cell>
          <cell r="H206">
            <v>20</v>
          </cell>
          <cell r="I206">
            <v>3</v>
          </cell>
          <cell r="L206">
            <v>12</v>
          </cell>
          <cell r="M206" t="str">
            <v>P</v>
          </cell>
          <cell r="O206" t="b">
            <v>1</v>
          </cell>
          <cell r="R206" t="b">
            <v>0</v>
          </cell>
          <cell r="S206" t="b">
            <v>0</v>
          </cell>
          <cell r="T206" t="b">
            <v>0</v>
          </cell>
          <cell r="U206" t="b">
            <v>0</v>
          </cell>
          <cell r="V206">
            <v>5</v>
          </cell>
          <cell r="W206" t="str">
            <v/>
          </cell>
          <cell r="X206">
            <v>5</v>
          </cell>
          <cell r="Y206" t="str">
            <v/>
          </cell>
          <cell r="Z206">
            <v>18</v>
          </cell>
          <cell r="AA206" t="str">
            <v/>
          </cell>
          <cell r="AB206">
            <v>36</v>
          </cell>
          <cell r="AC206" t="str">
            <v>Ranseur</v>
          </cell>
          <cell r="AD206">
            <v>123</v>
          </cell>
          <cell r="AE206" t="str">
            <v/>
          </cell>
          <cell r="AF206" t="str">
            <v/>
          </cell>
          <cell r="AG206" t="str">
            <v/>
          </cell>
          <cell r="AH206">
            <v>0</v>
          </cell>
          <cell r="AI206" t="str">
            <v/>
          </cell>
          <cell r="AJ206" t="str">
            <v/>
          </cell>
          <cell r="AK206">
            <v>0</v>
          </cell>
          <cell r="AL206" t="str">
            <v/>
          </cell>
          <cell r="AM206" t="str">
            <v/>
          </cell>
          <cell r="AN206" t="str">
            <v/>
          </cell>
          <cell r="AO206">
            <v>0</v>
          </cell>
          <cell r="AP206" t="str">
            <v/>
          </cell>
          <cell r="AQ206" t="str">
            <v/>
          </cell>
          <cell r="AR206">
            <v>0</v>
          </cell>
          <cell r="AS206" t="str">
            <v>Ranseur</v>
          </cell>
        </row>
        <row r="207">
          <cell r="A207" t="str">
            <v>Rapier</v>
          </cell>
          <cell r="B207" t="str">
            <v>Rapier</v>
          </cell>
          <cell r="D207" t="str">
            <v>M</v>
          </cell>
          <cell r="E207" t="str">
            <v>O</v>
          </cell>
          <cell r="F207">
            <v>5</v>
          </cell>
          <cell r="H207">
            <v>18</v>
          </cell>
          <cell r="I207">
            <v>2</v>
          </cell>
          <cell r="L207">
            <v>2</v>
          </cell>
          <cell r="M207" t="str">
            <v>P</v>
          </cell>
          <cell r="P207" t="str">
            <v>F</v>
          </cell>
          <cell r="Q207" t="b">
            <v>0</v>
          </cell>
          <cell r="R207" t="b">
            <v>0</v>
          </cell>
          <cell r="S207" t="b">
            <v>0</v>
          </cell>
          <cell r="T207" t="b">
            <v>0</v>
          </cell>
          <cell r="U207" t="b">
            <v>0</v>
          </cell>
          <cell r="V207">
            <v>5</v>
          </cell>
          <cell r="W207" t="str">
            <v/>
          </cell>
          <cell r="X207">
            <v>5</v>
          </cell>
          <cell r="Y207" t="str">
            <v/>
          </cell>
          <cell r="Z207">
            <v>18</v>
          </cell>
          <cell r="AA207" t="str">
            <v/>
          </cell>
          <cell r="AB207">
            <v>37</v>
          </cell>
          <cell r="AC207" t="str">
            <v>Rapier</v>
          </cell>
          <cell r="AD207">
            <v>123</v>
          </cell>
          <cell r="AE207" t="str">
            <v/>
          </cell>
          <cell r="AF207" t="str">
            <v/>
          </cell>
          <cell r="AG207" t="str">
            <v/>
          </cell>
          <cell r="AH207">
            <v>0</v>
          </cell>
          <cell r="AI207" t="str">
            <v/>
          </cell>
          <cell r="AJ207" t="str">
            <v/>
          </cell>
          <cell r="AK207">
            <v>0</v>
          </cell>
          <cell r="AL207" t="str">
            <v/>
          </cell>
          <cell r="AM207" t="str">
            <v/>
          </cell>
          <cell r="AN207" t="str">
            <v/>
          </cell>
          <cell r="AO207">
            <v>0</v>
          </cell>
          <cell r="AP207" t="str">
            <v/>
          </cell>
          <cell r="AQ207" t="str">
            <v/>
          </cell>
          <cell r="AR207">
            <v>0</v>
          </cell>
          <cell r="AS207" t="str">
            <v>Rapier</v>
          </cell>
        </row>
        <row r="208">
          <cell r="A208" t="str">
            <v>Rapier, Parthian</v>
          </cell>
          <cell r="B208" t="str">
            <v>Rapier, Parthian</v>
          </cell>
          <cell r="D208" t="str">
            <v>E</v>
          </cell>
          <cell r="E208" t="str">
            <v>M</v>
          </cell>
          <cell r="F208">
            <v>5</v>
          </cell>
          <cell r="G208">
            <v>7</v>
          </cell>
          <cell r="H208">
            <v>18</v>
          </cell>
          <cell r="I208">
            <v>2</v>
          </cell>
          <cell r="J208">
            <v>3</v>
          </cell>
          <cell r="K208">
            <v>50</v>
          </cell>
          <cell r="L208">
            <v>5</v>
          </cell>
          <cell r="M208" t="str">
            <v>P</v>
          </cell>
          <cell r="R208" t="b">
            <v>0</v>
          </cell>
          <cell r="S208" t="b">
            <v>0</v>
          </cell>
          <cell r="T208" t="b">
            <v>0</v>
          </cell>
          <cell r="U208" t="b">
            <v>0</v>
          </cell>
          <cell r="V208">
            <v>5</v>
          </cell>
          <cell r="W208" t="str">
            <v/>
          </cell>
          <cell r="X208">
            <v>5</v>
          </cell>
          <cell r="Y208" t="str">
            <v/>
          </cell>
          <cell r="Z208">
            <v>18</v>
          </cell>
          <cell r="AA208" t="str">
            <v/>
          </cell>
          <cell r="AB208">
            <v>37</v>
          </cell>
          <cell r="AC208" t="str">
            <v/>
          </cell>
          <cell r="AD208">
            <v>124</v>
          </cell>
          <cell r="AE208" t="str">
            <v>Rapier, Parthian</v>
          </cell>
          <cell r="AF208" t="str">
            <v/>
          </cell>
          <cell r="AG208" t="str">
            <v/>
          </cell>
          <cell r="AH208">
            <v>0</v>
          </cell>
          <cell r="AI208" t="str">
            <v/>
          </cell>
          <cell r="AJ208" t="str">
            <v/>
          </cell>
          <cell r="AK208">
            <v>0</v>
          </cell>
          <cell r="AL208" t="str">
            <v/>
          </cell>
          <cell r="AM208" t="str">
            <v/>
          </cell>
          <cell r="AN208" t="str">
            <v/>
          </cell>
          <cell r="AO208">
            <v>0</v>
          </cell>
          <cell r="AP208" t="str">
            <v/>
          </cell>
          <cell r="AQ208" t="str">
            <v/>
          </cell>
          <cell r="AR208">
            <v>7</v>
          </cell>
          <cell r="AS208" t="str">
            <v>Parthian Rapier</v>
          </cell>
        </row>
        <row r="209">
          <cell r="A209" t="str">
            <v>Rapier, Quickblade</v>
          </cell>
          <cell r="B209" t="str">
            <v>Rapier, Quickblade</v>
          </cell>
          <cell r="D209" t="str">
            <v>E</v>
          </cell>
          <cell r="E209" t="str">
            <v>O</v>
          </cell>
          <cell r="F209">
            <v>5</v>
          </cell>
          <cell r="H209">
            <v>18</v>
          </cell>
          <cell r="I209">
            <v>2</v>
          </cell>
          <cell r="L209">
            <v>3</v>
          </cell>
          <cell r="M209" t="str">
            <v>P</v>
          </cell>
          <cell r="R209" t="b">
            <v>0</v>
          </cell>
          <cell r="S209" t="b">
            <v>0</v>
          </cell>
          <cell r="T209" t="b">
            <v>0</v>
          </cell>
          <cell r="U209" t="b">
            <v>0</v>
          </cell>
          <cell r="V209">
            <v>5</v>
          </cell>
          <cell r="W209" t="str">
            <v/>
          </cell>
          <cell r="X209">
            <v>5</v>
          </cell>
          <cell r="Y209" t="str">
            <v/>
          </cell>
          <cell r="Z209">
            <v>18</v>
          </cell>
          <cell r="AA209" t="str">
            <v/>
          </cell>
          <cell r="AB209">
            <v>37</v>
          </cell>
          <cell r="AC209" t="str">
            <v/>
          </cell>
          <cell r="AD209">
            <v>125</v>
          </cell>
          <cell r="AE209" t="str">
            <v>Rapier, Quickblade</v>
          </cell>
          <cell r="AF209" t="str">
            <v/>
          </cell>
          <cell r="AG209" t="str">
            <v/>
          </cell>
          <cell r="AH209">
            <v>0</v>
          </cell>
          <cell r="AI209" t="str">
            <v/>
          </cell>
          <cell r="AJ209" t="str">
            <v/>
          </cell>
          <cell r="AK209">
            <v>0</v>
          </cell>
          <cell r="AL209" t="str">
            <v/>
          </cell>
          <cell r="AM209" t="str">
            <v/>
          </cell>
          <cell r="AN209" t="str">
            <v/>
          </cell>
          <cell r="AO209">
            <v>0</v>
          </cell>
          <cell r="AP209" t="str">
            <v/>
          </cell>
          <cell r="AQ209" t="str">
            <v/>
          </cell>
          <cell r="AR209">
            <v>7</v>
          </cell>
          <cell r="AS209" t="str">
            <v>Quickblade Rapier</v>
          </cell>
        </row>
        <row r="210">
          <cell r="A210" t="str">
            <v>Razored armor</v>
          </cell>
          <cell r="B210" t="str">
            <v>Razored armor</v>
          </cell>
          <cell r="D210" t="str">
            <v>M</v>
          </cell>
          <cell r="E210" t="str">
            <v>L</v>
          </cell>
          <cell r="F210">
            <v>5</v>
          </cell>
          <cell r="H210">
            <v>20</v>
          </cell>
          <cell r="I210">
            <v>2</v>
          </cell>
          <cell r="L210">
            <v>0</v>
          </cell>
          <cell r="M210" t="str">
            <v>S</v>
          </cell>
          <cell r="R210" t="b">
            <v>0</v>
          </cell>
          <cell r="S210" t="b">
            <v>0</v>
          </cell>
          <cell r="T210" t="b">
            <v>0</v>
          </cell>
          <cell r="U210" t="b">
            <v>0</v>
          </cell>
          <cell r="V210">
            <v>5</v>
          </cell>
          <cell r="W210" t="str">
            <v/>
          </cell>
          <cell r="X210">
            <v>5</v>
          </cell>
          <cell r="Y210" t="str">
            <v/>
          </cell>
          <cell r="Z210">
            <v>18</v>
          </cell>
          <cell r="AA210" t="str">
            <v/>
          </cell>
          <cell r="AB210">
            <v>38</v>
          </cell>
          <cell r="AC210" t="str">
            <v>Razored armor</v>
          </cell>
          <cell r="AD210">
            <v>125</v>
          </cell>
          <cell r="AE210" t="str">
            <v/>
          </cell>
          <cell r="AF210" t="str">
            <v/>
          </cell>
          <cell r="AG210" t="str">
            <v/>
          </cell>
          <cell r="AH210">
            <v>0</v>
          </cell>
          <cell r="AI210" t="str">
            <v/>
          </cell>
          <cell r="AJ210" t="str">
            <v/>
          </cell>
          <cell r="AK210">
            <v>0</v>
          </cell>
          <cell r="AL210" t="str">
            <v/>
          </cell>
          <cell r="AM210" t="str">
            <v/>
          </cell>
          <cell r="AN210" t="str">
            <v/>
          </cell>
          <cell r="AO210">
            <v>0</v>
          </cell>
          <cell r="AP210" t="str">
            <v/>
          </cell>
          <cell r="AQ210" t="str">
            <v/>
          </cell>
          <cell r="AR210">
            <v>0</v>
          </cell>
          <cell r="AS210" t="str">
            <v>Razored armor</v>
          </cell>
        </row>
        <row r="211">
          <cell r="A211" t="str">
            <v>Razored shield, light</v>
          </cell>
          <cell r="B211" t="str">
            <v>Razored shield, light</v>
          </cell>
          <cell r="D211" t="str">
            <v>M</v>
          </cell>
          <cell r="E211" t="str">
            <v>L</v>
          </cell>
          <cell r="F211">
            <v>4</v>
          </cell>
          <cell r="H211">
            <v>20</v>
          </cell>
          <cell r="I211">
            <v>2</v>
          </cell>
          <cell r="K211" t="str">
            <v>S</v>
          </cell>
          <cell r="L211">
            <v>0</v>
          </cell>
          <cell r="M211" t="str">
            <v>S</v>
          </cell>
          <cell r="R211" t="b">
            <v>0</v>
          </cell>
          <cell r="S211" t="b">
            <v>0</v>
          </cell>
          <cell r="T211" t="b">
            <v>0</v>
          </cell>
          <cell r="U211" t="b">
            <v>0</v>
          </cell>
          <cell r="V211">
            <v>5</v>
          </cell>
          <cell r="W211" t="str">
            <v/>
          </cell>
          <cell r="X211">
            <v>5</v>
          </cell>
          <cell r="Y211" t="str">
            <v/>
          </cell>
          <cell r="Z211">
            <v>18</v>
          </cell>
          <cell r="AA211" t="str">
            <v/>
          </cell>
          <cell r="AB211">
            <v>39</v>
          </cell>
          <cell r="AC211" t="str">
            <v>Razored shield, light</v>
          </cell>
          <cell r="AD211">
            <v>125</v>
          </cell>
          <cell r="AE211" t="str">
            <v/>
          </cell>
          <cell r="AF211" t="str">
            <v/>
          </cell>
          <cell r="AG211" t="str">
            <v/>
          </cell>
          <cell r="AH211">
            <v>0</v>
          </cell>
          <cell r="AI211" t="str">
            <v/>
          </cell>
          <cell r="AJ211" t="str">
            <v/>
          </cell>
          <cell r="AK211">
            <v>0</v>
          </cell>
          <cell r="AL211" t="str">
            <v/>
          </cell>
          <cell r="AM211" t="str">
            <v/>
          </cell>
          <cell r="AN211" t="str">
            <v/>
          </cell>
          <cell r="AO211">
            <v>0</v>
          </cell>
          <cell r="AP211" t="str">
            <v/>
          </cell>
          <cell r="AQ211" t="str">
            <v/>
          </cell>
          <cell r="AR211">
            <v>15</v>
          </cell>
          <cell r="AS211" t="str">
            <v>light Razored shield</v>
          </cell>
        </row>
        <row r="212">
          <cell r="A212" t="str">
            <v>Razored shield, heavy</v>
          </cell>
          <cell r="B212" t="str">
            <v>Razored shield, heavy</v>
          </cell>
          <cell r="D212" t="str">
            <v>M</v>
          </cell>
          <cell r="E212" t="str">
            <v>O</v>
          </cell>
          <cell r="F212">
            <v>5</v>
          </cell>
          <cell r="H212">
            <v>20</v>
          </cell>
          <cell r="I212">
            <v>2</v>
          </cell>
          <cell r="K212" t="str">
            <v>S</v>
          </cell>
          <cell r="L212">
            <v>0</v>
          </cell>
          <cell r="M212" t="str">
            <v>S</v>
          </cell>
          <cell r="R212" t="b">
            <v>0</v>
          </cell>
          <cell r="S212" t="b">
            <v>0</v>
          </cell>
          <cell r="T212" t="b">
            <v>0</v>
          </cell>
          <cell r="U212" t="b">
            <v>0</v>
          </cell>
          <cell r="V212">
            <v>5</v>
          </cell>
          <cell r="W212" t="str">
            <v/>
          </cell>
          <cell r="X212">
            <v>5</v>
          </cell>
          <cell r="Y212" t="str">
            <v/>
          </cell>
          <cell r="Z212">
            <v>18</v>
          </cell>
          <cell r="AA212" t="str">
            <v/>
          </cell>
          <cell r="AB212">
            <v>40</v>
          </cell>
          <cell r="AC212" t="str">
            <v>Razored shield, heavy</v>
          </cell>
          <cell r="AD212">
            <v>125</v>
          </cell>
          <cell r="AE212" t="str">
            <v/>
          </cell>
          <cell r="AF212" t="str">
            <v/>
          </cell>
          <cell r="AG212" t="str">
            <v/>
          </cell>
          <cell r="AH212">
            <v>0</v>
          </cell>
          <cell r="AI212" t="str">
            <v/>
          </cell>
          <cell r="AJ212" t="str">
            <v/>
          </cell>
          <cell r="AK212">
            <v>0</v>
          </cell>
          <cell r="AL212" t="str">
            <v/>
          </cell>
          <cell r="AM212" t="str">
            <v/>
          </cell>
          <cell r="AN212" t="str">
            <v/>
          </cell>
          <cell r="AO212">
            <v>0</v>
          </cell>
          <cell r="AP212" t="str">
            <v/>
          </cell>
          <cell r="AQ212" t="str">
            <v/>
          </cell>
          <cell r="AR212">
            <v>15</v>
          </cell>
          <cell r="AS212" t="str">
            <v>heavy Razored shield</v>
          </cell>
        </row>
        <row r="213">
          <cell r="A213" t="str">
            <v>Ribbonweave</v>
          </cell>
          <cell r="B213" t="str">
            <v>Ribbonweave</v>
          </cell>
          <cell r="D213" t="str">
            <v>E</v>
          </cell>
          <cell r="E213" t="str">
            <v>O</v>
          </cell>
          <cell r="F213">
            <v>6</v>
          </cell>
          <cell r="H213">
            <v>19</v>
          </cell>
          <cell r="I213">
            <v>2</v>
          </cell>
          <cell r="L213">
            <v>3</v>
          </cell>
          <cell r="M213" t="str">
            <v>S</v>
          </cell>
          <cell r="R213" t="b">
            <v>0</v>
          </cell>
          <cell r="S213" t="b">
            <v>0</v>
          </cell>
          <cell r="T213" t="b">
            <v>0</v>
          </cell>
          <cell r="U213" t="b">
            <v>0</v>
          </cell>
          <cell r="V213">
            <v>5</v>
          </cell>
          <cell r="W213" t="str">
            <v/>
          </cell>
          <cell r="X213">
            <v>5</v>
          </cell>
          <cell r="Y213" t="str">
            <v/>
          </cell>
          <cell r="Z213">
            <v>18</v>
          </cell>
          <cell r="AA213" t="str">
            <v/>
          </cell>
          <cell r="AB213">
            <v>40</v>
          </cell>
          <cell r="AC213" t="str">
            <v/>
          </cell>
          <cell r="AD213">
            <v>126</v>
          </cell>
          <cell r="AE213" t="str">
            <v>Ribbonweave</v>
          </cell>
          <cell r="AF213" t="str">
            <v/>
          </cell>
          <cell r="AG213" t="str">
            <v/>
          </cell>
          <cell r="AH213">
            <v>0</v>
          </cell>
          <cell r="AI213" t="str">
            <v/>
          </cell>
          <cell r="AJ213" t="str">
            <v/>
          </cell>
          <cell r="AK213">
            <v>0</v>
          </cell>
          <cell r="AL213" t="str">
            <v/>
          </cell>
          <cell r="AM213" t="str">
            <v/>
          </cell>
          <cell r="AN213" t="str">
            <v/>
          </cell>
          <cell r="AO213">
            <v>0</v>
          </cell>
          <cell r="AP213" t="str">
            <v/>
          </cell>
          <cell r="AQ213" t="str">
            <v/>
          </cell>
          <cell r="AR213">
            <v>0</v>
          </cell>
          <cell r="AS213" t="str">
            <v>Ribbonweave</v>
          </cell>
        </row>
        <row r="214">
          <cell r="A214" t="str">
            <v>Ripper</v>
          </cell>
          <cell r="B214" t="str">
            <v>Ripper</v>
          </cell>
          <cell r="D214" t="str">
            <v>M</v>
          </cell>
          <cell r="E214" t="str">
            <v>T</v>
          </cell>
          <cell r="F214">
            <v>10</v>
          </cell>
          <cell r="H214">
            <v>19</v>
          </cell>
          <cell r="I214">
            <v>2</v>
          </cell>
          <cell r="L214">
            <v>9</v>
          </cell>
          <cell r="M214" t="str">
            <v>P</v>
          </cell>
          <cell r="R214" t="b">
            <v>0</v>
          </cell>
          <cell r="S214" t="b">
            <v>0</v>
          </cell>
          <cell r="T214" t="b">
            <v>0</v>
          </cell>
          <cell r="U214" t="b">
            <v>0</v>
          </cell>
          <cell r="V214">
            <v>5</v>
          </cell>
          <cell r="W214" t="str">
            <v/>
          </cell>
          <cell r="X214">
            <v>5</v>
          </cell>
          <cell r="Y214" t="str">
            <v/>
          </cell>
          <cell r="Z214">
            <v>18</v>
          </cell>
          <cell r="AA214" t="str">
            <v/>
          </cell>
          <cell r="AB214">
            <v>41</v>
          </cell>
          <cell r="AC214" t="str">
            <v>Ripper</v>
          </cell>
          <cell r="AD214">
            <v>126</v>
          </cell>
          <cell r="AE214" t="str">
            <v/>
          </cell>
          <cell r="AF214" t="str">
            <v/>
          </cell>
          <cell r="AG214" t="str">
            <v/>
          </cell>
          <cell r="AH214">
            <v>0</v>
          </cell>
          <cell r="AI214" t="str">
            <v/>
          </cell>
          <cell r="AJ214" t="str">
            <v/>
          </cell>
          <cell r="AK214">
            <v>0</v>
          </cell>
          <cell r="AL214" t="str">
            <v/>
          </cell>
          <cell r="AM214" t="str">
            <v/>
          </cell>
          <cell r="AN214" t="str">
            <v/>
          </cell>
          <cell r="AO214">
            <v>0</v>
          </cell>
          <cell r="AP214" t="str">
            <v/>
          </cell>
          <cell r="AQ214" t="str">
            <v/>
          </cell>
          <cell r="AR214">
            <v>0</v>
          </cell>
          <cell r="AS214" t="str">
            <v>Ripper</v>
          </cell>
        </row>
        <row r="215">
          <cell r="A215" t="str">
            <v>Ritiik</v>
          </cell>
          <cell r="B215" t="str">
            <v>Ritiik</v>
          </cell>
          <cell r="D215" t="str">
            <v>E</v>
          </cell>
          <cell r="E215" t="str">
            <v>T</v>
          </cell>
          <cell r="F215">
            <v>6</v>
          </cell>
          <cell r="H215">
            <v>20</v>
          </cell>
          <cell r="I215">
            <v>3</v>
          </cell>
          <cell r="L215">
            <v>6</v>
          </cell>
          <cell r="M215" t="str">
            <v>P</v>
          </cell>
          <cell r="R215" t="b">
            <v>0</v>
          </cell>
          <cell r="S215" t="b">
            <v>0</v>
          </cell>
          <cell r="T215" t="b">
            <v>0</v>
          </cell>
          <cell r="U215" t="b">
            <v>0</v>
          </cell>
          <cell r="V215">
            <v>5</v>
          </cell>
          <cell r="W215" t="str">
            <v/>
          </cell>
          <cell r="X215">
            <v>5</v>
          </cell>
          <cell r="Y215" t="str">
            <v/>
          </cell>
          <cell r="Z215">
            <v>18</v>
          </cell>
          <cell r="AA215" t="str">
            <v/>
          </cell>
          <cell r="AB215">
            <v>41</v>
          </cell>
          <cell r="AC215" t="str">
            <v/>
          </cell>
          <cell r="AD215">
            <v>127</v>
          </cell>
          <cell r="AE215" t="str">
            <v>Ritiik</v>
          </cell>
          <cell r="AF215" t="str">
            <v/>
          </cell>
          <cell r="AG215" t="str">
            <v/>
          </cell>
          <cell r="AH215">
            <v>0</v>
          </cell>
          <cell r="AI215" t="str">
            <v/>
          </cell>
          <cell r="AJ215" t="str">
            <v/>
          </cell>
          <cell r="AK215">
            <v>0</v>
          </cell>
          <cell r="AL215" t="str">
            <v/>
          </cell>
          <cell r="AM215" t="str">
            <v/>
          </cell>
          <cell r="AN215" t="str">
            <v/>
          </cell>
          <cell r="AO215">
            <v>0</v>
          </cell>
          <cell r="AP215" t="str">
            <v/>
          </cell>
          <cell r="AQ215" t="str">
            <v/>
          </cell>
          <cell r="AR215">
            <v>0</v>
          </cell>
          <cell r="AS215" t="str">
            <v>Ritiik</v>
          </cell>
        </row>
        <row r="216">
          <cell r="A216" t="str">
            <v>Sai</v>
          </cell>
          <cell r="B216" t="str">
            <v>Sai</v>
          </cell>
          <cell r="D216" t="str">
            <v>E</v>
          </cell>
          <cell r="E216" t="str">
            <v>L</v>
          </cell>
          <cell r="F216">
            <v>4</v>
          </cell>
          <cell r="H216">
            <v>20</v>
          </cell>
          <cell r="I216">
            <v>2</v>
          </cell>
          <cell r="K216">
            <v>10</v>
          </cell>
          <cell r="L216">
            <v>1</v>
          </cell>
          <cell r="M216" t="str">
            <v>B</v>
          </cell>
          <cell r="P216" t="str">
            <v>U</v>
          </cell>
          <cell r="Q216" t="b">
            <v>0</v>
          </cell>
          <cell r="R216" t="b">
            <v>0</v>
          </cell>
          <cell r="S216" t="b">
            <v>0</v>
          </cell>
          <cell r="T216" t="b">
            <v>0</v>
          </cell>
          <cell r="U216" t="b">
            <v>0</v>
          </cell>
          <cell r="V216">
            <v>5</v>
          </cell>
          <cell r="W216" t="str">
            <v/>
          </cell>
          <cell r="X216">
            <v>5</v>
          </cell>
          <cell r="Y216" t="str">
            <v/>
          </cell>
          <cell r="Z216">
            <v>18</v>
          </cell>
          <cell r="AA216" t="str">
            <v/>
          </cell>
          <cell r="AB216">
            <v>41</v>
          </cell>
          <cell r="AC216" t="str">
            <v/>
          </cell>
          <cell r="AD216">
            <v>128</v>
          </cell>
          <cell r="AE216" t="str">
            <v>Sai</v>
          </cell>
          <cell r="AF216" t="str">
            <v/>
          </cell>
          <cell r="AG216" t="str">
            <v/>
          </cell>
          <cell r="AH216">
            <v>0</v>
          </cell>
          <cell r="AI216" t="str">
            <v/>
          </cell>
          <cell r="AJ216" t="str">
            <v/>
          </cell>
          <cell r="AK216">
            <v>0</v>
          </cell>
          <cell r="AL216" t="str">
            <v/>
          </cell>
          <cell r="AM216" t="str">
            <v/>
          </cell>
          <cell r="AN216" t="str">
            <v/>
          </cell>
          <cell r="AO216">
            <v>0</v>
          </cell>
          <cell r="AP216" t="str">
            <v/>
          </cell>
          <cell r="AQ216" t="str">
            <v/>
          </cell>
          <cell r="AR216">
            <v>0</v>
          </cell>
          <cell r="AS216" t="str">
            <v>Sai</v>
          </cell>
        </row>
        <row r="217">
          <cell r="A217" t="str">
            <v>Sandblaster</v>
          </cell>
          <cell r="B217" t="str">
            <v>Sandblaster</v>
          </cell>
          <cell r="D217" t="str">
            <v>E</v>
          </cell>
          <cell r="E217" t="str">
            <v>R</v>
          </cell>
          <cell r="F217">
            <v>5</v>
          </cell>
          <cell r="K217">
            <v>10</v>
          </cell>
          <cell r="L217">
            <v>2</v>
          </cell>
          <cell r="M217" t="str">
            <v>B</v>
          </cell>
          <cell r="Q217" t="b">
            <v>0</v>
          </cell>
          <cell r="R217" t="b">
            <v>0</v>
          </cell>
          <cell r="S217" t="b">
            <v>0</v>
          </cell>
          <cell r="T217" t="b">
            <v>0</v>
          </cell>
          <cell r="U217" t="b">
            <v>0</v>
          </cell>
          <cell r="V217">
            <v>5</v>
          </cell>
          <cell r="W217" t="str">
            <v/>
          </cell>
          <cell r="X217">
            <v>5</v>
          </cell>
          <cell r="Y217" t="str">
            <v/>
          </cell>
          <cell r="Z217">
            <v>18</v>
          </cell>
          <cell r="AA217" t="str">
            <v/>
          </cell>
          <cell r="AB217">
            <v>41</v>
          </cell>
          <cell r="AC217" t="str">
            <v/>
          </cell>
          <cell r="AD217">
            <v>129</v>
          </cell>
          <cell r="AE217" t="str">
            <v>Sandblaster</v>
          </cell>
          <cell r="AF217" t="str">
            <v/>
          </cell>
          <cell r="AG217" t="str">
            <v/>
          </cell>
          <cell r="AH217">
            <v>0</v>
          </cell>
          <cell r="AI217" t="str">
            <v/>
          </cell>
          <cell r="AJ217" t="str">
            <v/>
          </cell>
          <cell r="AK217">
            <v>0</v>
          </cell>
          <cell r="AL217" t="str">
            <v/>
          </cell>
          <cell r="AM217" t="str">
            <v/>
          </cell>
          <cell r="AN217" t="str">
            <v/>
          </cell>
          <cell r="AO217">
            <v>0</v>
          </cell>
          <cell r="AP217" t="str">
            <v/>
          </cell>
          <cell r="AQ217" t="str">
            <v/>
          </cell>
          <cell r="AR217">
            <v>0</v>
          </cell>
          <cell r="AS217" t="str">
            <v>Sandblaster</v>
          </cell>
        </row>
        <row r="218">
          <cell r="A218" t="str">
            <v>Sand Pipe</v>
          </cell>
          <cell r="B218" t="str">
            <v>Sand Pipe</v>
          </cell>
          <cell r="D218" t="str">
            <v>E</v>
          </cell>
          <cell r="E218" t="str">
            <v>R</v>
          </cell>
          <cell r="L218">
            <v>1</v>
          </cell>
          <cell r="R218" t="b">
            <v>0</v>
          </cell>
          <cell r="S218" t="b">
            <v>0</v>
          </cell>
          <cell r="T218" t="b">
            <v>0</v>
          </cell>
          <cell r="U218" t="b">
            <v>0</v>
          </cell>
          <cell r="V218">
            <v>5</v>
          </cell>
          <cell r="W218" t="str">
            <v/>
          </cell>
          <cell r="X218">
            <v>5</v>
          </cell>
          <cell r="Y218" t="str">
            <v/>
          </cell>
          <cell r="Z218">
            <v>18</v>
          </cell>
          <cell r="AA218" t="str">
            <v/>
          </cell>
          <cell r="AB218">
            <v>41</v>
          </cell>
          <cell r="AC218" t="str">
            <v/>
          </cell>
          <cell r="AD218">
            <v>130</v>
          </cell>
          <cell r="AE218" t="str">
            <v>Sand Pipe</v>
          </cell>
          <cell r="AF218" t="str">
            <v/>
          </cell>
          <cell r="AG218" t="str">
            <v/>
          </cell>
          <cell r="AH218">
            <v>0</v>
          </cell>
          <cell r="AI218" t="str">
            <v/>
          </cell>
          <cell r="AJ218" t="str">
            <v/>
          </cell>
          <cell r="AK218">
            <v>0</v>
          </cell>
          <cell r="AL218" t="str">
            <v/>
          </cell>
          <cell r="AM218" t="str">
            <v/>
          </cell>
          <cell r="AN218" t="str">
            <v/>
          </cell>
          <cell r="AO218">
            <v>0</v>
          </cell>
          <cell r="AP218" t="str">
            <v/>
          </cell>
          <cell r="AQ218" t="str">
            <v/>
          </cell>
          <cell r="AR218">
            <v>0</v>
          </cell>
          <cell r="AS218" t="str">
            <v>Sand Pipe</v>
          </cell>
        </row>
        <row r="219">
          <cell r="A219" t="str">
            <v>Sap</v>
          </cell>
          <cell r="B219" t="str">
            <v>Sap</v>
          </cell>
          <cell r="D219" t="str">
            <v>M</v>
          </cell>
          <cell r="E219" t="str">
            <v>L</v>
          </cell>
          <cell r="F219">
            <v>5</v>
          </cell>
          <cell r="H219">
            <v>20</v>
          </cell>
          <cell r="I219">
            <v>2</v>
          </cell>
          <cell r="L219">
            <v>2</v>
          </cell>
          <cell r="M219" t="str">
            <v>B</v>
          </cell>
          <cell r="N219" t="str">
            <v>S</v>
          </cell>
          <cell r="Q219" t="b">
            <v>0</v>
          </cell>
          <cell r="R219" t="b">
            <v>0</v>
          </cell>
          <cell r="S219" t="b">
            <v>0</v>
          </cell>
          <cell r="T219" t="b">
            <v>0</v>
          </cell>
          <cell r="U219" t="b">
            <v>0</v>
          </cell>
          <cell r="V219">
            <v>5</v>
          </cell>
          <cell r="W219" t="str">
            <v/>
          </cell>
          <cell r="X219">
            <v>5</v>
          </cell>
          <cell r="Y219" t="str">
            <v/>
          </cell>
          <cell r="Z219">
            <v>18</v>
          </cell>
          <cell r="AA219" t="str">
            <v/>
          </cell>
          <cell r="AB219">
            <v>42</v>
          </cell>
          <cell r="AC219" t="str">
            <v>Sap</v>
          </cell>
          <cell r="AD219">
            <v>130</v>
          </cell>
          <cell r="AE219" t="str">
            <v/>
          </cell>
          <cell r="AF219" t="str">
            <v/>
          </cell>
          <cell r="AG219" t="str">
            <v/>
          </cell>
          <cell r="AH219">
            <v>0</v>
          </cell>
          <cell r="AI219" t="str">
            <v/>
          </cell>
          <cell r="AJ219" t="str">
            <v/>
          </cell>
          <cell r="AK219">
            <v>0</v>
          </cell>
          <cell r="AL219" t="str">
            <v/>
          </cell>
          <cell r="AM219" t="str">
            <v/>
          </cell>
          <cell r="AN219" t="str">
            <v/>
          </cell>
          <cell r="AO219">
            <v>0</v>
          </cell>
          <cell r="AP219" t="str">
            <v/>
          </cell>
          <cell r="AQ219" t="str">
            <v/>
          </cell>
          <cell r="AR219">
            <v>0</v>
          </cell>
          <cell r="AS219" t="str">
            <v>Sap</v>
          </cell>
        </row>
        <row r="220">
          <cell r="A220" t="str">
            <v>Scimitar</v>
          </cell>
          <cell r="B220" t="str">
            <v>Scimitar</v>
          </cell>
          <cell r="D220" t="str">
            <v>M</v>
          </cell>
          <cell r="E220" t="str">
            <v>O</v>
          </cell>
          <cell r="F220">
            <v>5</v>
          </cell>
          <cell r="H220">
            <v>18</v>
          </cell>
          <cell r="I220">
            <v>2</v>
          </cell>
          <cell r="L220">
            <v>4</v>
          </cell>
          <cell r="M220" t="str">
            <v>S</v>
          </cell>
          <cell r="Q220" t="b">
            <v>0</v>
          </cell>
          <cell r="R220" t="b">
            <v>0</v>
          </cell>
          <cell r="S220" t="b">
            <v>0</v>
          </cell>
          <cell r="T220" t="b">
            <v>0</v>
          </cell>
          <cell r="U220" t="b">
            <v>0</v>
          </cell>
          <cell r="V220">
            <v>5</v>
          </cell>
          <cell r="W220" t="str">
            <v/>
          </cell>
          <cell r="X220">
            <v>5</v>
          </cell>
          <cell r="Y220" t="str">
            <v/>
          </cell>
          <cell r="Z220">
            <v>18</v>
          </cell>
          <cell r="AA220" t="str">
            <v/>
          </cell>
          <cell r="AB220">
            <v>43</v>
          </cell>
          <cell r="AC220" t="str">
            <v>Scimitar</v>
          </cell>
          <cell r="AD220">
            <v>130</v>
          </cell>
          <cell r="AE220" t="str">
            <v/>
          </cell>
          <cell r="AF220" t="str">
            <v/>
          </cell>
          <cell r="AG220" t="str">
            <v/>
          </cell>
          <cell r="AH220">
            <v>0</v>
          </cell>
          <cell r="AI220" t="str">
            <v/>
          </cell>
          <cell r="AJ220" t="str">
            <v/>
          </cell>
          <cell r="AK220">
            <v>0</v>
          </cell>
          <cell r="AL220" t="str">
            <v/>
          </cell>
          <cell r="AM220" t="str">
            <v/>
          </cell>
          <cell r="AN220" t="str">
            <v/>
          </cell>
          <cell r="AO220">
            <v>0</v>
          </cell>
          <cell r="AP220" t="str">
            <v/>
          </cell>
          <cell r="AQ220" t="str">
            <v/>
          </cell>
          <cell r="AR220">
            <v>0</v>
          </cell>
          <cell r="AS220" t="str">
            <v>Scimitar</v>
          </cell>
        </row>
        <row r="221">
          <cell r="A221" t="str">
            <v>Scimitar, Double</v>
          </cell>
          <cell r="B221" t="str">
            <v>Scimitar, Double</v>
          </cell>
          <cell r="D221" t="str">
            <v>E</v>
          </cell>
          <cell r="E221" t="str">
            <v>T</v>
          </cell>
          <cell r="F221">
            <v>5</v>
          </cell>
          <cell r="G221">
            <v>5</v>
          </cell>
          <cell r="H221">
            <v>18</v>
          </cell>
          <cell r="I221">
            <v>2</v>
          </cell>
          <cell r="J221">
            <v>2</v>
          </cell>
          <cell r="L221">
            <v>15</v>
          </cell>
          <cell r="M221" t="str">
            <v>S</v>
          </cell>
          <cell r="R221" t="b">
            <v>0</v>
          </cell>
          <cell r="S221" t="b">
            <v>0</v>
          </cell>
          <cell r="T221" t="b">
            <v>0</v>
          </cell>
          <cell r="U221" t="b">
            <v>0</v>
          </cell>
          <cell r="V221">
            <v>5</v>
          </cell>
          <cell r="W221" t="str">
            <v/>
          </cell>
          <cell r="X221">
            <v>5</v>
          </cell>
          <cell r="Y221" t="str">
            <v/>
          </cell>
          <cell r="Z221">
            <v>18</v>
          </cell>
          <cell r="AA221" t="str">
            <v/>
          </cell>
          <cell r="AB221">
            <v>43</v>
          </cell>
          <cell r="AC221" t="str">
            <v/>
          </cell>
          <cell r="AD221">
            <v>131</v>
          </cell>
          <cell r="AE221" t="str">
            <v>Scimitar, Double</v>
          </cell>
          <cell r="AF221" t="str">
            <v/>
          </cell>
          <cell r="AG221" t="str">
            <v/>
          </cell>
          <cell r="AH221">
            <v>0</v>
          </cell>
          <cell r="AI221" t="str">
            <v/>
          </cell>
          <cell r="AJ221" t="str">
            <v/>
          </cell>
          <cell r="AK221">
            <v>0</v>
          </cell>
          <cell r="AL221" t="str">
            <v/>
          </cell>
          <cell r="AM221" t="str">
            <v/>
          </cell>
          <cell r="AN221" t="str">
            <v/>
          </cell>
          <cell r="AO221">
            <v>0</v>
          </cell>
          <cell r="AP221" t="str">
            <v/>
          </cell>
          <cell r="AQ221" t="str">
            <v/>
          </cell>
          <cell r="AR221">
            <v>9</v>
          </cell>
          <cell r="AS221" t="str">
            <v>Double Scimitar</v>
          </cell>
        </row>
        <row r="222">
          <cell r="A222" t="str">
            <v>Scimitar, Great</v>
          </cell>
          <cell r="B222" t="str">
            <v>Scimitar, Great</v>
          </cell>
          <cell r="D222" t="str">
            <v>E</v>
          </cell>
          <cell r="E222" t="str">
            <v>O</v>
          </cell>
          <cell r="F222">
            <v>6</v>
          </cell>
          <cell r="H222">
            <v>18</v>
          </cell>
          <cell r="I222">
            <v>2</v>
          </cell>
          <cell r="L222">
            <v>8</v>
          </cell>
          <cell r="M222" t="str">
            <v>S</v>
          </cell>
          <cell r="P222" t="str">
            <v>X</v>
          </cell>
          <cell r="R222" t="b">
            <v>0</v>
          </cell>
          <cell r="S222" t="b">
            <v>0</v>
          </cell>
          <cell r="T222" t="b">
            <v>0</v>
          </cell>
          <cell r="U222" t="b">
            <v>0</v>
          </cell>
          <cell r="V222">
            <v>5</v>
          </cell>
          <cell r="W222" t="str">
            <v/>
          </cell>
          <cell r="X222">
            <v>5</v>
          </cell>
          <cell r="Y222" t="str">
            <v/>
          </cell>
          <cell r="Z222">
            <v>18</v>
          </cell>
          <cell r="AA222" t="str">
            <v/>
          </cell>
          <cell r="AB222">
            <v>44</v>
          </cell>
          <cell r="AC222" t="str">
            <v>Scimitar, Great</v>
          </cell>
          <cell r="AD222">
            <v>132</v>
          </cell>
          <cell r="AE222" t="str">
            <v>Scimitar, Great</v>
          </cell>
          <cell r="AF222" t="str">
            <v/>
          </cell>
          <cell r="AG222" t="str">
            <v/>
          </cell>
          <cell r="AH222">
            <v>0</v>
          </cell>
          <cell r="AI222" t="str">
            <v/>
          </cell>
          <cell r="AJ222" t="str">
            <v/>
          </cell>
          <cell r="AK222">
            <v>0</v>
          </cell>
          <cell r="AL222" t="str">
            <v/>
          </cell>
          <cell r="AM222" t="str">
            <v/>
          </cell>
          <cell r="AN222" t="str">
            <v/>
          </cell>
          <cell r="AO222">
            <v>0</v>
          </cell>
          <cell r="AP222" t="str">
            <v/>
          </cell>
          <cell r="AQ222" t="str">
            <v/>
          </cell>
          <cell r="AR222">
            <v>9</v>
          </cell>
          <cell r="AS222" t="str">
            <v>Great Scimitar</v>
          </cell>
        </row>
        <row r="223">
          <cell r="A223" t="str">
            <v>Scimitar, Valenar double</v>
          </cell>
          <cell r="B223" t="str">
            <v>Scimitar, Valenar double</v>
          </cell>
          <cell r="D223" t="str">
            <v>E</v>
          </cell>
          <cell r="E223" t="str">
            <v>T</v>
          </cell>
          <cell r="F223">
            <v>5</v>
          </cell>
          <cell r="G223">
            <v>5</v>
          </cell>
          <cell r="H223">
            <v>18</v>
          </cell>
          <cell r="I223">
            <v>2</v>
          </cell>
          <cell r="J223">
            <v>2</v>
          </cell>
          <cell r="L223">
            <v>15</v>
          </cell>
          <cell r="M223" t="str">
            <v>S</v>
          </cell>
          <cell r="P223" t="str">
            <v/>
          </cell>
          <cell r="Q223" t="b">
            <v>0</v>
          </cell>
          <cell r="R223" t="b">
            <v>0</v>
          </cell>
          <cell r="S223" t="b">
            <v>0</v>
          </cell>
          <cell r="T223" t="b">
            <v>0</v>
          </cell>
          <cell r="U223" t="b">
            <v>0</v>
          </cell>
          <cell r="V223">
            <v>5</v>
          </cell>
          <cell r="W223" t="str">
            <v/>
          </cell>
          <cell r="X223">
            <v>5</v>
          </cell>
          <cell r="Y223" t="str">
            <v/>
          </cell>
          <cell r="Z223">
            <v>18</v>
          </cell>
          <cell r="AA223" t="str">
            <v/>
          </cell>
          <cell r="AB223">
            <v>44</v>
          </cell>
          <cell r="AC223" t="str">
            <v/>
          </cell>
          <cell r="AD223">
            <v>133</v>
          </cell>
          <cell r="AE223" t="str">
            <v>Scimitar, Valenar double</v>
          </cell>
          <cell r="AF223" t="str">
            <v/>
          </cell>
          <cell r="AG223" t="str">
            <v/>
          </cell>
          <cell r="AH223">
            <v>0</v>
          </cell>
          <cell r="AI223" t="str">
            <v/>
          </cell>
          <cell r="AJ223" t="str">
            <v/>
          </cell>
          <cell r="AK223">
            <v>0</v>
          </cell>
          <cell r="AL223" t="str">
            <v/>
          </cell>
          <cell r="AM223" t="str">
            <v/>
          </cell>
          <cell r="AN223" t="str">
            <v/>
          </cell>
          <cell r="AO223">
            <v>0</v>
          </cell>
          <cell r="AP223" t="str">
            <v/>
          </cell>
          <cell r="AQ223" t="str">
            <v/>
          </cell>
          <cell r="AR223">
            <v>9</v>
          </cell>
          <cell r="AS223" t="str">
            <v>Valenar double Scimitar</v>
          </cell>
        </row>
        <row r="224">
          <cell r="A224" t="str">
            <v>Scourge</v>
          </cell>
          <cell r="B224" t="str">
            <v>Scourge</v>
          </cell>
          <cell r="D224" t="str">
            <v>E</v>
          </cell>
          <cell r="E224" t="str">
            <v>O</v>
          </cell>
          <cell r="F224">
            <v>6</v>
          </cell>
          <cell r="H224">
            <v>20</v>
          </cell>
          <cell r="I224">
            <v>2</v>
          </cell>
          <cell r="L224">
            <v>2</v>
          </cell>
          <cell r="M224" t="str">
            <v>S</v>
          </cell>
          <cell r="R224" t="b">
            <v>0</v>
          </cell>
          <cell r="S224" t="b">
            <v>0</v>
          </cell>
          <cell r="T224" t="b">
            <v>0</v>
          </cell>
          <cell r="U224" t="b">
            <v>0</v>
          </cell>
          <cell r="V224">
            <v>5</v>
          </cell>
          <cell r="W224" t="str">
            <v/>
          </cell>
          <cell r="X224">
            <v>5</v>
          </cell>
          <cell r="Y224" t="str">
            <v/>
          </cell>
          <cell r="Z224">
            <v>18</v>
          </cell>
          <cell r="AA224" t="str">
            <v/>
          </cell>
          <cell r="AB224">
            <v>44</v>
          </cell>
          <cell r="AC224" t="str">
            <v/>
          </cell>
          <cell r="AD224">
            <v>134</v>
          </cell>
          <cell r="AE224" t="str">
            <v>Scourge</v>
          </cell>
          <cell r="AF224" t="str">
            <v/>
          </cell>
          <cell r="AG224" t="str">
            <v/>
          </cell>
          <cell r="AH224">
            <v>0</v>
          </cell>
          <cell r="AI224" t="str">
            <v/>
          </cell>
          <cell r="AJ224" t="str">
            <v/>
          </cell>
          <cell r="AK224">
            <v>0</v>
          </cell>
          <cell r="AL224" t="str">
            <v/>
          </cell>
          <cell r="AM224" t="str">
            <v/>
          </cell>
          <cell r="AN224" t="str">
            <v/>
          </cell>
          <cell r="AO224">
            <v>0</v>
          </cell>
          <cell r="AP224" t="str">
            <v/>
          </cell>
          <cell r="AQ224" t="str">
            <v/>
          </cell>
          <cell r="AR224">
            <v>0</v>
          </cell>
          <cell r="AS224" t="str">
            <v>Scourge</v>
          </cell>
        </row>
        <row r="225">
          <cell r="A225" t="str">
            <v>Scythe</v>
          </cell>
          <cell r="B225" t="str">
            <v>Scythe</v>
          </cell>
          <cell r="D225" t="str">
            <v>M</v>
          </cell>
          <cell r="E225" t="str">
            <v>T</v>
          </cell>
          <cell r="F225">
            <v>9</v>
          </cell>
          <cell r="H225">
            <v>20</v>
          </cell>
          <cell r="I225">
            <v>4</v>
          </cell>
          <cell r="L225">
            <v>10</v>
          </cell>
          <cell r="M225" t="str">
            <v>P/S</v>
          </cell>
          <cell r="Q225" t="b">
            <v>0</v>
          </cell>
          <cell r="R225" t="b">
            <v>0</v>
          </cell>
          <cell r="S225" t="b">
            <v>0</v>
          </cell>
          <cell r="T225" t="b">
            <v>0</v>
          </cell>
          <cell r="U225" t="b">
            <v>0</v>
          </cell>
          <cell r="V225">
            <v>5</v>
          </cell>
          <cell r="W225" t="str">
            <v/>
          </cell>
          <cell r="X225">
            <v>5</v>
          </cell>
          <cell r="Y225" t="str">
            <v/>
          </cell>
          <cell r="Z225">
            <v>18</v>
          </cell>
          <cell r="AA225" t="str">
            <v/>
          </cell>
          <cell r="AB225">
            <v>45</v>
          </cell>
          <cell r="AC225" t="str">
            <v>Scythe</v>
          </cell>
          <cell r="AD225">
            <v>134</v>
          </cell>
          <cell r="AE225" t="str">
            <v/>
          </cell>
          <cell r="AF225" t="str">
            <v/>
          </cell>
          <cell r="AG225" t="str">
            <v/>
          </cell>
          <cell r="AH225">
            <v>0</v>
          </cell>
          <cell r="AI225" t="str">
            <v/>
          </cell>
          <cell r="AJ225" t="str">
            <v/>
          </cell>
          <cell r="AK225">
            <v>0</v>
          </cell>
          <cell r="AL225" t="str">
            <v/>
          </cell>
          <cell r="AM225" t="str">
            <v/>
          </cell>
          <cell r="AN225" t="str">
            <v/>
          </cell>
          <cell r="AO225">
            <v>0</v>
          </cell>
          <cell r="AP225" t="str">
            <v/>
          </cell>
          <cell r="AQ225" t="str">
            <v/>
          </cell>
          <cell r="AR225">
            <v>0</v>
          </cell>
          <cell r="AS225" t="str">
            <v>Scythe</v>
          </cell>
        </row>
        <row r="226">
          <cell r="A226" t="str">
            <v>Scythe, Crescent</v>
          </cell>
          <cell r="B226" t="str">
            <v>Scythe, Crescent</v>
          </cell>
          <cell r="D226" t="str">
            <v>E</v>
          </cell>
          <cell r="E226" t="str">
            <v>T</v>
          </cell>
          <cell r="F226">
            <v>6</v>
          </cell>
          <cell r="G226">
            <v>6</v>
          </cell>
          <cell r="H226">
            <v>20</v>
          </cell>
          <cell r="I226">
            <v>3</v>
          </cell>
          <cell r="J226">
            <v>3</v>
          </cell>
          <cell r="L226">
            <v>20</v>
          </cell>
          <cell r="M226" t="str">
            <v>S</v>
          </cell>
          <cell r="R226" t="b">
            <v>0</v>
          </cell>
          <cell r="S226" t="b">
            <v>0</v>
          </cell>
          <cell r="T226" t="b">
            <v>0</v>
          </cell>
          <cell r="U226" t="b">
            <v>0</v>
          </cell>
          <cell r="V226">
            <v>5</v>
          </cell>
          <cell r="W226" t="str">
            <v/>
          </cell>
          <cell r="X226">
            <v>5</v>
          </cell>
          <cell r="Y226" t="str">
            <v/>
          </cell>
          <cell r="Z226">
            <v>18</v>
          </cell>
          <cell r="AA226" t="str">
            <v/>
          </cell>
          <cell r="AB226">
            <v>45</v>
          </cell>
          <cell r="AC226" t="str">
            <v/>
          </cell>
          <cell r="AD226">
            <v>135</v>
          </cell>
          <cell r="AE226" t="str">
            <v>Scythe, Crescent</v>
          </cell>
          <cell r="AF226" t="str">
            <v/>
          </cell>
          <cell r="AG226" t="str">
            <v/>
          </cell>
          <cell r="AH226">
            <v>0</v>
          </cell>
          <cell r="AI226" t="str">
            <v/>
          </cell>
          <cell r="AJ226" t="str">
            <v/>
          </cell>
          <cell r="AK226">
            <v>0</v>
          </cell>
          <cell r="AL226" t="str">
            <v/>
          </cell>
          <cell r="AM226" t="str">
            <v/>
          </cell>
          <cell r="AN226" t="str">
            <v/>
          </cell>
          <cell r="AO226">
            <v>0</v>
          </cell>
          <cell r="AP226" t="str">
            <v/>
          </cell>
          <cell r="AQ226" t="str">
            <v/>
          </cell>
          <cell r="AR226">
            <v>7</v>
          </cell>
          <cell r="AS226" t="str">
            <v>Crescent Scythe</v>
          </cell>
        </row>
        <row r="227">
          <cell r="A227" t="str">
            <v>Sharrash, Talenta</v>
          </cell>
          <cell r="B227" t="str">
            <v>Sharrash, Talenta</v>
          </cell>
          <cell r="D227" t="str">
            <v>E</v>
          </cell>
          <cell r="E227" t="str">
            <v>T</v>
          </cell>
          <cell r="F227">
            <v>7</v>
          </cell>
          <cell r="H227">
            <v>19</v>
          </cell>
          <cell r="I227">
            <v>2</v>
          </cell>
          <cell r="L227">
            <v>10</v>
          </cell>
          <cell r="M227" t="str">
            <v>S</v>
          </cell>
          <cell r="R227" t="b">
            <v>0</v>
          </cell>
          <cell r="S227" t="b">
            <v>0</v>
          </cell>
          <cell r="T227" t="b">
            <v>0</v>
          </cell>
          <cell r="U227" t="b">
            <v>0</v>
          </cell>
          <cell r="V227">
            <v>5</v>
          </cell>
          <cell r="W227" t="str">
            <v/>
          </cell>
          <cell r="X227">
            <v>5</v>
          </cell>
          <cell r="Y227" t="str">
            <v/>
          </cell>
          <cell r="Z227">
            <v>18</v>
          </cell>
          <cell r="AA227" t="str">
            <v/>
          </cell>
          <cell r="AB227">
            <v>45</v>
          </cell>
          <cell r="AC227" t="str">
            <v/>
          </cell>
          <cell r="AD227">
            <v>136</v>
          </cell>
          <cell r="AE227" t="str">
            <v>Sharrash, Talenta</v>
          </cell>
          <cell r="AF227" t="str">
            <v/>
          </cell>
          <cell r="AG227" t="str">
            <v/>
          </cell>
          <cell r="AH227">
            <v>0</v>
          </cell>
          <cell r="AI227" t="str">
            <v/>
          </cell>
          <cell r="AJ227" t="str">
            <v/>
          </cell>
          <cell r="AK227">
            <v>0</v>
          </cell>
          <cell r="AL227" t="str">
            <v/>
          </cell>
          <cell r="AM227" t="str">
            <v/>
          </cell>
          <cell r="AN227" t="str">
            <v/>
          </cell>
          <cell r="AO227">
            <v>0</v>
          </cell>
          <cell r="AP227" t="str">
            <v/>
          </cell>
          <cell r="AQ227" t="str">
            <v/>
          </cell>
          <cell r="AR227">
            <v>9</v>
          </cell>
          <cell r="AS227" t="str">
            <v>Talenta Sharrash</v>
          </cell>
        </row>
        <row r="228">
          <cell r="A228" t="str">
            <v>Shield, Heavy</v>
          </cell>
          <cell r="B228" t="str">
            <v>Shield, Heavy</v>
          </cell>
          <cell r="D228" t="str">
            <v>M</v>
          </cell>
          <cell r="E228" t="str">
            <v>O</v>
          </cell>
          <cell r="F228">
            <v>4</v>
          </cell>
          <cell r="H228">
            <v>20</v>
          </cell>
          <cell r="I228">
            <v>2</v>
          </cell>
          <cell r="K228" t="str">
            <v>S</v>
          </cell>
          <cell r="L228">
            <v>0</v>
          </cell>
          <cell r="M228" t="str">
            <v>B</v>
          </cell>
          <cell r="R228" t="b">
            <v>0</v>
          </cell>
          <cell r="S228" t="b">
            <v>0</v>
          </cell>
          <cell r="T228" t="b">
            <v>0</v>
          </cell>
          <cell r="U228" t="b">
            <v>0</v>
          </cell>
          <cell r="V228">
            <v>5</v>
          </cell>
          <cell r="W228" t="str">
            <v/>
          </cell>
          <cell r="X228">
            <v>5</v>
          </cell>
          <cell r="Y228" t="str">
            <v/>
          </cell>
          <cell r="Z228">
            <v>18</v>
          </cell>
          <cell r="AA228" t="str">
            <v/>
          </cell>
          <cell r="AB228">
            <v>46</v>
          </cell>
          <cell r="AC228" t="str">
            <v>Shield, Heavy</v>
          </cell>
          <cell r="AD228">
            <v>136</v>
          </cell>
          <cell r="AE228" t="str">
            <v/>
          </cell>
          <cell r="AF228" t="str">
            <v/>
          </cell>
          <cell r="AG228" t="str">
            <v/>
          </cell>
          <cell r="AH228">
            <v>0</v>
          </cell>
          <cell r="AI228" t="str">
            <v/>
          </cell>
          <cell r="AJ228" t="str">
            <v/>
          </cell>
          <cell r="AK228">
            <v>0</v>
          </cell>
          <cell r="AL228" t="str">
            <v/>
          </cell>
          <cell r="AM228" t="str">
            <v/>
          </cell>
          <cell r="AN228" t="str">
            <v/>
          </cell>
          <cell r="AO228">
            <v>0</v>
          </cell>
          <cell r="AP228" t="str">
            <v/>
          </cell>
          <cell r="AQ228" t="str">
            <v/>
          </cell>
          <cell r="AR228">
            <v>7</v>
          </cell>
          <cell r="AS228" t="str">
            <v>Heavy Shield</v>
          </cell>
        </row>
        <row r="229">
          <cell r="A229" t="str">
            <v>Shield, Light</v>
          </cell>
          <cell r="B229" t="str">
            <v>Shield, Light</v>
          </cell>
          <cell r="D229" t="str">
            <v>M</v>
          </cell>
          <cell r="E229" t="str">
            <v>L</v>
          </cell>
          <cell r="F229">
            <v>3</v>
          </cell>
          <cell r="H229">
            <v>20</v>
          </cell>
          <cell r="I229">
            <v>2</v>
          </cell>
          <cell r="K229" t="str">
            <v>S</v>
          </cell>
          <cell r="L229">
            <v>0</v>
          </cell>
          <cell r="M229" t="str">
            <v>B</v>
          </cell>
          <cell r="R229" t="b">
            <v>0</v>
          </cell>
          <cell r="S229" t="b">
            <v>0</v>
          </cell>
          <cell r="T229" t="b">
            <v>0</v>
          </cell>
          <cell r="U229" t="b">
            <v>0</v>
          </cell>
          <cell r="V229">
            <v>5</v>
          </cell>
          <cell r="W229" t="str">
            <v/>
          </cell>
          <cell r="X229">
            <v>5</v>
          </cell>
          <cell r="Y229" t="str">
            <v/>
          </cell>
          <cell r="Z229">
            <v>18</v>
          </cell>
          <cell r="AA229" t="str">
            <v/>
          </cell>
          <cell r="AB229">
            <v>47</v>
          </cell>
          <cell r="AC229" t="str">
            <v>Shield, Light</v>
          </cell>
          <cell r="AD229">
            <v>136</v>
          </cell>
          <cell r="AE229" t="str">
            <v/>
          </cell>
          <cell r="AF229" t="str">
            <v/>
          </cell>
          <cell r="AG229" t="str">
            <v/>
          </cell>
          <cell r="AH229">
            <v>0</v>
          </cell>
          <cell r="AI229" t="str">
            <v/>
          </cell>
          <cell r="AJ229" t="str">
            <v/>
          </cell>
          <cell r="AK229">
            <v>0</v>
          </cell>
          <cell r="AL229" t="str">
            <v/>
          </cell>
          <cell r="AM229" t="str">
            <v/>
          </cell>
          <cell r="AN229" t="str">
            <v/>
          </cell>
          <cell r="AO229">
            <v>0</v>
          </cell>
          <cell r="AP229" t="str">
            <v/>
          </cell>
          <cell r="AQ229" t="str">
            <v/>
          </cell>
          <cell r="AR229">
            <v>7</v>
          </cell>
          <cell r="AS229" t="str">
            <v>Light Shield</v>
          </cell>
        </row>
        <row r="230">
          <cell r="A230" t="str">
            <v>Shikomi-Zue</v>
          </cell>
          <cell r="B230" t="str">
            <v>Shikomi-Zue</v>
          </cell>
          <cell r="D230" t="str">
            <v>E</v>
          </cell>
          <cell r="E230" t="str">
            <v>T</v>
          </cell>
          <cell r="F230">
            <v>6</v>
          </cell>
          <cell r="H230">
            <v>20</v>
          </cell>
          <cell r="I230">
            <v>3</v>
          </cell>
          <cell r="L230">
            <v>5</v>
          </cell>
          <cell r="M230" t="str">
            <v>P</v>
          </cell>
          <cell r="Q230" t="b">
            <v>0</v>
          </cell>
          <cell r="R230" t="b">
            <v>0</v>
          </cell>
          <cell r="S230" t="b">
            <v>0</v>
          </cell>
          <cell r="T230" t="b">
            <v>0</v>
          </cell>
          <cell r="U230" t="b">
            <v>0</v>
          </cell>
          <cell r="V230">
            <v>5</v>
          </cell>
          <cell r="W230" t="str">
            <v/>
          </cell>
          <cell r="X230">
            <v>5</v>
          </cell>
          <cell r="Y230" t="str">
            <v/>
          </cell>
          <cell r="Z230">
            <v>18</v>
          </cell>
          <cell r="AA230" t="str">
            <v/>
          </cell>
          <cell r="AB230">
            <v>47</v>
          </cell>
          <cell r="AC230" t="str">
            <v/>
          </cell>
          <cell r="AD230">
            <v>137</v>
          </cell>
          <cell r="AE230" t="str">
            <v>Shikomi-Zue</v>
          </cell>
          <cell r="AF230" t="str">
            <v/>
          </cell>
          <cell r="AG230" t="str">
            <v/>
          </cell>
          <cell r="AH230">
            <v>0</v>
          </cell>
          <cell r="AI230" t="str">
            <v/>
          </cell>
          <cell r="AJ230" t="str">
            <v/>
          </cell>
          <cell r="AK230">
            <v>0</v>
          </cell>
          <cell r="AL230" t="str">
            <v/>
          </cell>
          <cell r="AM230" t="str">
            <v/>
          </cell>
          <cell r="AN230" t="str">
            <v/>
          </cell>
          <cell r="AO230">
            <v>0</v>
          </cell>
          <cell r="AP230" t="str">
            <v/>
          </cell>
          <cell r="AQ230" t="str">
            <v/>
          </cell>
          <cell r="AR230">
            <v>0</v>
          </cell>
          <cell r="AS230" t="str">
            <v>Shikomi-Zue</v>
          </cell>
        </row>
        <row r="231">
          <cell r="A231" t="str">
            <v>Shortbow</v>
          </cell>
          <cell r="B231" t="str">
            <v>Shortbow</v>
          </cell>
          <cell r="D231" t="str">
            <v>M</v>
          </cell>
          <cell r="E231" t="str">
            <v>R</v>
          </cell>
          <cell r="F231">
            <v>5</v>
          </cell>
          <cell r="H231">
            <v>20</v>
          </cell>
          <cell r="I231">
            <v>3</v>
          </cell>
          <cell r="K231">
            <v>60</v>
          </cell>
          <cell r="L231">
            <v>2</v>
          </cell>
          <cell r="M231" t="str">
            <v>P</v>
          </cell>
          <cell r="Q231" t="b">
            <v>0</v>
          </cell>
          <cell r="R231" t="b">
            <v>0</v>
          </cell>
          <cell r="S231" t="b">
            <v>0</v>
          </cell>
          <cell r="T231" t="b">
            <v>0</v>
          </cell>
          <cell r="U231" t="b">
            <v>0</v>
          </cell>
          <cell r="V231">
            <v>5</v>
          </cell>
          <cell r="W231" t="str">
            <v/>
          </cell>
          <cell r="X231">
            <v>5</v>
          </cell>
          <cell r="Y231" t="str">
            <v/>
          </cell>
          <cell r="Z231">
            <v>18</v>
          </cell>
          <cell r="AA231" t="str">
            <v/>
          </cell>
          <cell r="AB231">
            <v>48</v>
          </cell>
          <cell r="AC231" t="str">
            <v>Shortbow</v>
          </cell>
          <cell r="AD231">
            <v>137</v>
          </cell>
          <cell r="AE231" t="str">
            <v/>
          </cell>
          <cell r="AF231" t="str">
            <v/>
          </cell>
          <cell r="AG231" t="str">
            <v/>
          </cell>
          <cell r="AH231">
            <v>0</v>
          </cell>
          <cell r="AI231" t="str">
            <v/>
          </cell>
          <cell r="AJ231" t="str">
            <v/>
          </cell>
          <cell r="AK231">
            <v>0</v>
          </cell>
          <cell r="AL231" t="str">
            <v/>
          </cell>
          <cell r="AM231" t="str">
            <v/>
          </cell>
          <cell r="AN231" t="str">
            <v/>
          </cell>
          <cell r="AO231">
            <v>0</v>
          </cell>
          <cell r="AP231" t="str">
            <v/>
          </cell>
          <cell r="AQ231" t="str">
            <v/>
          </cell>
          <cell r="AR231">
            <v>0</v>
          </cell>
          <cell r="AS231" t="str">
            <v>Shortbow</v>
          </cell>
        </row>
        <row r="232">
          <cell r="A232" t="str">
            <v>Shortbow, Composite</v>
          </cell>
          <cell r="B232" t="str">
            <v>Shortbow, Composite</v>
          </cell>
          <cell r="D232" t="str">
            <v>M</v>
          </cell>
          <cell r="E232" t="str">
            <v>R</v>
          </cell>
          <cell r="F232">
            <v>5</v>
          </cell>
          <cell r="H232">
            <v>20</v>
          </cell>
          <cell r="I232">
            <v>3</v>
          </cell>
          <cell r="K232">
            <v>70</v>
          </cell>
          <cell r="L232">
            <v>2</v>
          </cell>
          <cell r="M232" t="str">
            <v>P</v>
          </cell>
          <cell r="P232" t="str">
            <v>M</v>
          </cell>
          <cell r="Q232" t="b">
            <v>0</v>
          </cell>
          <cell r="R232" t="b">
            <v>0</v>
          </cell>
          <cell r="S232" t="b">
            <v>0</v>
          </cell>
          <cell r="T232" t="b">
            <v>0</v>
          </cell>
          <cell r="U232" t="b">
            <v>0</v>
          </cell>
          <cell r="V232">
            <v>5</v>
          </cell>
          <cell r="W232" t="str">
            <v/>
          </cell>
          <cell r="X232">
            <v>5</v>
          </cell>
          <cell r="Y232" t="str">
            <v/>
          </cell>
          <cell r="Z232">
            <v>18</v>
          </cell>
          <cell r="AA232" t="str">
            <v/>
          </cell>
          <cell r="AB232">
            <v>49</v>
          </cell>
          <cell r="AC232" t="str">
            <v>Shortbow, Composite</v>
          </cell>
          <cell r="AD232">
            <v>137</v>
          </cell>
          <cell r="AE232" t="str">
            <v/>
          </cell>
          <cell r="AF232" t="str">
            <v/>
          </cell>
          <cell r="AG232" t="str">
            <v/>
          </cell>
          <cell r="AH232">
            <v>0</v>
          </cell>
          <cell r="AI232" t="str">
            <v/>
          </cell>
          <cell r="AJ232" t="str">
            <v/>
          </cell>
          <cell r="AK232">
            <v>0</v>
          </cell>
          <cell r="AL232" t="str">
            <v/>
          </cell>
          <cell r="AM232" t="str">
            <v/>
          </cell>
          <cell r="AN232" t="str">
            <v/>
          </cell>
          <cell r="AO232">
            <v>0</v>
          </cell>
          <cell r="AP232" t="str">
            <v/>
          </cell>
          <cell r="AQ232" t="str">
            <v/>
          </cell>
          <cell r="AR232">
            <v>9</v>
          </cell>
          <cell r="AS232" t="str">
            <v>Composite Shortbow</v>
          </cell>
        </row>
        <row r="233">
          <cell r="A233" t="str">
            <v>Shortspear</v>
          </cell>
          <cell r="B233" t="str">
            <v>Shortspear</v>
          </cell>
          <cell r="D233" t="str">
            <v>S</v>
          </cell>
          <cell r="E233" t="str">
            <v>O</v>
          </cell>
          <cell r="F233">
            <v>5</v>
          </cell>
          <cell r="H233">
            <v>20</v>
          </cell>
          <cell r="I233">
            <v>2</v>
          </cell>
          <cell r="K233">
            <v>20</v>
          </cell>
          <cell r="L233">
            <v>3</v>
          </cell>
          <cell r="M233" t="str">
            <v>P</v>
          </cell>
          <cell r="Q233" t="b">
            <v>0</v>
          </cell>
          <cell r="R233" t="b">
            <v>0</v>
          </cell>
          <cell r="S233" t="b">
            <v>0</v>
          </cell>
          <cell r="T233" t="b">
            <v>0</v>
          </cell>
          <cell r="U233" t="b">
            <v>0</v>
          </cell>
          <cell r="V233">
            <v>5</v>
          </cell>
          <cell r="W233" t="str">
            <v/>
          </cell>
          <cell r="X233">
            <v>5</v>
          </cell>
          <cell r="Y233" t="str">
            <v/>
          </cell>
          <cell r="Z233">
            <v>19</v>
          </cell>
          <cell r="AA233" t="str">
            <v>Shortspear</v>
          </cell>
          <cell r="AB233">
            <v>49</v>
          </cell>
          <cell r="AC233" t="str">
            <v/>
          </cell>
          <cell r="AD233">
            <v>137</v>
          </cell>
          <cell r="AE233" t="str">
            <v/>
          </cell>
          <cell r="AF233" t="str">
            <v/>
          </cell>
          <cell r="AG233" t="str">
            <v/>
          </cell>
          <cell r="AH233">
            <v>0</v>
          </cell>
          <cell r="AI233" t="str">
            <v/>
          </cell>
          <cell r="AJ233" t="str">
            <v/>
          </cell>
          <cell r="AK233">
            <v>0</v>
          </cell>
          <cell r="AL233" t="str">
            <v/>
          </cell>
          <cell r="AM233" t="str">
            <v/>
          </cell>
          <cell r="AN233" t="str">
            <v/>
          </cell>
          <cell r="AO233">
            <v>0</v>
          </cell>
          <cell r="AP233" t="str">
            <v/>
          </cell>
          <cell r="AQ233" t="str">
            <v/>
          </cell>
          <cell r="AR233">
            <v>0</v>
          </cell>
          <cell r="AS233" t="str">
            <v>Shortspear</v>
          </cell>
        </row>
        <row r="234">
          <cell r="A234" t="str">
            <v>Shotput, Orc</v>
          </cell>
          <cell r="B234" t="str">
            <v>Shotput, Orc</v>
          </cell>
          <cell r="D234" t="str">
            <v>E</v>
          </cell>
          <cell r="E234" t="str">
            <v>R</v>
          </cell>
          <cell r="F234">
            <v>10</v>
          </cell>
          <cell r="H234">
            <v>19</v>
          </cell>
          <cell r="I234">
            <v>3</v>
          </cell>
          <cell r="K234">
            <v>10</v>
          </cell>
          <cell r="L234">
            <v>15</v>
          </cell>
          <cell r="M234" t="str">
            <v>B</v>
          </cell>
          <cell r="P234" t="str">
            <v>T</v>
          </cell>
          <cell r="Q234" t="b">
            <v>0</v>
          </cell>
          <cell r="R234" t="b">
            <v>0</v>
          </cell>
          <cell r="S234" t="b">
            <v>0</v>
          </cell>
          <cell r="T234" t="b">
            <v>0</v>
          </cell>
          <cell r="U234" t="b">
            <v>0</v>
          </cell>
          <cell r="V234">
            <v>5</v>
          </cell>
          <cell r="W234" t="str">
            <v/>
          </cell>
          <cell r="X234">
            <v>5</v>
          </cell>
          <cell r="Y234" t="str">
            <v/>
          </cell>
          <cell r="Z234">
            <v>19</v>
          </cell>
          <cell r="AA234" t="str">
            <v/>
          </cell>
          <cell r="AB234">
            <v>49</v>
          </cell>
          <cell r="AC234" t="str">
            <v/>
          </cell>
          <cell r="AD234">
            <v>138</v>
          </cell>
          <cell r="AE234" t="str">
            <v>Shotput, Orc</v>
          </cell>
          <cell r="AF234" t="str">
            <v/>
          </cell>
          <cell r="AG234" t="str">
            <v/>
          </cell>
          <cell r="AH234">
            <v>0</v>
          </cell>
          <cell r="AI234" t="str">
            <v/>
          </cell>
          <cell r="AJ234" t="str">
            <v/>
          </cell>
          <cell r="AK234">
            <v>0</v>
          </cell>
          <cell r="AL234" t="str">
            <v/>
          </cell>
          <cell r="AM234" t="str">
            <v/>
          </cell>
          <cell r="AN234" t="str">
            <v/>
          </cell>
          <cell r="AO234">
            <v>0</v>
          </cell>
          <cell r="AP234" t="str">
            <v/>
          </cell>
          <cell r="AQ234" t="str">
            <v/>
          </cell>
          <cell r="AR234">
            <v>8</v>
          </cell>
          <cell r="AS234" t="str">
            <v>Orc Shotput</v>
          </cell>
        </row>
        <row r="235">
          <cell r="A235" t="str">
            <v>Shuriken</v>
          </cell>
          <cell r="B235" t="str">
            <v>Shuriken</v>
          </cell>
          <cell r="D235" t="str">
            <v>E</v>
          </cell>
          <cell r="E235" t="str">
            <v>R</v>
          </cell>
          <cell r="F235">
            <v>2</v>
          </cell>
          <cell r="H235">
            <v>20</v>
          </cell>
          <cell r="I235">
            <v>2</v>
          </cell>
          <cell r="K235">
            <v>10</v>
          </cell>
          <cell r="L235">
            <v>0.5</v>
          </cell>
          <cell r="M235" t="str">
            <v>P</v>
          </cell>
          <cell r="P235" t="str">
            <v>U,T</v>
          </cell>
          <cell r="Q235" t="b">
            <v>0</v>
          </cell>
          <cell r="R235" t="b">
            <v>0</v>
          </cell>
          <cell r="S235" t="b">
            <v>0</v>
          </cell>
          <cell r="T235" t="b">
            <v>0</v>
          </cell>
          <cell r="U235" t="b">
            <v>0</v>
          </cell>
          <cell r="V235">
            <v>5</v>
          </cell>
          <cell r="W235" t="str">
            <v/>
          </cell>
          <cell r="X235">
            <v>5</v>
          </cell>
          <cell r="Y235" t="str">
            <v/>
          </cell>
          <cell r="Z235">
            <v>19</v>
          </cell>
          <cell r="AA235" t="str">
            <v/>
          </cell>
          <cell r="AB235">
            <v>49</v>
          </cell>
          <cell r="AC235" t="str">
            <v/>
          </cell>
          <cell r="AD235">
            <v>139</v>
          </cell>
          <cell r="AE235" t="str">
            <v>Shuriken</v>
          </cell>
          <cell r="AF235" t="str">
            <v/>
          </cell>
          <cell r="AG235" t="str">
            <v/>
          </cell>
          <cell r="AH235">
            <v>0</v>
          </cell>
          <cell r="AI235" t="str">
            <v/>
          </cell>
          <cell r="AJ235" t="str">
            <v/>
          </cell>
          <cell r="AK235">
            <v>0</v>
          </cell>
          <cell r="AL235" t="str">
            <v/>
          </cell>
          <cell r="AM235" t="str">
            <v/>
          </cell>
          <cell r="AN235" t="str">
            <v/>
          </cell>
          <cell r="AO235">
            <v>0</v>
          </cell>
          <cell r="AP235" t="str">
            <v/>
          </cell>
          <cell r="AQ235" t="str">
            <v/>
          </cell>
          <cell r="AR235">
            <v>0</v>
          </cell>
          <cell r="AS235" t="str">
            <v>Shuriken</v>
          </cell>
        </row>
        <row r="236">
          <cell r="A236" t="str">
            <v>Siangham</v>
          </cell>
          <cell r="B236" t="str">
            <v>Siangham</v>
          </cell>
          <cell r="D236" t="str">
            <v>E</v>
          </cell>
          <cell r="E236" t="str">
            <v>L</v>
          </cell>
          <cell r="F236">
            <v>5</v>
          </cell>
          <cell r="H236">
            <v>20</v>
          </cell>
          <cell r="I236">
            <v>2</v>
          </cell>
          <cell r="L236">
            <v>1</v>
          </cell>
          <cell r="M236" t="str">
            <v>P</v>
          </cell>
          <cell r="P236" t="str">
            <v>U</v>
          </cell>
          <cell r="Q236" t="b">
            <v>0</v>
          </cell>
          <cell r="R236" t="b">
            <v>0</v>
          </cell>
          <cell r="S236" t="b">
            <v>0</v>
          </cell>
          <cell r="T236" t="b">
            <v>0</v>
          </cell>
          <cell r="U236" t="b">
            <v>0</v>
          </cell>
          <cell r="V236">
            <v>5</v>
          </cell>
          <cell r="W236" t="str">
            <v/>
          </cell>
          <cell r="X236">
            <v>5</v>
          </cell>
          <cell r="Y236" t="str">
            <v/>
          </cell>
          <cell r="Z236">
            <v>19</v>
          </cell>
          <cell r="AA236" t="str">
            <v/>
          </cell>
          <cell r="AB236">
            <v>49</v>
          </cell>
          <cell r="AC236" t="str">
            <v/>
          </cell>
          <cell r="AD236">
            <v>140</v>
          </cell>
          <cell r="AE236" t="str">
            <v>Siangham</v>
          </cell>
          <cell r="AF236" t="str">
            <v/>
          </cell>
          <cell r="AG236" t="str">
            <v/>
          </cell>
          <cell r="AH236">
            <v>0</v>
          </cell>
          <cell r="AI236" t="str">
            <v/>
          </cell>
          <cell r="AJ236" t="str">
            <v/>
          </cell>
          <cell r="AK236">
            <v>0</v>
          </cell>
          <cell r="AL236" t="str">
            <v/>
          </cell>
          <cell r="AM236" t="str">
            <v/>
          </cell>
          <cell r="AN236" t="str">
            <v/>
          </cell>
          <cell r="AO236">
            <v>0</v>
          </cell>
          <cell r="AP236" t="str">
            <v/>
          </cell>
          <cell r="AQ236" t="str">
            <v/>
          </cell>
          <cell r="AR236">
            <v>0</v>
          </cell>
          <cell r="AS236" t="str">
            <v>Siangham</v>
          </cell>
        </row>
        <row r="237">
          <cell r="A237" t="str">
            <v>Sickle</v>
          </cell>
          <cell r="B237" t="str">
            <v>Sickle</v>
          </cell>
          <cell r="D237" t="str">
            <v>S</v>
          </cell>
          <cell r="E237" t="str">
            <v>L</v>
          </cell>
          <cell r="F237">
            <v>5</v>
          </cell>
          <cell r="H237">
            <v>20</v>
          </cell>
          <cell r="I237">
            <v>2</v>
          </cell>
          <cell r="L237">
            <v>2</v>
          </cell>
          <cell r="M237" t="str">
            <v>S</v>
          </cell>
          <cell r="Q237" t="b">
            <v>0</v>
          </cell>
          <cell r="R237" t="b">
            <v>0</v>
          </cell>
          <cell r="S237" t="b">
            <v>0</v>
          </cell>
          <cell r="T237" t="b">
            <v>0</v>
          </cell>
          <cell r="U237" t="b">
            <v>0</v>
          </cell>
          <cell r="V237">
            <v>5</v>
          </cell>
          <cell r="W237" t="str">
            <v/>
          </cell>
          <cell r="X237">
            <v>5</v>
          </cell>
          <cell r="Y237" t="str">
            <v/>
          </cell>
          <cell r="Z237">
            <v>20</v>
          </cell>
          <cell r="AA237" t="str">
            <v>Sickle</v>
          </cell>
          <cell r="AB237">
            <v>49</v>
          </cell>
          <cell r="AC237" t="str">
            <v/>
          </cell>
          <cell r="AD237">
            <v>140</v>
          </cell>
          <cell r="AE237" t="str">
            <v/>
          </cell>
          <cell r="AF237" t="str">
            <v/>
          </cell>
          <cell r="AG237" t="str">
            <v/>
          </cell>
          <cell r="AH237">
            <v>0</v>
          </cell>
          <cell r="AI237" t="str">
            <v/>
          </cell>
          <cell r="AJ237" t="str">
            <v/>
          </cell>
          <cell r="AK237">
            <v>0</v>
          </cell>
          <cell r="AL237" t="str">
            <v/>
          </cell>
          <cell r="AM237" t="str">
            <v/>
          </cell>
          <cell r="AN237" t="str">
            <v/>
          </cell>
          <cell r="AO237">
            <v>0</v>
          </cell>
          <cell r="AP237" t="str">
            <v/>
          </cell>
          <cell r="AQ237" t="str">
            <v/>
          </cell>
          <cell r="AR237">
            <v>0</v>
          </cell>
          <cell r="AS237" t="str">
            <v>Sickle</v>
          </cell>
        </row>
        <row r="238">
          <cell r="A238" t="str">
            <v>Sickle, Heavy</v>
          </cell>
          <cell r="B238" t="str">
            <v>Sickle, Heavy</v>
          </cell>
          <cell r="D238" t="str">
            <v>S</v>
          </cell>
          <cell r="E238" t="str">
            <v>O</v>
          </cell>
          <cell r="F238">
            <v>6</v>
          </cell>
          <cell r="H238">
            <v>20</v>
          </cell>
          <cell r="I238">
            <v>2</v>
          </cell>
          <cell r="L238">
            <v>6</v>
          </cell>
          <cell r="M238" t="str">
            <v>S</v>
          </cell>
          <cell r="R238" t="b">
            <v>0</v>
          </cell>
          <cell r="S238" t="b">
            <v>0</v>
          </cell>
          <cell r="T238" t="b">
            <v>0</v>
          </cell>
          <cell r="U238" t="b">
            <v>0</v>
          </cell>
          <cell r="V238">
            <v>5</v>
          </cell>
          <cell r="W238" t="str">
            <v/>
          </cell>
          <cell r="X238">
            <v>5</v>
          </cell>
          <cell r="Y238" t="str">
            <v/>
          </cell>
          <cell r="Z238">
            <v>21</v>
          </cell>
          <cell r="AA238" t="str">
            <v>Sickle, Heavy</v>
          </cell>
          <cell r="AB238">
            <v>49</v>
          </cell>
          <cell r="AC238" t="str">
            <v/>
          </cell>
          <cell r="AD238">
            <v>140</v>
          </cell>
          <cell r="AE238" t="str">
            <v/>
          </cell>
          <cell r="AF238" t="str">
            <v/>
          </cell>
          <cell r="AG238" t="str">
            <v/>
          </cell>
          <cell r="AH238">
            <v>0</v>
          </cell>
          <cell r="AI238" t="str">
            <v/>
          </cell>
          <cell r="AJ238" t="str">
            <v/>
          </cell>
          <cell r="AK238">
            <v>0</v>
          </cell>
          <cell r="AL238" t="str">
            <v/>
          </cell>
          <cell r="AM238" t="str">
            <v/>
          </cell>
          <cell r="AN238" t="str">
            <v/>
          </cell>
          <cell r="AO238">
            <v>0</v>
          </cell>
          <cell r="AP238" t="str">
            <v/>
          </cell>
          <cell r="AQ238" t="str">
            <v/>
          </cell>
          <cell r="AR238">
            <v>7</v>
          </cell>
          <cell r="AS238" t="str">
            <v>Heavy Sickle</v>
          </cell>
        </row>
        <row r="239">
          <cell r="A239" t="str">
            <v>Skipdisk, Razor</v>
          </cell>
          <cell r="B239" t="str">
            <v>Skipdisk, Razor</v>
          </cell>
          <cell r="D239" t="str">
            <v>E</v>
          </cell>
          <cell r="E239" t="str">
            <v>R</v>
          </cell>
          <cell r="F239">
            <v>5</v>
          </cell>
          <cell r="H239">
            <v>18</v>
          </cell>
          <cell r="I239">
            <v>2</v>
          </cell>
          <cell r="K239">
            <v>10</v>
          </cell>
          <cell r="L239">
            <v>2</v>
          </cell>
          <cell r="M239" t="str">
            <v>S</v>
          </cell>
          <cell r="R239" t="b">
            <v>0</v>
          </cell>
          <cell r="S239" t="b">
            <v>0</v>
          </cell>
          <cell r="T239" t="b">
            <v>0</v>
          </cell>
          <cell r="U239" t="b">
            <v>0</v>
          </cell>
          <cell r="V239">
            <v>5</v>
          </cell>
          <cell r="W239" t="str">
            <v/>
          </cell>
          <cell r="X239">
            <v>5</v>
          </cell>
          <cell r="Y239" t="str">
            <v/>
          </cell>
          <cell r="Z239">
            <v>21</v>
          </cell>
          <cell r="AA239" t="str">
            <v/>
          </cell>
          <cell r="AB239">
            <v>49</v>
          </cell>
          <cell r="AC239" t="str">
            <v/>
          </cell>
          <cell r="AD239">
            <v>141</v>
          </cell>
          <cell r="AE239" t="str">
            <v>Skipdisk, Razor</v>
          </cell>
          <cell r="AF239" t="str">
            <v/>
          </cell>
          <cell r="AG239" t="str">
            <v/>
          </cell>
          <cell r="AH239">
            <v>0</v>
          </cell>
          <cell r="AI239" t="str">
            <v/>
          </cell>
          <cell r="AJ239" t="str">
            <v/>
          </cell>
          <cell r="AK239">
            <v>0</v>
          </cell>
          <cell r="AL239" t="str">
            <v/>
          </cell>
          <cell r="AM239" t="str">
            <v/>
          </cell>
          <cell r="AN239" t="str">
            <v/>
          </cell>
          <cell r="AO239">
            <v>0</v>
          </cell>
          <cell r="AP239" t="str">
            <v/>
          </cell>
          <cell r="AQ239" t="str">
            <v/>
          </cell>
          <cell r="AR239">
            <v>9</v>
          </cell>
          <cell r="AS239" t="str">
            <v>Razor Skipdisk</v>
          </cell>
        </row>
        <row r="240">
          <cell r="A240" t="str">
            <v>Skiprock</v>
          </cell>
          <cell r="B240" t="str">
            <v>Skiprock</v>
          </cell>
          <cell r="D240" t="str">
            <v>E</v>
          </cell>
          <cell r="E240" t="str">
            <v>R</v>
          </cell>
          <cell r="F240">
            <v>5</v>
          </cell>
          <cell r="H240">
            <v>20</v>
          </cell>
          <cell r="I240">
            <v>2</v>
          </cell>
          <cell r="K240">
            <v>15</v>
          </cell>
          <cell r="L240">
            <v>0.25</v>
          </cell>
          <cell r="M240" t="str">
            <v>B</v>
          </cell>
          <cell r="R240" t="b">
            <v>0</v>
          </cell>
          <cell r="S240" t="b">
            <v>0</v>
          </cell>
          <cell r="T240" t="b">
            <v>0</v>
          </cell>
          <cell r="U240" t="b">
            <v>0</v>
          </cell>
          <cell r="V240">
            <v>5</v>
          </cell>
          <cell r="W240" t="str">
            <v/>
          </cell>
          <cell r="X240">
            <v>5</v>
          </cell>
          <cell r="Y240" t="str">
            <v/>
          </cell>
          <cell r="Z240">
            <v>21</v>
          </cell>
          <cell r="AA240" t="str">
            <v/>
          </cell>
          <cell r="AB240">
            <v>49</v>
          </cell>
          <cell r="AC240" t="str">
            <v/>
          </cell>
          <cell r="AD240">
            <v>142</v>
          </cell>
          <cell r="AE240" t="str">
            <v>Skiprock</v>
          </cell>
          <cell r="AF240" t="str">
            <v/>
          </cell>
          <cell r="AG240" t="str">
            <v/>
          </cell>
          <cell r="AH240">
            <v>0</v>
          </cell>
          <cell r="AI240" t="str">
            <v/>
          </cell>
          <cell r="AJ240" t="str">
            <v/>
          </cell>
          <cell r="AK240">
            <v>0</v>
          </cell>
          <cell r="AL240" t="str">
            <v/>
          </cell>
          <cell r="AM240" t="str">
            <v/>
          </cell>
          <cell r="AN240" t="str">
            <v/>
          </cell>
          <cell r="AO240">
            <v>0</v>
          </cell>
          <cell r="AP240" t="str">
            <v/>
          </cell>
          <cell r="AQ240" t="str">
            <v/>
          </cell>
          <cell r="AR240">
            <v>0</v>
          </cell>
          <cell r="AS240" t="str">
            <v>Skiprock</v>
          </cell>
        </row>
        <row r="241">
          <cell r="A241" t="str">
            <v>Sling</v>
          </cell>
          <cell r="B241" t="str">
            <v>Sling</v>
          </cell>
          <cell r="D241" t="str">
            <v>S</v>
          </cell>
          <cell r="E241" t="str">
            <v>R</v>
          </cell>
          <cell r="F241">
            <v>4</v>
          </cell>
          <cell r="H241">
            <v>20</v>
          </cell>
          <cell r="I241">
            <v>2</v>
          </cell>
          <cell r="K241">
            <v>50</v>
          </cell>
          <cell r="L241">
            <v>0</v>
          </cell>
          <cell r="M241" t="str">
            <v>B</v>
          </cell>
          <cell r="Q241" t="b">
            <v>0</v>
          </cell>
          <cell r="R241" t="b">
            <v>0</v>
          </cell>
          <cell r="S241" t="b">
            <v>0</v>
          </cell>
          <cell r="T241" t="b">
            <v>0</v>
          </cell>
          <cell r="U241" t="b">
            <v>0</v>
          </cell>
          <cell r="V241">
            <v>5</v>
          </cell>
          <cell r="W241" t="str">
            <v/>
          </cell>
          <cell r="X241">
            <v>5</v>
          </cell>
          <cell r="Y241" t="str">
            <v/>
          </cell>
          <cell r="Z241">
            <v>22</v>
          </cell>
          <cell r="AA241" t="str">
            <v>Sling</v>
          </cell>
          <cell r="AB241">
            <v>49</v>
          </cell>
          <cell r="AC241" t="str">
            <v/>
          </cell>
          <cell r="AD241">
            <v>142</v>
          </cell>
          <cell r="AE241" t="str">
            <v/>
          </cell>
          <cell r="AF241" t="str">
            <v/>
          </cell>
          <cell r="AG241" t="str">
            <v/>
          </cell>
          <cell r="AH241">
            <v>0</v>
          </cell>
          <cell r="AI241" t="str">
            <v/>
          </cell>
          <cell r="AJ241" t="str">
            <v/>
          </cell>
          <cell r="AK241">
            <v>0</v>
          </cell>
          <cell r="AL241" t="str">
            <v/>
          </cell>
          <cell r="AM241" t="str">
            <v/>
          </cell>
          <cell r="AN241" t="str">
            <v/>
          </cell>
          <cell r="AO241">
            <v>0</v>
          </cell>
          <cell r="AP241" t="str">
            <v/>
          </cell>
          <cell r="AQ241" t="str">
            <v/>
          </cell>
          <cell r="AR241">
            <v>0</v>
          </cell>
          <cell r="AS241" t="str">
            <v>Sling</v>
          </cell>
        </row>
        <row r="242">
          <cell r="A242" t="str">
            <v>Sling, War</v>
          </cell>
          <cell r="B242" t="str">
            <v>Sling, War</v>
          </cell>
          <cell r="D242" t="str">
            <v>E</v>
          </cell>
          <cell r="E242" t="str">
            <v>R</v>
          </cell>
          <cell r="F242">
            <v>6</v>
          </cell>
          <cell r="H242">
            <v>20</v>
          </cell>
          <cell r="I242">
            <v>4</v>
          </cell>
          <cell r="K242">
            <v>50</v>
          </cell>
          <cell r="L242">
            <v>1</v>
          </cell>
          <cell r="M242" t="str">
            <v>B</v>
          </cell>
          <cell r="R242" t="b">
            <v>0</v>
          </cell>
          <cell r="S242" t="b">
            <v>0</v>
          </cell>
          <cell r="T242" t="b">
            <v>0</v>
          </cell>
          <cell r="U242" t="b">
            <v>0</v>
          </cell>
          <cell r="V242">
            <v>5</v>
          </cell>
          <cell r="W242" t="str">
            <v/>
          </cell>
          <cell r="X242">
            <v>5</v>
          </cell>
          <cell r="Y242" t="str">
            <v/>
          </cell>
          <cell r="Z242">
            <v>22</v>
          </cell>
          <cell r="AA242" t="str">
            <v/>
          </cell>
          <cell r="AB242">
            <v>49</v>
          </cell>
          <cell r="AC242" t="str">
            <v/>
          </cell>
          <cell r="AD242">
            <v>143</v>
          </cell>
          <cell r="AE242" t="str">
            <v>Sling, War</v>
          </cell>
          <cell r="AF242" t="str">
            <v/>
          </cell>
          <cell r="AG242" t="str">
            <v/>
          </cell>
          <cell r="AH242">
            <v>0</v>
          </cell>
          <cell r="AI242" t="str">
            <v/>
          </cell>
          <cell r="AJ242" t="str">
            <v/>
          </cell>
          <cell r="AK242">
            <v>0</v>
          </cell>
          <cell r="AL242" t="str">
            <v/>
          </cell>
          <cell r="AM242" t="str">
            <v/>
          </cell>
          <cell r="AN242" t="str">
            <v/>
          </cell>
          <cell r="AO242">
            <v>0</v>
          </cell>
          <cell r="AP242" t="str">
            <v/>
          </cell>
          <cell r="AQ242" t="str">
            <v/>
          </cell>
          <cell r="AR242">
            <v>6</v>
          </cell>
          <cell r="AS242" t="str">
            <v>War Sling</v>
          </cell>
        </row>
        <row r="243">
          <cell r="A243" t="str">
            <v>Smokebomb</v>
          </cell>
          <cell r="B243" t="str">
            <v>Smokebomb</v>
          </cell>
          <cell r="D243" t="str">
            <v>E</v>
          </cell>
          <cell r="E243" t="str">
            <v>R</v>
          </cell>
          <cell r="F243">
            <v>13</v>
          </cell>
          <cell r="K243">
            <v>10</v>
          </cell>
          <cell r="L243">
            <v>1</v>
          </cell>
          <cell r="M243" t="str">
            <v>*</v>
          </cell>
          <cell r="R243" t="b">
            <v>0</v>
          </cell>
          <cell r="S243" t="b">
            <v>0</v>
          </cell>
          <cell r="T243" t="b">
            <v>0</v>
          </cell>
          <cell r="U243" t="b">
            <v>0</v>
          </cell>
          <cell r="V243">
            <v>5</v>
          </cell>
          <cell r="W243" t="str">
            <v/>
          </cell>
          <cell r="X243">
            <v>5</v>
          </cell>
          <cell r="Y243" t="str">
            <v/>
          </cell>
          <cell r="Z243">
            <v>22</v>
          </cell>
          <cell r="AA243" t="str">
            <v/>
          </cell>
          <cell r="AB243">
            <v>49</v>
          </cell>
          <cell r="AC243" t="str">
            <v/>
          </cell>
          <cell r="AD243">
            <v>144</v>
          </cell>
          <cell r="AE243" t="str">
            <v>Smokebomb</v>
          </cell>
          <cell r="AF243" t="str">
            <v/>
          </cell>
          <cell r="AG243" t="str">
            <v/>
          </cell>
          <cell r="AH243">
            <v>0</v>
          </cell>
          <cell r="AI243" t="str">
            <v/>
          </cell>
          <cell r="AJ243" t="str">
            <v/>
          </cell>
          <cell r="AK243">
            <v>0</v>
          </cell>
          <cell r="AL243" t="str">
            <v/>
          </cell>
          <cell r="AM243" t="str">
            <v/>
          </cell>
          <cell r="AN243" t="str">
            <v/>
          </cell>
          <cell r="AO243">
            <v>0</v>
          </cell>
          <cell r="AP243" t="str">
            <v/>
          </cell>
          <cell r="AQ243" t="str">
            <v/>
          </cell>
          <cell r="AR243">
            <v>0</v>
          </cell>
          <cell r="AS243" t="str">
            <v>Smokebomb</v>
          </cell>
        </row>
        <row r="244">
          <cell r="A244" t="str">
            <v>Spear</v>
          </cell>
          <cell r="B244" t="str">
            <v>Spear</v>
          </cell>
          <cell r="D244" t="str">
            <v>S</v>
          </cell>
          <cell r="E244" t="str">
            <v>T</v>
          </cell>
          <cell r="F244">
            <v>6</v>
          </cell>
          <cell r="H244">
            <v>20</v>
          </cell>
          <cell r="I244">
            <v>3</v>
          </cell>
          <cell r="K244">
            <v>20</v>
          </cell>
          <cell r="L244">
            <v>6</v>
          </cell>
          <cell r="M244" t="str">
            <v>P</v>
          </cell>
          <cell r="Q244" t="b">
            <v>0</v>
          </cell>
          <cell r="R244" t="b">
            <v>0</v>
          </cell>
          <cell r="S244" t="b">
            <v>0</v>
          </cell>
          <cell r="T244" t="b">
            <v>0</v>
          </cell>
          <cell r="U244" t="b">
            <v>0</v>
          </cell>
          <cell r="V244">
            <v>5</v>
          </cell>
          <cell r="W244" t="str">
            <v/>
          </cell>
          <cell r="X244">
            <v>5</v>
          </cell>
          <cell r="Y244" t="str">
            <v/>
          </cell>
          <cell r="Z244">
            <v>23</v>
          </cell>
          <cell r="AA244" t="str">
            <v>Spear</v>
          </cell>
          <cell r="AB244">
            <v>49</v>
          </cell>
          <cell r="AC244" t="str">
            <v/>
          </cell>
          <cell r="AD244">
            <v>144</v>
          </cell>
          <cell r="AE244" t="str">
            <v/>
          </cell>
          <cell r="AF244" t="str">
            <v/>
          </cell>
          <cell r="AG244" t="str">
            <v/>
          </cell>
          <cell r="AH244">
            <v>0</v>
          </cell>
          <cell r="AI244" t="str">
            <v/>
          </cell>
          <cell r="AJ244" t="str">
            <v/>
          </cell>
          <cell r="AK244">
            <v>0</v>
          </cell>
          <cell r="AL244" t="str">
            <v/>
          </cell>
          <cell r="AM244" t="str">
            <v/>
          </cell>
          <cell r="AN244" t="str">
            <v/>
          </cell>
          <cell r="AO244">
            <v>0</v>
          </cell>
          <cell r="AP244" t="str">
            <v/>
          </cell>
          <cell r="AQ244" t="str">
            <v/>
          </cell>
          <cell r="AR244">
            <v>0</v>
          </cell>
          <cell r="AS244" t="str">
            <v>Spear</v>
          </cell>
        </row>
        <row r="245">
          <cell r="A245" t="str">
            <v>Spear, Dwarven double</v>
          </cell>
          <cell r="B245" t="str">
            <v>Spear, Dwarven double</v>
          </cell>
          <cell r="D245" t="str">
            <v>E</v>
          </cell>
          <cell r="E245" t="str">
            <v>T</v>
          </cell>
          <cell r="F245">
            <v>6</v>
          </cell>
          <cell r="G245">
            <v>6</v>
          </cell>
          <cell r="H245">
            <v>20</v>
          </cell>
          <cell r="I245">
            <v>3</v>
          </cell>
          <cell r="J245">
            <v>3</v>
          </cell>
          <cell r="L245">
            <v>15</v>
          </cell>
          <cell r="M245" t="str">
            <v>S/P</v>
          </cell>
          <cell r="P245" t="str">
            <v/>
          </cell>
          <cell r="Q245" t="b">
            <v>0</v>
          </cell>
          <cell r="R245" t="b">
            <v>0</v>
          </cell>
          <cell r="S245" t="b">
            <v>0</v>
          </cell>
          <cell r="T245" t="b">
            <v>0</v>
          </cell>
          <cell r="U245" t="b">
            <v>0</v>
          </cell>
          <cell r="V245">
            <v>5</v>
          </cell>
          <cell r="W245" t="str">
            <v/>
          </cell>
          <cell r="X245">
            <v>5</v>
          </cell>
          <cell r="Y245" t="str">
            <v/>
          </cell>
          <cell r="Z245">
            <v>23</v>
          </cell>
          <cell r="AA245" t="str">
            <v/>
          </cell>
          <cell r="AB245">
            <v>49</v>
          </cell>
          <cell r="AC245" t="str">
            <v/>
          </cell>
          <cell r="AD245">
            <v>145</v>
          </cell>
          <cell r="AE245" t="str">
            <v>Spear, Dwarven double</v>
          </cell>
          <cell r="AF245" t="str">
            <v/>
          </cell>
          <cell r="AG245" t="str">
            <v/>
          </cell>
          <cell r="AH245">
            <v>0</v>
          </cell>
          <cell r="AI245" t="str">
            <v/>
          </cell>
          <cell r="AJ245" t="str">
            <v/>
          </cell>
          <cell r="AK245">
            <v>0</v>
          </cell>
          <cell r="AL245" t="str">
            <v/>
          </cell>
          <cell r="AM245" t="str">
            <v/>
          </cell>
          <cell r="AN245" t="str">
            <v/>
          </cell>
          <cell r="AO245">
            <v>0</v>
          </cell>
          <cell r="AP245" t="str">
            <v/>
          </cell>
          <cell r="AQ245" t="str">
            <v/>
          </cell>
          <cell r="AR245">
            <v>6</v>
          </cell>
          <cell r="AS245" t="str">
            <v>Dwarven double Spear</v>
          </cell>
        </row>
        <row r="246">
          <cell r="A246" t="str">
            <v>Spear Spikard</v>
          </cell>
          <cell r="B246" t="str">
            <v>Spear Spikard</v>
          </cell>
          <cell r="D246" t="str">
            <v>E</v>
          </cell>
          <cell r="E246" t="str">
            <v>O</v>
          </cell>
          <cell r="F246">
            <v>5</v>
          </cell>
          <cell r="H246">
            <v>20</v>
          </cell>
          <cell r="I246">
            <v>2</v>
          </cell>
          <cell r="K246">
            <v>20</v>
          </cell>
          <cell r="L246">
            <v>3</v>
          </cell>
          <cell r="M246" t="str">
            <v>P</v>
          </cell>
          <cell r="R246" t="b">
            <v>0</v>
          </cell>
          <cell r="S246" t="b">
            <v>0</v>
          </cell>
          <cell r="T246" t="b">
            <v>0</v>
          </cell>
          <cell r="U246" t="b">
            <v>0</v>
          </cell>
          <cell r="V246">
            <v>5</v>
          </cell>
          <cell r="W246" t="str">
            <v/>
          </cell>
          <cell r="X246">
            <v>5</v>
          </cell>
          <cell r="Y246" t="str">
            <v/>
          </cell>
          <cell r="Z246">
            <v>23</v>
          </cell>
          <cell r="AA246" t="str">
            <v/>
          </cell>
          <cell r="AB246">
            <v>49</v>
          </cell>
          <cell r="AC246" t="str">
            <v/>
          </cell>
          <cell r="AD246">
            <v>146</v>
          </cell>
          <cell r="AE246" t="str">
            <v>Spear Spikard</v>
          </cell>
          <cell r="AF246" t="str">
            <v/>
          </cell>
          <cell r="AG246" t="str">
            <v/>
          </cell>
          <cell r="AH246">
            <v>0</v>
          </cell>
          <cell r="AI246" t="str">
            <v/>
          </cell>
          <cell r="AJ246" t="str">
            <v/>
          </cell>
          <cell r="AK246">
            <v>0</v>
          </cell>
          <cell r="AL246" t="str">
            <v/>
          </cell>
          <cell r="AM246" t="str">
            <v/>
          </cell>
          <cell r="AN246" t="str">
            <v/>
          </cell>
          <cell r="AO246">
            <v>0</v>
          </cell>
          <cell r="AP246" t="str">
            <v/>
          </cell>
          <cell r="AQ246" t="str">
            <v/>
          </cell>
          <cell r="AR246">
            <v>0</v>
          </cell>
          <cell r="AS246" t="str">
            <v>Spear Spikard</v>
          </cell>
        </row>
        <row r="247">
          <cell r="A247" t="str">
            <v>Spearthrower</v>
          </cell>
          <cell r="B247" t="str">
            <v>Spearthrower</v>
          </cell>
          <cell r="D247" t="str">
            <v>S</v>
          </cell>
          <cell r="E247" t="str">
            <v>O</v>
          </cell>
          <cell r="F247">
            <v>5</v>
          </cell>
          <cell r="H247">
            <v>20</v>
          </cell>
          <cell r="I247">
            <v>3</v>
          </cell>
          <cell r="K247">
            <v>35</v>
          </cell>
          <cell r="L247">
            <v>3</v>
          </cell>
          <cell r="M247" t="str">
            <v>P</v>
          </cell>
          <cell r="R247" t="b">
            <v>0</v>
          </cell>
          <cell r="S247" t="b">
            <v>0</v>
          </cell>
          <cell r="T247" t="b">
            <v>0</v>
          </cell>
          <cell r="U247" t="b">
            <v>0</v>
          </cell>
          <cell r="V247">
            <v>5</v>
          </cell>
          <cell r="W247" t="str">
            <v/>
          </cell>
          <cell r="X247">
            <v>5</v>
          </cell>
          <cell r="Y247" t="str">
            <v/>
          </cell>
          <cell r="Z247">
            <v>24</v>
          </cell>
          <cell r="AA247" t="str">
            <v>Spearthrower</v>
          </cell>
          <cell r="AB247">
            <v>49</v>
          </cell>
          <cell r="AC247" t="str">
            <v/>
          </cell>
          <cell r="AD247">
            <v>146</v>
          </cell>
          <cell r="AE247" t="str">
            <v/>
          </cell>
          <cell r="AF247" t="str">
            <v/>
          </cell>
          <cell r="AG247" t="str">
            <v/>
          </cell>
          <cell r="AH247">
            <v>0</v>
          </cell>
          <cell r="AI247" t="str">
            <v/>
          </cell>
          <cell r="AJ247" t="str">
            <v/>
          </cell>
          <cell r="AK247">
            <v>0</v>
          </cell>
          <cell r="AL247" t="str">
            <v/>
          </cell>
          <cell r="AM247" t="str">
            <v/>
          </cell>
          <cell r="AN247" t="str">
            <v/>
          </cell>
          <cell r="AO247">
            <v>0</v>
          </cell>
          <cell r="AP247" t="str">
            <v/>
          </cell>
          <cell r="AQ247" t="str">
            <v/>
          </cell>
          <cell r="AR247">
            <v>0</v>
          </cell>
          <cell r="AS247" t="str">
            <v>Spearthrower</v>
          </cell>
        </row>
        <row r="248">
          <cell r="A248" t="str">
            <v>Spiked Armor</v>
          </cell>
          <cell r="B248" t="str">
            <v>Spiked Armor</v>
          </cell>
          <cell r="D248" t="str">
            <v>M</v>
          </cell>
          <cell r="E248" t="str">
            <v>L</v>
          </cell>
          <cell r="F248">
            <v>5</v>
          </cell>
          <cell r="H248">
            <v>20</v>
          </cell>
          <cell r="I248">
            <v>2</v>
          </cell>
          <cell r="L248">
            <v>0</v>
          </cell>
          <cell r="M248" t="str">
            <v>P</v>
          </cell>
          <cell r="R248" t="b">
            <v>0</v>
          </cell>
          <cell r="S248" t="b">
            <v>0</v>
          </cell>
          <cell r="T248" t="b">
            <v>0</v>
          </cell>
          <cell r="U248" t="b">
            <v>0</v>
          </cell>
          <cell r="V248">
            <v>5</v>
          </cell>
          <cell r="W248" t="str">
            <v/>
          </cell>
          <cell r="X248">
            <v>5</v>
          </cell>
          <cell r="Y248" t="str">
            <v/>
          </cell>
          <cell r="Z248">
            <v>24</v>
          </cell>
          <cell r="AA248" t="str">
            <v/>
          </cell>
          <cell r="AB248">
            <v>50</v>
          </cell>
          <cell r="AC248" t="str">
            <v>Spiked Armor</v>
          </cell>
          <cell r="AD248">
            <v>146</v>
          </cell>
          <cell r="AE248" t="str">
            <v/>
          </cell>
          <cell r="AF248" t="str">
            <v/>
          </cell>
          <cell r="AG248" t="str">
            <v/>
          </cell>
          <cell r="AH248">
            <v>0</v>
          </cell>
          <cell r="AI248" t="str">
            <v/>
          </cell>
          <cell r="AJ248" t="str">
            <v/>
          </cell>
          <cell r="AK248">
            <v>0</v>
          </cell>
          <cell r="AL248" t="str">
            <v/>
          </cell>
          <cell r="AM248" t="str">
            <v/>
          </cell>
          <cell r="AN248" t="str">
            <v/>
          </cell>
          <cell r="AO248">
            <v>0</v>
          </cell>
          <cell r="AP248" t="str">
            <v/>
          </cell>
          <cell r="AQ248" t="str">
            <v/>
          </cell>
          <cell r="AR248">
            <v>0</v>
          </cell>
          <cell r="AS248" t="str">
            <v>Spiked Armor</v>
          </cell>
        </row>
        <row r="249">
          <cell r="A249" t="str">
            <v>Spiked Shield, Heavy</v>
          </cell>
          <cell r="B249" t="str">
            <v>Spiked Shield, Heavy</v>
          </cell>
          <cell r="D249" t="str">
            <v>M</v>
          </cell>
          <cell r="E249" t="str">
            <v>O</v>
          </cell>
          <cell r="F249">
            <v>5</v>
          </cell>
          <cell r="H249">
            <v>20</v>
          </cell>
          <cell r="I249">
            <v>2</v>
          </cell>
          <cell r="K249" t="str">
            <v>S</v>
          </cell>
          <cell r="L249">
            <v>0</v>
          </cell>
          <cell r="M249" t="str">
            <v>P</v>
          </cell>
          <cell r="R249" t="b">
            <v>0</v>
          </cell>
          <cell r="S249" t="b">
            <v>0</v>
          </cell>
          <cell r="T249" t="b">
            <v>0</v>
          </cell>
          <cell r="U249" t="b">
            <v>0</v>
          </cell>
          <cell r="V249">
            <v>5</v>
          </cell>
          <cell r="W249" t="str">
            <v/>
          </cell>
          <cell r="X249">
            <v>5</v>
          </cell>
          <cell r="Y249" t="str">
            <v/>
          </cell>
          <cell r="Z249">
            <v>24</v>
          </cell>
          <cell r="AA249" t="str">
            <v/>
          </cell>
          <cell r="AB249">
            <v>51</v>
          </cell>
          <cell r="AC249" t="str">
            <v>Spiked Shield, Heavy</v>
          </cell>
          <cell r="AD249">
            <v>146</v>
          </cell>
          <cell r="AE249" t="str">
            <v/>
          </cell>
          <cell r="AF249" t="str">
            <v/>
          </cell>
          <cell r="AG249" t="str">
            <v/>
          </cell>
          <cell r="AH249">
            <v>0</v>
          </cell>
          <cell r="AI249" t="str">
            <v/>
          </cell>
          <cell r="AJ249" t="str">
            <v/>
          </cell>
          <cell r="AK249">
            <v>0</v>
          </cell>
          <cell r="AL249" t="str">
            <v/>
          </cell>
          <cell r="AM249" t="str">
            <v/>
          </cell>
          <cell r="AN249" t="str">
            <v/>
          </cell>
          <cell r="AO249">
            <v>0</v>
          </cell>
          <cell r="AP249" t="str">
            <v/>
          </cell>
          <cell r="AQ249" t="str">
            <v/>
          </cell>
          <cell r="AR249">
            <v>14</v>
          </cell>
          <cell r="AS249" t="str">
            <v>Heavy Spiked Shield</v>
          </cell>
        </row>
        <row r="250">
          <cell r="A250" t="str">
            <v>Spiked Shield, Light</v>
          </cell>
          <cell r="B250" t="str">
            <v>Spiked Shield, Light</v>
          </cell>
          <cell r="D250" t="str">
            <v>M</v>
          </cell>
          <cell r="E250" t="str">
            <v>L</v>
          </cell>
          <cell r="F250">
            <v>4</v>
          </cell>
          <cell r="H250">
            <v>20</v>
          </cell>
          <cell r="I250">
            <v>2</v>
          </cell>
          <cell r="K250" t="str">
            <v>S</v>
          </cell>
          <cell r="L250">
            <v>0</v>
          </cell>
          <cell r="M250" t="str">
            <v>P</v>
          </cell>
          <cell r="R250" t="b">
            <v>0</v>
          </cell>
          <cell r="S250" t="b">
            <v>0</v>
          </cell>
          <cell r="T250" t="b">
            <v>0</v>
          </cell>
          <cell r="U250" t="b">
            <v>0</v>
          </cell>
          <cell r="V250">
            <v>5</v>
          </cell>
          <cell r="W250" t="str">
            <v/>
          </cell>
          <cell r="X250">
            <v>5</v>
          </cell>
          <cell r="Y250" t="str">
            <v/>
          </cell>
          <cell r="Z250">
            <v>24</v>
          </cell>
          <cell r="AA250" t="str">
            <v/>
          </cell>
          <cell r="AB250">
            <v>52</v>
          </cell>
          <cell r="AC250" t="str">
            <v>Spiked Shield, Light</v>
          </cell>
          <cell r="AD250">
            <v>146</v>
          </cell>
          <cell r="AE250" t="str">
            <v/>
          </cell>
          <cell r="AF250" t="str">
            <v/>
          </cell>
          <cell r="AG250" t="str">
            <v/>
          </cell>
          <cell r="AH250">
            <v>0</v>
          </cell>
          <cell r="AI250" t="str">
            <v/>
          </cell>
          <cell r="AJ250" t="str">
            <v/>
          </cell>
          <cell r="AK250">
            <v>0</v>
          </cell>
          <cell r="AL250" t="str">
            <v/>
          </cell>
          <cell r="AM250" t="str">
            <v/>
          </cell>
          <cell r="AN250" t="str">
            <v/>
          </cell>
          <cell r="AO250">
            <v>0</v>
          </cell>
          <cell r="AP250" t="str">
            <v/>
          </cell>
          <cell r="AQ250" t="str">
            <v/>
          </cell>
          <cell r="AR250">
            <v>14</v>
          </cell>
          <cell r="AS250" t="str">
            <v>Light Spiked Shield</v>
          </cell>
        </row>
        <row r="251">
          <cell r="A251" t="str">
            <v>Stabaxe</v>
          </cell>
          <cell r="B251" t="str">
            <v>Stabaxe</v>
          </cell>
          <cell r="D251" t="str">
            <v>M</v>
          </cell>
          <cell r="E251" t="str">
            <v>L</v>
          </cell>
          <cell r="F251">
            <v>5</v>
          </cell>
          <cell r="H251">
            <v>20</v>
          </cell>
          <cell r="I251">
            <v>3</v>
          </cell>
          <cell r="L251">
            <v>1</v>
          </cell>
          <cell r="M251" t="str">
            <v>P</v>
          </cell>
          <cell r="R251" t="b">
            <v>0</v>
          </cell>
          <cell r="S251" t="b">
            <v>0</v>
          </cell>
          <cell r="T251" t="b">
            <v>0</v>
          </cell>
          <cell r="U251" t="b">
            <v>0</v>
          </cell>
          <cell r="V251">
            <v>5</v>
          </cell>
          <cell r="W251" t="str">
            <v/>
          </cell>
          <cell r="X251">
            <v>5</v>
          </cell>
          <cell r="Y251" t="str">
            <v/>
          </cell>
          <cell r="Z251">
            <v>24</v>
          </cell>
          <cell r="AA251" t="str">
            <v/>
          </cell>
          <cell r="AB251">
            <v>53</v>
          </cell>
          <cell r="AC251" t="str">
            <v>Stabaxe</v>
          </cell>
          <cell r="AD251">
            <v>146</v>
          </cell>
          <cell r="AE251" t="str">
            <v/>
          </cell>
          <cell r="AF251" t="str">
            <v/>
          </cell>
          <cell r="AG251" t="str">
            <v/>
          </cell>
          <cell r="AH251">
            <v>0</v>
          </cell>
          <cell r="AI251" t="str">
            <v/>
          </cell>
          <cell r="AJ251" t="str">
            <v/>
          </cell>
          <cell r="AK251">
            <v>0</v>
          </cell>
          <cell r="AL251" t="str">
            <v/>
          </cell>
          <cell r="AM251" t="str">
            <v/>
          </cell>
          <cell r="AN251" t="str">
            <v/>
          </cell>
          <cell r="AO251">
            <v>0</v>
          </cell>
          <cell r="AP251" t="str">
            <v/>
          </cell>
          <cell r="AQ251" t="str">
            <v/>
          </cell>
          <cell r="AR251">
            <v>0</v>
          </cell>
          <cell r="AS251" t="str">
            <v>Stabaxe</v>
          </cell>
        </row>
        <row r="252">
          <cell r="A252" t="str">
            <v>Staff, Harpoon</v>
          </cell>
          <cell r="B252" t="str">
            <v>Staff, Harpoon</v>
          </cell>
          <cell r="D252" t="str">
            <v>S</v>
          </cell>
          <cell r="E252" t="str">
            <v>T</v>
          </cell>
          <cell r="F252">
            <v>5</v>
          </cell>
          <cell r="H252">
            <v>20</v>
          </cell>
          <cell r="I252">
            <v>3</v>
          </cell>
          <cell r="L252">
            <v>15</v>
          </cell>
          <cell r="M252" t="str">
            <v>P</v>
          </cell>
          <cell r="R252" t="b">
            <v>0</v>
          </cell>
          <cell r="S252" t="b">
            <v>0</v>
          </cell>
          <cell r="T252" t="b">
            <v>0</v>
          </cell>
          <cell r="U252" t="b">
            <v>0</v>
          </cell>
          <cell r="V252">
            <v>5</v>
          </cell>
          <cell r="W252" t="str">
            <v/>
          </cell>
          <cell r="X252">
            <v>5</v>
          </cell>
          <cell r="Y252" t="str">
            <v/>
          </cell>
          <cell r="Z252">
            <v>25</v>
          </cell>
          <cell r="AA252" t="str">
            <v>Staff, Harpoon</v>
          </cell>
          <cell r="AB252">
            <v>53</v>
          </cell>
          <cell r="AC252" t="str">
            <v/>
          </cell>
          <cell r="AD252">
            <v>146</v>
          </cell>
          <cell r="AE252" t="str">
            <v/>
          </cell>
          <cell r="AF252" t="str">
            <v/>
          </cell>
          <cell r="AG252" t="str">
            <v/>
          </cell>
          <cell r="AH252">
            <v>0</v>
          </cell>
          <cell r="AI252" t="str">
            <v/>
          </cell>
          <cell r="AJ252" t="str">
            <v/>
          </cell>
          <cell r="AK252">
            <v>0</v>
          </cell>
          <cell r="AL252" t="str">
            <v/>
          </cell>
          <cell r="AM252" t="str">
            <v/>
          </cell>
          <cell r="AN252" t="str">
            <v/>
          </cell>
          <cell r="AO252">
            <v>0</v>
          </cell>
          <cell r="AP252" t="str">
            <v/>
          </cell>
          <cell r="AQ252" t="str">
            <v/>
          </cell>
          <cell r="AR252">
            <v>6</v>
          </cell>
          <cell r="AS252" t="str">
            <v>Harpoon Staff</v>
          </cell>
        </row>
        <row r="253">
          <cell r="A253" t="str">
            <v>Staff, Three-section</v>
          </cell>
          <cell r="B253" t="str">
            <v>Staff, Three-section</v>
          </cell>
          <cell r="D253" t="str">
            <v>E</v>
          </cell>
          <cell r="E253" t="str">
            <v>T</v>
          </cell>
          <cell r="F253">
            <v>6</v>
          </cell>
          <cell r="H253">
            <v>20</v>
          </cell>
          <cell r="I253">
            <v>3</v>
          </cell>
          <cell r="L253">
            <v>8</v>
          </cell>
          <cell r="M253" t="str">
            <v>B</v>
          </cell>
          <cell r="P253" t="str">
            <v>U</v>
          </cell>
          <cell r="R253" t="b">
            <v>0</v>
          </cell>
          <cell r="S253" t="b">
            <v>0</v>
          </cell>
          <cell r="T253" t="b">
            <v>0</v>
          </cell>
          <cell r="U253" t="b">
            <v>0</v>
          </cell>
          <cell r="V253">
            <v>5</v>
          </cell>
          <cell r="W253" t="str">
            <v/>
          </cell>
          <cell r="X253">
            <v>5</v>
          </cell>
          <cell r="Y253" t="str">
            <v/>
          </cell>
          <cell r="Z253">
            <v>25</v>
          </cell>
          <cell r="AA253" t="str">
            <v/>
          </cell>
          <cell r="AB253">
            <v>53</v>
          </cell>
          <cell r="AC253" t="str">
            <v/>
          </cell>
          <cell r="AD253">
            <v>147</v>
          </cell>
          <cell r="AE253" t="str">
            <v>Staff, Three-section</v>
          </cell>
          <cell r="AF253" t="str">
            <v/>
          </cell>
          <cell r="AG253" t="str">
            <v/>
          </cell>
          <cell r="AH253">
            <v>0</v>
          </cell>
          <cell r="AI253" t="str">
            <v/>
          </cell>
          <cell r="AJ253" t="str">
            <v/>
          </cell>
          <cell r="AK253">
            <v>0</v>
          </cell>
          <cell r="AL253" t="str">
            <v/>
          </cell>
          <cell r="AM253" t="str">
            <v/>
          </cell>
          <cell r="AN253" t="str">
            <v/>
          </cell>
          <cell r="AO253">
            <v>0</v>
          </cell>
          <cell r="AP253" t="str">
            <v/>
          </cell>
          <cell r="AQ253" t="str">
            <v/>
          </cell>
          <cell r="AR253">
            <v>6</v>
          </cell>
          <cell r="AS253" t="str">
            <v>Three-section Staff</v>
          </cell>
        </row>
        <row r="254">
          <cell r="A254" t="str">
            <v>Straightblade</v>
          </cell>
          <cell r="B254" t="str">
            <v>Straightblade</v>
          </cell>
          <cell r="D254" t="str">
            <v>M</v>
          </cell>
          <cell r="E254" t="str">
            <v>L</v>
          </cell>
          <cell r="F254">
            <v>5</v>
          </cell>
          <cell r="H254">
            <v>19</v>
          </cell>
          <cell r="I254">
            <v>2</v>
          </cell>
          <cell r="L254">
            <v>3</v>
          </cell>
          <cell r="M254" t="str">
            <v>S</v>
          </cell>
          <cell r="R254" t="b">
            <v>0</v>
          </cell>
          <cell r="S254" t="b">
            <v>0</v>
          </cell>
          <cell r="T254" t="b">
            <v>0</v>
          </cell>
          <cell r="U254" t="b">
            <v>0</v>
          </cell>
          <cell r="V254">
            <v>5</v>
          </cell>
          <cell r="W254" t="str">
            <v/>
          </cell>
          <cell r="X254">
            <v>5</v>
          </cell>
          <cell r="Y254" t="str">
            <v/>
          </cell>
          <cell r="Z254">
            <v>25</v>
          </cell>
          <cell r="AA254" t="str">
            <v/>
          </cell>
          <cell r="AB254">
            <v>54</v>
          </cell>
          <cell r="AC254" t="str">
            <v>Straightblade</v>
          </cell>
          <cell r="AD254">
            <v>147</v>
          </cell>
          <cell r="AE254" t="str">
            <v/>
          </cell>
          <cell r="AF254" t="str">
            <v/>
          </cell>
          <cell r="AG254" t="str">
            <v/>
          </cell>
          <cell r="AH254">
            <v>0</v>
          </cell>
          <cell r="AI254" t="str">
            <v/>
          </cell>
          <cell r="AJ254" t="str">
            <v/>
          </cell>
          <cell r="AK254">
            <v>0</v>
          </cell>
          <cell r="AL254" t="str">
            <v/>
          </cell>
          <cell r="AM254" t="str">
            <v/>
          </cell>
          <cell r="AN254" t="str">
            <v/>
          </cell>
          <cell r="AO254">
            <v>0</v>
          </cell>
          <cell r="AP254" t="str">
            <v/>
          </cell>
          <cell r="AQ254" t="str">
            <v/>
          </cell>
          <cell r="AR254">
            <v>0</v>
          </cell>
          <cell r="AS254" t="str">
            <v>Straightblade</v>
          </cell>
        </row>
        <row r="255">
          <cell r="A255" t="str">
            <v>Straight Razor</v>
          </cell>
          <cell r="B255" t="str">
            <v>Straight Razor</v>
          </cell>
          <cell r="D255" t="str">
            <v>M</v>
          </cell>
          <cell r="E255" t="str">
            <v>T</v>
          </cell>
          <cell r="F255">
            <v>6</v>
          </cell>
          <cell r="H255">
            <v>20</v>
          </cell>
          <cell r="I255">
            <v>3</v>
          </cell>
          <cell r="L255">
            <v>0.5</v>
          </cell>
          <cell r="M255" t="str">
            <v>S</v>
          </cell>
          <cell r="R255" t="b">
            <v>0</v>
          </cell>
          <cell r="S255" t="b">
            <v>0</v>
          </cell>
          <cell r="T255" t="b">
            <v>0</v>
          </cell>
          <cell r="U255" t="b">
            <v>0</v>
          </cell>
          <cell r="V255">
            <v>5</v>
          </cell>
          <cell r="W255" t="str">
            <v/>
          </cell>
          <cell r="X255">
            <v>5</v>
          </cell>
          <cell r="Y255" t="str">
            <v/>
          </cell>
          <cell r="Z255">
            <v>25</v>
          </cell>
          <cell r="AA255" t="str">
            <v/>
          </cell>
          <cell r="AB255">
            <v>55</v>
          </cell>
          <cell r="AC255" t="str">
            <v>Straight Razor</v>
          </cell>
          <cell r="AD255">
            <v>147</v>
          </cell>
          <cell r="AE255" t="str">
            <v/>
          </cell>
          <cell r="AF255" t="str">
            <v/>
          </cell>
          <cell r="AG255" t="str">
            <v/>
          </cell>
          <cell r="AH255">
            <v>0</v>
          </cell>
          <cell r="AI255" t="str">
            <v/>
          </cell>
          <cell r="AJ255" t="str">
            <v/>
          </cell>
          <cell r="AK255">
            <v>0</v>
          </cell>
          <cell r="AL255" t="str">
            <v/>
          </cell>
          <cell r="AM255" t="str">
            <v/>
          </cell>
          <cell r="AN255" t="str">
            <v/>
          </cell>
          <cell r="AO255">
            <v>0</v>
          </cell>
          <cell r="AP255" t="str">
            <v/>
          </cell>
          <cell r="AQ255" t="str">
            <v/>
          </cell>
          <cell r="AR255">
            <v>0</v>
          </cell>
          <cell r="AS255" t="str">
            <v>Straight Razor</v>
          </cell>
        </row>
        <row r="256">
          <cell r="A256" t="str">
            <v>Steel Fins</v>
          </cell>
          <cell r="B256" t="str">
            <v>Steel Fins</v>
          </cell>
          <cell r="D256" t="str">
            <v>E</v>
          </cell>
          <cell r="E256" t="str">
            <v>L</v>
          </cell>
          <cell r="F256">
            <v>4</v>
          </cell>
          <cell r="H256">
            <v>20</v>
          </cell>
          <cell r="I256">
            <v>2</v>
          </cell>
          <cell r="L256">
            <v>2</v>
          </cell>
          <cell r="M256" t="str">
            <v>S</v>
          </cell>
          <cell r="R256" t="b">
            <v>0</v>
          </cell>
          <cell r="S256" t="b">
            <v>0</v>
          </cell>
          <cell r="T256" t="b">
            <v>0</v>
          </cell>
          <cell r="U256" t="b">
            <v>0</v>
          </cell>
          <cell r="V256">
            <v>5</v>
          </cell>
          <cell r="W256" t="str">
            <v/>
          </cell>
          <cell r="X256">
            <v>5</v>
          </cell>
          <cell r="Y256" t="str">
            <v/>
          </cell>
          <cell r="Z256">
            <v>25</v>
          </cell>
          <cell r="AA256" t="str">
            <v/>
          </cell>
          <cell r="AB256">
            <v>55</v>
          </cell>
          <cell r="AC256" t="str">
            <v/>
          </cell>
          <cell r="AD256">
            <v>148</v>
          </cell>
          <cell r="AE256" t="str">
            <v>Steel Fins</v>
          </cell>
          <cell r="AF256" t="str">
            <v/>
          </cell>
          <cell r="AG256" t="str">
            <v/>
          </cell>
          <cell r="AH256">
            <v>0</v>
          </cell>
          <cell r="AI256" t="str">
            <v/>
          </cell>
          <cell r="AJ256" t="str">
            <v/>
          </cell>
          <cell r="AK256">
            <v>0</v>
          </cell>
          <cell r="AL256" t="str">
            <v/>
          </cell>
          <cell r="AM256" t="str">
            <v/>
          </cell>
          <cell r="AN256" t="str">
            <v/>
          </cell>
          <cell r="AO256">
            <v>0</v>
          </cell>
          <cell r="AP256" t="str">
            <v/>
          </cell>
          <cell r="AQ256" t="str">
            <v/>
          </cell>
          <cell r="AR256">
            <v>0</v>
          </cell>
          <cell r="AS256" t="str">
            <v>Steel Fins</v>
          </cell>
        </row>
        <row r="257">
          <cell r="A257" t="str">
            <v>Sugliin</v>
          </cell>
          <cell r="B257" t="str">
            <v>Sugliin</v>
          </cell>
          <cell r="D257" t="str">
            <v>E</v>
          </cell>
          <cell r="E257" t="str">
            <v>T</v>
          </cell>
          <cell r="F257">
            <v>11</v>
          </cell>
          <cell r="H257">
            <v>20</v>
          </cell>
          <cell r="I257">
            <v>2</v>
          </cell>
          <cell r="L257">
            <v>20</v>
          </cell>
          <cell r="M257" t="str">
            <v>P/S</v>
          </cell>
          <cell r="O257" t="b">
            <v>1</v>
          </cell>
          <cell r="R257" t="b">
            <v>0</v>
          </cell>
          <cell r="S257" t="b">
            <v>0</v>
          </cell>
          <cell r="T257" t="b">
            <v>0</v>
          </cell>
          <cell r="U257" t="b">
            <v>0</v>
          </cell>
          <cell r="V257">
            <v>5</v>
          </cell>
          <cell r="W257" t="str">
            <v/>
          </cell>
          <cell r="X257">
            <v>5</v>
          </cell>
          <cell r="Y257" t="str">
            <v/>
          </cell>
          <cell r="Z257">
            <v>25</v>
          </cell>
          <cell r="AA257" t="str">
            <v/>
          </cell>
          <cell r="AB257">
            <v>55</v>
          </cell>
          <cell r="AC257" t="str">
            <v/>
          </cell>
          <cell r="AD257">
            <v>149</v>
          </cell>
          <cell r="AE257" t="str">
            <v>Sugliin</v>
          </cell>
          <cell r="AF257" t="str">
            <v/>
          </cell>
          <cell r="AG257" t="str">
            <v/>
          </cell>
          <cell r="AH257">
            <v>0</v>
          </cell>
          <cell r="AI257" t="str">
            <v/>
          </cell>
          <cell r="AJ257" t="str">
            <v/>
          </cell>
          <cell r="AK257">
            <v>0</v>
          </cell>
          <cell r="AL257" t="str">
            <v/>
          </cell>
          <cell r="AM257" t="str">
            <v/>
          </cell>
          <cell r="AN257" t="str">
            <v/>
          </cell>
          <cell r="AO257">
            <v>0</v>
          </cell>
          <cell r="AP257" t="str">
            <v/>
          </cell>
          <cell r="AQ257" t="str">
            <v/>
          </cell>
          <cell r="AR257">
            <v>0</v>
          </cell>
          <cell r="AS257" t="str">
            <v>Sugliin</v>
          </cell>
        </row>
        <row r="258">
          <cell r="A258" t="str">
            <v>Sword, Bastard</v>
          </cell>
          <cell r="B258" t="str">
            <v>Sword, Bastard</v>
          </cell>
          <cell r="D258" t="str">
            <v>E</v>
          </cell>
          <cell r="E258" t="str">
            <v>O</v>
          </cell>
          <cell r="F258">
            <v>7</v>
          </cell>
          <cell r="H258">
            <v>19</v>
          </cell>
          <cell r="I258">
            <v>2</v>
          </cell>
          <cell r="L258">
            <v>6</v>
          </cell>
          <cell r="M258" t="str">
            <v>S</v>
          </cell>
          <cell r="P258" t="str">
            <v>X</v>
          </cell>
          <cell r="Q258" t="b">
            <v>0</v>
          </cell>
          <cell r="R258" t="b">
            <v>0</v>
          </cell>
          <cell r="S258" t="b">
            <v>0</v>
          </cell>
          <cell r="T258" t="b">
            <v>0</v>
          </cell>
          <cell r="U258" t="b">
            <v>0</v>
          </cell>
          <cell r="V258">
            <v>5</v>
          </cell>
          <cell r="W258" t="str">
            <v/>
          </cell>
          <cell r="X258">
            <v>5</v>
          </cell>
          <cell r="Y258" t="str">
            <v/>
          </cell>
          <cell r="Z258">
            <v>25</v>
          </cell>
          <cell r="AA258" t="str">
            <v/>
          </cell>
          <cell r="AB258">
            <v>56</v>
          </cell>
          <cell r="AC258" t="str">
            <v>Sword, Bastard</v>
          </cell>
          <cell r="AD258">
            <v>150</v>
          </cell>
          <cell r="AE258" t="str">
            <v>Sword, Bastard</v>
          </cell>
          <cell r="AF258" t="str">
            <v/>
          </cell>
          <cell r="AG258" t="str">
            <v/>
          </cell>
          <cell r="AH258">
            <v>0</v>
          </cell>
          <cell r="AI258" t="str">
            <v/>
          </cell>
          <cell r="AJ258" t="str">
            <v/>
          </cell>
          <cell r="AK258">
            <v>0</v>
          </cell>
          <cell r="AL258" t="str">
            <v/>
          </cell>
          <cell r="AM258" t="str">
            <v/>
          </cell>
          <cell r="AN258" t="str">
            <v/>
          </cell>
          <cell r="AO258">
            <v>0</v>
          </cell>
          <cell r="AP258" t="str">
            <v/>
          </cell>
          <cell r="AQ258" t="str">
            <v/>
          </cell>
          <cell r="AR258">
            <v>6</v>
          </cell>
          <cell r="AS258" t="str">
            <v>Bastard Sword</v>
          </cell>
        </row>
        <row r="259">
          <cell r="A259" t="str">
            <v>Sword, Butterfly</v>
          </cell>
          <cell r="B259" t="str">
            <v>Sword, Butterfly</v>
          </cell>
          <cell r="D259" t="str">
            <v>E</v>
          </cell>
          <cell r="E259" t="str">
            <v>O</v>
          </cell>
          <cell r="F259">
            <v>5</v>
          </cell>
          <cell r="H259">
            <v>19</v>
          </cell>
          <cell r="I259">
            <v>2</v>
          </cell>
          <cell r="L259">
            <v>2</v>
          </cell>
          <cell r="M259" t="str">
            <v>S</v>
          </cell>
          <cell r="P259" t="str">
            <v>U</v>
          </cell>
          <cell r="R259" t="b">
            <v>0</v>
          </cell>
          <cell r="S259" t="b">
            <v>0</v>
          </cell>
          <cell r="T259" t="b">
            <v>0</v>
          </cell>
          <cell r="U259" t="b">
            <v>0</v>
          </cell>
          <cell r="V259">
            <v>5</v>
          </cell>
          <cell r="W259" t="str">
            <v/>
          </cell>
          <cell r="X259">
            <v>5</v>
          </cell>
          <cell r="Y259" t="str">
            <v/>
          </cell>
          <cell r="Z259">
            <v>25</v>
          </cell>
          <cell r="AA259" t="str">
            <v/>
          </cell>
          <cell r="AB259">
            <v>56</v>
          </cell>
          <cell r="AC259" t="str">
            <v/>
          </cell>
          <cell r="AD259">
            <v>151</v>
          </cell>
          <cell r="AE259" t="str">
            <v>Sword, Butterfly</v>
          </cell>
          <cell r="AF259" t="str">
            <v/>
          </cell>
          <cell r="AG259" t="str">
            <v/>
          </cell>
          <cell r="AH259">
            <v>0</v>
          </cell>
          <cell r="AI259" t="str">
            <v/>
          </cell>
          <cell r="AJ259" t="str">
            <v/>
          </cell>
          <cell r="AK259">
            <v>0</v>
          </cell>
          <cell r="AL259" t="str">
            <v/>
          </cell>
          <cell r="AM259" t="str">
            <v/>
          </cell>
          <cell r="AN259" t="str">
            <v/>
          </cell>
          <cell r="AO259">
            <v>0</v>
          </cell>
          <cell r="AP259" t="str">
            <v/>
          </cell>
          <cell r="AQ259" t="str">
            <v/>
          </cell>
          <cell r="AR259">
            <v>6</v>
          </cell>
          <cell r="AS259" t="str">
            <v>Butterfly Sword</v>
          </cell>
        </row>
        <row r="260">
          <cell r="A260" t="str">
            <v>Sword, Short</v>
          </cell>
          <cell r="B260" t="str">
            <v>Sword, Short</v>
          </cell>
          <cell r="D260" t="str">
            <v>M</v>
          </cell>
          <cell r="E260" t="str">
            <v>L</v>
          </cell>
          <cell r="F260">
            <v>5</v>
          </cell>
          <cell r="H260">
            <v>19</v>
          </cell>
          <cell r="I260">
            <v>2</v>
          </cell>
          <cell r="L260">
            <v>2</v>
          </cell>
          <cell r="M260" t="str">
            <v>P</v>
          </cell>
          <cell r="Q260" t="b">
            <v>0</v>
          </cell>
          <cell r="R260" t="b">
            <v>0</v>
          </cell>
          <cell r="S260" t="b">
            <v>0</v>
          </cell>
          <cell r="T260" t="b">
            <v>0</v>
          </cell>
          <cell r="U260" t="b">
            <v>0</v>
          </cell>
          <cell r="V260">
            <v>5</v>
          </cell>
          <cell r="W260" t="str">
            <v/>
          </cell>
          <cell r="X260">
            <v>5</v>
          </cell>
          <cell r="Y260" t="str">
            <v/>
          </cell>
          <cell r="Z260">
            <v>25</v>
          </cell>
          <cell r="AA260" t="str">
            <v/>
          </cell>
          <cell r="AB260">
            <v>57</v>
          </cell>
          <cell r="AC260" t="str">
            <v>Sword, Short</v>
          </cell>
          <cell r="AD260">
            <v>151</v>
          </cell>
          <cell r="AE260" t="str">
            <v/>
          </cell>
          <cell r="AF260" t="str">
            <v/>
          </cell>
          <cell r="AG260" t="str">
            <v/>
          </cell>
          <cell r="AH260">
            <v>0</v>
          </cell>
          <cell r="AI260" t="str">
            <v/>
          </cell>
          <cell r="AJ260" t="str">
            <v/>
          </cell>
          <cell r="AK260">
            <v>0</v>
          </cell>
          <cell r="AL260" t="str">
            <v/>
          </cell>
          <cell r="AM260" t="str">
            <v/>
          </cell>
          <cell r="AN260" t="str">
            <v/>
          </cell>
          <cell r="AO260">
            <v>0</v>
          </cell>
          <cell r="AP260" t="str">
            <v/>
          </cell>
          <cell r="AQ260" t="str">
            <v/>
          </cell>
          <cell r="AR260">
            <v>6</v>
          </cell>
          <cell r="AS260" t="str">
            <v>Short Sword</v>
          </cell>
        </row>
        <row r="261">
          <cell r="A261" t="str">
            <v>Sword, Short Broadblade</v>
          </cell>
          <cell r="B261" t="str">
            <v>Sword, Short Broadblade</v>
          </cell>
          <cell r="D261" t="str">
            <v>E</v>
          </cell>
          <cell r="E261" t="str">
            <v>L</v>
          </cell>
          <cell r="F261">
            <v>5</v>
          </cell>
          <cell r="H261">
            <v>19</v>
          </cell>
          <cell r="I261">
            <v>2</v>
          </cell>
          <cell r="L261">
            <v>3</v>
          </cell>
          <cell r="M261" t="str">
            <v>P</v>
          </cell>
          <cell r="R261" t="b">
            <v>0</v>
          </cell>
          <cell r="S261" t="b">
            <v>0</v>
          </cell>
          <cell r="T261" t="b">
            <v>0</v>
          </cell>
          <cell r="U261" t="b">
            <v>0</v>
          </cell>
          <cell r="V261">
            <v>5</v>
          </cell>
          <cell r="W261" t="str">
            <v/>
          </cell>
          <cell r="X261">
            <v>5</v>
          </cell>
          <cell r="Y261" t="str">
            <v/>
          </cell>
          <cell r="Z261">
            <v>25</v>
          </cell>
          <cell r="AA261" t="str">
            <v/>
          </cell>
          <cell r="AB261">
            <v>57</v>
          </cell>
          <cell r="AC261" t="str">
            <v/>
          </cell>
          <cell r="AD261">
            <v>152</v>
          </cell>
          <cell r="AE261" t="str">
            <v>Sword, Short Broadblade</v>
          </cell>
          <cell r="AF261" t="str">
            <v/>
          </cell>
          <cell r="AG261" t="str">
            <v/>
          </cell>
          <cell r="AH261">
            <v>0</v>
          </cell>
          <cell r="AI261" t="str">
            <v/>
          </cell>
          <cell r="AJ261" t="str">
            <v/>
          </cell>
          <cell r="AK261">
            <v>0</v>
          </cell>
          <cell r="AL261" t="str">
            <v/>
          </cell>
          <cell r="AM261" t="str">
            <v/>
          </cell>
          <cell r="AN261" t="str">
            <v/>
          </cell>
          <cell r="AO261">
            <v>0</v>
          </cell>
          <cell r="AP261" t="str">
            <v/>
          </cell>
          <cell r="AQ261" t="str">
            <v/>
          </cell>
          <cell r="AR261">
            <v>6</v>
          </cell>
          <cell r="AS261" t="str">
            <v>Short Broadblade Sword</v>
          </cell>
        </row>
        <row r="262">
          <cell r="A262" t="str">
            <v>Sword, Two-bladed</v>
          </cell>
          <cell r="B262" t="str">
            <v>Sword, Two-bladed</v>
          </cell>
          <cell r="D262" t="str">
            <v>E</v>
          </cell>
          <cell r="E262" t="str">
            <v>T</v>
          </cell>
          <cell r="F262">
            <v>6</v>
          </cell>
          <cell r="G262">
            <v>6</v>
          </cell>
          <cell r="H262">
            <v>19</v>
          </cell>
          <cell r="I262">
            <v>2</v>
          </cell>
          <cell r="J262">
            <v>2</v>
          </cell>
          <cell r="L262">
            <v>10</v>
          </cell>
          <cell r="M262" t="str">
            <v>S</v>
          </cell>
          <cell r="P262" t="str">
            <v/>
          </cell>
          <cell r="R262" t="b">
            <v>0</v>
          </cell>
          <cell r="S262" t="b">
            <v>0</v>
          </cell>
          <cell r="T262" t="b">
            <v>0</v>
          </cell>
          <cell r="U262" t="b">
            <v>0</v>
          </cell>
          <cell r="V262">
            <v>5</v>
          </cell>
          <cell r="W262" t="str">
            <v/>
          </cell>
          <cell r="X262">
            <v>5</v>
          </cell>
          <cell r="Y262" t="str">
            <v/>
          </cell>
          <cell r="Z262">
            <v>25</v>
          </cell>
          <cell r="AA262" t="str">
            <v/>
          </cell>
          <cell r="AB262">
            <v>57</v>
          </cell>
          <cell r="AC262" t="str">
            <v/>
          </cell>
          <cell r="AD262">
            <v>153</v>
          </cell>
          <cell r="AE262" t="str">
            <v>Sword, Two-bladed</v>
          </cell>
          <cell r="AF262" t="str">
            <v/>
          </cell>
          <cell r="AG262" t="str">
            <v/>
          </cell>
          <cell r="AH262">
            <v>0</v>
          </cell>
          <cell r="AI262" t="str">
            <v/>
          </cell>
          <cell r="AJ262" t="str">
            <v/>
          </cell>
          <cell r="AK262">
            <v>0</v>
          </cell>
          <cell r="AL262" t="str">
            <v/>
          </cell>
          <cell r="AM262" t="str">
            <v/>
          </cell>
          <cell r="AN262" t="str">
            <v/>
          </cell>
          <cell r="AO262">
            <v>0</v>
          </cell>
          <cell r="AP262" t="str">
            <v/>
          </cell>
          <cell r="AQ262" t="str">
            <v/>
          </cell>
          <cell r="AR262">
            <v>6</v>
          </cell>
          <cell r="AS262" t="str">
            <v>Two-bladed Sword</v>
          </cell>
        </row>
        <row r="263">
          <cell r="A263" t="str">
            <v>Sword Cane, Dagger</v>
          </cell>
          <cell r="B263" t="str">
            <v>Sword Cane, Dagger</v>
          </cell>
          <cell r="D263" t="str">
            <v>S</v>
          </cell>
          <cell r="E263" t="str">
            <v>T</v>
          </cell>
          <cell r="F263">
            <v>6</v>
          </cell>
          <cell r="H263">
            <v>19</v>
          </cell>
          <cell r="I263">
            <v>2</v>
          </cell>
          <cell r="L263">
            <v>2</v>
          </cell>
          <cell r="M263" t="str">
            <v>P</v>
          </cell>
          <cell r="R263" t="b">
            <v>0</v>
          </cell>
          <cell r="S263" t="b">
            <v>0</v>
          </cell>
          <cell r="T263" t="b">
            <v>0</v>
          </cell>
          <cell r="U263" t="b">
            <v>0</v>
          </cell>
          <cell r="V263">
            <v>5</v>
          </cell>
          <cell r="W263" t="str">
            <v/>
          </cell>
          <cell r="X263">
            <v>5</v>
          </cell>
          <cell r="Y263" t="str">
            <v/>
          </cell>
          <cell r="Z263">
            <v>26</v>
          </cell>
          <cell r="AA263" t="str">
            <v>Sword Cane, Dagger</v>
          </cell>
          <cell r="AB263">
            <v>57</v>
          </cell>
          <cell r="AC263" t="str">
            <v/>
          </cell>
          <cell r="AD263">
            <v>153</v>
          </cell>
          <cell r="AE263" t="str">
            <v/>
          </cell>
          <cell r="AF263" t="str">
            <v/>
          </cell>
          <cell r="AG263" t="str">
            <v/>
          </cell>
          <cell r="AH263">
            <v>0</v>
          </cell>
          <cell r="AI263" t="str">
            <v/>
          </cell>
          <cell r="AJ263" t="str">
            <v/>
          </cell>
          <cell r="AK263">
            <v>0</v>
          </cell>
          <cell r="AL263" t="str">
            <v/>
          </cell>
          <cell r="AM263" t="str">
            <v/>
          </cell>
          <cell r="AN263" t="str">
            <v/>
          </cell>
          <cell r="AO263">
            <v>0</v>
          </cell>
          <cell r="AP263" t="str">
            <v/>
          </cell>
          <cell r="AQ263" t="str">
            <v/>
          </cell>
          <cell r="AR263">
            <v>11</v>
          </cell>
          <cell r="AS263" t="str">
            <v>Dagger Sword Cane</v>
          </cell>
        </row>
        <row r="264">
          <cell r="A264" t="str">
            <v>Sword Cane, Rapier</v>
          </cell>
          <cell r="B264" t="str">
            <v>Sword Cane, Rapier</v>
          </cell>
          <cell r="D264" t="str">
            <v>M</v>
          </cell>
          <cell r="E264" t="str">
            <v>O</v>
          </cell>
          <cell r="F264">
            <v>5</v>
          </cell>
          <cell r="H264">
            <v>18</v>
          </cell>
          <cell r="I264">
            <v>2</v>
          </cell>
          <cell r="L264">
            <v>2</v>
          </cell>
          <cell r="M264" t="str">
            <v>P</v>
          </cell>
          <cell r="P264" t="str">
            <v>F</v>
          </cell>
          <cell r="R264" t="b">
            <v>0</v>
          </cell>
          <cell r="S264" t="b">
            <v>0</v>
          </cell>
          <cell r="T264" t="b">
            <v>0</v>
          </cell>
          <cell r="U264" t="b">
            <v>0</v>
          </cell>
          <cell r="V264">
            <v>5</v>
          </cell>
          <cell r="W264" t="str">
            <v/>
          </cell>
          <cell r="X264">
            <v>5</v>
          </cell>
          <cell r="Y264" t="str">
            <v/>
          </cell>
          <cell r="Z264">
            <v>26</v>
          </cell>
          <cell r="AA264" t="str">
            <v/>
          </cell>
          <cell r="AB264">
            <v>58</v>
          </cell>
          <cell r="AC264" t="str">
            <v>Sword Cane, Rapier</v>
          </cell>
          <cell r="AD264">
            <v>153</v>
          </cell>
          <cell r="AE264" t="str">
            <v/>
          </cell>
          <cell r="AF264" t="str">
            <v/>
          </cell>
          <cell r="AG264" t="str">
            <v/>
          </cell>
          <cell r="AH264">
            <v>0</v>
          </cell>
          <cell r="AI264" t="str">
            <v/>
          </cell>
          <cell r="AJ264" t="str">
            <v/>
          </cell>
          <cell r="AK264">
            <v>0</v>
          </cell>
          <cell r="AL264" t="str">
            <v/>
          </cell>
          <cell r="AM264" t="str">
            <v/>
          </cell>
          <cell r="AN264" t="str">
            <v/>
          </cell>
          <cell r="AO264">
            <v>0</v>
          </cell>
          <cell r="AP264" t="str">
            <v/>
          </cell>
          <cell r="AQ264" t="str">
            <v/>
          </cell>
          <cell r="AR264">
            <v>11</v>
          </cell>
          <cell r="AS264" t="str">
            <v>Rapier Sword Cane</v>
          </cell>
        </row>
        <row r="265">
          <cell r="A265" t="str">
            <v>Swordcatcher, Gnome</v>
          </cell>
          <cell r="B265" t="str">
            <v>Swordcatcher, Gnome</v>
          </cell>
          <cell r="D265" t="str">
            <v>E</v>
          </cell>
          <cell r="E265" t="str">
            <v>O</v>
          </cell>
          <cell r="F265">
            <v>5</v>
          </cell>
          <cell r="H265">
            <v>19</v>
          </cell>
          <cell r="I265">
            <v>2</v>
          </cell>
          <cell r="L265">
            <v>5</v>
          </cell>
          <cell r="M265" t="str">
            <v>S</v>
          </cell>
          <cell r="P265" t="str">
            <v/>
          </cell>
          <cell r="Q265" t="b">
            <v>0</v>
          </cell>
          <cell r="R265" t="b">
            <v>0</v>
          </cell>
          <cell r="S265" t="b">
            <v>0</v>
          </cell>
          <cell r="T265" t="b">
            <v>0</v>
          </cell>
          <cell r="U265" t="b">
            <v>0</v>
          </cell>
          <cell r="V265">
            <v>5</v>
          </cell>
          <cell r="W265" t="str">
            <v/>
          </cell>
          <cell r="X265">
            <v>5</v>
          </cell>
          <cell r="Y265" t="str">
            <v/>
          </cell>
          <cell r="Z265">
            <v>26</v>
          </cell>
          <cell r="AA265" t="str">
            <v/>
          </cell>
          <cell r="AB265">
            <v>58</v>
          </cell>
          <cell r="AC265" t="str">
            <v/>
          </cell>
          <cell r="AD265">
            <v>154</v>
          </cell>
          <cell r="AE265" t="str">
            <v>Swordcatcher, Gnome</v>
          </cell>
          <cell r="AF265" t="str">
            <v/>
          </cell>
          <cell r="AG265" t="str">
            <v/>
          </cell>
          <cell r="AH265">
            <v>0</v>
          </cell>
          <cell r="AI265" t="str">
            <v/>
          </cell>
          <cell r="AJ265" t="str">
            <v/>
          </cell>
          <cell r="AK265">
            <v>0</v>
          </cell>
          <cell r="AL265" t="str">
            <v/>
          </cell>
          <cell r="AM265" t="str">
            <v/>
          </cell>
          <cell r="AN265" t="str">
            <v/>
          </cell>
          <cell r="AO265">
            <v>0</v>
          </cell>
          <cell r="AP265" t="str">
            <v/>
          </cell>
          <cell r="AQ265" t="str">
            <v/>
          </cell>
          <cell r="AR265">
            <v>13</v>
          </cell>
          <cell r="AS265" t="str">
            <v>Gnome Swordcatcher</v>
          </cell>
        </row>
        <row r="266">
          <cell r="A266" t="str">
            <v>Tangat, Talenta</v>
          </cell>
          <cell r="B266" t="str">
            <v>Tangat, Talenta</v>
          </cell>
          <cell r="D266" t="str">
            <v>E</v>
          </cell>
          <cell r="E266" t="str">
            <v>T</v>
          </cell>
          <cell r="F266">
            <v>7</v>
          </cell>
          <cell r="H266">
            <v>18</v>
          </cell>
          <cell r="I266">
            <v>2</v>
          </cell>
          <cell r="L266">
            <v>8</v>
          </cell>
          <cell r="M266" t="str">
            <v>S</v>
          </cell>
          <cell r="P266" t="str">
            <v/>
          </cell>
          <cell r="R266" t="b">
            <v>0</v>
          </cell>
          <cell r="S266" t="b">
            <v>0</v>
          </cell>
          <cell r="T266" t="b">
            <v>0</v>
          </cell>
          <cell r="U266" t="b">
            <v>0</v>
          </cell>
          <cell r="V266">
            <v>5</v>
          </cell>
          <cell r="W266" t="str">
            <v/>
          </cell>
          <cell r="X266">
            <v>5</v>
          </cell>
          <cell r="Y266" t="str">
            <v/>
          </cell>
          <cell r="Z266">
            <v>26</v>
          </cell>
          <cell r="AA266" t="str">
            <v/>
          </cell>
          <cell r="AB266">
            <v>58</v>
          </cell>
          <cell r="AC266" t="str">
            <v/>
          </cell>
          <cell r="AD266">
            <v>155</v>
          </cell>
          <cell r="AE266" t="str">
            <v>Tangat, Talenta</v>
          </cell>
          <cell r="AF266" t="str">
            <v/>
          </cell>
          <cell r="AG266" t="str">
            <v/>
          </cell>
          <cell r="AH266">
            <v>0</v>
          </cell>
          <cell r="AI266" t="str">
            <v/>
          </cell>
          <cell r="AJ266" t="str">
            <v/>
          </cell>
          <cell r="AK266">
            <v>0</v>
          </cell>
          <cell r="AL266" t="str">
            <v/>
          </cell>
          <cell r="AM266" t="str">
            <v/>
          </cell>
          <cell r="AN266" t="str">
            <v/>
          </cell>
          <cell r="AO266">
            <v>0</v>
          </cell>
          <cell r="AP266" t="str">
            <v/>
          </cell>
          <cell r="AQ266" t="str">
            <v/>
          </cell>
          <cell r="AR266">
            <v>7</v>
          </cell>
          <cell r="AS266" t="str">
            <v>Talenta Tangat</v>
          </cell>
        </row>
        <row r="267">
          <cell r="A267" t="str">
            <v>Thinblade, Elven</v>
          </cell>
          <cell r="B267" t="str">
            <v>Thinblade, Elven</v>
          </cell>
          <cell r="D267" t="str">
            <v>E</v>
          </cell>
          <cell r="E267" t="str">
            <v>O</v>
          </cell>
          <cell r="F267">
            <v>6</v>
          </cell>
          <cell r="H267">
            <v>18</v>
          </cell>
          <cell r="I267">
            <v>2</v>
          </cell>
          <cell r="L267">
            <v>3</v>
          </cell>
          <cell r="M267" t="str">
            <v>P</v>
          </cell>
          <cell r="P267" t="str">
            <v>F</v>
          </cell>
          <cell r="Q267" t="b">
            <v>0</v>
          </cell>
          <cell r="R267" t="b">
            <v>0</v>
          </cell>
          <cell r="S267" t="b">
            <v>0</v>
          </cell>
          <cell r="T267" t="b">
            <v>0</v>
          </cell>
          <cell r="U267" t="b">
            <v>0</v>
          </cell>
          <cell r="V267">
            <v>5</v>
          </cell>
          <cell r="W267" t="str">
            <v/>
          </cell>
          <cell r="X267">
            <v>5</v>
          </cell>
          <cell r="Y267" t="str">
            <v/>
          </cell>
          <cell r="Z267">
            <v>26</v>
          </cell>
          <cell r="AA267" t="str">
            <v/>
          </cell>
          <cell r="AB267">
            <v>58</v>
          </cell>
          <cell r="AC267" t="str">
            <v/>
          </cell>
          <cell r="AD267">
            <v>156</v>
          </cell>
          <cell r="AE267" t="str">
            <v>Thinblade, Elven</v>
          </cell>
          <cell r="AF267" t="str">
            <v/>
          </cell>
          <cell r="AG267" t="str">
            <v/>
          </cell>
          <cell r="AH267">
            <v>0</v>
          </cell>
          <cell r="AI267" t="str">
            <v/>
          </cell>
          <cell r="AJ267" t="str">
            <v/>
          </cell>
          <cell r="AK267">
            <v>0</v>
          </cell>
          <cell r="AL267" t="str">
            <v/>
          </cell>
          <cell r="AM267" t="str">
            <v/>
          </cell>
          <cell r="AN267" t="str">
            <v/>
          </cell>
          <cell r="AO267">
            <v>0</v>
          </cell>
          <cell r="AP267" t="str">
            <v/>
          </cell>
          <cell r="AQ267" t="str">
            <v/>
          </cell>
          <cell r="AR267">
            <v>10</v>
          </cell>
          <cell r="AS267" t="str">
            <v>Elven Thinblade</v>
          </cell>
        </row>
        <row r="268">
          <cell r="A268" t="str">
            <v>Thrombash</v>
          </cell>
          <cell r="B268" t="str">
            <v>Thrombash</v>
          </cell>
          <cell r="D268" t="str">
            <v>E</v>
          </cell>
          <cell r="E268" t="str">
            <v>O</v>
          </cell>
          <cell r="F268">
            <v>5</v>
          </cell>
          <cell r="H268">
            <v>20</v>
          </cell>
          <cell r="I268">
            <v>3</v>
          </cell>
          <cell r="K268">
            <v>10</v>
          </cell>
          <cell r="L268">
            <v>3</v>
          </cell>
          <cell r="M268" t="str">
            <v>P/S</v>
          </cell>
          <cell r="R268" t="b">
            <v>0</v>
          </cell>
          <cell r="S268" t="b">
            <v>0</v>
          </cell>
          <cell r="T268" t="b">
            <v>0</v>
          </cell>
          <cell r="U268" t="b">
            <v>0</v>
          </cell>
          <cell r="V268">
            <v>5</v>
          </cell>
          <cell r="W268" t="str">
            <v/>
          </cell>
          <cell r="X268">
            <v>5</v>
          </cell>
          <cell r="Y268" t="str">
            <v/>
          </cell>
          <cell r="Z268">
            <v>26</v>
          </cell>
          <cell r="AA268" t="str">
            <v/>
          </cell>
          <cell r="AB268">
            <v>58</v>
          </cell>
          <cell r="AC268" t="str">
            <v/>
          </cell>
          <cell r="AD268">
            <v>157</v>
          </cell>
          <cell r="AE268" t="str">
            <v>Thrombash</v>
          </cell>
          <cell r="AF268" t="str">
            <v/>
          </cell>
          <cell r="AG268" t="str">
            <v/>
          </cell>
          <cell r="AH268">
            <v>0</v>
          </cell>
          <cell r="AI268" t="str">
            <v/>
          </cell>
          <cell r="AJ268" t="str">
            <v/>
          </cell>
          <cell r="AK268">
            <v>0</v>
          </cell>
          <cell r="AL268" t="str">
            <v/>
          </cell>
          <cell r="AM268" t="str">
            <v/>
          </cell>
          <cell r="AN268" t="str">
            <v/>
          </cell>
          <cell r="AO268">
            <v>0</v>
          </cell>
          <cell r="AP268" t="str">
            <v/>
          </cell>
          <cell r="AQ268" t="str">
            <v/>
          </cell>
          <cell r="AR268">
            <v>0</v>
          </cell>
          <cell r="AS268" t="str">
            <v>Thrombash</v>
          </cell>
        </row>
        <row r="269">
          <cell r="A269" t="str">
            <v>Throwing-knife, Desert</v>
          </cell>
          <cell r="B269" t="str">
            <v>Throwing-knife, Desert</v>
          </cell>
          <cell r="D269" t="str">
            <v>E</v>
          </cell>
          <cell r="E269" t="str">
            <v>R</v>
          </cell>
          <cell r="F269">
            <v>5</v>
          </cell>
          <cell r="H269">
            <v>19</v>
          </cell>
          <cell r="I269">
            <v>2</v>
          </cell>
          <cell r="K269">
            <v>15</v>
          </cell>
          <cell r="L269">
            <v>1</v>
          </cell>
          <cell r="M269" t="str">
            <v>P</v>
          </cell>
          <cell r="R269" t="b">
            <v>0</v>
          </cell>
          <cell r="S269" t="b">
            <v>0</v>
          </cell>
          <cell r="T269" t="b">
            <v>0</v>
          </cell>
          <cell r="U269" t="b">
            <v>0</v>
          </cell>
          <cell r="V269">
            <v>5</v>
          </cell>
          <cell r="W269" t="str">
            <v/>
          </cell>
          <cell r="X269">
            <v>5</v>
          </cell>
          <cell r="Y269" t="str">
            <v/>
          </cell>
          <cell r="Z269">
            <v>26</v>
          </cell>
          <cell r="AA269" t="str">
            <v/>
          </cell>
          <cell r="AB269">
            <v>58</v>
          </cell>
          <cell r="AC269" t="str">
            <v/>
          </cell>
          <cell r="AD269">
            <v>158</v>
          </cell>
          <cell r="AE269" t="str">
            <v>Throwing-knife, Desert</v>
          </cell>
          <cell r="AF269" t="str">
            <v/>
          </cell>
          <cell r="AG269" t="str">
            <v/>
          </cell>
          <cell r="AH269">
            <v>0</v>
          </cell>
          <cell r="AI269" t="str">
            <v/>
          </cell>
          <cell r="AJ269" t="str">
            <v/>
          </cell>
          <cell r="AK269">
            <v>0</v>
          </cell>
          <cell r="AL269" t="str">
            <v/>
          </cell>
          <cell r="AM269" t="str">
            <v/>
          </cell>
          <cell r="AN269" t="str">
            <v/>
          </cell>
          <cell r="AO269">
            <v>0</v>
          </cell>
          <cell r="AP269" t="str">
            <v/>
          </cell>
          <cell r="AQ269" t="str">
            <v/>
          </cell>
          <cell r="AR269">
            <v>15</v>
          </cell>
          <cell r="AS269" t="str">
            <v>Desert Throwing-knife</v>
          </cell>
        </row>
        <row r="270">
          <cell r="A270" t="str">
            <v>Tonfa</v>
          </cell>
          <cell r="B270" t="str">
            <v>Tonfa</v>
          </cell>
          <cell r="D270" t="str">
            <v>E</v>
          </cell>
          <cell r="E270" t="str">
            <v>O</v>
          </cell>
          <cell r="F270">
            <v>5</v>
          </cell>
          <cell r="H270">
            <v>20</v>
          </cell>
          <cell r="I270">
            <v>2</v>
          </cell>
          <cell r="L270">
            <v>2</v>
          </cell>
          <cell r="M270" t="str">
            <v>B</v>
          </cell>
          <cell r="Q270" t="b">
            <v>0</v>
          </cell>
          <cell r="R270" t="b">
            <v>0</v>
          </cell>
          <cell r="S270" t="b">
            <v>0</v>
          </cell>
          <cell r="T270" t="b">
            <v>0</v>
          </cell>
          <cell r="U270" t="b">
            <v>0</v>
          </cell>
          <cell r="V270">
            <v>5</v>
          </cell>
          <cell r="W270" t="str">
            <v/>
          </cell>
          <cell r="X270">
            <v>5</v>
          </cell>
          <cell r="Y270" t="str">
            <v/>
          </cell>
          <cell r="Z270">
            <v>26</v>
          </cell>
          <cell r="AA270" t="str">
            <v/>
          </cell>
          <cell r="AB270">
            <v>58</v>
          </cell>
          <cell r="AC270" t="str">
            <v/>
          </cell>
          <cell r="AD270">
            <v>159</v>
          </cell>
          <cell r="AE270" t="str">
            <v>Tonfa</v>
          </cell>
          <cell r="AF270" t="str">
            <v/>
          </cell>
          <cell r="AG270" t="str">
            <v/>
          </cell>
          <cell r="AH270">
            <v>0</v>
          </cell>
          <cell r="AI270" t="str">
            <v/>
          </cell>
          <cell r="AJ270" t="str">
            <v/>
          </cell>
          <cell r="AK270">
            <v>0</v>
          </cell>
          <cell r="AL270" t="str">
            <v/>
          </cell>
          <cell r="AM270" t="str">
            <v/>
          </cell>
          <cell r="AN270" t="str">
            <v/>
          </cell>
          <cell r="AO270">
            <v>0</v>
          </cell>
          <cell r="AP270" t="str">
            <v/>
          </cell>
          <cell r="AQ270" t="str">
            <v/>
          </cell>
          <cell r="AR270">
            <v>0</v>
          </cell>
          <cell r="AS270" t="str">
            <v>Tonfa</v>
          </cell>
        </row>
        <row r="271">
          <cell r="A271" t="str">
            <v>Tortoise blade, Gnome</v>
          </cell>
          <cell r="B271" t="str">
            <v>Tortoise blade, Gnome</v>
          </cell>
          <cell r="D271" t="str">
            <v>E</v>
          </cell>
          <cell r="E271" t="str">
            <v>L</v>
          </cell>
          <cell r="F271">
            <v>5</v>
          </cell>
          <cell r="H271">
            <v>19</v>
          </cell>
          <cell r="I271">
            <v>2</v>
          </cell>
          <cell r="L271">
            <v>3</v>
          </cell>
          <cell r="M271" t="str">
            <v>P</v>
          </cell>
          <cell r="P271" t="str">
            <v/>
          </cell>
          <cell r="Q271" t="b">
            <v>0</v>
          </cell>
          <cell r="R271" t="b">
            <v>0</v>
          </cell>
          <cell r="S271" t="b">
            <v>0</v>
          </cell>
          <cell r="T271" t="b">
            <v>0</v>
          </cell>
          <cell r="U271" t="b">
            <v>0</v>
          </cell>
          <cell r="V271">
            <v>5</v>
          </cell>
          <cell r="W271" t="str">
            <v/>
          </cell>
          <cell r="X271">
            <v>5</v>
          </cell>
          <cell r="Y271" t="str">
            <v/>
          </cell>
          <cell r="Z271">
            <v>26</v>
          </cell>
          <cell r="AA271" t="str">
            <v/>
          </cell>
          <cell r="AB271">
            <v>58</v>
          </cell>
          <cell r="AC271" t="str">
            <v/>
          </cell>
          <cell r="AD271">
            <v>160</v>
          </cell>
          <cell r="AE271" t="str">
            <v>Tortoise blade, Gnome</v>
          </cell>
          <cell r="AF271" t="str">
            <v/>
          </cell>
          <cell r="AG271" t="str">
            <v/>
          </cell>
          <cell r="AH271">
            <v>0</v>
          </cell>
          <cell r="AI271" t="str">
            <v/>
          </cell>
          <cell r="AJ271" t="str">
            <v/>
          </cell>
          <cell r="AK271">
            <v>0</v>
          </cell>
          <cell r="AL271" t="str">
            <v/>
          </cell>
          <cell r="AM271" t="str">
            <v/>
          </cell>
          <cell r="AN271" t="str">
            <v/>
          </cell>
          <cell r="AO271">
            <v>0</v>
          </cell>
          <cell r="AP271" t="str">
            <v/>
          </cell>
          <cell r="AQ271" t="str">
            <v/>
          </cell>
          <cell r="AR271">
            <v>15</v>
          </cell>
          <cell r="AS271" t="str">
            <v>Gnome Tortoise blade</v>
          </cell>
        </row>
        <row r="272">
          <cell r="A272" t="str">
            <v>Trident</v>
          </cell>
          <cell r="B272" t="str">
            <v>Trident</v>
          </cell>
          <cell r="D272" t="str">
            <v>M</v>
          </cell>
          <cell r="E272" t="str">
            <v>O</v>
          </cell>
          <cell r="F272">
            <v>6</v>
          </cell>
          <cell r="H272">
            <v>20</v>
          </cell>
          <cell r="I272">
            <v>2</v>
          </cell>
          <cell r="K272">
            <v>10</v>
          </cell>
          <cell r="L272">
            <v>4</v>
          </cell>
          <cell r="M272" t="str">
            <v>P</v>
          </cell>
          <cell r="Q272" t="b">
            <v>0</v>
          </cell>
          <cell r="R272" t="b">
            <v>0</v>
          </cell>
          <cell r="S272" t="b">
            <v>0</v>
          </cell>
          <cell r="T272" t="b">
            <v>0</v>
          </cell>
          <cell r="U272" t="b">
            <v>0</v>
          </cell>
          <cell r="V272">
            <v>5</v>
          </cell>
          <cell r="W272" t="str">
            <v/>
          </cell>
          <cell r="X272">
            <v>5</v>
          </cell>
          <cell r="Y272" t="str">
            <v/>
          </cell>
          <cell r="Z272">
            <v>26</v>
          </cell>
          <cell r="AA272" t="str">
            <v/>
          </cell>
          <cell r="AB272">
            <v>59</v>
          </cell>
          <cell r="AC272" t="str">
            <v>Trident</v>
          </cell>
          <cell r="AD272">
            <v>160</v>
          </cell>
          <cell r="AE272" t="str">
            <v/>
          </cell>
          <cell r="AF272" t="str">
            <v/>
          </cell>
          <cell r="AG272" t="str">
            <v/>
          </cell>
          <cell r="AH272">
            <v>0</v>
          </cell>
          <cell r="AI272" t="str">
            <v/>
          </cell>
          <cell r="AJ272" t="str">
            <v/>
          </cell>
          <cell r="AK272">
            <v>0</v>
          </cell>
          <cell r="AL272" t="str">
            <v/>
          </cell>
          <cell r="AM272" t="str">
            <v/>
          </cell>
          <cell r="AN272" t="str">
            <v/>
          </cell>
          <cell r="AO272">
            <v>0</v>
          </cell>
          <cell r="AP272" t="str">
            <v/>
          </cell>
          <cell r="AQ272" t="str">
            <v/>
          </cell>
          <cell r="AR272">
            <v>0</v>
          </cell>
          <cell r="AS272" t="str">
            <v>Trident</v>
          </cell>
        </row>
        <row r="273">
          <cell r="A273" t="str">
            <v>Unarmed Strike</v>
          </cell>
          <cell r="B273" t="str">
            <v>Unarmed Strike</v>
          </cell>
          <cell r="D273" t="str">
            <v>S</v>
          </cell>
          <cell r="E273" t="str">
            <v>U</v>
          </cell>
          <cell r="F273">
            <v>3</v>
          </cell>
          <cell r="H273">
            <v>20</v>
          </cell>
          <cell r="I273">
            <v>2</v>
          </cell>
          <cell r="M273" t="str">
            <v>B</v>
          </cell>
          <cell r="N273" t="str">
            <v>S</v>
          </cell>
          <cell r="P273" t="str">
            <v>U</v>
          </cell>
          <cell r="Q273" t="b">
            <v>0</v>
          </cell>
          <cell r="R273" t="b">
            <v>0</v>
          </cell>
          <cell r="S273" t="b">
            <v>0</v>
          </cell>
          <cell r="T273" t="b">
            <v>0</v>
          </cell>
          <cell r="U273" t="b">
            <v>0</v>
          </cell>
          <cell r="V273">
            <v>5</v>
          </cell>
          <cell r="W273" t="str">
            <v/>
          </cell>
          <cell r="X273">
            <v>5</v>
          </cell>
          <cell r="Y273" t="str">
            <v/>
          </cell>
          <cell r="Z273">
            <v>27</v>
          </cell>
          <cell r="AA273" t="str">
            <v>Unarmed Strike</v>
          </cell>
          <cell r="AB273">
            <v>59</v>
          </cell>
          <cell r="AC273" t="str">
            <v/>
          </cell>
          <cell r="AD273">
            <v>160</v>
          </cell>
          <cell r="AE273" t="str">
            <v/>
          </cell>
          <cell r="AF273" t="str">
            <v/>
          </cell>
          <cell r="AG273" t="str">
            <v/>
          </cell>
          <cell r="AH273">
            <v>0</v>
          </cell>
          <cell r="AI273" t="str">
            <v/>
          </cell>
          <cell r="AJ273" t="str">
            <v/>
          </cell>
          <cell r="AK273">
            <v>0</v>
          </cell>
          <cell r="AL273" t="str">
            <v/>
          </cell>
          <cell r="AM273" t="str">
            <v/>
          </cell>
          <cell r="AN273" t="str">
            <v/>
          </cell>
          <cell r="AO273">
            <v>0</v>
          </cell>
          <cell r="AP273" t="str">
            <v/>
          </cell>
          <cell r="AQ273" t="str">
            <v/>
          </cell>
          <cell r="AR273">
            <v>0</v>
          </cell>
          <cell r="AS273" t="str">
            <v>Unarmed Strike</v>
          </cell>
        </row>
        <row r="274">
          <cell r="A274" t="str">
            <v>Urgrosh, Dwarven</v>
          </cell>
          <cell r="B274" t="str">
            <v>Urgrosh, Dwarven</v>
          </cell>
          <cell r="D274" t="str">
            <v>E</v>
          </cell>
          <cell r="E274" t="str">
            <v>T</v>
          </cell>
          <cell r="F274">
            <v>6</v>
          </cell>
          <cell r="G274">
            <v>5</v>
          </cell>
          <cell r="H274">
            <v>20</v>
          </cell>
          <cell r="I274">
            <v>3</v>
          </cell>
          <cell r="J274">
            <v>3</v>
          </cell>
          <cell r="L274">
            <v>12</v>
          </cell>
          <cell r="M274" t="str">
            <v>S/P</v>
          </cell>
          <cell r="P274" t="str">
            <v>R</v>
          </cell>
          <cell r="Q274" t="b">
            <v>0</v>
          </cell>
          <cell r="R274" t="b">
            <v>0</v>
          </cell>
          <cell r="S274" t="b">
            <v>0</v>
          </cell>
          <cell r="T274" t="b">
            <v>0</v>
          </cell>
          <cell r="U274" t="b">
            <v>0</v>
          </cell>
          <cell r="V274">
            <v>5</v>
          </cell>
          <cell r="W274" t="str">
            <v/>
          </cell>
          <cell r="X274">
            <v>5</v>
          </cell>
          <cell r="Y274" t="str">
            <v/>
          </cell>
          <cell r="Z274">
            <v>27</v>
          </cell>
          <cell r="AA274" t="str">
            <v/>
          </cell>
          <cell r="AB274">
            <v>60</v>
          </cell>
          <cell r="AC274" t="str">
            <v>Urgrosh, Dwarven</v>
          </cell>
          <cell r="AD274">
            <v>161</v>
          </cell>
          <cell r="AE274" t="str">
            <v>Urgrosh, Dwarven</v>
          </cell>
          <cell r="AF274" t="str">
            <v/>
          </cell>
          <cell r="AG274" t="str">
            <v/>
          </cell>
          <cell r="AH274">
            <v>0</v>
          </cell>
          <cell r="AI274" t="str">
            <v/>
          </cell>
          <cell r="AJ274" t="str">
            <v/>
          </cell>
          <cell r="AK274">
            <v>0</v>
          </cell>
          <cell r="AL274" t="str">
            <v/>
          </cell>
          <cell r="AM274" t="str">
            <v/>
          </cell>
          <cell r="AN274" t="str">
            <v/>
          </cell>
          <cell r="AO274">
            <v>0</v>
          </cell>
          <cell r="AP274" t="str">
            <v/>
          </cell>
          <cell r="AQ274" t="str">
            <v/>
          </cell>
          <cell r="AR274">
            <v>8</v>
          </cell>
          <cell r="AS274" t="str">
            <v>Dwarven Urgrosh</v>
          </cell>
        </row>
        <row r="275">
          <cell r="A275" t="str">
            <v>Wakizashi</v>
          </cell>
          <cell r="B275" t="str">
            <v>Wakizashi</v>
          </cell>
          <cell r="C275" t="str">
            <v>OA</v>
          </cell>
          <cell r="D275" t="str">
            <v>M</v>
          </cell>
          <cell r="E275" t="str">
            <v>L</v>
          </cell>
          <cell r="F275">
            <v>5</v>
          </cell>
          <cell r="H275">
            <v>19</v>
          </cell>
          <cell r="I275">
            <v>2</v>
          </cell>
          <cell r="L275">
            <v>3</v>
          </cell>
          <cell r="M275" t="str">
            <v>S</v>
          </cell>
          <cell r="R275" t="b">
            <v>0</v>
          </cell>
          <cell r="S275" t="b">
            <v>0</v>
          </cell>
          <cell r="T275" t="b">
            <v>0</v>
          </cell>
          <cell r="U275" t="b">
            <v>0</v>
          </cell>
          <cell r="V275">
            <v>5</v>
          </cell>
          <cell r="W275" t="str">
            <v/>
          </cell>
          <cell r="X275">
            <v>5</v>
          </cell>
          <cell r="Y275" t="str">
            <v/>
          </cell>
          <cell r="Z275">
            <v>27</v>
          </cell>
          <cell r="AA275" t="str">
            <v/>
          </cell>
          <cell r="AB275">
            <v>61</v>
          </cell>
          <cell r="AC275" t="str">
            <v>Wakizashi</v>
          </cell>
          <cell r="AD275">
            <v>161</v>
          </cell>
          <cell r="AE275" t="str">
            <v/>
          </cell>
          <cell r="AF275" t="str">
            <v/>
          </cell>
          <cell r="AG275" t="str">
            <v/>
          </cell>
          <cell r="AH275">
            <v>0</v>
          </cell>
          <cell r="AI275" t="str">
            <v/>
          </cell>
          <cell r="AJ275" t="str">
            <v/>
          </cell>
          <cell r="AK275">
            <v>0</v>
          </cell>
          <cell r="AL275" t="str">
            <v/>
          </cell>
          <cell r="AM275" t="str">
            <v/>
          </cell>
          <cell r="AN275" t="str">
            <v/>
          </cell>
          <cell r="AO275">
            <v>0</v>
          </cell>
          <cell r="AP275" t="str">
            <v/>
          </cell>
          <cell r="AQ275" t="str">
            <v/>
          </cell>
          <cell r="AR275">
            <v>0</v>
          </cell>
          <cell r="AS275" t="str">
            <v>Wakizashi</v>
          </cell>
        </row>
        <row r="276">
          <cell r="A276" t="str">
            <v>War Spikard</v>
          </cell>
          <cell r="B276" t="str">
            <v>War Spikard</v>
          </cell>
          <cell r="D276" t="str">
            <v>E</v>
          </cell>
          <cell r="E276" t="str">
            <v>T</v>
          </cell>
          <cell r="F276">
            <v>6</v>
          </cell>
          <cell r="H276">
            <v>20</v>
          </cell>
          <cell r="I276">
            <v>2</v>
          </cell>
          <cell r="L276">
            <v>9</v>
          </cell>
          <cell r="M276" t="str">
            <v>B/P</v>
          </cell>
          <cell r="R276" t="b">
            <v>0</v>
          </cell>
          <cell r="S276" t="b">
            <v>0</v>
          </cell>
          <cell r="T276" t="b">
            <v>0</v>
          </cell>
          <cell r="U276" t="b">
            <v>0</v>
          </cell>
          <cell r="V276">
            <v>5</v>
          </cell>
          <cell r="W276" t="str">
            <v/>
          </cell>
          <cell r="X276">
            <v>5</v>
          </cell>
          <cell r="Y276" t="str">
            <v/>
          </cell>
          <cell r="Z276">
            <v>27</v>
          </cell>
          <cell r="AA276" t="str">
            <v/>
          </cell>
          <cell r="AB276">
            <v>61</v>
          </cell>
          <cell r="AC276" t="str">
            <v/>
          </cell>
          <cell r="AD276">
            <v>162</v>
          </cell>
          <cell r="AE276" t="str">
            <v>War Spikard</v>
          </cell>
          <cell r="AF276" t="str">
            <v/>
          </cell>
          <cell r="AG276" t="str">
            <v/>
          </cell>
          <cell r="AH276">
            <v>0</v>
          </cell>
          <cell r="AI276" t="str">
            <v/>
          </cell>
          <cell r="AJ276" t="str">
            <v/>
          </cell>
          <cell r="AK276">
            <v>0</v>
          </cell>
          <cell r="AL276" t="str">
            <v/>
          </cell>
          <cell r="AM276" t="str">
            <v/>
          </cell>
          <cell r="AN276" t="str">
            <v/>
          </cell>
          <cell r="AO276">
            <v>0</v>
          </cell>
          <cell r="AP276" t="str">
            <v/>
          </cell>
          <cell r="AQ276" t="str">
            <v/>
          </cell>
          <cell r="AR276">
            <v>0</v>
          </cell>
          <cell r="AS276" t="str">
            <v>War Spikard</v>
          </cell>
        </row>
        <row r="277">
          <cell r="A277" t="str">
            <v>Waraxe, Dwarven</v>
          </cell>
          <cell r="B277" t="str">
            <v>Waraxe, Dwarven</v>
          </cell>
          <cell r="D277" t="str">
            <v>E</v>
          </cell>
          <cell r="E277" t="str">
            <v>O</v>
          </cell>
          <cell r="F277">
            <v>7</v>
          </cell>
          <cell r="H277">
            <v>20</v>
          </cell>
          <cell r="I277">
            <v>3</v>
          </cell>
          <cell r="L277">
            <v>8</v>
          </cell>
          <cell r="M277" t="str">
            <v>S</v>
          </cell>
          <cell r="P277" t="str">
            <v>R</v>
          </cell>
          <cell r="Q277" t="b">
            <v>0</v>
          </cell>
          <cell r="R277" t="b">
            <v>0</v>
          </cell>
          <cell r="S277" t="b">
            <v>0</v>
          </cell>
          <cell r="T277" t="b">
            <v>0</v>
          </cell>
          <cell r="U277" t="b">
            <v>0</v>
          </cell>
          <cell r="V277">
            <v>5</v>
          </cell>
          <cell r="W277" t="str">
            <v/>
          </cell>
          <cell r="X277">
            <v>5</v>
          </cell>
          <cell r="Y277" t="str">
            <v/>
          </cell>
          <cell r="Z277">
            <v>27</v>
          </cell>
          <cell r="AA277" t="str">
            <v/>
          </cell>
          <cell r="AB277">
            <v>62</v>
          </cell>
          <cell r="AC277" t="str">
            <v>Waraxe, Dwarven</v>
          </cell>
          <cell r="AD277">
            <v>163</v>
          </cell>
          <cell r="AE277" t="str">
            <v>Waraxe, Dwarven</v>
          </cell>
          <cell r="AF277" t="str">
            <v/>
          </cell>
          <cell r="AG277" t="str">
            <v/>
          </cell>
          <cell r="AH277">
            <v>0</v>
          </cell>
          <cell r="AI277" t="str">
            <v/>
          </cell>
          <cell r="AJ277" t="str">
            <v/>
          </cell>
          <cell r="AK277">
            <v>0</v>
          </cell>
          <cell r="AL277" t="str">
            <v/>
          </cell>
          <cell r="AM277" t="str">
            <v/>
          </cell>
          <cell r="AN277" t="str">
            <v/>
          </cell>
          <cell r="AO277">
            <v>0</v>
          </cell>
          <cell r="AP277" t="str">
            <v/>
          </cell>
          <cell r="AQ277" t="str">
            <v/>
          </cell>
          <cell r="AR277">
            <v>7</v>
          </cell>
          <cell r="AS277" t="str">
            <v>Dwarven Waraxe</v>
          </cell>
        </row>
        <row r="278">
          <cell r="A278" t="str">
            <v>Warhammer</v>
          </cell>
          <cell r="B278" t="str">
            <v>Warhammer</v>
          </cell>
          <cell r="D278" t="str">
            <v>M</v>
          </cell>
          <cell r="E278" t="str">
            <v>O</v>
          </cell>
          <cell r="F278">
            <v>6</v>
          </cell>
          <cell r="H278">
            <v>20</v>
          </cell>
          <cell r="I278">
            <v>3</v>
          </cell>
          <cell r="L278">
            <v>5</v>
          </cell>
          <cell r="M278" t="str">
            <v>B</v>
          </cell>
          <cell r="R278" t="b">
            <v>0</v>
          </cell>
          <cell r="S278" t="b">
            <v>0</v>
          </cell>
          <cell r="T278" t="b">
            <v>0</v>
          </cell>
          <cell r="U278" t="b">
            <v>0</v>
          </cell>
          <cell r="V278">
            <v>5</v>
          </cell>
          <cell r="W278" t="str">
            <v/>
          </cell>
          <cell r="X278">
            <v>5</v>
          </cell>
          <cell r="Y278" t="str">
            <v/>
          </cell>
          <cell r="Z278">
            <v>27</v>
          </cell>
          <cell r="AA278" t="str">
            <v/>
          </cell>
          <cell r="AB278">
            <v>63</v>
          </cell>
          <cell r="AC278" t="str">
            <v>Warhammer</v>
          </cell>
          <cell r="AD278">
            <v>163</v>
          </cell>
          <cell r="AE278" t="str">
            <v/>
          </cell>
          <cell r="AF278" t="str">
            <v/>
          </cell>
          <cell r="AG278" t="str">
            <v/>
          </cell>
          <cell r="AH278">
            <v>0</v>
          </cell>
          <cell r="AI278" t="str">
            <v/>
          </cell>
          <cell r="AJ278" t="str">
            <v/>
          </cell>
          <cell r="AK278">
            <v>0</v>
          </cell>
          <cell r="AL278" t="str">
            <v/>
          </cell>
          <cell r="AM278" t="str">
            <v/>
          </cell>
          <cell r="AN278" t="str">
            <v/>
          </cell>
          <cell r="AO278">
            <v>0</v>
          </cell>
          <cell r="AP278" t="str">
            <v/>
          </cell>
          <cell r="AQ278" t="str">
            <v/>
          </cell>
          <cell r="AR278">
            <v>0</v>
          </cell>
          <cell r="AS278" t="str">
            <v>Warhammer</v>
          </cell>
        </row>
        <row r="279">
          <cell r="A279" t="str">
            <v>Warmace</v>
          </cell>
          <cell r="B279" t="str">
            <v>Warmace</v>
          </cell>
          <cell r="D279" t="str">
            <v>E</v>
          </cell>
          <cell r="E279" t="str">
            <v>O</v>
          </cell>
          <cell r="F279">
            <v>8</v>
          </cell>
          <cell r="H279">
            <v>20</v>
          </cell>
          <cell r="I279">
            <v>2</v>
          </cell>
          <cell r="L279">
            <v>10</v>
          </cell>
          <cell r="M279" t="str">
            <v>B</v>
          </cell>
          <cell r="P279" t="str">
            <v>X</v>
          </cell>
          <cell r="R279" t="b">
            <v>0</v>
          </cell>
          <cell r="S279" t="b">
            <v>0</v>
          </cell>
          <cell r="T279" t="b">
            <v>0</v>
          </cell>
          <cell r="U279" t="b">
            <v>0</v>
          </cell>
          <cell r="V279">
            <v>5</v>
          </cell>
          <cell r="W279" t="str">
            <v/>
          </cell>
          <cell r="X279">
            <v>5</v>
          </cell>
          <cell r="Y279" t="str">
            <v/>
          </cell>
          <cell r="Z279">
            <v>27</v>
          </cell>
          <cell r="AA279" t="str">
            <v/>
          </cell>
          <cell r="AB279">
            <v>64</v>
          </cell>
          <cell r="AC279" t="str">
            <v>Warmace</v>
          </cell>
          <cell r="AD279">
            <v>164</v>
          </cell>
          <cell r="AE279" t="str">
            <v>Warmace</v>
          </cell>
          <cell r="AF279" t="str">
            <v/>
          </cell>
          <cell r="AG279" t="str">
            <v/>
          </cell>
          <cell r="AH279">
            <v>0</v>
          </cell>
          <cell r="AI279" t="str">
            <v/>
          </cell>
          <cell r="AJ279" t="str">
            <v/>
          </cell>
          <cell r="AK279">
            <v>0</v>
          </cell>
          <cell r="AL279" t="str">
            <v/>
          </cell>
          <cell r="AM279" t="str">
            <v/>
          </cell>
          <cell r="AN279" t="str">
            <v/>
          </cell>
          <cell r="AO279">
            <v>0</v>
          </cell>
          <cell r="AP279" t="str">
            <v/>
          </cell>
          <cell r="AQ279" t="str">
            <v/>
          </cell>
          <cell r="AR279">
            <v>0</v>
          </cell>
          <cell r="AS279" t="str">
            <v>Warmace</v>
          </cell>
        </row>
        <row r="280">
          <cell r="A280" t="str">
            <v>Warpike, Dwarven</v>
          </cell>
          <cell r="B280" t="str">
            <v>Warpike, Dwarven</v>
          </cell>
          <cell r="D280" t="str">
            <v>E</v>
          </cell>
          <cell r="E280" t="str">
            <v>T</v>
          </cell>
          <cell r="F280">
            <v>10</v>
          </cell>
          <cell r="H280">
            <v>20</v>
          </cell>
          <cell r="I280">
            <v>3</v>
          </cell>
          <cell r="L280">
            <v>15</v>
          </cell>
          <cell r="M280" t="str">
            <v>S/P</v>
          </cell>
          <cell r="O280" t="b">
            <v>1</v>
          </cell>
          <cell r="P280" t="str">
            <v/>
          </cell>
          <cell r="Q280" t="b">
            <v>0</v>
          </cell>
          <cell r="R280" t="b">
            <v>0</v>
          </cell>
          <cell r="S280" t="b">
            <v>0</v>
          </cell>
          <cell r="T280" t="b">
            <v>0</v>
          </cell>
          <cell r="U280" t="b">
            <v>0</v>
          </cell>
          <cell r="V280">
            <v>5</v>
          </cell>
          <cell r="W280" t="str">
            <v/>
          </cell>
          <cell r="X280">
            <v>5</v>
          </cell>
          <cell r="Y280" t="str">
            <v/>
          </cell>
          <cell r="Z280">
            <v>27</v>
          </cell>
          <cell r="AA280" t="str">
            <v/>
          </cell>
          <cell r="AB280">
            <v>64</v>
          </cell>
          <cell r="AC280" t="str">
            <v/>
          </cell>
          <cell r="AD280">
            <v>165</v>
          </cell>
          <cell r="AE280" t="str">
            <v>Warpike, Dwarven</v>
          </cell>
          <cell r="AF280" t="str">
            <v/>
          </cell>
          <cell r="AG280" t="str">
            <v/>
          </cell>
          <cell r="AH280">
            <v>0</v>
          </cell>
          <cell r="AI280" t="str">
            <v/>
          </cell>
          <cell r="AJ280" t="str">
            <v/>
          </cell>
          <cell r="AK280">
            <v>0</v>
          </cell>
          <cell r="AL280" t="str">
            <v/>
          </cell>
          <cell r="AM280" t="str">
            <v/>
          </cell>
          <cell r="AN280" t="str">
            <v/>
          </cell>
          <cell r="AO280">
            <v>0</v>
          </cell>
          <cell r="AP280" t="str">
            <v/>
          </cell>
          <cell r="AQ280" t="str">
            <v/>
          </cell>
          <cell r="AR280">
            <v>8</v>
          </cell>
          <cell r="AS280" t="str">
            <v>Dwarven Warpike</v>
          </cell>
        </row>
        <row r="281">
          <cell r="A281" t="str">
            <v>Whip</v>
          </cell>
          <cell r="B281" t="str">
            <v>Whip</v>
          </cell>
          <cell r="D281" t="str">
            <v>E</v>
          </cell>
          <cell r="E281" t="str">
            <v>O</v>
          </cell>
          <cell r="F281">
            <v>3</v>
          </cell>
          <cell r="H281">
            <v>20</v>
          </cell>
          <cell r="I281">
            <v>2</v>
          </cell>
          <cell r="L281">
            <v>2</v>
          </cell>
          <cell r="M281" t="str">
            <v>S</v>
          </cell>
          <cell r="N281" t="str">
            <v>S</v>
          </cell>
          <cell r="O281" t="b">
            <v>1</v>
          </cell>
          <cell r="P281" t="str">
            <v>M,F</v>
          </cell>
          <cell r="Q281" t="b">
            <v>0</v>
          </cell>
          <cell r="R281" t="b">
            <v>0</v>
          </cell>
          <cell r="S281" t="b">
            <v>0</v>
          </cell>
          <cell r="T281" t="b">
            <v>0</v>
          </cell>
          <cell r="U281" t="b">
            <v>0</v>
          </cell>
          <cell r="V281">
            <v>5</v>
          </cell>
          <cell r="W281" t="str">
            <v/>
          </cell>
          <cell r="X281">
            <v>5</v>
          </cell>
          <cell r="Y281" t="str">
            <v/>
          </cell>
          <cell r="Z281">
            <v>27</v>
          </cell>
          <cell r="AA281" t="str">
            <v/>
          </cell>
          <cell r="AB281">
            <v>64</v>
          </cell>
          <cell r="AC281" t="str">
            <v/>
          </cell>
          <cell r="AD281">
            <v>166</v>
          </cell>
          <cell r="AE281" t="str">
            <v>Whip</v>
          </cell>
          <cell r="AF281" t="str">
            <v/>
          </cell>
          <cell r="AG281" t="str">
            <v/>
          </cell>
          <cell r="AH281">
            <v>0</v>
          </cell>
          <cell r="AI281" t="str">
            <v/>
          </cell>
          <cell r="AJ281" t="str">
            <v/>
          </cell>
          <cell r="AK281">
            <v>0</v>
          </cell>
          <cell r="AL281" t="str">
            <v/>
          </cell>
          <cell r="AM281" t="str">
            <v/>
          </cell>
          <cell r="AN281" t="str">
            <v/>
          </cell>
          <cell r="AO281">
            <v>0</v>
          </cell>
          <cell r="AP281" t="str">
            <v/>
          </cell>
          <cell r="AQ281" t="str">
            <v/>
          </cell>
          <cell r="AR281">
            <v>0</v>
          </cell>
          <cell r="AS281" t="str">
            <v>Whip</v>
          </cell>
        </row>
        <row r="282">
          <cell r="A282" t="str">
            <v>Whip, Scorpion-tail</v>
          </cell>
          <cell r="B282" t="str">
            <v>Whip, Scorpion-tail</v>
          </cell>
          <cell r="D282" t="str">
            <v>E</v>
          </cell>
          <cell r="E282" t="str">
            <v>O</v>
          </cell>
          <cell r="F282">
            <v>4</v>
          </cell>
          <cell r="H282">
            <v>20</v>
          </cell>
          <cell r="I282">
            <v>2</v>
          </cell>
          <cell r="L282">
            <v>3</v>
          </cell>
          <cell r="M282" t="str">
            <v>S/P</v>
          </cell>
          <cell r="R282" t="b">
            <v>0</v>
          </cell>
          <cell r="S282" t="b">
            <v>0</v>
          </cell>
          <cell r="T282" t="b">
            <v>0</v>
          </cell>
          <cell r="U282" t="b">
            <v>0</v>
          </cell>
          <cell r="V282">
            <v>5</v>
          </cell>
          <cell r="W282" t="str">
            <v/>
          </cell>
          <cell r="X282">
            <v>5</v>
          </cell>
          <cell r="Y282" t="str">
            <v/>
          </cell>
          <cell r="Z282">
            <v>27</v>
          </cell>
          <cell r="AA282" t="str">
            <v/>
          </cell>
          <cell r="AB282">
            <v>64</v>
          </cell>
          <cell r="AC282" t="str">
            <v/>
          </cell>
          <cell r="AD282">
            <v>167</v>
          </cell>
          <cell r="AE282" t="str">
            <v>Whip, Scorpion-tail</v>
          </cell>
          <cell r="AF282" t="str">
            <v/>
          </cell>
          <cell r="AG282" t="str">
            <v/>
          </cell>
          <cell r="AH282">
            <v>0</v>
          </cell>
          <cell r="AI282" t="str">
            <v/>
          </cell>
          <cell r="AJ282" t="str">
            <v/>
          </cell>
          <cell r="AK282">
            <v>0</v>
          </cell>
          <cell r="AL282" t="str">
            <v/>
          </cell>
          <cell r="AM282" t="str">
            <v/>
          </cell>
          <cell r="AN282" t="str">
            <v/>
          </cell>
          <cell r="AO282">
            <v>0</v>
          </cell>
          <cell r="AP282" t="str">
            <v/>
          </cell>
          <cell r="AQ282" t="str">
            <v/>
          </cell>
          <cell r="AR282">
            <v>5</v>
          </cell>
          <cell r="AS282" t="str">
            <v>Scorpion-tail Whip</v>
          </cell>
        </row>
        <row r="283">
          <cell r="A283" t="str">
            <v>Whip, Stingray</v>
          </cell>
          <cell r="B283" t="str">
            <v>Whip, Stingray</v>
          </cell>
          <cell r="D283" t="str">
            <v>E</v>
          </cell>
          <cell r="E283" t="str">
            <v>O</v>
          </cell>
          <cell r="F283">
            <v>5</v>
          </cell>
          <cell r="H283">
            <v>20</v>
          </cell>
          <cell r="I283">
            <v>3</v>
          </cell>
          <cell r="L283">
            <v>3</v>
          </cell>
          <cell r="M283" t="str">
            <v>S/P</v>
          </cell>
          <cell r="O283" t="b">
            <v>1</v>
          </cell>
          <cell r="P283" t="str">
            <v>F</v>
          </cell>
          <cell r="R283" t="b">
            <v>0</v>
          </cell>
          <cell r="S283" t="b">
            <v>0</v>
          </cell>
          <cell r="T283" t="b">
            <v>0</v>
          </cell>
          <cell r="U283" t="b">
            <v>0</v>
          </cell>
          <cell r="V283">
            <v>5</v>
          </cell>
          <cell r="W283" t="str">
            <v/>
          </cell>
          <cell r="X283">
            <v>5</v>
          </cell>
          <cell r="Y283" t="str">
            <v/>
          </cell>
          <cell r="Z283">
            <v>27</v>
          </cell>
          <cell r="AA283" t="str">
            <v/>
          </cell>
          <cell r="AB283">
            <v>64</v>
          </cell>
          <cell r="AC283" t="str">
            <v/>
          </cell>
          <cell r="AD283">
            <v>168</v>
          </cell>
          <cell r="AE283" t="str">
            <v>Whip, Stingray</v>
          </cell>
          <cell r="AF283" t="str">
            <v/>
          </cell>
          <cell r="AG283" t="str">
            <v/>
          </cell>
          <cell r="AH283">
            <v>0</v>
          </cell>
          <cell r="AI283" t="str">
            <v/>
          </cell>
          <cell r="AJ283" t="str">
            <v/>
          </cell>
          <cell r="AK283">
            <v>0</v>
          </cell>
          <cell r="AL283" t="str">
            <v/>
          </cell>
          <cell r="AM283" t="str">
            <v/>
          </cell>
          <cell r="AN283" t="str">
            <v/>
          </cell>
          <cell r="AO283">
            <v>0</v>
          </cell>
          <cell r="AP283" t="str">
            <v/>
          </cell>
          <cell r="AQ283" t="str">
            <v/>
          </cell>
          <cell r="AR283">
            <v>5</v>
          </cell>
          <cell r="AS283" t="str">
            <v>Stingray Whip</v>
          </cell>
        </row>
        <row r="284">
          <cell r="A284" t="str">
            <v>Whip-dagger</v>
          </cell>
          <cell r="B284" t="str">
            <v>Whip-dagger</v>
          </cell>
          <cell r="D284" t="str">
            <v>E</v>
          </cell>
          <cell r="E284" t="str">
            <v>O</v>
          </cell>
          <cell r="F284">
            <v>5</v>
          </cell>
          <cell r="H284">
            <v>19</v>
          </cell>
          <cell r="I284">
            <v>2</v>
          </cell>
          <cell r="L284">
            <v>3</v>
          </cell>
          <cell r="M284" t="str">
            <v>S</v>
          </cell>
          <cell r="O284" t="b">
            <v>1</v>
          </cell>
          <cell r="P284" t="str">
            <v>M,F</v>
          </cell>
          <cell r="Q284" t="b">
            <v>0</v>
          </cell>
          <cell r="R284" t="b">
            <v>0</v>
          </cell>
          <cell r="S284" t="b">
            <v>0</v>
          </cell>
          <cell r="T284" t="b">
            <v>0</v>
          </cell>
          <cell r="U284" t="b">
            <v>0</v>
          </cell>
          <cell r="V284">
            <v>5</v>
          </cell>
          <cell r="W284" t="str">
            <v/>
          </cell>
          <cell r="X284">
            <v>5</v>
          </cell>
          <cell r="Y284" t="str">
            <v/>
          </cell>
          <cell r="Z284">
            <v>27</v>
          </cell>
          <cell r="AA284" t="str">
            <v/>
          </cell>
          <cell r="AB284">
            <v>64</v>
          </cell>
          <cell r="AC284" t="str">
            <v/>
          </cell>
          <cell r="AD284">
            <v>169</v>
          </cell>
          <cell r="AE284" t="str">
            <v>Whip-dagger</v>
          </cell>
          <cell r="AF284" t="str">
            <v/>
          </cell>
          <cell r="AG284" t="str">
            <v/>
          </cell>
          <cell r="AH284">
            <v>0</v>
          </cell>
          <cell r="AI284" t="str">
            <v/>
          </cell>
          <cell r="AJ284" t="str">
            <v/>
          </cell>
          <cell r="AK284">
            <v>0</v>
          </cell>
          <cell r="AL284" t="str">
            <v/>
          </cell>
          <cell r="AM284" t="str">
            <v/>
          </cell>
          <cell r="AN284" t="str">
            <v/>
          </cell>
          <cell r="AO284">
            <v>0</v>
          </cell>
          <cell r="AP284" t="str">
            <v/>
          </cell>
          <cell r="AQ284" t="str">
            <v/>
          </cell>
          <cell r="AR284">
            <v>0</v>
          </cell>
          <cell r="AS284" t="str">
            <v>Whip-dagger</v>
          </cell>
        </row>
        <row r="285">
          <cell r="A285" t="str">
            <v>Grapple ●</v>
          </cell>
          <cell r="B285" t="str">
            <v>Grapple</v>
          </cell>
          <cell r="D285" t="str">
            <v>S</v>
          </cell>
          <cell r="E285" t="str">
            <v>U</v>
          </cell>
          <cell r="F285">
            <v>3</v>
          </cell>
          <cell r="H285">
            <v>20</v>
          </cell>
          <cell r="I285">
            <v>2</v>
          </cell>
          <cell r="M285" t="str">
            <v>B</v>
          </cell>
          <cell r="N285" t="str">
            <v>S</v>
          </cell>
          <cell r="R285" t="b">
            <v>0</v>
          </cell>
          <cell r="S285" t="b">
            <v>0</v>
          </cell>
          <cell r="T285" t="b">
            <v>1</v>
          </cell>
          <cell r="U285" t="b">
            <v>1</v>
          </cell>
          <cell r="V285">
            <v>5</v>
          </cell>
          <cell r="W285" t="str">
            <v/>
          </cell>
          <cell r="X285">
            <v>5</v>
          </cell>
          <cell r="Y285" t="str">
            <v/>
          </cell>
          <cell r="Z285">
            <v>28</v>
          </cell>
          <cell r="AA285" t="str">
            <v>Grapple</v>
          </cell>
          <cell r="AB285">
            <v>64</v>
          </cell>
          <cell r="AC285" t="str">
            <v/>
          </cell>
          <cell r="AD285">
            <v>169</v>
          </cell>
          <cell r="AE285" t="str">
            <v/>
          </cell>
          <cell r="AF285" t="str">
            <v/>
          </cell>
          <cell r="AG285" t="str">
            <v/>
          </cell>
          <cell r="AH285">
            <v>0</v>
          </cell>
          <cell r="AI285" t="str">
            <v/>
          </cell>
          <cell r="AJ285" t="str">
            <v/>
          </cell>
          <cell r="AK285">
            <v>0</v>
          </cell>
          <cell r="AL285" t="str">
            <v/>
          </cell>
          <cell r="AM285" t="str">
            <v/>
          </cell>
          <cell r="AN285" t="str">
            <v/>
          </cell>
          <cell r="AO285">
            <v>0</v>
          </cell>
          <cell r="AP285" t="str">
            <v/>
          </cell>
          <cell r="AQ285" t="str">
            <v/>
          </cell>
          <cell r="AR285">
            <v>0</v>
          </cell>
          <cell r="AS285" t="str">
            <v>Grapple</v>
          </cell>
        </row>
        <row r="286">
          <cell r="A286" t="str">
            <v>Touch ●</v>
          </cell>
          <cell r="B286" t="str">
            <v>Touch</v>
          </cell>
          <cell r="D286" t="str">
            <v>S</v>
          </cell>
          <cell r="E286" t="str">
            <v>U</v>
          </cell>
          <cell r="F286">
            <v>13</v>
          </cell>
          <cell r="H286">
            <v>20</v>
          </cell>
          <cell r="I286">
            <v>2</v>
          </cell>
          <cell r="M286" t="str">
            <v>*</v>
          </cell>
          <cell r="R286" t="b">
            <v>0</v>
          </cell>
          <cell r="S286" t="b">
            <v>0</v>
          </cell>
          <cell r="T286" t="b">
            <v>1</v>
          </cell>
          <cell r="U286" t="b">
            <v>1</v>
          </cell>
          <cell r="V286">
            <v>6</v>
          </cell>
          <cell r="W286" t="str">
            <v>Grapple</v>
          </cell>
          <cell r="X286">
            <v>5</v>
          </cell>
          <cell r="Y286" t="str">
            <v/>
          </cell>
          <cell r="Z286">
            <v>29</v>
          </cell>
          <cell r="AA286" t="str">
            <v>Touch</v>
          </cell>
          <cell r="AB286">
            <v>64</v>
          </cell>
          <cell r="AC286" t="str">
            <v/>
          </cell>
          <cell r="AD286">
            <v>169</v>
          </cell>
          <cell r="AE286" t="str">
            <v/>
          </cell>
          <cell r="AF286" t="str">
            <v/>
          </cell>
          <cell r="AG286" t="str">
            <v/>
          </cell>
          <cell r="AH286">
            <v>0</v>
          </cell>
          <cell r="AI286" t="str">
            <v/>
          </cell>
          <cell r="AJ286" t="str">
            <v/>
          </cell>
          <cell r="AK286">
            <v>0</v>
          </cell>
          <cell r="AL286" t="str">
            <v/>
          </cell>
          <cell r="AM286" t="str">
            <v/>
          </cell>
          <cell r="AN286" t="str">
            <v/>
          </cell>
          <cell r="AO286">
            <v>0</v>
          </cell>
          <cell r="AP286" t="str">
            <v/>
          </cell>
          <cell r="AQ286" t="str">
            <v/>
          </cell>
          <cell r="AR286">
            <v>0</v>
          </cell>
          <cell r="AS286" t="str">
            <v>Touch</v>
          </cell>
        </row>
        <row r="287">
          <cell r="A287" t="str">
            <v>Ray ●</v>
          </cell>
          <cell r="B287" t="str">
            <v>Ray</v>
          </cell>
          <cell r="D287" t="str">
            <v>S</v>
          </cell>
          <cell r="E287" t="str">
            <v>R</v>
          </cell>
          <cell r="F287">
            <v>13</v>
          </cell>
          <cell r="H287">
            <v>20</v>
          </cell>
          <cell r="I287">
            <v>2</v>
          </cell>
          <cell r="M287" t="str">
            <v>*</v>
          </cell>
          <cell r="R287" t="b">
            <v>0</v>
          </cell>
          <cell r="S287" t="b">
            <v>0</v>
          </cell>
          <cell r="T287" t="b">
            <v>1</v>
          </cell>
          <cell r="U287" t="b">
            <v>1</v>
          </cell>
          <cell r="V287">
            <v>7</v>
          </cell>
          <cell r="W287" t="str">
            <v>Touch</v>
          </cell>
          <cell r="X287">
            <v>5</v>
          </cell>
          <cell r="Y287" t="str">
            <v/>
          </cell>
          <cell r="Z287">
            <v>30</v>
          </cell>
          <cell r="AA287" t="str">
            <v>Ray</v>
          </cell>
          <cell r="AB287">
            <v>64</v>
          </cell>
          <cell r="AC287" t="str">
            <v/>
          </cell>
          <cell r="AD287">
            <v>169</v>
          </cell>
          <cell r="AE287" t="str">
            <v/>
          </cell>
          <cell r="AF287" t="str">
            <v/>
          </cell>
          <cell r="AG287" t="str">
            <v/>
          </cell>
          <cell r="AH287">
            <v>0</v>
          </cell>
          <cell r="AI287" t="str">
            <v/>
          </cell>
          <cell r="AJ287" t="str">
            <v/>
          </cell>
          <cell r="AK287">
            <v>0</v>
          </cell>
          <cell r="AL287" t="str">
            <v/>
          </cell>
          <cell r="AM287" t="str">
            <v/>
          </cell>
          <cell r="AN287" t="str">
            <v/>
          </cell>
          <cell r="AO287">
            <v>0</v>
          </cell>
          <cell r="AP287" t="str">
            <v/>
          </cell>
          <cell r="AQ287" t="str">
            <v/>
          </cell>
          <cell r="AR287">
            <v>0</v>
          </cell>
          <cell r="AS287" t="str">
            <v>Ray</v>
          </cell>
        </row>
        <row r="288">
          <cell r="A288" t="str">
            <v>Energy Missile ●</v>
          </cell>
          <cell r="B288" t="str">
            <v>Energy Missile</v>
          </cell>
          <cell r="D288" t="str">
            <v>S</v>
          </cell>
          <cell r="E288" t="str">
            <v>R</v>
          </cell>
          <cell r="F288">
            <v>13</v>
          </cell>
          <cell r="H288">
            <v>20</v>
          </cell>
          <cell r="I288">
            <v>2</v>
          </cell>
          <cell r="M288" t="str">
            <v>*</v>
          </cell>
          <cell r="R288" t="b">
            <v>0</v>
          </cell>
          <cell r="S288" t="b">
            <v>0</v>
          </cell>
          <cell r="T288" t="b">
            <v>1</v>
          </cell>
          <cell r="U288" t="b">
            <v>1</v>
          </cell>
          <cell r="V288">
            <v>8</v>
          </cell>
          <cell r="W288" t="str">
            <v>Ray</v>
          </cell>
          <cell r="X288">
            <v>5</v>
          </cell>
          <cell r="Y288" t="str">
            <v/>
          </cell>
          <cell r="Z288">
            <v>31</v>
          </cell>
          <cell r="AA288" t="str">
            <v>Energy Missile</v>
          </cell>
          <cell r="AB288">
            <v>64</v>
          </cell>
          <cell r="AC288" t="str">
            <v/>
          </cell>
          <cell r="AD288">
            <v>169</v>
          </cell>
          <cell r="AE288" t="str">
            <v/>
          </cell>
          <cell r="AF288" t="str">
            <v/>
          </cell>
          <cell r="AG288" t="str">
            <v/>
          </cell>
          <cell r="AH288">
            <v>0</v>
          </cell>
          <cell r="AI288" t="str">
            <v/>
          </cell>
          <cell r="AJ288" t="str">
            <v/>
          </cell>
          <cell r="AK288">
            <v>0</v>
          </cell>
          <cell r="AL288" t="str">
            <v/>
          </cell>
          <cell r="AM288" t="str">
            <v/>
          </cell>
          <cell r="AN288" t="str">
            <v/>
          </cell>
          <cell r="AO288">
            <v>0</v>
          </cell>
          <cell r="AP288" t="str">
            <v/>
          </cell>
          <cell r="AQ288" t="str">
            <v/>
          </cell>
          <cell r="AR288">
            <v>0</v>
          </cell>
          <cell r="AS288" t="str">
            <v>Energy Missile</v>
          </cell>
        </row>
        <row r="289">
          <cell r="A289" t="str">
            <v>Spellfire ●</v>
          </cell>
          <cell r="B289" t="str">
            <v>Spellfire</v>
          </cell>
          <cell r="D289" t="str">
            <v>S</v>
          </cell>
          <cell r="E289" t="str">
            <v>R</v>
          </cell>
          <cell r="F289">
            <v>13</v>
          </cell>
          <cell r="H289">
            <v>20</v>
          </cell>
          <cell r="I289">
            <v>2</v>
          </cell>
          <cell r="M289" t="str">
            <v>*</v>
          </cell>
          <cell r="R289" t="b">
            <v>0</v>
          </cell>
          <cell r="S289" t="b">
            <v>0</v>
          </cell>
          <cell r="T289" t="b">
            <v>1</v>
          </cell>
          <cell r="U289" t="b">
            <v>1</v>
          </cell>
          <cell r="V289">
            <v>9</v>
          </cell>
          <cell r="W289" t="str">
            <v>Energy Missile</v>
          </cell>
          <cell r="X289">
            <v>5</v>
          </cell>
          <cell r="Y289" t="str">
            <v/>
          </cell>
          <cell r="Z289">
            <v>32</v>
          </cell>
          <cell r="AA289" t="str">
            <v>Spellfire</v>
          </cell>
          <cell r="AB289">
            <v>64</v>
          </cell>
          <cell r="AC289" t="str">
            <v/>
          </cell>
          <cell r="AD289">
            <v>169</v>
          </cell>
          <cell r="AE289" t="str">
            <v/>
          </cell>
          <cell r="AF289" t="str">
            <v/>
          </cell>
          <cell r="AG289" t="str">
            <v/>
          </cell>
          <cell r="AH289">
            <v>0</v>
          </cell>
          <cell r="AI289" t="str">
            <v/>
          </cell>
          <cell r="AJ289" t="str">
            <v/>
          </cell>
          <cell r="AK289">
            <v>0</v>
          </cell>
          <cell r="AL289" t="str">
            <v/>
          </cell>
          <cell r="AM289" t="str">
            <v/>
          </cell>
          <cell r="AN289" t="str">
            <v/>
          </cell>
          <cell r="AO289">
            <v>0</v>
          </cell>
          <cell r="AP289" t="str">
            <v/>
          </cell>
          <cell r="AQ289" t="str">
            <v/>
          </cell>
          <cell r="AR289">
            <v>0</v>
          </cell>
          <cell r="AS289" t="str">
            <v>Spellfire</v>
          </cell>
        </row>
        <row r="290">
          <cell r="A290" t="str">
            <v/>
          </cell>
          <cell r="B290" t="str">
            <v/>
          </cell>
          <cell r="D290" t="str">
            <v>S</v>
          </cell>
          <cell r="E290" t="str">
            <v>L</v>
          </cell>
          <cell r="F290" t="e">
            <v>#VALUE!</v>
          </cell>
          <cell r="H290">
            <v>20</v>
          </cell>
          <cell r="I290">
            <v>2</v>
          </cell>
          <cell r="K290" t="e">
            <v>#VALUE!</v>
          </cell>
          <cell r="L290" t="e">
            <v>#VALUE!</v>
          </cell>
          <cell r="M290" t="e">
            <v>#N/A</v>
          </cell>
          <cell r="P290" t="str">
            <v>P</v>
          </cell>
          <cell r="R290" t="b">
            <v>0</v>
          </cell>
          <cell r="T290" t="b">
            <v>0</v>
          </cell>
          <cell r="U290" t="b">
            <v>0</v>
          </cell>
          <cell r="V290">
            <v>10</v>
          </cell>
          <cell r="W290" t="str">
            <v>Spellfire</v>
          </cell>
          <cell r="X290">
            <v>5</v>
          </cell>
          <cell r="Y290" t="str">
            <v/>
          </cell>
          <cell r="Z290">
            <v>32</v>
          </cell>
          <cell r="AA290" t="str">
            <v/>
          </cell>
          <cell r="AB290">
            <v>64</v>
          </cell>
          <cell r="AC290" t="str">
            <v/>
          </cell>
          <cell r="AD290">
            <v>169</v>
          </cell>
          <cell r="AE290" t="str">
            <v/>
          </cell>
          <cell r="AF290" t="str">
            <v/>
          </cell>
          <cell r="AG290" t="str">
            <v/>
          </cell>
          <cell r="AH290">
            <v>0</v>
          </cell>
          <cell r="AI290" t="str">
            <v/>
          </cell>
          <cell r="AJ290" t="str">
            <v/>
          </cell>
          <cell r="AK290">
            <v>0</v>
          </cell>
          <cell r="AL290" t="str">
            <v/>
          </cell>
          <cell r="AM290" t="str">
            <v/>
          </cell>
          <cell r="AN290" t="str">
            <v/>
          </cell>
          <cell r="AO290">
            <v>0</v>
          </cell>
          <cell r="AP290" t="str">
            <v/>
          </cell>
          <cell r="AQ290" t="str">
            <v/>
          </cell>
          <cell r="AR290">
            <v>0</v>
          </cell>
          <cell r="AS290" t="str">
            <v/>
          </cell>
        </row>
        <row r="291">
          <cell r="A291" t="str">
            <v/>
          </cell>
          <cell r="B291" t="str">
            <v/>
          </cell>
          <cell r="D291" t="str">
            <v>S</v>
          </cell>
          <cell r="E291" t="str">
            <v>L</v>
          </cell>
          <cell r="F291" t="e">
            <v>#VALUE!</v>
          </cell>
          <cell r="H291">
            <v>20</v>
          </cell>
          <cell r="I291">
            <v>2</v>
          </cell>
          <cell r="K291" t="e">
            <v>#VALUE!</v>
          </cell>
          <cell r="L291" t="e">
            <v>#VALUE!</v>
          </cell>
          <cell r="M291" t="e">
            <v>#N/A</v>
          </cell>
          <cell r="P291" t="str">
            <v>S</v>
          </cell>
          <cell r="R291" t="b">
            <v>0</v>
          </cell>
          <cell r="T291" t="b">
            <v>0</v>
          </cell>
          <cell r="U291" t="b">
            <v>0</v>
          </cell>
          <cell r="V291">
            <v>10</v>
          </cell>
          <cell r="W291" t="str">
            <v/>
          </cell>
          <cell r="X291">
            <v>5</v>
          </cell>
          <cell r="Y291" t="str">
            <v/>
          </cell>
          <cell r="Z291">
            <v>32</v>
          </cell>
          <cell r="AA291" t="str">
            <v/>
          </cell>
          <cell r="AB291">
            <v>64</v>
          </cell>
          <cell r="AC291" t="str">
            <v/>
          </cell>
          <cell r="AD291">
            <v>169</v>
          </cell>
          <cell r="AE291" t="str">
            <v/>
          </cell>
          <cell r="AF291" t="str">
            <v/>
          </cell>
          <cell r="AG291" t="str">
            <v/>
          </cell>
          <cell r="AH291">
            <v>0</v>
          </cell>
          <cell r="AI291" t="str">
            <v/>
          </cell>
          <cell r="AJ291" t="str">
            <v/>
          </cell>
          <cell r="AK291">
            <v>0</v>
          </cell>
          <cell r="AL291" t="str">
            <v/>
          </cell>
          <cell r="AM291" t="str">
            <v/>
          </cell>
          <cell r="AN291" t="str">
            <v/>
          </cell>
          <cell r="AO291">
            <v>0</v>
          </cell>
          <cell r="AP291" t="str">
            <v/>
          </cell>
          <cell r="AQ291" t="str">
            <v/>
          </cell>
          <cell r="AR291">
            <v>0</v>
          </cell>
          <cell r="AS291" t="str">
            <v/>
          </cell>
        </row>
        <row r="292">
          <cell r="A292" t="str">
            <v/>
          </cell>
          <cell r="B292" t="str">
            <v/>
          </cell>
          <cell r="D292" t="str">
            <v>S</v>
          </cell>
          <cell r="E292" t="str">
            <v>L</v>
          </cell>
          <cell r="F292" t="e">
            <v>#VALUE!</v>
          </cell>
          <cell r="H292">
            <v>20</v>
          </cell>
          <cell r="I292">
            <v>2</v>
          </cell>
          <cell r="K292" t="e">
            <v>#VALUE!</v>
          </cell>
          <cell r="L292" t="e">
            <v>#VALUE!</v>
          </cell>
          <cell r="M292" t="e">
            <v>#N/A</v>
          </cell>
          <cell r="P292" t="str">
            <v>S</v>
          </cell>
          <cell r="R292" t="b">
            <v>0</v>
          </cell>
          <cell r="T292" t="b">
            <v>0</v>
          </cell>
          <cell r="U292" t="b">
            <v>0</v>
          </cell>
          <cell r="V292">
            <v>10</v>
          </cell>
          <cell r="W292" t="str">
            <v/>
          </cell>
          <cell r="X292">
            <v>5</v>
          </cell>
          <cell r="Y292" t="str">
            <v/>
          </cell>
          <cell r="Z292">
            <v>32</v>
          </cell>
          <cell r="AA292" t="str">
            <v/>
          </cell>
          <cell r="AB292">
            <v>64</v>
          </cell>
          <cell r="AC292" t="str">
            <v/>
          </cell>
          <cell r="AD292">
            <v>169</v>
          </cell>
          <cell r="AE292" t="str">
            <v/>
          </cell>
          <cell r="AF292" t="str">
            <v/>
          </cell>
          <cell r="AG292" t="str">
            <v/>
          </cell>
          <cell r="AH292">
            <v>0</v>
          </cell>
          <cell r="AI292" t="str">
            <v/>
          </cell>
          <cell r="AJ292" t="str">
            <v/>
          </cell>
          <cell r="AK292">
            <v>0</v>
          </cell>
          <cell r="AL292" t="str">
            <v/>
          </cell>
          <cell r="AM292" t="str">
            <v/>
          </cell>
          <cell r="AN292" t="str">
            <v/>
          </cell>
          <cell r="AO292">
            <v>0</v>
          </cell>
          <cell r="AP292" t="str">
            <v/>
          </cell>
          <cell r="AQ292" t="str">
            <v/>
          </cell>
          <cell r="AR292">
            <v>0</v>
          </cell>
          <cell r="AS292" t="str">
            <v/>
          </cell>
        </row>
        <row r="293">
          <cell r="A293" t="str">
            <v/>
          </cell>
          <cell r="B293" t="str">
            <v/>
          </cell>
          <cell r="D293" t="str">
            <v>S</v>
          </cell>
          <cell r="E293" t="str">
            <v>L</v>
          </cell>
          <cell r="F293" t="e">
            <v>#VALUE!</v>
          </cell>
          <cell r="H293">
            <v>20</v>
          </cell>
          <cell r="I293">
            <v>2</v>
          </cell>
          <cell r="K293" t="e">
            <v>#VALUE!</v>
          </cell>
          <cell r="L293" t="e">
            <v>#VALUE!</v>
          </cell>
          <cell r="M293" t="e">
            <v>#N/A</v>
          </cell>
          <cell r="P293" t="str">
            <v>S</v>
          </cell>
          <cell r="R293" t="b">
            <v>0</v>
          </cell>
          <cell r="T293" t="b">
            <v>0</v>
          </cell>
          <cell r="U293" t="b">
            <v>0</v>
          </cell>
          <cell r="V293">
            <v>10</v>
          </cell>
          <cell r="W293" t="str">
            <v/>
          </cell>
          <cell r="X293">
            <v>5</v>
          </cell>
          <cell r="Y293" t="str">
            <v/>
          </cell>
          <cell r="Z293">
            <v>32</v>
          </cell>
          <cell r="AA293" t="str">
            <v/>
          </cell>
          <cell r="AB293">
            <v>64</v>
          </cell>
          <cell r="AC293" t="str">
            <v/>
          </cell>
          <cell r="AD293">
            <v>169</v>
          </cell>
          <cell r="AE293" t="str">
            <v/>
          </cell>
          <cell r="AF293" t="str">
            <v/>
          </cell>
          <cell r="AG293" t="str">
            <v/>
          </cell>
          <cell r="AH293">
            <v>0</v>
          </cell>
          <cell r="AI293" t="str">
            <v/>
          </cell>
          <cell r="AJ293" t="str">
            <v/>
          </cell>
          <cell r="AK293">
            <v>0</v>
          </cell>
          <cell r="AL293" t="str">
            <v/>
          </cell>
          <cell r="AM293" t="str">
            <v/>
          </cell>
          <cell r="AN293" t="str">
            <v/>
          </cell>
          <cell r="AO293">
            <v>0</v>
          </cell>
          <cell r="AP293" t="str">
            <v/>
          </cell>
          <cell r="AQ293" t="str">
            <v/>
          </cell>
          <cell r="AR293">
            <v>0</v>
          </cell>
          <cell r="AS293" t="str">
            <v/>
          </cell>
        </row>
        <row r="294">
          <cell r="A294" t="str">
            <v/>
          </cell>
          <cell r="B294" t="str">
            <v/>
          </cell>
          <cell r="D294" t="str">
            <v>S</v>
          </cell>
          <cell r="E294" t="str">
            <v>L</v>
          </cell>
          <cell r="F294" t="e">
            <v>#VALUE!</v>
          </cell>
          <cell r="H294">
            <v>20</v>
          </cell>
          <cell r="I294">
            <v>2</v>
          </cell>
          <cell r="K294" t="e">
            <v>#VALUE!</v>
          </cell>
          <cell r="L294" t="e">
            <v>#VALUE!</v>
          </cell>
          <cell r="M294" t="e">
            <v>#N/A</v>
          </cell>
          <cell r="P294" t="str">
            <v>S</v>
          </cell>
          <cell r="R294" t="b">
            <v>0</v>
          </cell>
          <cell r="T294" t="b">
            <v>0</v>
          </cell>
          <cell r="U294" t="b">
            <v>0</v>
          </cell>
          <cell r="V294">
            <v>10</v>
          </cell>
          <cell r="W294" t="str">
            <v/>
          </cell>
          <cell r="X294">
            <v>5</v>
          </cell>
          <cell r="Y294" t="str">
            <v/>
          </cell>
          <cell r="Z294">
            <v>32</v>
          </cell>
          <cell r="AA294" t="str">
            <v/>
          </cell>
          <cell r="AB294">
            <v>64</v>
          </cell>
          <cell r="AC294" t="str">
            <v/>
          </cell>
          <cell r="AD294">
            <v>169</v>
          </cell>
          <cell r="AE294" t="str">
            <v/>
          </cell>
          <cell r="AF294" t="str">
            <v/>
          </cell>
          <cell r="AG294" t="str">
            <v/>
          </cell>
          <cell r="AH294">
            <v>0</v>
          </cell>
          <cell r="AI294" t="str">
            <v/>
          </cell>
          <cell r="AJ294" t="str">
            <v/>
          </cell>
          <cell r="AK294">
            <v>0</v>
          </cell>
          <cell r="AL294" t="str">
            <v/>
          </cell>
          <cell r="AM294" t="str">
            <v/>
          </cell>
          <cell r="AN294" t="str">
            <v/>
          </cell>
          <cell r="AO294">
            <v>0</v>
          </cell>
          <cell r="AP294" t="str">
            <v/>
          </cell>
          <cell r="AQ294" t="str">
            <v/>
          </cell>
          <cell r="AR294">
            <v>0</v>
          </cell>
          <cell r="AS294" t="str">
            <v/>
          </cell>
        </row>
        <row r="295">
          <cell r="A295" t="str">
            <v/>
          </cell>
          <cell r="B295" t="str">
            <v/>
          </cell>
          <cell r="D295" t="str">
            <v>S</v>
          </cell>
          <cell r="E295" t="str">
            <v>L</v>
          </cell>
          <cell r="F295" t="e">
            <v>#VALUE!</v>
          </cell>
          <cell r="H295">
            <v>20</v>
          </cell>
          <cell r="I295">
            <v>2</v>
          </cell>
          <cell r="K295" t="e">
            <v>#VALUE!</v>
          </cell>
          <cell r="L295" t="e">
            <v>#VALUE!</v>
          </cell>
          <cell r="M295" t="e">
            <v>#N/A</v>
          </cell>
          <cell r="P295" t="str">
            <v>S</v>
          </cell>
          <cell r="R295" t="b">
            <v>0</v>
          </cell>
          <cell r="T295" t="b">
            <v>0</v>
          </cell>
          <cell r="U295" t="b">
            <v>0</v>
          </cell>
          <cell r="V295">
            <v>10</v>
          </cell>
          <cell r="W295" t="str">
            <v/>
          </cell>
          <cell r="X295">
            <v>5</v>
          </cell>
          <cell r="Y295" t="str">
            <v/>
          </cell>
          <cell r="Z295">
            <v>32</v>
          </cell>
          <cell r="AA295" t="str">
            <v/>
          </cell>
          <cell r="AB295">
            <v>64</v>
          </cell>
          <cell r="AC295" t="str">
            <v/>
          </cell>
          <cell r="AD295">
            <v>169</v>
          </cell>
          <cell r="AE295" t="str">
            <v/>
          </cell>
          <cell r="AF295" t="str">
            <v/>
          </cell>
          <cell r="AG295" t="str">
            <v/>
          </cell>
          <cell r="AH295">
            <v>0</v>
          </cell>
          <cell r="AI295" t="str">
            <v/>
          </cell>
          <cell r="AJ295" t="str">
            <v/>
          </cell>
          <cell r="AK295">
            <v>0</v>
          </cell>
          <cell r="AL295" t="str">
            <v/>
          </cell>
          <cell r="AM295" t="str">
            <v/>
          </cell>
          <cell r="AN295" t="str">
            <v/>
          </cell>
          <cell r="AO295">
            <v>0</v>
          </cell>
          <cell r="AP295" t="str">
            <v/>
          </cell>
          <cell r="AQ295" t="str">
            <v/>
          </cell>
          <cell r="AR295">
            <v>0</v>
          </cell>
          <cell r="AS295" t="str">
            <v/>
          </cell>
        </row>
        <row r="296">
          <cell r="A296" t="str">
            <v/>
          </cell>
          <cell r="B296" t="str">
            <v/>
          </cell>
          <cell r="D296" t="str">
            <v>S</v>
          </cell>
          <cell r="E296" t="str">
            <v>L</v>
          </cell>
          <cell r="F296" t="e">
            <v>#VALUE!</v>
          </cell>
          <cell r="H296">
            <v>20</v>
          </cell>
          <cell r="I296">
            <v>2</v>
          </cell>
          <cell r="K296" t="e">
            <v>#VALUE!</v>
          </cell>
          <cell r="L296" t="e">
            <v>#VALUE!</v>
          </cell>
          <cell r="M296" t="e">
            <v>#N/A</v>
          </cell>
          <cell r="P296" t="str">
            <v>S</v>
          </cell>
          <cell r="R296" t="b">
            <v>0</v>
          </cell>
          <cell r="T296" t="b">
            <v>0</v>
          </cell>
          <cell r="U296" t="b">
            <v>0</v>
          </cell>
          <cell r="V296">
            <v>10</v>
          </cell>
          <cell r="W296" t="str">
            <v/>
          </cell>
          <cell r="X296">
            <v>5</v>
          </cell>
          <cell r="Y296" t="str">
            <v/>
          </cell>
          <cell r="Z296">
            <v>32</v>
          </cell>
          <cell r="AA296" t="str">
            <v/>
          </cell>
          <cell r="AB296">
            <v>64</v>
          </cell>
          <cell r="AC296" t="str">
            <v/>
          </cell>
          <cell r="AD296">
            <v>169</v>
          </cell>
          <cell r="AE296" t="str">
            <v/>
          </cell>
          <cell r="AF296" t="str">
            <v/>
          </cell>
          <cell r="AG296" t="str">
            <v/>
          </cell>
          <cell r="AH296">
            <v>0</v>
          </cell>
          <cell r="AI296" t="str">
            <v/>
          </cell>
          <cell r="AJ296" t="str">
            <v/>
          </cell>
          <cell r="AK296">
            <v>0</v>
          </cell>
          <cell r="AL296" t="str">
            <v/>
          </cell>
          <cell r="AM296" t="str">
            <v/>
          </cell>
          <cell r="AN296" t="str">
            <v/>
          </cell>
          <cell r="AO296">
            <v>0</v>
          </cell>
          <cell r="AP296" t="str">
            <v/>
          </cell>
          <cell r="AQ296" t="str">
            <v/>
          </cell>
          <cell r="AR296">
            <v>0</v>
          </cell>
          <cell r="AS296" t="str">
            <v/>
          </cell>
        </row>
        <row r="297">
          <cell r="A297" t="str">
            <v/>
          </cell>
          <cell r="B297" t="str">
            <v/>
          </cell>
          <cell r="D297" t="str">
            <v>S</v>
          </cell>
          <cell r="E297" t="str">
            <v>L</v>
          </cell>
          <cell r="F297" t="e">
            <v>#VALUE!</v>
          </cell>
          <cell r="H297">
            <v>20</v>
          </cell>
          <cell r="I297">
            <v>2</v>
          </cell>
          <cell r="K297" t="e">
            <v>#VALUE!</v>
          </cell>
          <cell r="L297" t="e">
            <v>#VALUE!</v>
          </cell>
          <cell r="M297" t="e">
            <v>#N/A</v>
          </cell>
          <cell r="P297" t="str">
            <v>S</v>
          </cell>
          <cell r="R297" t="b">
            <v>0</v>
          </cell>
          <cell r="T297" t="b">
            <v>0</v>
          </cell>
          <cell r="U297" t="b">
            <v>0</v>
          </cell>
          <cell r="V297">
            <v>10</v>
          </cell>
          <cell r="W297" t="str">
            <v/>
          </cell>
          <cell r="X297">
            <v>5</v>
          </cell>
          <cell r="Y297" t="str">
            <v/>
          </cell>
          <cell r="Z297">
            <v>32</v>
          </cell>
          <cell r="AA297" t="str">
            <v/>
          </cell>
          <cell r="AB297">
            <v>64</v>
          </cell>
          <cell r="AC297" t="str">
            <v/>
          </cell>
          <cell r="AD297">
            <v>169</v>
          </cell>
          <cell r="AE297" t="str">
            <v/>
          </cell>
          <cell r="AF297" t="str">
            <v/>
          </cell>
          <cell r="AG297" t="str">
            <v/>
          </cell>
          <cell r="AH297">
            <v>0</v>
          </cell>
          <cell r="AI297" t="str">
            <v/>
          </cell>
          <cell r="AJ297" t="str">
            <v/>
          </cell>
          <cell r="AK297">
            <v>0</v>
          </cell>
          <cell r="AL297" t="str">
            <v/>
          </cell>
          <cell r="AM297" t="str">
            <v/>
          </cell>
          <cell r="AN297" t="str">
            <v/>
          </cell>
          <cell r="AO297">
            <v>0</v>
          </cell>
          <cell r="AP297" t="str">
            <v/>
          </cell>
          <cell r="AQ297" t="str">
            <v/>
          </cell>
          <cell r="AR297">
            <v>0</v>
          </cell>
          <cell r="AS297" t="str">
            <v/>
          </cell>
        </row>
        <row r="298">
          <cell r="A298" t="str">
            <v/>
          </cell>
          <cell r="B298" t="str">
            <v/>
          </cell>
          <cell r="D298" t="str">
            <v>S</v>
          </cell>
          <cell r="E298" t="str">
            <v>L</v>
          </cell>
          <cell r="F298" t="e">
            <v>#VALUE!</v>
          </cell>
          <cell r="H298">
            <v>20</v>
          </cell>
          <cell r="I298">
            <v>2</v>
          </cell>
          <cell r="K298" t="e">
            <v>#VALUE!</v>
          </cell>
          <cell r="L298" t="e">
            <v>#VALUE!</v>
          </cell>
          <cell r="M298" t="e">
            <v>#N/A</v>
          </cell>
          <cell r="P298" t="str">
            <v>S</v>
          </cell>
          <cell r="R298" t="b">
            <v>0</v>
          </cell>
          <cell r="T298" t="b">
            <v>0</v>
          </cell>
          <cell r="U298" t="b">
            <v>0</v>
          </cell>
          <cell r="V298">
            <v>10</v>
          </cell>
          <cell r="W298" t="str">
            <v/>
          </cell>
          <cell r="X298">
            <v>5</v>
          </cell>
          <cell r="Y298" t="str">
            <v/>
          </cell>
          <cell r="Z298">
            <v>32</v>
          </cell>
          <cell r="AA298" t="str">
            <v/>
          </cell>
          <cell r="AB298">
            <v>64</v>
          </cell>
          <cell r="AC298" t="str">
            <v/>
          </cell>
          <cell r="AD298">
            <v>169</v>
          </cell>
          <cell r="AE298" t="str">
            <v/>
          </cell>
          <cell r="AF298" t="str">
            <v/>
          </cell>
          <cell r="AG298" t="str">
            <v/>
          </cell>
          <cell r="AH298">
            <v>0</v>
          </cell>
          <cell r="AI298" t="str">
            <v/>
          </cell>
          <cell r="AJ298" t="str">
            <v/>
          </cell>
          <cell r="AK298">
            <v>0</v>
          </cell>
          <cell r="AL298" t="str">
            <v/>
          </cell>
          <cell r="AM298" t="str">
            <v/>
          </cell>
          <cell r="AN298" t="str">
            <v/>
          </cell>
          <cell r="AO298">
            <v>0</v>
          </cell>
          <cell r="AP298" t="str">
            <v/>
          </cell>
          <cell r="AQ298" t="str">
            <v/>
          </cell>
          <cell r="AR298">
            <v>0</v>
          </cell>
          <cell r="AS298" t="str">
            <v/>
          </cell>
        </row>
        <row r="299">
          <cell r="A299" t="str">
            <v/>
          </cell>
          <cell r="B299" t="str">
            <v/>
          </cell>
          <cell r="D299" t="str">
            <v>S</v>
          </cell>
          <cell r="E299" t="str">
            <v>L</v>
          </cell>
          <cell r="F299" t="e">
            <v>#VALUE!</v>
          </cell>
          <cell r="H299">
            <v>20</v>
          </cell>
          <cell r="I299">
            <v>2</v>
          </cell>
          <cell r="K299" t="e">
            <v>#VALUE!</v>
          </cell>
          <cell r="L299" t="e">
            <v>#VALUE!</v>
          </cell>
          <cell r="M299" t="e">
            <v>#N/A</v>
          </cell>
          <cell r="P299" t="str">
            <v>S</v>
          </cell>
          <cell r="R299" t="b">
            <v>0</v>
          </cell>
          <cell r="T299" t="b">
            <v>0</v>
          </cell>
          <cell r="U299" t="b">
            <v>0</v>
          </cell>
          <cell r="V299">
            <v>10</v>
          </cell>
          <cell r="W299" t="str">
            <v/>
          </cell>
          <cell r="X299">
            <v>5</v>
          </cell>
          <cell r="Y299" t="str">
            <v/>
          </cell>
          <cell r="Z299">
            <v>32</v>
          </cell>
          <cell r="AA299" t="str">
            <v/>
          </cell>
          <cell r="AB299">
            <v>64</v>
          </cell>
          <cell r="AC299" t="str">
            <v/>
          </cell>
          <cell r="AD299">
            <v>169</v>
          </cell>
          <cell r="AE299" t="str">
            <v/>
          </cell>
          <cell r="AF299" t="str">
            <v/>
          </cell>
          <cell r="AG299" t="str">
            <v/>
          </cell>
          <cell r="AH299">
            <v>0</v>
          </cell>
          <cell r="AI299" t="str">
            <v/>
          </cell>
          <cell r="AJ299" t="str">
            <v/>
          </cell>
          <cell r="AK299">
            <v>0</v>
          </cell>
          <cell r="AL299" t="str">
            <v/>
          </cell>
          <cell r="AM299" t="str">
            <v/>
          </cell>
          <cell r="AN299" t="str">
            <v/>
          </cell>
          <cell r="AO299">
            <v>0</v>
          </cell>
          <cell r="AP299" t="str">
            <v/>
          </cell>
          <cell r="AQ299" t="str">
            <v/>
          </cell>
          <cell r="AR299">
            <v>0</v>
          </cell>
          <cell r="AS299" t="str">
            <v/>
          </cell>
        </row>
        <row r="300">
          <cell r="A300" t="str">
            <v/>
          </cell>
          <cell r="B300" t="str">
            <v/>
          </cell>
          <cell r="D300" t="str">
            <v>S</v>
          </cell>
          <cell r="E300" t="str">
            <v>L</v>
          </cell>
          <cell r="F300" t="e">
            <v>#VALUE!</v>
          </cell>
          <cell r="H300">
            <v>20</v>
          </cell>
          <cell r="I300">
            <v>2</v>
          </cell>
          <cell r="K300" t="e">
            <v>#VALUE!</v>
          </cell>
          <cell r="L300" t="e">
            <v>#VALUE!</v>
          </cell>
          <cell r="M300" t="e">
            <v>#N/A</v>
          </cell>
          <cell r="P300" t="str">
            <v>S</v>
          </cell>
          <cell r="R300" t="b">
            <v>0</v>
          </cell>
          <cell r="T300" t="b">
            <v>0</v>
          </cell>
          <cell r="U300" t="b">
            <v>0</v>
          </cell>
          <cell r="V300">
            <v>10</v>
          </cell>
          <cell r="W300" t="str">
            <v/>
          </cell>
          <cell r="X300">
            <v>5</v>
          </cell>
          <cell r="Y300" t="str">
            <v/>
          </cell>
          <cell r="Z300">
            <v>32</v>
          </cell>
          <cell r="AA300" t="str">
            <v/>
          </cell>
          <cell r="AB300">
            <v>64</v>
          </cell>
          <cell r="AC300" t="str">
            <v/>
          </cell>
          <cell r="AD300">
            <v>169</v>
          </cell>
          <cell r="AE300" t="str">
            <v/>
          </cell>
          <cell r="AF300" t="str">
            <v/>
          </cell>
          <cell r="AG300" t="str">
            <v/>
          </cell>
          <cell r="AH300">
            <v>0</v>
          </cell>
          <cell r="AI300" t="str">
            <v/>
          </cell>
          <cell r="AJ300" t="str">
            <v/>
          </cell>
          <cell r="AK300">
            <v>0</v>
          </cell>
          <cell r="AL300" t="str">
            <v/>
          </cell>
          <cell r="AM300" t="str">
            <v/>
          </cell>
          <cell r="AN300" t="str">
            <v/>
          </cell>
          <cell r="AO300">
            <v>0</v>
          </cell>
          <cell r="AP300" t="str">
            <v/>
          </cell>
          <cell r="AQ300" t="str">
            <v/>
          </cell>
          <cell r="AR300">
            <v>0</v>
          </cell>
          <cell r="AS300" t="str">
            <v/>
          </cell>
        </row>
        <row r="301">
          <cell r="A301" t="str">
            <v/>
          </cell>
          <cell r="B301" t="str">
            <v/>
          </cell>
          <cell r="D301" t="str">
            <v>S</v>
          </cell>
          <cell r="E301" t="str">
            <v>L</v>
          </cell>
          <cell r="F301" t="e">
            <v>#VALUE!</v>
          </cell>
          <cell r="H301">
            <v>20</v>
          </cell>
          <cell r="I301">
            <v>2</v>
          </cell>
          <cell r="K301" t="e">
            <v>#VALUE!</v>
          </cell>
          <cell r="L301" t="e">
            <v>#VALUE!</v>
          </cell>
          <cell r="M301" t="e">
            <v>#N/A</v>
          </cell>
          <cell r="P301" t="str">
            <v>S</v>
          </cell>
          <cell r="R301" t="b">
            <v>0</v>
          </cell>
          <cell r="T301" t="b">
            <v>0</v>
          </cell>
          <cell r="U301" t="b">
            <v>0</v>
          </cell>
          <cell r="V301">
            <v>10</v>
          </cell>
          <cell r="W301" t="str">
            <v/>
          </cell>
          <cell r="X301">
            <v>5</v>
          </cell>
          <cell r="Y301" t="str">
            <v/>
          </cell>
          <cell r="Z301">
            <v>32</v>
          </cell>
          <cell r="AA301" t="str">
            <v/>
          </cell>
          <cell r="AB301">
            <v>64</v>
          </cell>
          <cell r="AC301" t="str">
            <v/>
          </cell>
          <cell r="AD301">
            <v>169</v>
          </cell>
          <cell r="AE301" t="str">
            <v/>
          </cell>
          <cell r="AF301" t="str">
            <v/>
          </cell>
          <cell r="AG301" t="str">
            <v/>
          </cell>
          <cell r="AH301">
            <v>0</v>
          </cell>
          <cell r="AI301" t="str">
            <v/>
          </cell>
          <cell r="AJ301" t="str">
            <v/>
          </cell>
          <cell r="AK301">
            <v>0</v>
          </cell>
          <cell r="AL301" t="str">
            <v/>
          </cell>
          <cell r="AM301" t="str">
            <v/>
          </cell>
          <cell r="AN301" t="str">
            <v/>
          </cell>
          <cell r="AO301">
            <v>0</v>
          </cell>
          <cell r="AP301" t="str">
            <v/>
          </cell>
          <cell r="AQ301" t="str">
            <v/>
          </cell>
          <cell r="AR301">
            <v>0</v>
          </cell>
          <cell r="AS301" t="str">
            <v/>
          </cell>
        </row>
        <row r="302">
          <cell r="A302" t="str">
            <v/>
          </cell>
          <cell r="B302" t="str">
            <v/>
          </cell>
          <cell r="D302" t="str">
            <v>S</v>
          </cell>
          <cell r="E302" t="str">
            <v>L</v>
          </cell>
          <cell r="F302" t="e">
            <v>#VALUE!</v>
          </cell>
          <cell r="H302">
            <v>20</v>
          </cell>
          <cell r="I302">
            <v>2</v>
          </cell>
          <cell r="K302" t="e">
            <v>#VALUE!</v>
          </cell>
          <cell r="L302" t="e">
            <v>#VALUE!</v>
          </cell>
          <cell r="M302" t="e">
            <v>#N/A</v>
          </cell>
          <cell r="P302" t="str">
            <v>S</v>
          </cell>
          <cell r="R302" t="b">
            <v>0</v>
          </cell>
          <cell r="T302" t="b">
            <v>0</v>
          </cell>
          <cell r="U302" t="b">
            <v>0</v>
          </cell>
          <cell r="V302">
            <v>10</v>
          </cell>
          <cell r="W302" t="str">
            <v/>
          </cell>
          <cell r="X302">
            <v>5</v>
          </cell>
          <cell r="Y302" t="str">
            <v/>
          </cell>
          <cell r="Z302">
            <v>32</v>
          </cell>
          <cell r="AA302" t="str">
            <v/>
          </cell>
          <cell r="AB302">
            <v>64</v>
          </cell>
          <cell r="AC302" t="str">
            <v/>
          </cell>
          <cell r="AD302">
            <v>169</v>
          </cell>
          <cell r="AE302" t="str">
            <v/>
          </cell>
          <cell r="AF302" t="str">
            <v/>
          </cell>
          <cell r="AG302" t="str">
            <v/>
          </cell>
          <cell r="AH302">
            <v>0</v>
          </cell>
          <cell r="AI302" t="str">
            <v/>
          </cell>
          <cell r="AJ302" t="str">
            <v/>
          </cell>
          <cell r="AK302">
            <v>0</v>
          </cell>
          <cell r="AL302" t="str">
            <v/>
          </cell>
          <cell r="AM302" t="str">
            <v/>
          </cell>
          <cell r="AN302" t="str">
            <v/>
          </cell>
          <cell r="AO302">
            <v>0</v>
          </cell>
          <cell r="AP302" t="str">
            <v/>
          </cell>
          <cell r="AQ302" t="str">
            <v/>
          </cell>
          <cell r="AR302">
            <v>0</v>
          </cell>
          <cell r="AS302" t="str">
            <v/>
          </cell>
        </row>
        <row r="303">
          <cell r="A303" t="str">
            <v/>
          </cell>
          <cell r="B303" t="str">
            <v/>
          </cell>
          <cell r="D303" t="str">
            <v>S</v>
          </cell>
          <cell r="E303" t="str">
            <v>L</v>
          </cell>
          <cell r="F303" t="e">
            <v>#VALUE!</v>
          </cell>
          <cell r="H303">
            <v>20</v>
          </cell>
          <cell r="I303">
            <v>2</v>
          </cell>
          <cell r="K303" t="e">
            <v>#VALUE!</v>
          </cell>
          <cell r="L303" t="e">
            <v>#VALUE!</v>
          </cell>
          <cell r="M303" t="e">
            <v>#N/A</v>
          </cell>
          <cell r="P303" t="str">
            <v>S</v>
          </cell>
          <cell r="R303" t="b">
            <v>0</v>
          </cell>
          <cell r="T303" t="b">
            <v>0</v>
          </cell>
          <cell r="U303" t="b">
            <v>0</v>
          </cell>
          <cell r="V303">
            <v>10</v>
          </cell>
          <cell r="W303" t="str">
            <v/>
          </cell>
          <cell r="X303">
            <v>5</v>
          </cell>
          <cell r="Y303" t="str">
            <v/>
          </cell>
          <cell r="Z303">
            <v>32</v>
          </cell>
          <cell r="AA303" t="str">
            <v/>
          </cell>
          <cell r="AB303">
            <v>64</v>
          </cell>
          <cell r="AC303" t="str">
            <v/>
          </cell>
          <cell r="AD303">
            <v>169</v>
          </cell>
          <cell r="AE303" t="str">
            <v/>
          </cell>
          <cell r="AF303" t="str">
            <v/>
          </cell>
          <cell r="AG303" t="str">
            <v/>
          </cell>
          <cell r="AH303">
            <v>0</v>
          </cell>
          <cell r="AI303" t="str">
            <v/>
          </cell>
          <cell r="AJ303" t="str">
            <v/>
          </cell>
          <cell r="AK303">
            <v>0</v>
          </cell>
          <cell r="AL303" t="str">
            <v/>
          </cell>
          <cell r="AM303" t="str">
            <v/>
          </cell>
          <cell r="AN303" t="str">
            <v/>
          </cell>
          <cell r="AO303">
            <v>0</v>
          </cell>
          <cell r="AP303" t="str">
            <v/>
          </cell>
          <cell r="AQ303" t="str">
            <v/>
          </cell>
          <cell r="AR303">
            <v>0</v>
          </cell>
          <cell r="AS303" t="str">
            <v/>
          </cell>
        </row>
        <row r="304">
          <cell r="A304" t="str">
            <v/>
          </cell>
          <cell r="B304" t="str">
            <v/>
          </cell>
          <cell r="D304" t="str">
            <v>S</v>
          </cell>
          <cell r="E304" t="str">
            <v>L</v>
          </cell>
          <cell r="F304" t="e">
            <v>#VALUE!</v>
          </cell>
          <cell r="H304">
            <v>20</v>
          </cell>
          <cell r="I304">
            <v>2</v>
          </cell>
          <cell r="K304" t="e">
            <v>#VALUE!</v>
          </cell>
          <cell r="L304" t="e">
            <v>#VALUE!</v>
          </cell>
          <cell r="M304" t="e">
            <v>#N/A</v>
          </cell>
          <cell r="P304" t="str">
            <v>S</v>
          </cell>
          <cell r="R304" t="b">
            <v>0</v>
          </cell>
          <cell r="T304" t="b">
            <v>0</v>
          </cell>
          <cell r="U304" t="b">
            <v>0</v>
          </cell>
          <cell r="V304">
            <v>10</v>
          </cell>
          <cell r="W304" t="str">
            <v/>
          </cell>
          <cell r="X304">
            <v>5</v>
          </cell>
          <cell r="Y304" t="str">
            <v/>
          </cell>
          <cell r="Z304">
            <v>32</v>
          </cell>
          <cell r="AA304" t="str">
            <v/>
          </cell>
          <cell r="AB304">
            <v>64</v>
          </cell>
          <cell r="AC304" t="str">
            <v/>
          </cell>
          <cell r="AD304">
            <v>169</v>
          </cell>
          <cell r="AE304" t="str">
            <v/>
          </cell>
          <cell r="AF304" t="str">
            <v/>
          </cell>
          <cell r="AG304" t="str">
            <v/>
          </cell>
          <cell r="AH304">
            <v>0</v>
          </cell>
          <cell r="AI304" t="str">
            <v/>
          </cell>
          <cell r="AJ304" t="str">
            <v/>
          </cell>
          <cell r="AK304">
            <v>0</v>
          </cell>
          <cell r="AL304" t="str">
            <v/>
          </cell>
          <cell r="AM304" t="str">
            <v/>
          </cell>
          <cell r="AN304" t="str">
            <v/>
          </cell>
          <cell r="AO304">
            <v>0</v>
          </cell>
          <cell r="AP304" t="str">
            <v/>
          </cell>
          <cell r="AQ304" t="str">
            <v/>
          </cell>
          <cell r="AR304">
            <v>0</v>
          </cell>
          <cell r="AS304" t="str">
            <v/>
          </cell>
        </row>
        <row r="305">
          <cell r="A305" t="str">
            <v/>
          </cell>
          <cell r="B305" t="str">
            <v/>
          </cell>
          <cell r="D305" t="str">
            <v>S</v>
          </cell>
          <cell r="E305" t="str">
            <v>L</v>
          </cell>
          <cell r="F305" t="e">
            <v>#VALUE!</v>
          </cell>
          <cell r="H305">
            <v>20</v>
          </cell>
          <cell r="I305">
            <v>2</v>
          </cell>
          <cell r="K305" t="e">
            <v>#VALUE!</v>
          </cell>
          <cell r="L305" t="e">
            <v>#VALUE!</v>
          </cell>
          <cell r="M305" t="e">
            <v>#N/A</v>
          </cell>
          <cell r="P305" t="str">
            <v>S</v>
          </cell>
          <cell r="R305" t="b">
            <v>0</v>
          </cell>
          <cell r="T305" t="b">
            <v>0</v>
          </cell>
          <cell r="U305" t="b">
            <v>0</v>
          </cell>
          <cell r="V305">
            <v>10</v>
          </cell>
          <cell r="W305" t="str">
            <v/>
          </cell>
          <cell r="X305">
            <v>5</v>
          </cell>
          <cell r="Y305" t="str">
            <v/>
          </cell>
          <cell r="Z305">
            <v>32</v>
          </cell>
          <cell r="AA305" t="str">
            <v/>
          </cell>
          <cell r="AB305">
            <v>64</v>
          </cell>
          <cell r="AC305" t="str">
            <v/>
          </cell>
          <cell r="AD305">
            <v>169</v>
          </cell>
          <cell r="AE305" t="str">
            <v/>
          </cell>
          <cell r="AF305" t="str">
            <v/>
          </cell>
          <cell r="AG305" t="str">
            <v/>
          </cell>
          <cell r="AH305">
            <v>0</v>
          </cell>
          <cell r="AI305" t="str">
            <v/>
          </cell>
          <cell r="AJ305" t="str">
            <v/>
          </cell>
          <cell r="AK305">
            <v>0</v>
          </cell>
          <cell r="AL305" t="str">
            <v/>
          </cell>
          <cell r="AM305" t="str">
            <v/>
          </cell>
          <cell r="AN305" t="str">
            <v/>
          </cell>
          <cell r="AO305">
            <v>0</v>
          </cell>
          <cell r="AP305" t="str">
            <v/>
          </cell>
          <cell r="AQ305" t="str">
            <v/>
          </cell>
          <cell r="AR305">
            <v>0</v>
          </cell>
          <cell r="AS305" t="str">
            <v/>
          </cell>
        </row>
        <row r="306">
          <cell r="A306" t="str">
            <v/>
          </cell>
          <cell r="B306" t="str">
            <v/>
          </cell>
          <cell r="D306" t="str">
            <v>S</v>
          </cell>
          <cell r="E306" t="str">
            <v>L</v>
          </cell>
          <cell r="F306" t="e">
            <v>#VALUE!</v>
          </cell>
          <cell r="H306">
            <v>20</v>
          </cell>
          <cell r="I306">
            <v>2</v>
          </cell>
          <cell r="K306" t="e">
            <v>#VALUE!</v>
          </cell>
          <cell r="L306" t="e">
            <v>#VALUE!</v>
          </cell>
          <cell r="M306" t="e">
            <v>#N/A</v>
          </cell>
          <cell r="P306" t="str">
            <v>S</v>
          </cell>
          <cell r="R306" t="b">
            <v>0</v>
          </cell>
          <cell r="T306" t="b">
            <v>0</v>
          </cell>
          <cell r="U306" t="b">
            <v>0</v>
          </cell>
          <cell r="V306">
            <v>10</v>
          </cell>
          <cell r="W306" t="str">
            <v/>
          </cell>
          <cell r="X306">
            <v>5</v>
          </cell>
          <cell r="Y306" t="str">
            <v/>
          </cell>
          <cell r="Z306">
            <v>32</v>
          </cell>
          <cell r="AA306" t="str">
            <v/>
          </cell>
          <cell r="AB306">
            <v>64</v>
          </cell>
          <cell r="AC306" t="str">
            <v/>
          </cell>
          <cell r="AD306">
            <v>169</v>
          </cell>
          <cell r="AE306" t="str">
            <v/>
          </cell>
          <cell r="AF306" t="str">
            <v/>
          </cell>
          <cell r="AG306" t="str">
            <v/>
          </cell>
          <cell r="AH306">
            <v>0</v>
          </cell>
          <cell r="AI306" t="str">
            <v/>
          </cell>
          <cell r="AJ306" t="str">
            <v/>
          </cell>
          <cell r="AK306">
            <v>0</v>
          </cell>
          <cell r="AL306" t="str">
            <v/>
          </cell>
          <cell r="AM306" t="str">
            <v/>
          </cell>
          <cell r="AN306" t="str">
            <v/>
          </cell>
          <cell r="AO306">
            <v>0</v>
          </cell>
          <cell r="AP306" t="str">
            <v/>
          </cell>
          <cell r="AQ306" t="str">
            <v/>
          </cell>
          <cell r="AR306">
            <v>0</v>
          </cell>
          <cell r="AS306" t="str">
            <v/>
          </cell>
        </row>
        <row r="307">
          <cell r="A307" t="str">
            <v/>
          </cell>
          <cell r="B307" t="str">
            <v/>
          </cell>
          <cell r="D307" t="str">
            <v>S</v>
          </cell>
          <cell r="E307" t="str">
            <v>L</v>
          </cell>
          <cell r="F307" t="e">
            <v>#VALUE!</v>
          </cell>
          <cell r="H307">
            <v>20</v>
          </cell>
          <cell r="I307">
            <v>2</v>
          </cell>
          <cell r="K307" t="e">
            <v>#VALUE!</v>
          </cell>
          <cell r="L307" t="e">
            <v>#VALUE!</v>
          </cell>
          <cell r="M307" t="e">
            <v>#N/A</v>
          </cell>
          <cell r="P307" t="str">
            <v>S</v>
          </cell>
          <cell r="R307" t="b">
            <v>0</v>
          </cell>
          <cell r="T307" t="b">
            <v>0</v>
          </cell>
          <cell r="U307" t="b">
            <v>0</v>
          </cell>
          <cell r="V307">
            <v>10</v>
          </cell>
          <cell r="W307" t="str">
            <v/>
          </cell>
          <cell r="X307">
            <v>5</v>
          </cell>
          <cell r="Y307" t="str">
            <v/>
          </cell>
          <cell r="Z307">
            <v>32</v>
          </cell>
          <cell r="AA307" t="str">
            <v/>
          </cell>
          <cell r="AB307">
            <v>64</v>
          </cell>
          <cell r="AC307" t="str">
            <v/>
          </cell>
          <cell r="AD307">
            <v>169</v>
          </cell>
          <cell r="AE307" t="str">
            <v/>
          </cell>
          <cell r="AF307" t="str">
            <v/>
          </cell>
          <cell r="AG307" t="str">
            <v/>
          </cell>
          <cell r="AH307">
            <v>0</v>
          </cell>
          <cell r="AI307" t="str">
            <v/>
          </cell>
          <cell r="AJ307" t="str">
            <v/>
          </cell>
          <cell r="AK307">
            <v>0</v>
          </cell>
          <cell r="AL307" t="str">
            <v/>
          </cell>
          <cell r="AM307" t="str">
            <v/>
          </cell>
          <cell r="AN307" t="str">
            <v/>
          </cell>
          <cell r="AO307">
            <v>0</v>
          </cell>
          <cell r="AP307" t="str">
            <v/>
          </cell>
          <cell r="AQ307" t="str">
            <v/>
          </cell>
          <cell r="AR307">
            <v>0</v>
          </cell>
          <cell r="AS307" t="str">
            <v/>
          </cell>
        </row>
        <row r="308">
          <cell r="A308" t="str">
            <v/>
          </cell>
          <cell r="B308" t="str">
            <v/>
          </cell>
          <cell r="D308" t="str">
            <v>S</v>
          </cell>
          <cell r="E308" t="str">
            <v>L</v>
          </cell>
          <cell r="F308" t="e">
            <v>#VALUE!</v>
          </cell>
          <cell r="H308">
            <v>20</v>
          </cell>
          <cell r="I308">
            <v>2</v>
          </cell>
          <cell r="K308" t="e">
            <v>#VALUE!</v>
          </cell>
          <cell r="L308" t="e">
            <v>#VALUE!</v>
          </cell>
          <cell r="M308" t="e">
            <v>#N/A</v>
          </cell>
          <cell r="P308" t="str">
            <v>S</v>
          </cell>
          <cell r="R308" t="b">
            <v>0</v>
          </cell>
          <cell r="T308" t="b">
            <v>0</v>
          </cell>
          <cell r="U308" t="b">
            <v>0</v>
          </cell>
          <cell r="V308">
            <v>10</v>
          </cell>
          <cell r="W308" t="str">
            <v/>
          </cell>
          <cell r="X308">
            <v>5</v>
          </cell>
          <cell r="Y308" t="str">
            <v/>
          </cell>
          <cell r="Z308">
            <v>32</v>
          </cell>
          <cell r="AA308" t="str">
            <v/>
          </cell>
          <cell r="AB308">
            <v>64</v>
          </cell>
          <cell r="AC308" t="str">
            <v/>
          </cell>
          <cell r="AD308">
            <v>169</v>
          </cell>
          <cell r="AE308" t="str">
            <v/>
          </cell>
          <cell r="AF308" t="str">
            <v/>
          </cell>
          <cell r="AG308" t="str">
            <v/>
          </cell>
          <cell r="AH308">
            <v>0</v>
          </cell>
          <cell r="AI308" t="str">
            <v/>
          </cell>
          <cell r="AJ308" t="str">
            <v/>
          </cell>
          <cell r="AK308">
            <v>0</v>
          </cell>
          <cell r="AL308" t="str">
            <v/>
          </cell>
          <cell r="AM308" t="str">
            <v/>
          </cell>
          <cell r="AN308" t="str">
            <v/>
          </cell>
          <cell r="AO308">
            <v>0</v>
          </cell>
          <cell r="AP308" t="str">
            <v/>
          </cell>
          <cell r="AQ308" t="str">
            <v/>
          </cell>
          <cell r="AR308">
            <v>0</v>
          </cell>
          <cell r="AS308" t="str">
            <v/>
          </cell>
        </row>
        <row r="309">
          <cell r="A309" t="str">
            <v/>
          </cell>
          <cell r="B309" t="str">
            <v/>
          </cell>
          <cell r="D309" t="str">
            <v>S</v>
          </cell>
          <cell r="E309" t="str">
            <v>L</v>
          </cell>
          <cell r="F309" t="e">
            <v>#VALUE!</v>
          </cell>
          <cell r="H309">
            <v>20</v>
          </cell>
          <cell r="I309">
            <v>2</v>
          </cell>
          <cell r="K309" t="e">
            <v>#VALUE!</v>
          </cell>
          <cell r="L309" t="e">
            <v>#VALUE!</v>
          </cell>
          <cell r="M309" t="e">
            <v>#N/A</v>
          </cell>
          <cell r="P309" t="str">
            <v>S</v>
          </cell>
          <cell r="R309" t="b">
            <v>0</v>
          </cell>
          <cell r="T309" t="b">
            <v>0</v>
          </cell>
          <cell r="U309" t="b">
            <v>0</v>
          </cell>
          <cell r="V309">
            <v>10</v>
          </cell>
          <cell r="W309" t="str">
            <v/>
          </cell>
          <cell r="X309">
            <v>5</v>
          </cell>
          <cell r="Y309" t="str">
            <v/>
          </cell>
          <cell r="Z309">
            <v>32</v>
          </cell>
          <cell r="AA309" t="str">
            <v/>
          </cell>
          <cell r="AB309">
            <v>64</v>
          </cell>
          <cell r="AC309" t="str">
            <v/>
          </cell>
          <cell r="AD309">
            <v>169</v>
          </cell>
          <cell r="AE309" t="str">
            <v/>
          </cell>
          <cell r="AF309" t="str">
            <v/>
          </cell>
          <cell r="AG309" t="str">
            <v/>
          </cell>
          <cell r="AH309">
            <v>0</v>
          </cell>
          <cell r="AI309" t="str">
            <v/>
          </cell>
          <cell r="AJ309" t="str">
            <v/>
          </cell>
          <cell r="AK309">
            <v>0</v>
          </cell>
          <cell r="AL309" t="str">
            <v/>
          </cell>
          <cell r="AM309" t="str">
            <v/>
          </cell>
          <cell r="AN309" t="str">
            <v/>
          </cell>
          <cell r="AO309">
            <v>0</v>
          </cell>
          <cell r="AP309" t="str">
            <v/>
          </cell>
          <cell r="AQ309" t="str">
            <v/>
          </cell>
          <cell r="AR309">
            <v>0</v>
          </cell>
          <cell r="AS309" t="str">
            <v/>
          </cell>
        </row>
        <row r="310">
          <cell r="A310" t="str">
            <v/>
          </cell>
          <cell r="B310" t="str">
            <v/>
          </cell>
          <cell r="D310" t="str">
            <v>S</v>
          </cell>
          <cell r="E310" t="str">
            <v>L</v>
          </cell>
          <cell r="F310" t="e">
            <v>#VALUE!</v>
          </cell>
          <cell r="H310">
            <v>20</v>
          </cell>
          <cell r="I310">
            <v>2</v>
          </cell>
          <cell r="K310" t="e">
            <v>#VALUE!</v>
          </cell>
          <cell r="L310" t="e">
            <v>#VALUE!</v>
          </cell>
          <cell r="M310" t="e">
            <v>#N/A</v>
          </cell>
          <cell r="P310" t="str">
            <v>S</v>
          </cell>
          <cell r="R310" t="b">
            <v>0</v>
          </cell>
          <cell r="T310" t="b">
            <v>0</v>
          </cell>
          <cell r="U310" t="b">
            <v>0</v>
          </cell>
          <cell r="V310">
            <v>10</v>
          </cell>
          <cell r="W310" t="str">
            <v/>
          </cell>
          <cell r="X310">
            <v>5</v>
          </cell>
          <cell r="Y310" t="str">
            <v/>
          </cell>
          <cell r="Z310">
            <v>32</v>
          </cell>
          <cell r="AA310" t="str">
            <v/>
          </cell>
          <cell r="AB310">
            <v>64</v>
          </cell>
          <cell r="AC310" t="str">
            <v/>
          </cell>
          <cell r="AD310">
            <v>169</v>
          </cell>
          <cell r="AE310" t="str">
            <v/>
          </cell>
          <cell r="AF310" t="str">
            <v/>
          </cell>
          <cell r="AG310" t="str">
            <v/>
          </cell>
          <cell r="AH310">
            <v>0</v>
          </cell>
          <cell r="AI310" t="str">
            <v/>
          </cell>
          <cell r="AJ310" t="str">
            <v/>
          </cell>
          <cell r="AK310">
            <v>0</v>
          </cell>
          <cell r="AL310" t="str">
            <v/>
          </cell>
          <cell r="AM310" t="str">
            <v/>
          </cell>
          <cell r="AN310" t="str">
            <v/>
          </cell>
          <cell r="AO310">
            <v>0</v>
          </cell>
          <cell r="AP310" t="str">
            <v/>
          </cell>
          <cell r="AQ310" t="str">
            <v/>
          </cell>
          <cell r="AR310">
            <v>0</v>
          </cell>
          <cell r="AS310" t="str">
            <v/>
          </cell>
        </row>
        <row r="311">
          <cell r="B311" t="str">
            <v/>
          </cell>
        </row>
      </sheetData>
      <sheetData sheetId="51">
        <row r="5">
          <cell r="C5" t="str">
            <v/>
          </cell>
        </row>
        <row r="12">
          <cell r="G12" t="str">
            <v/>
          </cell>
        </row>
      </sheetData>
      <sheetData sheetId="52">
        <row r="1">
          <cell r="A1" t="str">
            <v>Select A Deity</v>
          </cell>
          <cell r="G1" t="str">
            <v>Dwarf</v>
          </cell>
          <cell r="J1" t="str">
            <v>NoEquiv</v>
          </cell>
        </row>
        <row r="2">
          <cell r="G2" t="str">
            <v>Dwarf, Hill</v>
          </cell>
        </row>
        <row r="3">
          <cell r="B3" t="str">
            <v>Any</v>
          </cell>
          <cell r="J3" t="str">
            <v>None</v>
          </cell>
          <cell r="K3" t="str">
            <v/>
          </cell>
          <cell r="L3" t="str">
            <v/>
          </cell>
        </row>
        <row r="4">
          <cell r="A4" t="str">
            <v>Select A Deity</v>
          </cell>
          <cell r="H4" t="str">
            <v>Select A Deity</v>
          </cell>
        </row>
        <row r="5">
          <cell r="A5" t="str">
            <v>Aasterinian</v>
          </cell>
          <cell r="H5" t="str">
            <v>Ehlonna</v>
          </cell>
        </row>
        <row r="6">
          <cell r="A6" t="str">
            <v>Aengrist</v>
          </cell>
          <cell r="H6" t="str">
            <v>Heironeous</v>
          </cell>
        </row>
        <row r="7">
          <cell r="A7" t="str">
            <v>Afflux</v>
          </cell>
          <cell r="H7" t="str">
            <v>Moradin</v>
          </cell>
        </row>
        <row r="8">
          <cell r="A8" t="str">
            <v>Al-Ishtus</v>
          </cell>
          <cell r="H8" t="str">
            <v>Pelor</v>
          </cell>
        </row>
        <row r="9">
          <cell r="A9" t="str">
            <v>Alobal Lorfiril</v>
          </cell>
          <cell r="H9" t="str">
            <v>St. Cuthbert</v>
          </cell>
        </row>
        <row r="10">
          <cell r="A10" t="str">
            <v>Anshar</v>
          </cell>
          <cell r="H10" t="str">
            <v>Wee Jas</v>
          </cell>
        </row>
        <row r="11">
          <cell r="A11" t="str">
            <v>Anu</v>
          </cell>
          <cell r="H11" t="str">
            <v/>
          </cell>
        </row>
        <row r="12">
          <cell r="A12" t="str">
            <v>Anubis</v>
          </cell>
          <cell r="H12" t="str">
            <v/>
          </cell>
        </row>
        <row r="13">
          <cell r="A13" t="str">
            <v>Apep</v>
          </cell>
          <cell r="H13" t="str">
            <v/>
          </cell>
        </row>
        <row r="14">
          <cell r="A14" t="str">
            <v>Arvoreen</v>
          </cell>
          <cell r="H14" t="str">
            <v/>
          </cell>
        </row>
        <row r="15">
          <cell r="A15" t="str">
            <v>Astilabor</v>
          </cell>
          <cell r="H15" t="str">
            <v/>
          </cell>
        </row>
        <row r="16">
          <cell r="A16" t="str">
            <v>Aulasha</v>
          </cell>
          <cell r="H16" t="str">
            <v/>
          </cell>
        </row>
        <row r="17">
          <cell r="A17" t="str">
            <v>Aurifar</v>
          </cell>
          <cell r="H17" t="str">
            <v/>
          </cell>
        </row>
        <row r="18">
          <cell r="A18" t="str">
            <v>Auril</v>
          </cell>
          <cell r="H18" t="str">
            <v/>
          </cell>
        </row>
        <row r="19">
          <cell r="A19" t="str">
            <v>Aventernus</v>
          </cell>
          <cell r="H19" t="str">
            <v/>
          </cell>
        </row>
        <row r="20">
          <cell r="A20" t="str">
            <v>Azul</v>
          </cell>
          <cell r="H20" t="str">
            <v/>
          </cell>
        </row>
        <row r="21">
          <cell r="A21" t="str">
            <v>Bahamut</v>
          </cell>
          <cell r="H21" t="str">
            <v/>
          </cell>
        </row>
        <row r="22">
          <cell r="A22" t="str">
            <v>Bast</v>
          </cell>
          <cell r="H22" t="str">
            <v/>
          </cell>
        </row>
        <row r="23">
          <cell r="A23" t="str">
            <v>Beltar</v>
          </cell>
          <cell r="H23" t="str">
            <v/>
          </cell>
        </row>
        <row r="24">
          <cell r="A24" t="str">
            <v>Blibdoolpoolp</v>
          </cell>
          <cell r="H24" t="str">
            <v/>
          </cell>
        </row>
        <row r="25">
          <cell r="A25" t="str">
            <v>Boccob</v>
          </cell>
          <cell r="H25" t="str">
            <v/>
          </cell>
        </row>
        <row r="26">
          <cell r="A26" t="str">
            <v>Bralm</v>
          </cell>
          <cell r="H26" t="str">
            <v/>
          </cell>
        </row>
        <row r="27">
          <cell r="A27" t="str">
            <v>Brandobaris</v>
          </cell>
          <cell r="H27" t="str">
            <v/>
          </cell>
        </row>
        <row r="28">
          <cell r="A28" t="str">
            <v>Callarduran Smoothhands</v>
          </cell>
          <cell r="H28" t="str">
            <v/>
          </cell>
        </row>
        <row r="29">
          <cell r="A29" t="str">
            <v>Cas</v>
          </cell>
          <cell r="H29" t="str">
            <v/>
          </cell>
        </row>
        <row r="30">
          <cell r="A30" t="str">
            <v>Celestian</v>
          </cell>
          <cell r="H30" t="str">
            <v/>
          </cell>
        </row>
        <row r="31">
          <cell r="A31" t="str">
            <v>Chronepsis</v>
          </cell>
          <cell r="H31" t="str">
            <v/>
          </cell>
        </row>
        <row r="32">
          <cell r="A32" t="str">
            <v>Corellon Larethian</v>
          </cell>
          <cell r="H32" t="str">
            <v/>
          </cell>
        </row>
        <row r="33">
          <cell r="A33" t="str">
            <v>Cyndor</v>
          </cell>
          <cell r="H33" t="str">
            <v/>
          </cell>
        </row>
        <row r="34">
          <cell r="A34" t="str">
            <v>Cyrrollalee</v>
          </cell>
          <cell r="H34" t="str">
            <v/>
          </cell>
        </row>
        <row r="35">
          <cell r="A35" t="str">
            <v>Dahak</v>
          </cell>
          <cell r="H35" t="str">
            <v/>
          </cell>
        </row>
        <row r="36">
          <cell r="A36" t="str">
            <v>Dallah Thaun</v>
          </cell>
          <cell r="H36" t="str">
            <v/>
          </cell>
        </row>
        <row r="37">
          <cell r="A37" t="str">
            <v>Deep Sashelas</v>
          </cell>
          <cell r="H37" t="str">
            <v/>
          </cell>
        </row>
        <row r="38">
          <cell r="A38" t="str">
            <v>Delleb</v>
          </cell>
          <cell r="H38" t="str">
            <v/>
          </cell>
        </row>
        <row r="39">
          <cell r="A39" t="str">
            <v>Doresain</v>
          </cell>
          <cell r="H39" t="str">
            <v/>
          </cell>
        </row>
        <row r="40">
          <cell r="A40" t="str">
            <v>Druaga</v>
          </cell>
          <cell r="H40" t="str">
            <v/>
          </cell>
        </row>
        <row r="41">
          <cell r="A41" t="str">
            <v>Duthila</v>
          </cell>
          <cell r="H41" t="str">
            <v/>
          </cell>
        </row>
        <row r="42">
          <cell r="A42" t="str">
            <v>Eadro</v>
          </cell>
          <cell r="H42" t="str">
            <v/>
          </cell>
        </row>
        <row r="43">
          <cell r="A43" t="str">
            <v>Ehlonna</v>
          </cell>
          <cell r="H43" t="str">
            <v/>
          </cell>
        </row>
        <row r="44">
          <cell r="A44" t="str">
            <v>Elebrin Liothiel</v>
          </cell>
          <cell r="H44" t="str">
            <v/>
          </cell>
        </row>
        <row r="45">
          <cell r="A45" t="str">
            <v>Enki</v>
          </cell>
          <cell r="H45" t="str">
            <v/>
          </cell>
        </row>
        <row r="46">
          <cell r="A46" t="str">
            <v>Enlil</v>
          </cell>
          <cell r="H46" t="str">
            <v/>
          </cell>
        </row>
        <row r="47">
          <cell r="A47" t="str">
            <v>Erythnul</v>
          </cell>
          <cell r="H47" t="str">
            <v/>
          </cell>
        </row>
        <row r="48">
          <cell r="A48" t="str">
            <v>Evening Glory</v>
          </cell>
          <cell r="H48" t="str">
            <v/>
          </cell>
        </row>
        <row r="49">
          <cell r="A49" t="str">
            <v>Falazure</v>
          </cell>
          <cell r="H49" t="str">
            <v/>
          </cell>
        </row>
        <row r="50">
          <cell r="A50" t="str">
            <v>Fharlanghn</v>
          </cell>
          <cell r="H50" t="str">
            <v/>
          </cell>
        </row>
        <row r="51">
          <cell r="A51" t="str">
            <v>Garl Glittergold</v>
          </cell>
          <cell r="H51" t="str">
            <v/>
          </cell>
        </row>
        <row r="52">
          <cell r="A52" t="str">
            <v>Garyx</v>
          </cell>
          <cell r="H52" t="str">
            <v/>
          </cell>
        </row>
        <row r="53">
          <cell r="A53" t="str">
            <v>Gelf Darkhearth</v>
          </cell>
          <cell r="H53" t="str">
            <v/>
          </cell>
        </row>
        <row r="54">
          <cell r="A54" t="str">
            <v>Geshtai</v>
          </cell>
          <cell r="H54" t="str">
            <v/>
          </cell>
        </row>
        <row r="55">
          <cell r="A55" t="str">
            <v>Ghaunadaur</v>
          </cell>
          <cell r="H55" t="str">
            <v/>
          </cell>
        </row>
        <row r="56">
          <cell r="A56" t="str">
            <v>Gilgamesh</v>
          </cell>
          <cell r="H56" t="str">
            <v/>
          </cell>
        </row>
        <row r="57">
          <cell r="A57" t="str">
            <v>Girru</v>
          </cell>
          <cell r="H57" t="str">
            <v/>
          </cell>
        </row>
        <row r="58">
          <cell r="A58" t="str">
            <v>Glautru</v>
          </cell>
          <cell r="H58" t="str">
            <v/>
          </cell>
        </row>
        <row r="59">
          <cell r="A59" t="str">
            <v>Glutton, The</v>
          </cell>
          <cell r="H59" t="str">
            <v/>
          </cell>
        </row>
        <row r="60">
          <cell r="A60" t="str">
            <v>Great Mother</v>
          </cell>
          <cell r="H60" t="str">
            <v/>
          </cell>
        </row>
        <row r="61">
          <cell r="A61" t="str">
            <v>Gruumsh</v>
          </cell>
          <cell r="H61" t="str">
            <v/>
          </cell>
        </row>
        <row r="62">
          <cell r="A62" t="str">
            <v>Haku</v>
          </cell>
          <cell r="H62" t="str">
            <v/>
          </cell>
        </row>
        <row r="63">
          <cell r="A63" t="str">
            <v>Hanali Celanil</v>
          </cell>
          <cell r="H63" t="str">
            <v/>
          </cell>
        </row>
        <row r="64">
          <cell r="A64" t="str">
            <v>Hanseath</v>
          </cell>
          <cell r="H64" t="str">
            <v/>
          </cell>
        </row>
        <row r="65">
          <cell r="A65" t="str">
            <v>Hathor</v>
          </cell>
          <cell r="H65" t="str">
            <v/>
          </cell>
        </row>
        <row r="66">
          <cell r="A66" t="str">
            <v>Heironeous</v>
          </cell>
          <cell r="H66" t="str">
            <v/>
          </cell>
        </row>
        <row r="67">
          <cell r="A67" t="str">
            <v>Hextor</v>
          </cell>
          <cell r="H67" t="str">
            <v/>
          </cell>
        </row>
        <row r="68">
          <cell r="A68" t="str">
            <v>Hlal</v>
          </cell>
          <cell r="H68" t="str">
            <v/>
          </cell>
        </row>
        <row r="69">
          <cell r="A69" t="str">
            <v>Hleid</v>
          </cell>
          <cell r="H69" t="str">
            <v/>
          </cell>
        </row>
        <row r="70">
          <cell r="A70" t="str">
            <v>Iborighu</v>
          </cell>
          <cell r="H70" t="str">
            <v/>
          </cell>
        </row>
        <row r="71">
          <cell r="A71" t="str">
            <v>Ilsensine</v>
          </cell>
          <cell r="H71" t="str">
            <v/>
          </cell>
        </row>
        <row r="72">
          <cell r="A72" t="str">
            <v>Imhotep</v>
          </cell>
          <cell r="H72" t="str">
            <v/>
          </cell>
        </row>
        <row r="73">
          <cell r="A73" t="str">
            <v>Incabulos</v>
          </cell>
          <cell r="H73" t="str">
            <v/>
          </cell>
        </row>
        <row r="74">
          <cell r="A74" t="str">
            <v>Io</v>
          </cell>
          <cell r="H74" t="str">
            <v/>
          </cell>
        </row>
        <row r="75">
          <cell r="A75" t="str">
            <v>Ishtar</v>
          </cell>
          <cell r="H75" t="str">
            <v/>
          </cell>
        </row>
        <row r="76">
          <cell r="A76" t="str">
            <v>Isis</v>
          </cell>
          <cell r="H76" t="str">
            <v/>
          </cell>
        </row>
        <row r="77">
          <cell r="A77" t="str">
            <v>Istus</v>
          </cell>
          <cell r="H77" t="str">
            <v/>
          </cell>
        </row>
        <row r="78">
          <cell r="A78" t="str">
            <v>Iuz</v>
          </cell>
          <cell r="H78" t="str">
            <v/>
          </cell>
        </row>
        <row r="79">
          <cell r="A79" t="str">
            <v>Joramy</v>
          </cell>
          <cell r="H79" t="str">
            <v/>
          </cell>
        </row>
        <row r="80">
          <cell r="A80" t="str">
            <v>Kavaki</v>
          </cell>
          <cell r="H80" t="str">
            <v/>
          </cell>
        </row>
        <row r="81">
          <cell r="A81" t="str">
            <v>Ki</v>
          </cell>
          <cell r="H81" t="str">
            <v/>
          </cell>
        </row>
        <row r="82">
          <cell r="A82" t="str">
            <v>Kikanuti</v>
          </cell>
          <cell r="H82" t="str">
            <v/>
          </cell>
        </row>
        <row r="83">
          <cell r="A83" t="str">
            <v>Kithin</v>
          </cell>
          <cell r="H83" t="str">
            <v/>
          </cell>
        </row>
        <row r="84">
          <cell r="A84" t="str">
            <v>Kord</v>
          </cell>
          <cell r="H84" t="str">
            <v/>
          </cell>
        </row>
        <row r="85">
          <cell r="A85" t="str">
            <v>Kuliak</v>
          </cell>
          <cell r="H85" t="str">
            <v/>
          </cell>
        </row>
        <row r="86">
          <cell r="A86" t="str">
            <v>Laduguer</v>
          </cell>
          <cell r="H86" t="str">
            <v/>
          </cell>
        </row>
        <row r="87">
          <cell r="A87" t="str">
            <v>Lendys</v>
          </cell>
          <cell r="H87" t="str">
            <v/>
          </cell>
        </row>
        <row r="88">
          <cell r="A88" t="str">
            <v>Levistus</v>
          </cell>
          <cell r="H88" t="str">
            <v/>
          </cell>
        </row>
        <row r="89">
          <cell r="A89" t="str">
            <v>Lirr</v>
          </cell>
          <cell r="H89" t="str">
            <v/>
          </cell>
        </row>
        <row r="90">
          <cell r="A90" t="str">
            <v>Llerg</v>
          </cell>
          <cell r="H90" t="str">
            <v/>
          </cell>
        </row>
        <row r="91">
          <cell r="A91" t="str">
            <v>Lliendil</v>
          </cell>
          <cell r="H91" t="str">
            <v/>
          </cell>
        </row>
        <row r="92">
          <cell r="A92" t="str">
            <v>Lolth</v>
          </cell>
          <cell r="H92" t="str">
            <v/>
          </cell>
        </row>
        <row r="93">
          <cell r="A93" t="str">
            <v>Mak Thuum Ngatha</v>
          </cell>
          <cell r="H93" t="str">
            <v/>
          </cell>
        </row>
        <row r="94">
          <cell r="A94" t="str">
            <v>Manethak</v>
          </cell>
          <cell r="H94" t="str">
            <v/>
          </cell>
        </row>
        <row r="95">
          <cell r="A95" t="str">
            <v>Marduk</v>
          </cell>
          <cell r="H95" t="str">
            <v/>
          </cell>
        </row>
        <row r="96">
          <cell r="A96" t="str">
            <v>Moradin</v>
          </cell>
          <cell r="H96" t="str">
            <v/>
          </cell>
        </row>
        <row r="97">
          <cell r="A97" t="str">
            <v>Mouqol</v>
          </cell>
          <cell r="H97" t="str">
            <v/>
          </cell>
        </row>
        <row r="98">
          <cell r="A98" t="str">
            <v>Mya</v>
          </cell>
          <cell r="H98" t="str">
            <v/>
          </cell>
        </row>
        <row r="99">
          <cell r="A99" t="str">
            <v>Naki-Uthai</v>
          </cell>
          <cell r="H99" t="str">
            <v/>
          </cell>
        </row>
        <row r="100">
          <cell r="A100" t="str">
            <v>Nanna-Sin</v>
          </cell>
          <cell r="H100" t="str">
            <v/>
          </cell>
        </row>
        <row r="101">
          <cell r="A101" t="str">
            <v>Nephthys</v>
          </cell>
          <cell r="H101" t="str">
            <v/>
          </cell>
        </row>
        <row r="102">
          <cell r="A102" t="str">
            <v>Nergal</v>
          </cell>
          <cell r="H102" t="str">
            <v/>
          </cell>
        </row>
        <row r="103">
          <cell r="A103" t="str">
            <v>Nerull</v>
          </cell>
          <cell r="H103" t="str">
            <v/>
          </cell>
        </row>
        <row r="104">
          <cell r="A104" t="str">
            <v>Nilthina</v>
          </cell>
          <cell r="H104" t="str">
            <v/>
          </cell>
        </row>
        <row r="105">
          <cell r="A105" t="str">
            <v>Obad-Hai</v>
          </cell>
          <cell r="H105" t="str">
            <v/>
          </cell>
        </row>
        <row r="106">
          <cell r="A106" t="str">
            <v>Olidammara</v>
          </cell>
          <cell r="H106" t="str">
            <v/>
          </cell>
        </row>
        <row r="107">
          <cell r="A107" t="str">
            <v>Orcus</v>
          </cell>
          <cell r="H107" t="str">
            <v/>
          </cell>
        </row>
        <row r="108">
          <cell r="A108" t="str">
            <v>Osiris</v>
          </cell>
          <cell r="H108" t="str">
            <v/>
          </cell>
        </row>
        <row r="109">
          <cell r="A109" t="str">
            <v>Osprem</v>
          </cell>
          <cell r="H109" t="str">
            <v/>
          </cell>
        </row>
        <row r="110">
          <cell r="A110" t="str">
            <v>Pelor</v>
          </cell>
          <cell r="H110" t="str">
            <v/>
          </cell>
        </row>
        <row r="111">
          <cell r="A111" t="str">
            <v>Pholtus</v>
          </cell>
          <cell r="H111" t="str">
            <v/>
          </cell>
        </row>
        <row r="112">
          <cell r="A112" t="str">
            <v>Procan</v>
          </cell>
          <cell r="H112" t="str">
            <v/>
          </cell>
        </row>
        <row r="113">
          <cell r="A113" t="str">
            <v>Ptah</v>
          </cell>
          <cell r="H113" t="str">
            <v/>
          </cell>
        </row>
        <row r="114">
          <cell r="A114" t="str">
            <v>Pyremius</v>
          </cell>
          <cell r="H114" t="str">
            <v/>
          </cell>
        </row>
        <row r="115">
          <cell r="A115" t="str">
            <v>Rao</v>
          </cell>
          <cell r="H115" t="str">
            <v/>
          </cell>
        </row>
        <row r="116">
          <cell r="A116" t="str">
            <v>Re-Horakhty</v>
          </cell>
          <cell r="H116" t="str">
            <v/>
          </cell>
        </row>
        <row r="117">
          <cell r="A117" t="str">
            <v>Rill Cleverthrush</v>
          </cell>
          <cell r="H117" t="str">
            <v/>
          </cell>
        </row>
        <row r="118">
          <cell r="A118" t="str">
            <v>Roknar</v>
          </cell>
          <cell r="H118" t="str">
            <v/>
          </cell>
        </row>
        <row r="119">
          <cell r="A119" t="str">
            <v>Sehanine Moonbow</v>
          </cell>
          <cell r="H119" t="str">
            <v/>
          </cell>
        </row>
        <row r="120">
          <cell r="A120" t="str">
            <v xml:space="preserve">Sekolah </v>
          </cell>
          <cell r="H120" t="str">
            <v/>
          </cell>
        </row>
        <row r="121">
          <cell r="A121" t="str">
            <v>Set</v>
          </cell>
          <cell r="H121" t="str">
            <v/>
          </cell>
        </row>
        <row r="122">
          <cell r="A122" t="str">
            <v>Sheela Peryroyl</v>
          </cell>
          <cell r="H122" t="str">
            <v/>
          </cell>
        </row>
        <row r="123">
          <cell r="A123" t="str">
            <v>Sheyanna Flaxenstrand</v>
          </cell>
          <cell r="H123" t="str">
            <v/>
          </cell>
        </row>
        <row r="124">
          <cell r="A124" t="str">
            <v>Sobek</v>
          </cell>
          <cell r="H124" t="str">
            <v/>
          </cell>
        </row>
        <row r="125">
          <cell r="A125" t="str">
            <v>Solanil</v>
          </cell>
          <cell r="H125" t="str">
            <v/>
          </cell>
        </row>
        <row r="126">
          <cell r="A126" t="str">
            <v>Soorinek</v>
          </cell>
          <cell r="H126" t="str">
            <v/>
          </cell>
        </row>
        <row r="127">
          <cell r="A127" t="str">
            <v>St. Cuthbert</v>
          </cell>
          <cell r="H127" t="str">
            <v/>
          </cell>
        </row>
        <row r="128">
          <cell r="A128" t="str">
            <v>Syeret</v>
          </cell>
          <cell r="H128" t="str">
            <v/>
          </cell>
        </row>
        <row r="129">
          <cell r="A129" t="str">
            <v>Tamara</v>
          </cell>
          <cell r="H129" t="str">
            <v/>
          </cell>
        </row>
        <row r="130">
          <cell r="A130" t="str">
            <v>Tarmuid</v>
          </cell>
          <cell r="H130" t="str">
            <v/>
          </cell>
        </row>
        <row r="131">
          <cell r="A131" t="str">
            <v>Telchur</v>
          </cell>
          <cell r="H131" t="str">
            <v/>
          </cell>
        </row>
        <row r="132">
          <cell r="A132" t="str">
            <v>Tem-Et-Nu</v>
          </cell>
          <cell r="H132" t="str">
            <v/>
          </cell>
        </row>
        <row r="133">
          <cell r="A133" t="str">
            <v>Tharizdun</v>
          </cell>
          <cell r="H133" t="str">
            <v/>
          </cell>
        </row>
        <row r="134">
          <cell r="A134" t="str">
            <v>Tharmekhûl</v>
          </cell>
          <cell r="H134" t="str">
            <v/>
          </cell>
        </row>
        <row r="135">
          <cell r="A135" t="str">
            <v>Thautam</v>
          </cell>
          <cell r="H135" t="str">
            <v/>
          </cell>
        </row>
        <row r="136">
          <cell r="A136" t="str">
            <v>Theleya</v>
          </cell>
          <cell r="H136" t="str">
            <v/>
          </cell>
        </row>
        <row r="137">
          <cell r="A137" t="str">
            <v>Thoth</v>
          </cell>
          <cell r="H137" t="str">
            <v/>
          </cell>
        </row>
        <row r="138">
          <cell r="A138" t="str">
            <v>Thrym</v>
          </cell>
          <cell r="H138" t="str">
            <v/>
          </cell>
        </row>
        <row r="139">
          <cell r="A139" t="str">
            <v>Tiamat</v>
          </cell>
          <cell r="H139" t="str">
            <v/>
          </cell>
        </row>
        <row r="140">
          <cell r="A140" t="str">
            <v>Trithereon</v>
          </cell>
          <cell r="H140" t="str">
            <v/>
          </cell>
        </row>
        <row r="141">
          <cell r="A141" t="str">
            <v>Tuilviel Glithien</v>
          </cell>
          <cell r="H141" t="str">
            <v/>
          </cell>
        </row>
        <row r="142">
          <cell r="A142" t="str">
            <v>Ulutiu</v>
          </cell>
          <cell r="H142" t="str">
            <v/>
          </cell>
        </row>
        <row r="143">
          <cell r="A143" t="str">
            <v>Urbanus</v>
          </cell>
          <cell r="H143" t="str">
            <v/>
          </cell>
        </row>
        <row r="144">
          <cell r="A144" t="str">
            <v>Urogalan</v>
          </cell>
          <cell r="H144" t="str">
            <v/>
          </cell>
        </row>
        <row r="145">
          <cell r="A145" t="str">
            <v>Utu</v>
          </cell>
          <cell r="H145" t="str">
            <v/>
          </cell>
        </row>
        <row r="146">
          <cell r="A146" t="str">
            <v>Valarian</v>
          </cell>
          <cell r="H146" t="str">
            <v/>
          </cell>
        </row>
        <row r="147">
          <cell r="A147" t="str">
            <v>Valkauna</v>
          </cell>
          <cell r="H147" t="str">
            <v/>
          </cell>
        </row>
        <row r="148">
          <cell r="A148" t="str">
            <v>Vandria Gilmadrith</v>
          </cell>
          <cell r="H148" t="str">
            <v/>
          </cell>
        </row>
        <row r="149">
          <cell r="A149" t="str">
            <v>Vanua</v>
          </cell>
          <cell r="H149" t="str">
            <v/>
          </cell>
        </row>
        <row r="150">
          <cell r="A150" t="str">
            <v>Vatun</v>
          </cell>
          <cell r="H150" t="str">
            <v/>
          </cell>
        </row>
        <row r="151">
          <cell r="A151" t="str">
            <v>Vecna</v>
          </cell>
          <cell r="H151" t="str">
            <v/>
          </cell>
        </row>
        <row r="152">
          <cell r="A152" t="str">
            <v>Ventila</v>
          </cell>
          <cell r="H152" t="str">
            <v/>
          </cell>
        </row>
        <row r="153">
          <cell r="A153" t="str">
            <v>Wastri</v>
          </cell>
          <cell r="H153" t="str">
            <v/>
          </cell>
        </row>
        <row r="154">
          <cell r="A154" t="str">
            <v>Wathaku</v>
          </cell>
          <cell r="H154" t="str">
            <v/>
          </cell>
        </row>
        <row r="155">
          <cell r="A155" t="str">
            <v>Wee Jas</v>
          </cell>
          <cell r="H155" t="str">
            <v/>
          </cell>
        </row>
        <row r="156">
          <cell r="A156" t="str">
            <v>Whale Mother</v>
          </cell>
          <cell r="H156" t="str">
            <v/>
          </cell>
        </row>
        <row r="157">
          <cell r="A157" t="str">
            <v>Xan Yae</v>
          </cell>
          <cell r="H157" t="str">
            <v/>
          </cell>
        </row>
        <row r="158">
          <cell r="A158" t="str">
            <v>Yeathan</v>
          </cell>
          <cell r="H158" t="str">
            <v/>
          </cell>
        </row>
        <row r="159">
          <cell r="A159" t="str">
            <v>Yondalla</v>
          </cell>
          <cell r="H159" t="str">
            <v/>
          </cell>
        </row>
        <row r="160">
          <cell r="A160" t="str">
            <v>Zarus</v>
          </cell>
          <cell r="H160" t="str">
            <v/>
          </cell>
        </row>
        <row r="161">
          <cell r="A161" t="str">
            <v>Zoser</v>
          </cell>
          <cell r="H161" t="str">
            <v/>
          </cell>
        </row>
        <row r="162">
          <cell r="A162" t="str">
            <v>Zuoken</v>
          </cell>
          <cell r="H162" t="str">
            <v/>
          </cell>
        </row>
        <row r="163">
          <cell r="A163" t="str">
            <v>Aasterinian (LiGr)</v>
          </cell>
          <cell r="H163" t="str">
            <v/>
          </cell>
        </row>
        <row r="164">
          <cell r="A164" t="str">
            <v>Abbathor (LiGr)</v>
          </cell>
          <cell r="H164" t="str">
            <v/>
          </cell>
        </row>
        <row r="165">
          <cell r="A165" t="str">
            <v>Aerdrie Faenya (LiGr)</v>
          </cell>
          <cell r="H165" t="str">
            <v/>
          </cell>
        </row>
        <row r="166">
          <cell r="A166" t="str">
            <v>Al'Akbar (LiGr)</v>
          </cell>
          <cell r="H166" t="str">
            <v/>
          </cell>
        </row>
        <row r="167">
          <cell r="A167" t="str">
            <v>Allitur (LiGr)</v>
          </cell>
          <cell r="H167" t="str">
            <v/>
          </cell>
        </row>
        <row r="168">
          <cell r="A168" t="str">
            <v>Annam (LiGr)</v>
          </cell>
          <cell r="H168" t="str">
            <v/>
          </cell>
        </row>
        <row r="169">
          <cell r="A169" t="str">
            <v>Arvoreen (LiGr)</v>
          </cell>
          <cell r="H169" t="str">
            <v/>
          </cell>
        </row>
        <row r="170">
          <cell r="A170" t="str">
            <v>Atroa (LiGr)</v>
          </cell>
          <cell r="H170" t="str">
            <v/>
          </cell>
        </row>
        <row r="171">
          <cell r="A171" t="str">
            <v>Azor'alq (LiGr)</v>
          </cell>
          <cell r="H171" t="str">
            <v/>
          </cell>
        </row>
        <row r="172">
          <cell r="A172" t="str">
            <v>Baervan Wildwanderer (LiGr)</v>
          </cell>
          <cell r="H172" t="str">
            <v/>
          </cell>
        </row>
        <row r="173">
          <cell r="A173" t="str">
            <v>Bahamut (LiGr)</v>
          </cell>
          <cell r="H173" t="str">
            <v/>
          </cell>
        </row>
        <row r="174">
          <cell r="A174" t="str">
            <v>Bahgtru (LiGr)</v>
          </cell>
          <cell r="H174" t="str">
            <v/>
          </cell>
        </row>
        <row r="175">
          <cell r="A175" t="str">
            <v>Baravar Cloakshadow (LiGr)</v>
          </cell>
          <cell r="H175" t="str">
            <v/>
          </cell>
        </row>
        <row r="176">
          <cell r="A176" t="str">
            <v>Bargrivyek (LiGr)</v>
          </cell>
          <cell r="H176" t="str">
            <v/>
          </cell>
        </row>
        <row r="177">
          <cell r="A177" t="str">
            <v>Beltar (LiGr)</v>
          </cell>
          <cell r="H177" t="str">
            <v/>
          </cell>
        </row>
        <row r="178">
          <cell r="A178" t="str">
            <v>Beory (LiGr)</v>
          </cell>
          <cell r="H178" t="str">
            <v/>
          </cell>
        </row>
        <row r="179">
          <cell r="A179" t="str">
            <v>Berei (LiGr)</v>
          </cell>
          <cell r="H179" t="str">
            <v/>
          </cell>
        </row>
        <row r="180">
          <cell r="A180" t="str">
            <v>Berna (LiGr)</v>
          </cell>
          <cell r="H180" t="str">
            <v/>
          </cell>
        </row>
        <row r="181">
          <cell r="A181" t="str">
            <v>Berronar Truesilver (LiGr)</v>
          </cell>
          <cell r="H181" t="str">
            <v/>
          </cell>
        </row>
        <row r="182">
          <cell r="A182" t="str">
            <v>Bleredd (LiGr)</v>
          </cell>
          <cell r="H182" t="str">
            <v/>
          </cell>
        </row>
        <row r="183">
          <cell r="A183" t="str">
            <v>Blibdoolpoolp (LiGr)</v>
          </cell>
          <cell r="H183" t="str">
            <v/>
          </cell>
        </row>
        <row r="184">
          <cell r="A184" t="str">
            <v>Boccob (LiGr)</v>
          </cell>
          <cell r="H184" t="str">
            <v/>
          </cell>
        </row>
        <row r="185">
          <cell r="A185" t="str">
            <v>Bralm (LiGr)</v>
          </cell>
          <cell r="H185" t="str">
            <v/>
          </cell>
        </row>
        <row r="186">
          <cell r="A186" t="str">
            <v>Brandobaris (LiGr)</v>
          </cell>
          <cell r="H186" t="str">
            <v/>
          </cell>
        </row>
        <row r="187">
          <cell r="A187" t="str">
            <v>Callarduran Smoothhands (LiGr)</v>
          </cell>
          <cell r="H187" t="str">
            <v/>
          </cell>
        </row>
        <row r="188">
          <cell r="A188" t="str">
            <v>Camazotz (LiGr)</v>
          </cell>
          <cell r="H188" t="str">
            <v/>
          </cell>
        </row>
        <row r="189">
          <cell r="A189" t="str">
            <v>Celestian (LiGr)</v>
          </cell>
          <cell r="H189" t="str">
            <v/>
          </cell>
        </row>
        <row r="190">
          <cell r="A190" t="str">
            <v>Charmalaine (LiGr)</v>
          </cell>
          <cell r="H190" t="str">
            <v/>
          </cell>
        </row>
        <row r="191">
          <cell r="A191" t="str">
            <v>Chitza-Atlan (LiGr)</v>
          </cell>
          <cell r="H191" t="str">
            <v/>
          </cell>
        </row>
        <row r="192">
          <cell r="A192" t="str">
            <v>Chronepsis (LiGr)</v>
          </cell>
          <cell r="H192" t="str">
            <v/>
          </cell>
        </row>
        <row r="193">
          <cell r="A193" t="str">
            <v>Clangeddin Silverbeard (LiGr)</v>
          </cell>
          <cell r="H193" t="str">
            <v/>
          </cell>
        </row>
        <row r="194">
          <cell r="A194" t="str">
            <v>Corellon Larethian (LiGr)</v>
          </cell>
          <cell r="H194" t="str">
            <v/>
          </cell>
        </row>
        <row r="195">
          <cell r="A195" t="str">
            <v>Cyndor (LiGr)</v>
          </cell>
          <cell r="H195" t="str">
            <v/>
          </cell>
        </row>
        <row r="196">
          <cell r="A196" t="str">
            <v>Cyrrollalee (LiGr)</v>
          </cell>
          <cell r="H196" t="str">
            <v/>
          </cell>
        </row>
        <row r="197">
          <cell r="A197" t="str">
            <v>Daern (LiGr)</v>
          </cell>
          <cell r="H197" t="str">
            <v/>
          </cell>
        </row>
        <row r="198">
          <cell r="A198" t="str">
            <v>Dalt (LiGr)</v>
          </cell>
          <cell r="H198" t="str">
            <v/>
          </cell>
        </row>
        <row r="199">
          <cell r="A199" t="str">
            <v>Damaran (LiGr)</v>
          </cell>
          <cell r="H199" t="str">
            <v/>
          </cell>
        </row>
        <row r="200">
          <cell r="A200" t="str">
            <v>Daoud (LiGr)</v>
          </cell>
          <cell r="H200" t="str">
            <v/>
          </cell>
        </row>
        <row r="201">
          <cell r="A201" t="str">
            <v>Deep Sashelas (LiGr)</v>
          </cell>
          <cell r="H201" t="str">
            <v/>
          </cell>
        </row>
        <row r="202">
          <cell r="A202" t="str">
            <v>Delleb (LiGr)</v>
          </cell>
          <cell r="H202" t="str">
            <v/>
          </cell>
        </row>
        <row r="203">
          <cell r="A203" t="str">
            <v>Diirinka (LiGr)</v>
          </cell>
          <cell r="H203" t="str">
            <v/>
          </cell>
        </row>
        <row r="204">
          <cell r="A204" t="str">
            <v>Doresain (LiGr)</v>
          </cell>
          <cell r="H204" t="str">
            <v/>
          </cell>
        </row>
        <row r="205">
          <cell r="A205" t="str">
            <v>Dugmaren Brightmantle (LiGr)</v>
          </cell>
          <cell r="H205" t="str">
            <v/>
          </cell>
        </row>
        <row r="206">
          <cell r="A206" t="str">
            <v>Dumathoin (LiGr)</v>
          </cell>
          <cell r="H206" t="str">
            <v/>
          </cell>
        </row>
        <row r="207">
          <cell r="A207" t="str">
            <v>Eadro (LiGr)</v>
          </cell>
          <cell r="H207" t="str">
            <v/>
          </cell>
        </row>
        <row r="208">
          <cell r="A208" t="str">
            <v>Earth Dragon (LiGr)</v>
          </cell>
          <cell r="H208" t="str">
            <v/>
          </cell>
        </row>
        <row r="209">
          <cell r="A209" t="str">
            <v>Ehlonna (LiGr)</v>
          </cell>
          <cell r="H209" t="str">
            <v/>
          </cell>
        </row>
        <row r="210">
          <cell r="A210" t="str">
            <v>Elder Elemental Eye (LiGr)</v>
          </cell>
          <cell r="H210" t="str">
            <v/>
          </cell>
        </row>
        <row r="211">
          <cell r="A211" t="str">
            <v>Erevan Ilesere (LiGr)</v>
          </cell>
          <cell r="H211" t="str">
            <v/>
          </cell>
        </row>
        <row r="212">
          <cell r="A212" t="str">
            <v>Erythnul (LiGr)</v>
          </cell>
          <cell r="H212" t="str">
            <v/>
          </cell>
        </row>
        <row r="213">
          <cell r="A213" t="str">
            <v>Falazure (LiGr)</v>
          </cell>
          <cell r="H213" t="str">
            <v/>
          </cell>
        </row>
        <row r="214">
          <cell r="A214" t="str">
            <v>Fenmarel Mestarine (LiGr)</v>
          </cell>
          <cell r="H214" t="str">
            <v/>
          </cell>
        </row>
        <row r="215">
          <cell r="A215" t="str">
            <v>Fharlanghn (LiGr)</v>
          </cell>
          <cell r="H215" t="str">
            <v/>
          </cell>
        </row>
        <row r="216">
          <cell r="A216" t="str">
            <v>Flandal Steelskin (LiGr)</v>
          </cell>
          <cell r="H216" t="str">
            <v/>
          </cell>
        </row>
        <row r="217">
          <cell r="A217" t="str">
            <v>Fortubo (LiGr)</v>
          </cell>
          <cell r="H217" t="str">
            <v/>
          </cell>
        </row>
        <row r="218">
          <cell r="A218" t="str">
            <v>Gadhelyn (LiGr)</v>
          </cell>
          <cell r="H218" t="str">
            <v/>
          </cell>
        </row>
        <row r="219">
          <cell r="A219" t="str">
            <v>Gaerdal Ironhand (LiGr)</v>
          </cell>
          <cell r="H219" t="str">
            <v/>
          </cell>
        </row>
        <row r="220">
          <cell r="A220" t="str">
            <v>Gaknulak (LiGr)</v>
          </cell>
          <cell r="H220" t="str">
            <v/>
          </cell>
        </row>
        <row r="221">
          <cell r="A221" t="str">
            <v>Garl Glittergold (LiGr)</v>
          </cell>
          <cell r="H221" t="str">
            <v/>
          </cell>
        </row>
        <row r="222">
          <cell r="A222" t="str">
            <v>Gendwar Argrim (LiGr)</v>
          </cell>
          <cell r="H222" t="str">
            <v/>
          </cell>
        </row>
        <row r="223">
          <cell r="A223" t="str">
            <v>Geshtai (LiGr)</v>
          </cell>
          <cell r="H223" t="str">
            <v/>
          </cell>
        </row>
        <row r="224">
          <cell r="A224" t="str">
            <v>Grankhul (LiGr)</v>
          </cell>
          <cell r="H224" t="str">
            <v/>
          </cell>
        </row>
        <row r="225">
          <cell r="A225" t="str">
            <v>Great Mother (LiGr)</v>
          </cell>
          <cell r="H225" t="str">
            <v/>
          </cell>
        </row>
        <row r="226">
          <cell r="A226" t="str">
            <v>Grolantor (LiGr)</v>
          </cell>
          <cell r="H226" t="str">
            <v/>
          </cell>
        </row>
        <row r="227">
          <cell r="A227" t="str">
            <v>Gruumsh (LiGr)</v>
          </cell>
          <cell r="H227" t="str">
            <v/>
          </cell>
        </row>
        <row r="228">
          <cell r="A228" t="str">
            <v>Hanali Celanil (LiGr)</v>
          </cell>
          <cell r="H228" t="str">
            <v/>
          </cell>
        </row>
        <row r="229">
          <cell r="A229" t="str">
            <v>Heironeous (LiGr)</v>
          </cell>
          <cell r="H229" t="str">
            <v/>
          </cell>
        </row>
        <row r="230">
          <cell r="A230" t="str">
            <v>Heward (LiGr)</v>
          </cell>
          <cell r="H230" t="str">
            <v/>
          </cell>
        </row>
        <row r="231">
          <cell r="A231" t="str">
            <v>Hextor (LiGr)</v>
          </cell>
          <cell r="H231" t="str">
            <v/>
          </cell>
        </row>
        <row r="232">
          <cell r="A232" t="str">
            <v>Hiatea (LiGr)</v>
          </cell>
          <cell r="H232" t="str">
            <v/>
          </cell>
        </row>
        <row r="233">
          <cell r="A233" t="str">
            <v>Hruggek (LiGr)</v>
          </cell>
          <cell r="H233" t="str">
            <v/>
          </cell>
        </row>
        <row r="234">
          <cell r="A234" t="str">
            <v>Huhueteotl (LiGr)</v>
          </cell>
          <cell r="H234" t="str">
            <v/>
          </cell>
        </row>
        <row r="235">
          <cell r="A235" t="str">
            <v>Hurakon (LiGr)</v>
          </cell>
          <cell r="H235" t="str">
            <v/>
          </cell>
        </row>
        <row r="236">
          <cell r="A236" t="str">
            <v>Iallanis (LiGr)</v>
          </cell>
          <cell r="H236" t="str">
            <v/>
          </cell>
        </row>
        <row r="237">
          <cell r="A237" t="str">
            <v>Ilneval (LiGr)</v>
          </cell>
          <cell r="H237" t="str">
            <v/>
          </cell>
        </row>
        <row r="238">
          <cell r="A238" t="str">
            <v>Ilsensine (LiGr)</v>
          </cell>
          <cell r="H238" t="str">
            <v/>
          </cell>
        </row>
        <row r="239">
          <cell r="A239" t="str">
            <v>Incabulos (LiGr)</v>
          </cell>
          <cell r="H239" t="str">
            <v/>
          </cell>
        </row>
        <row r="240">
          <cell r="A240" t="str">
            <v>Io (LiGr)</v>
          </cell>
          <cell r="H240" t="str">
            <v/>
          </cell>
        </row>
        <row r="241">
          <cell r="A241" t="str">
            <v>Istus (LiGr)</v>
          </cell>
          <cell r="H241" t="str">
            <v/>
          </cell>
        </row>
        <row r="242">
          <cell r="A242" t="str">
            <v>Iuz (LiGr)</v>
          </cell>
          <cell r="H242" t="str">
            <v/>
          </cell>
        </row>
        <row r="243">
          <cell r="A243" t="str">
            <v>Jascar (LiGr)</v>
          </cell>
          <cell r="H243" t="str">
            <v/>
          </cell>
        </row>
        <row r="244">
          <cell r="A244" t="str">
            <v>Johydee (LiGr)</v>
          </cell>
          <cell r="H244" t="str">
            <v/>
          </cell>
        </row>
        <row r="245">
          <cell r="A245" t="str">
            <v>Joramy (LiGr)</v>
          </cell>
          <cell r="H245" t="str">
            <v/>
          </cell>
        </row>
        <row r="246">
          <cell r="A246" t="str">
            <v>Karontor (LiGr)</v>
          </cell>
          <cell r="H246" t="str">
            <v/>
          </cell>
        </row>
        <row r="247">
          <cell r="A247" t="str">
            <v>Katay (LiGr)</v>
          </cell>
          <cell r="H247" t="str">
            <v/>
          </cell>
        </row>
        <row r="248">
          <cell r="A248" t="str">
            <v>Kelanen (LiGr)</v>
          </cell>
          <cell r="H248" t="str">
            <v/>
          </cell>
        </row>
        <row r="249">
          <cell r="A249" t="str">
            <v>Keoghtom (LiGr)</v>
          </cell>
          <cell r="H249" t="str">
            <v/>
          </cell>
        </row>
        <row r="250">
          <cell r="A250" t="str">
            <v>Keptolo (LiGr)</v>
          </cell>
          <cell r="H250" t="str">
            <v/>
          </cell>
        </row>
        <row r="251">
          <cell r="A251" t="str">
            <v>Khurgorbaeyag (LiGr)</v>
          </cell>
          <cell r="H251" t="str">
            <v/>
          </cell>
        </row>
        <row r="252">
          <cell r="A252" t="str">
            <v>Kiaransali (LiGr)</v>
          </cell>
          <cell r="H252" t="str">
            <v/>
          </cell>
        </row>
        <row r="253">
          <cell r="A253" t="str">
            <v>Kord (LiGr)</v>
          </cell>
          <cell r="H253" t="str">
            <v/>
          </cell>
        </row>
        <row r="254">
          <cell r="A254" t="str">
            <v>Kundo (LiGr)</v>
          </cell>
          <cell r="H254" t="str">
            <v/>
          </cell>
        </row>
        <row r="255">
          <cell r="A255" t="str">
            <v>Kurell (LiGr)</v>
          </cell>
          <cell r="H255" t="str">
            <v/>
          </cell>
        </row>
        <row r="256">
          <cell r="A256" t="str">
            <v>Kuroth (LiGr)</v>
          </cell>
          <cell r="H256" t="str">
            <v/>
          </cell>
        </row>
        <row r="257">
          <cell r="A257" t="str">
            <v>Kurtulmak (LiGr)</v>
          </cell>
          <cell r="H257" t="str">
            <v/>
          </cell>
        </row>
        <row r="258">
          <cell r="A258" t="str">
            <v>Kyuss (LiGr)</v>
          </cell>
          <cell r="H258" t="str">
            <v/>
          </cell>
        </row>
        <row r="259">
          <cell r="A259" t="str">
            <v>Labelas Enoreth (LiGr)</v>
          </cell>
          <cell r="H259" t="str">
            <v/>
          </cell>
        </row>
        <row r="260">
          <cell r="A260" t="str">
            <v>Laduguer (LiGr)</v>
          </cell>
          <cell r="H260" t="str">
            <v/>
          </cell>
        </row>
        <row r="261">
          <cell r="A261" t="str">
            <v>Laogzed (LiGr)</v>
          </cell>
          <cell r="H261" t="str">
            <v/>
          </cell>
        </row>
        <row r="262">
          <cell r="A262" t="str">
            <v>Lendor (LiGr)</v>
          </cell>
          <cell r="H262" t="str">
            <v/>
          </cell>
        </row>
        <row r="263">
          <cell r="A263" t="str">
            <v>Lirr (LiGr)</v>
          </cell>
          <cell r="H263" t="str">
            <v/>
          </cell>
        </row>
        <row r="264">
          <cell r="A264" t="str">
            <v>Llerg (LiGr)</v>
          </cell>
          <cell r="H264" t="str">
            <v/>
          </cell>
        </row>
        <row r="265">
          <cell r="A265" t="str">
            <v>Lolth (LiGr)</v>
          </cell>
          <cell r="H265" t="str">
            <v/>
          </cell>
        </row>
        <row r="266">
          <cell r="A266" t="str">
            <v>Luthic (LiGr)</v>
          </cell>
          <cell r="H266" t="str">
            <v/>
          </cell>
        </row>
        <row r="267">
          <cell r="A267" t="str">
            <v>Lydia (LiGr)</v>
          </cell>
          <cell r="H267" t="str">
            <v/>
          </cell>
        </row>
        <row r="268">
          <cell r="A268" t="str">
            <v>Maglubiyet (LiGr)</v>
          </cell>
          <cell r="H268" t="str">
            <v/>
          </cell>
        </row>
        <row r="269">
          <cell r="A269" t="str">
            <v>Mayaheine (LiGr)</v>
          </cell>
          <cell r="H269" t="str">
            <v/>
          </cell>
        </row>
        <row r="270">
          <cell r="A270" t="str">
            <v>Memnor (LiGr)</v>
          </cell>
          <cell r="H270" t="str">
            <v/>
          </cell>
        </row>
        <row r="271">
          <cell r="A271" t="str">
            <v>Merikka (LiGr)</v>
          </cell>
          <cell r="H271" t="str">
            <v/>
          </cell>
        </row>
        <row r="272">
          <cell r="A272" t="str">
            <v>Merrshaulk (LiGr)</v>
          </cell>
          <cell r="H272" t="str">
            <v/>
          </cell>
        </row>
        <row r="273">
          <cell r="A273" t="str">
            <v>Meyanok (LiGr)</v>
          </cell>
          <cell r="H273" t="str">
            <v/>
          </cell>
        </row>
        <row r="274">
          <cell r="A274" t="str">
            <v>Mictlantecuhtli (LiGr)</v>
          </cell>
          <cell r="H274" t="str">
            <v/>
          </cell>
        </row>
        <row r="275">
          <cell r="A275" t="str">
            <v>Moradin (LiGr)</v>
          </cell>
          <cell r="H275" t="str">
            <v/>
          </cell>
        </row>
        <row r="276">
          <cell r="A276" t="str">
            <v>Mouqol (LiGr)</v>
          </cell>
          <cell r="H276" t="str">
            <v/>
          </cell>
        </row>
        <row r="277">
          <cell r="A277" t="str">
            <v>Muamman Duathal (LiGr)</v>
          </cell>
          <cell r="H277" t="str">
            <v/>
          </cell>
        </row>
        <row r="278">
          <cell r="A278" t="str">
            <v>Murlynd (LiGr)</v>
          </cell>
          <cell r="H278" t="str">
            <v/>
          </cell>
        </row>
        <row r="279">
          <cell r="A279" t="str">
            <v>Myrhiss (LiGr)</v>
          </cell>
          <cell r="H279" t="str">
            <v/>
          </cell>
        </row>
        <row r="280">
          <cell r="A280" t="str">
            <v>Nazarn (LiGr)</v>
          </cell>
          <cell r="H280" t="str">
            <v/>
          </cell>
        </row>
        <row r="281">
          <cell r="A281" t="str">
            <v>Nerull (LiGr)</v>
          </cell>
          <cell r="H281" t="str">
            <v/>
          </cell>
        </row>
        <row r="282">
          <cell r="A282" t="str">
            <v>Nola (LiGr)</v>
          </cell>
          <cell r="H282" t="str">
            <v/>
          </cell>
        </row>
        <row r="283">
          <cell r="A283" t="str">
            <v>Nomog-Geaya (LiGr)</v>
          </cell>
          <cell r="H283" t="str">
            <v/>
          </cell>
        </row>
        <row r="284">
          <cell r="A284" t="str">
            <v>Norebo (LiGr)</v>
          </cell>
          <cell r="H284" t="str">
            <v/>
          </cell>
        </row>
        <row r="285">
          <cell r="A285" t="str">
            <v>Obad-Hai (LiGr)</v>
          </cell>
          <cell r="H285" t="str">
            <v/>
          </cell>
        </row>
        <row r="286">
          <cell r="A286" t="str">
            <v>Olidammara (LiGr)</v>
          </cell>
          <cell r="H286" t="str">
            <v/>
          </cell>
        </row>
        <row r="287">
          <cell r="A287" t="str">
            <v>Osprem (LiGr)</v>
          </cell>
          <cell r="H287" t="str">
            <v/>
          </cell>
        </row>
        <row r="288">
          <cell r="A288" t="str">
            <v>Panzuriel (LiGr)</v>
          </cell>
          <cell r="H288" t="str">
            <v/>
          </cell>
        </row>
        <row r="289">
          <cell r="A289" t="str">
            <v>Pelor (LiGr)</v>
          </cell>
          <cell r="H289" t="str">
            <v/>
          </cell>
        </row>
        <row r="290">
          <cell r="A290" t="str">
            <v>Phaulkon (LiGr)</v>
          </cell>
          <cell r="H290" t="str">
            <v/>
          </cell>
        </row>
        <row r="291">
          <cell r="A291" t="str">
            <v>Pholtus (LiGr)</v>
          </cell>
          <cell r="H291" t="str">
            <v/>
          </cell>
        </row>
        <row r="292">
          <cell r="A292" t="str">
            <v>Phyton (LiGr)</v>
          </cell>
          <cell r="H292" t="str">
            <v/>
          </cell>
        </row>
        <row r="293">
          <cell r="A293" t="str">
            <v>Procan (LiGr)</v>
          </cell>
          <cell r="H293" t="str">
            <v/>
          </cell>
        </row>
        <row r="294">
          <cell r="A294" t="str">
            <v>Pyremius (LiGr)</v>
          </cell>
          <cell r="H294" t="str">
            <v/>
          </cell>
        </row>
        <row r="295">
          <cell r="A295" t="str">
            <v>Quetzalcoatl (LiGr)</v>
          </cell>
          <cell r="H295" t="str">
            <v/>
          </cell>
        </row>
        <row r="296">
          <cell r="A296" t="str">
            <v>Ralishaz (LiGr)</v>
          </cell>
          <cell r="H296" t="str">
            <v/>
          </cell>
        </row>
        <row r="297">
          <cell r="A297" t="str">
            <v>Rao (LiGr)</v>
          </cell>
          <cell r="H297" t="str">
            <v/>
          </cell>
        </row>
        <row r="298">
          <cell r="A298" t="str">
            <v>Raxivort (LiGr)</v>
          </cell>
          <cell r="H298" t="str">
            <v/>
          </cell>
        </row>
        <row r="299">
          <cell r="A299" t="str">
            <v>Rillifane Rallathil (LiGr)</v>
          </cell>
          <cell r="H299" t="str">
            <v/>
          </cell>
        </row>
        <row r="300">
          <cell r="A300" t="str">
            <v>Roykyn (LiGr)</v>
          </cell>
          <cell r="H300" t="str">
            <v/>
          </cell>
        </row>
        <row r="301">
          <cell r="A301" t="str">
            <v>Rudd (LiGr)</v>
          </cell>
          <cell r="H301" t="str">
            <v/>
          </cell>
        </row>
        <row r="302">
          <cell r="A302" t="str">
            <v>Segojan Earthcaller (LiGr)</v>
          </cell>
          <cell r="H302" t="str">
            <v/>
          </cell>
        </row>
        <row r="303">
          <cell r="A303" t="str">
            <v>Sehanine Moonbow (LiGr)</v>
          </cell>
          <cell r="H303" t="str">
            <v/>
          </cell>
        </row>
        <row r="304">
          <cell r="A304" t="str">
            <v>Sekolah (LiGr)</v>
          </cell>
          <cell r="H304" t="str">
            <v/>
          </cell>
        </row>
        <row r="305">
          <cell r="A305" t="str">
            <v>Semuanya (LiGr)</v>
          </cell>
          <cell r="H305" t="str">
            <v/>
          </cell>
        </row>
        <row r="306">
          <cell r="A306" t="str">
            <v>Shargaas (LiGr)</v>
          </cell>
          <cell r="H306" t="str">
            <v/>
          </cell>
        </row>
        <row r="307">
          <cell r="A307" t="str">
            <v>Sheela Peryroyl (LiGr)</v>
          </cell>
          <cell r="H307" t="str">
            <v/>
          </cell>
        </row>
        <row r="308">
          <cell r="A308" t="str">
            <v>Shekinester (LiGr)</v>
          </cell>
          <cell r="H308" t="str">
            <v/>
          </cell>
        </row>
        <row r="309">
          <cell r="A309" t="str">
            <v>Shekinester (LiGr)</v>
          </cell>
          <cell r="H309" t="str">
            <v/>
          </cell>
        </row>
        <row r="310">
          <cell r="A310" t="str">
            <v>Shekinester (LiGr)</v>
          </cell>
          <cell r="H310" t="str">
            <v/>
          </cell>
        </row>
        <row r="311">
          <cell r="A311" t="str">
            <v>Sixin (LiGr)</v>
          </cell>
          <cell r="H311" t="str">
            <v/>
          </cell>
        </row>
        <row r="312">
          <cell r="A312" t="str">
            <v>Skerrit (LiGr)</v>
          </cell>
          <cell r="H312" t="str">
            <v/>
          </cell>
        </row>
        <row r="313">
          <cell r="A313" t="str">
            <v>Skoraeus Stonebones (LiGr)</v>
          </cell>
          <cell r="H313" t="str">
            <v/>
          </cell>
        </row>
        <row r="314">
          <cell r="A314" t="str">
            <v>Solonor Thelandira (LiGr)</v>
          </cell>
          <cell r="H314" t="str">
            <v/>
          </cell>
        </row>
        <row r="315">
          <cell r="A315" t="str">
            <v>Sotillion (LiGr)</v>
          </cell>
          <cell r="H315" t="str">
            <v/>
          </cell>
        </row>
        <row r="316">
          <cell r="A316" t="str">
            <v>Squerrik (LiGr)</v>
          </cell>
          <cell r="H316" t="str">
            <v/>
          </cell>
        </row>
        <row r="317">
          <cell r="A317" t="str">
            <v>St. Cuthbert (LiGr)</v>
          </cell>
          <cell r="H317" t="str">
            <v/>
          </cell>
        </row>
        <row r="318">
          <cell r="A318" t="str">
            <v>Stern Alia (LiGr)</v>
          </cell>
          <cell r="H318" t="str">
            <v/>
          </cell>
        </row>
        <row r="319">
          <cell r="A319" t="str">
            <v>Stronmaus (LiGr)</v>
          </cell>
          <cell r="H319" t="str">
            <v/>
          </cell>
        </row>
        <row r="320">
          <cell r="A320" t="str">
            <v>Surtr (LiGr)</v>
          </cell>
          <cell r="H320" t="str">
            <v/>
          </cell>
        </row>
        <row r="321">
          <cell r="A321" t="str">
            <v>Syrul (LiGr)</v>
          </cell>
          <cell r="H321" t="str">
            <v/>
          </cell>
        </row>
        <row r="322">
          <cell r="A322" t="str">
            <v>Telchur (LiGr)</v>
          </cell>
          <cell r="H322" t="str">
            <v/>
          </cell>
        </row>
        <row r="323">
          <cell r="A323" t="str">
            <v>Tezcatlipoca (LiGr)</v>
          </cell>
          <cell r="H323" t="str">
            <v/>
          </cell>
        </row>
        <row r="324">
          <cell r="A324" t="str">
            <v>Tharizdun (LiGr)</v>
          </cell>
          <cell r="H324" t="str">
            <v/>
          </cell>
        </row>
        <row r="325">
          <cell r="A325" t="str">
            <v>Thrym (LiGr)</v>
          </cell>
          <cell r="H325" t="str">
            <v/>
          </cell>
        </row>
        <row r="326">
          <cell r="A326" t="str">
            <v>Tiamat (LiGr)</v>
          </cell>
          <cell r="H326" t="str">
            <v/>
          </cell>
        </row>
        <row r="327">
          <cell r="A327" t="str">
            <v>Tlaloc (LiGr)</v>
          </cell>
          <cell r="H327" t="str">
            <v/>
          </cell>
        </row>
        <row r="328">
          <cell r="A328" t="str">
            <v>Tlazoteotl (LiGr)</v>
          </cell>
          <cell r="H328" t="str">
            <v/>
          </cell>
        </row>
        <row r="329">
          <cell r="A329" t="str">
            <v>Trithereon (LiGr)</v>
          </cell>
          <cell r="H329" t="str">
            <v/>
          </cell>
        </row>
        <row r="330">
          <cell r="A330" t="str">
            <v>Tsolorandril (LiGr)</v>
          </cell>
          <cell r="H330" t="str">
            <v/>
          </cell>
        </row>
        <row r="331">
          <cell r="A331" t="str">
            <v>Ulaa (LiGr)</v>
          </cell>
          <cell r="H331" t="str">
            <v/>
          </cell>
        </row>
        <row r="332">
          <cell r="A332" t="str">
            <v>Urdlen (LiGr)</v>
          </cell>
          <cell r="H332" t="str">
            <v/>
          </cell>
        </row>
        <row r="333">
          <cell r="A333" t="str">
            <v>Urogalan (LiGr)</v>
          </cell>
          <cell r="H333" t="str">
            <v/>
          </cell>
        </row>
        <row r="334">
          <cell r="A334" t="str">
            <v>Uvot (LiGr)</v>
          </cell>
          <cell r="H334" t="str">
            <v/>
          </cell>
        </row>
        <row r="335">
          <cell r="A335" t="str">
            <v>Vaprak (LiGr)</v>
          </cell>
          <cell r="H335" t="str">
            <v/>
          </cell>
        </row>
        <row r="336">
          <cell r="A336" t="str">
            <v>Vara (LiGr)</v>
          </cell>
          <cell r="H336" t="str">
            <v/>
          </cell>
        </row>
        <row r="337">
          <cell r="A337" t="str">
            <v>Vathris (LiGr)</v>
          </cell>
          <cell r="H337" t="str">
            <v/>
          </cell>
        </row>
        <row r="338">
          <cell r="A338" t="str">
            <v>Vatun (LiGr)</v>
          </cell>
          <cell r="H338" t="str">
            <v/>
          </cell>
        </row>
        <row r="339">
          <cell r="A339" t="str">
            <v>Vecna (LiGr)</v>
          </cell>
          <cell r="H339" t="str">
            <v/>
          </cell>
        </row>
        <row r="340">
          <cell r="A340" t="str">
            <v>Velnius (LiGr)</v>
          </cell>
          <cell r="H340" t="str">
            <v/>
          </cell>
        </row>
        <row r="341">
          <cell r="A341" t="str">
            <v>Vergadain (LiGr)</v>
          </cell>
          <cell r="H341" t="str">
            <v/>
          </cell>
        </row>
        <row r="342">
          <cell r="A342" t="str">
            <v>Vhaeraun (LiGr)</v>
          </cell>
          <cell r="H342" t="str">
            <v/>
          </cell>
        </row>
        <row r="343">
          <cell r="A343" t="str">
            <v>Vogan (LiGr)</v>
          </cell>
          <cell r="H343" t="str">
            <v/>
          </cell>
        </row>
        <row r="344">
          <cell r="A344" t="str">
            <v>Wastri (LiGr)</v>
          </cell>
          <cell r="H344" t="str">
            <v/>
          </cell>
        </row>
        <row r="345">
          <cell r="A345" t="str">
            <v>Wee Jas (LiGr)</v>
          </cell>
          <cell r="H345" t="str">
            <v/>
          </cell>
        </row>
        <row r="346">
          <cell r="A346" t="str">
            <v>Wenta (LiGr)</v>
          </cell>
          <cell r="H346" t="str">
            <v/>
          </cell>
        </row>
        <row r="347">
          <cell r="A347" t="str">
            <v>Xan Yae (LiGr)</v>
          </cell>
          <cell r="H347" t="str">
            <v/>
          </cell>
        </row>
        <row r="348">
          <cell r="A348" t="str">
            <v>Xanag (LiGr)</v>
          </cell>
          <cell r="H348" t="str">
            <v/>
          </cell>
        </row>
        <row r="349">
          <cell r="A349" t="str">
            <v>Xerbo (LiGr)</v>
          </cell>
          <cell r="H349" t="str">
            <v/>
          </cell>
        </row>
        <row r="350">
          <cell r="A350" t="str">
            <v>Ye'Cind (LiGr)</v>
          </cell>
          <cell r="H350" t="str">
            <v/>
          </cell>
        </row>
        <row r="351">
          <cell r="A351" t="str">
            <v>Yondalla (LiGr)</v>
          </cell>
          <cell r="H351" t="str">
            <v/>
          </cell>
        </row>
        <row r="352">
          <cell r="A352" t="str">
            <v>Yurtrus (LiGr)</v>
          </cell>
          <cell r="H352" t="str">
            <v/>
          </cell>
        </row>
        <row r="353">
          <cell r="A353" t="str">
            <v>Zagyg (LiGr)</v>
          </cell>
          <cell r="H353" t="str">
            <v/>
          </cell>
        </row>
        <row r="354">
          <cell r="A354" t="str">
            <v>Zilchus (LiGr)</v>
          </cell>
          <cell r="H354" t="str">
            <v/>
          </cell>
        </row>
        <row r="355">
          <cell r="A355" t="str">
            <v>Zinzerena</v>
          </cell>
          <cell r="H355" t="str">
            <v/>
          </cell>
        </row>
        <row r="356">
          <cell r="A356" t="str">
            <v>Zodal (LiGr)</v>
          </cell>
          <cell r="H356" t="str">
            <v/>
          </cell>
        </row>
        <row r="357">
          <cell r="A357" t="str">
            <v>Zuoken (LiGr)</v>
          </cell>
          <cell r="H357" t="str">
            <v/>
          </cell>
        </row>
        <row r="358">
          <cell r="A358" t="str">
            <v>Abbathor (FRCS)</v>
          </cell>
          <cell r="H358" t="str">
            <v/>
          </cell>
        </row>
        <row r="359">
          <cell r="A359" t="str">
            <v>Aerdrie Faenya (FRCS)</v>
          </cell>
          <cell r="H359" t="str">
            <v/>
          </cell>
        </row>
        <row r="360">
          <cell r="A360" t="str">
            <v>Akadi (FRCS)</v>
          </cell>
          <cell r="H360" t="str">
            <v/>
          </cell>
        </row>
        <row r="361">
          <cell r="A361" t="str">
            <v>Angharradh (FRCS)</v>
          </cell>
          <cell r="H361" t="str">
            <v/>
          </cell>
        </row>
        <row r="362">
          <cell r="A362" t="str">
            <v>Anhur (FRCS)</v>
          </cell>
          <cell r="H362" t="str">
            <v/>
          </cell>
        </row>
        <row r="363">
          <cell r="A363" t="str">
            <v>Arvoreen (FRCS)</v>
          </cell>
          <cell r="H363" t="str">
            <v/>
          </cell>
        </row>
        <row r="364">
          <cell r="A364" t="str">
            <v>Auril (FRCS)</v>
          </cell>
          <cell r="H364" t="str">
            <v/>
          </cell>
        </row>
        <row r="365">
          <cell r="A365" t="str">
            <v>Azuth (FRCS)</v>
          </cell>
          <cell r="H365" t="str">
            <v/>
          </cell>
        </row>
        <row r="366">
          <cell r="A366" t="str">
            <v>Baervan Wildwanderer (FRCS)</v>
          </cell>
          <cell r="H366" t="str">
            <v/>
          </cell>
        </row>
        <row r="367">
          <cell r="A367" t="str">
            <v>Bahgtru (FRCS)</v>
          </cell>
          <cell r="H367" t="str">
            <v/>
          </cell>
        </row>
        <row r="368">
          <cell r="A368" t="str">
            <v>Bane (FRCS)</v>
          </cell>
          <cell r="H368" t="str">
            <v/>
          </cell>
        </row>
        <row r="369">
          <cell r="A369" t="str">
            <v>Baravar Cloakshadow (FRCS)</v>
          </cell>
          <cell r="H369" t="str">
            <v/>
          </cell>
        </row>
        <row r="370">
          <cell r="A370" t="str">
            <v>Berronar Truesilver (FRCS)</v>
          </cell>
          <cell r="H370" t="str">
            <v/>
          </cell>
        </row>
        <row r="371">
          <cell r="A371" t="str">
            <v>Beshaba (FRCS)</v>
          </cell>
          <cell r="H371" t="str">
            <v/>
          </cell>
        </row>
        <row r="372">
          <cell r="A372" t="str">
            <v>Brandobaris (FRCS)</v>
          </cell>
          <cell r="H372" t="str">
            <v/>
          </cell>
        </row>
        <row r="373">
          <cell r="A373" t="str">
            <v>Callarduran Smoothhands (FRCS)</v>
          </cell>
          <cell r="H373" t="str">
            <v/>
          </cell>
        </row>
        <row r="374">
          <cell r="A374" t="str">
            <v>Chauntea (FRCS)</v>
          </cell>
          <cell r="H374" t="str">
            <v/>
          </cell>
        </row>
        <row r="375">
          <cell r="A375" t="str">
            <v>Clangeddin Silverbeard (FRCS)</v>
          </cell>
          <cell r="H375" t="str">
            <v/>
          </cell>
        </row>
        <row r="376">
          <cell r="A376" t="str">
            <v>Corellon Larethian (FRCS)</v>
          </cell>
          <cell r="H376" t="str">
            <v/>
          </cell>
        </row>
        <row r="377">
          <cell r="A377" t="str">
            <v>Cyric (FRCS)</v>
          </cell>
          <cell r="H377" t="str">
            <v/>
          </cell>
        </row>
        <row r="378">
          <cell r="A378" t="str">
            <v>Cyrrollalee (FRCS)</v>
          </cell>
          <cell r="H378" t="str">
            <v/>
          </cell>
        </row>
        <row r="379">
          <cell r="A379" t="str">
            <v>Deep Duerra (duergar) (FRCS)</v>
          </cell>
          <cell r="H379" t="str">
            <v/>
          </cell>
        </row>
        <row r="380">
          <cell r="A380" t="str">
            <v>Deep Sashelas (FRCS)</v>
          </cell>
          <cell r="H380" t="str">
            <v/>
          </cell>
        </row>
        <row r="381">
          <cell r="A381" t="str">
            <v>Deneir (FRCS)</v>
          </cell>
          <cell r="H381" t="str">
            <v/>
          </cell>
        </row>
        <row r="382">
          <cell r="A382" t="str">
            <v>Dugmaren Brightmantle (FRCS)</v>
          </cell>
          <cell r="H382" t="str">
            <v/>
          </cell>
        </row>
        <row r="383">
          <cell r="A383" t="str">
            <v>Dumathoin (FRCS)</v>
          </cell>
          <cell r="H383" t="str">
            <v/>
          </cell>
        </row>
        <row r="384">
          <cell r="A384" t="str">
            <v>Eilistraee (FRCS)</v>
          </cell>
          <cell r="H384" t="str">
            <v/>
          </cell>
        </row>
        <row r="385">
          <cell r="A385" t="str">
            <v>Eldath (FRCS)</v>
          </cell>
          <cell r="H385" t="str">
            <v/>
          </cell>
        </row>
        <row r="386">
          <cell r="A386" t="str">
            <v>Erevan Ilesere (FRCS)</v>
          </cell>
          <cell r="H386" t="str">
            <v/>
          </cell>
        </row>
        <row r="387">
          <cell r="A387" t="str">
            <v>Fenmarel Mestarine (FRCS)</v>
          </cell>
          <cell r="H387" t="str">
            <v/>
          </cell>
        </row>
        <row r="388">
          <cell r="A388" t="str">
            <v>Finder Wyvernspur (FRCS)</v>
          </cell>
          <cell r="H388" t="str">
            <v/>
          </cell>
        </row>
        <row r="389">
          <cell r="A389" t="str">
            <v>Flandal Steelskin (FRCS)</v>
          </cell>
          <cell r="H389" t="str">
            <v/>
          </cell>
        </row>
        <row r="390">
          <cell r="A390" t="str">
            <v>Gaerdal Ironhand (FRCS)</v>
          </cell>
          <cell r="H390" t="str">
            <v/>
          </cell>
        </row>
        <row r="391">
          <cell r="A391" t="str">
            <v>Garagos (FRCS)</v>
          </cell>
          <cell r="H391" t="str">
            <v/>
          </cell>
        </row>
        <row r="392">
          <cell r="A392" t="str">
            <v>Gargauth (FRCS)</v>
          </cell>
          <cell r="H392" t="str">
            <v/>
          </cell>
        </row>
        <row r="393">
          <cell r="A393" t="str">
            <v>Garl Glittergold (FRCS)</v>
          </cell>
          <cell r="H393" t="str">
            <v/>
          </cell>
        </row>
        <row r="394">
          <cell r="A394" t="str">
            <v>Geb (FRCS)</v>
          </cell>
          <cell r="H394" t="str">
            <v/>
          </cell>
        </row>
        <row r="395">
          <cell r="A395" t="str">
            <v>Ghaunadaur (FRCS)</v>
          </cell>
          <cell r="H395" t="str">
            <v/>
          </cell>
        </row>
        <row r="396">
          <cell r="A396" t="str">
            <v>Gond (FRCS)</v>
          </cell>
          <cell r="H396" t="str">
            <v/>
          </cell>
        </row>
        <row r="397">
          <cell r="A397" t="str">
            <v>Gorm Gulthyn (FRCS)</v>
          </cell>
          <cell r="H397" t="str">
            <v/>
          </cell>
        </row>
        <row r="398">
          <cell r="A398" t="str">
            <v>Grumbar (FRCS)</v>
          </cell>
          <cell r="H398" t="str">
            <v/>
          </cell>
        </row>
        <row r="399">
          <cell r="A399" t="str">
            <v>Gruumsh (FRCS)</v>
          </cell>
          <cell r="H399" t="str">
            <v/>
          </cell>
        </row>
        <row r="400">
          <cell r="A400" t="str">
            <v>Gwaeron Windstrom (FRCS)</v>
          </cell>
          <cell r="H400" t="str">
            <v/>
          </cell>
        </row>
        <row r="401">
          <cell r="A401" t="str">
            <v>Haela Brightaxe (FRCS)</v>
          </cell>
          <cell r="H401" t="str">
            <v/>
          </cell>
        </row>
        <row r="402">
          <cell r="A402" t="str">
            <v>Hanali Celanil (FRCS)</v>
          </cell>
          <cell r="H402" t="str">
            <v/>
          </cell>
        </row>
        <row r="403">
          <cell r="A403" t="str">
            <v>Hathor (FRCS)</v>
          </cell>
          <cell r="H403" t="str">
            <v/>
          </cell>
        </row>
        <row r="404">
          <cell r="A404" t="str">
            <v>Helm (FRCS)</v>
          </cell>
          <cell r="H404" t="str">
            <v/>
          </cell>
        </row>
        <row r="405">
          <cell r="A405" t="str">
            <v>Hoar (FRCS)</v>
          </cell>
          <cell r="H405" t="str">
            <v/>
          </cell>
        </row>
        <row r="406">
          <cell r="A406" t="str">
            <v>Horus-Re (FRCS)</v>
          </cell>
          <cell r="H406" t="str">
            <v/>
          </cell>
        </row>
        <row r="407">
          <cell r="A407" t="str">
            <v>Ilmater (FRCS)</v>
          </cell>
          <cell r="H407" t="str">
            <v/>
          </cell>
        </row>
        <row r="408">
          <cell r="A408" t="str">
            <v>Ilneval (FRCS)</v>
          </cell>
          <cell r="H408" t="str">
            <v/>
          </cell>
        </row>
        <row r="409">
          <cell r="A409" t="str">
            <v>Isis (FRCS)</v>
          </cell>
          <cell r="H409" t="str">
            <v/>
          </cell>
        </row>
        <row r="410">
          <cell r="A410" t="str">
            <v>Ishtishia (FRCS)</v>
          </cell>
          <cell r="H410" t="str">
            <v/>
          </cell>
        </row>
        <row r="411">
          <cell r="A411" t="str">
            <v>Jergal (FRCS)</v>
          </cell>
          <cell r="H411" t="str">
            <v/>
          </cell>
        </row>
        <row r="412">
          <cell r="A412" t="str">
            <v>Kelemvor (FRCS)</v>
          </cell>
          <cell r="H412" t="str">
            <v/>
          </cell>
        </row>
        <row r="413">
          <cell r="A413" t="str">
            <v>Kiaransalee (FRCS)</v>
          </cell>
          <cell r="H413" t="str">
            <v/>
          </cell>
        </row>
        <row r="414">
          <cell r="A414" t="str">
            <v>Kossuth (FRCS)</v>
          </cell>
          <cell r="H414" t="str">
            <v/>
          </cell>
        </row>
        <row r="415">
          <cell r="A415" t="str">
            <v>Labelas Enoreth (FRCS)</v>
          </cell>
          <cell r="H415" t="str">
            <v/>
          </cell>
        </row>
        <row r="416">
          <cell r="A416" t="str">
            <v>Laduguer (duergar) (FRCS)</v>
          </cell>
          <cell r="H416" t="str">
            <v/>
          </cell>
        </row>
        <row r="417">
          <cell r="A417" t="str">
            <v>Lathander (FRCS)</v>
          </cell>
          <cell r="H417" t="str">
            <v/>
          </cell>
        </row>
        <row r="418">
          <cell r="A418" t="str">
            <v>Lliira (FRCS)</v>
          </cell>
          <cell r="H418" t="str">
            <v/>
          </cell>
        </row>
        <row r="419">
          <cell r="A419" t="str">
            <v>Lolth (FRCS)</v>
          </cell>
          <cell r="H419" t="str">
            <v/>
          </cell>
        </row>
        <row r="420">
          <cell r="A420" t="str">
            <v>Loviatar (FRCS)</v>
          </cell>
          <cell r="H420" t="str">
            <v/>
          </cell>
        </row>
        <row r="421">
          <cell r="A421" t="str">
            <v>Lurue (FRCS)</v>
          </cell>
          <cell r="H421" t="str">
            <v/>
          </cell>
        </row>
        <row r="422">
          <cell r="A422" t="str">
            <v>Luthic (FRCS)</v>
          </cell>
          <cell r="H422" t="str">
            <v/>
          </cell>
        </row>
        <row r="423">
          <cell r="A423" t="str">
            <v>Malar (FRCS)</v>
          </cell>
          <cell r="H423" t="str">
            <v/>
          </cell>
        </row>
        <row r="424">
          <cell r="A424" t="str">
            <v>Marthammor Duin (FRCS)</v>
          </cell>
          <cell r="H424" t="str">
            <v/>
          </cell>
        </row>
        <row r="425">
          <cell r="A425" t="str">
            <v>Mask (FRCS)</v>
          </cell>
          <cell r="H425" t="str">
            <v/>
          </cell>
        </row>
        <row r="426">
          <cell r="A426" t="str">
            <v>Mielikki (FRCS)</v>
          </cell>
          <cell r="H426" t="str">
            <v/>
          </cell>
        </row>
        <row r="427">
          <cell r="A427" t="str">
            <v>Milil (FRCS)</v>
          </cell>
          <cell r="H427" t="str">
            <v/>
          </cell>
        </row>
        <row r="428">
          <cell r="A428" t="str">
            <v>Moradin (FRCS)</v>
          </cell>
          <cell r="H428" t="str">
            <v/>
          </cell>
        </row>
        <row r="429">
          <cell r="A429" t="str">
            <v>Mystra (FRCS)</v>
          </cell>
          <cell r="H429" t="str">
            <v/>
          </cell>
        </row>
        <row r="430">
          <cell r="A430" t="str">
            <v>Nephthys (FRCS)</v>
          </cell>
          <cell r="H430" t="str">
            <v/>
          </cell>
        </row>
        <row r="431">
          <cell r="A431" t="str">
            <v>Nobanion (FRCS)</v>
          </cell>
          <cell r="H431" t="str">
            <v/>
          </cell>
        </row>
        <row r="432">
          <cell r="A432" t="str">
            <v>Oghma (FRCS)</v>
          </cell>
          <cell r="H432" t="str">
            <v/>
          </cell>
        </row>
        <row r="433">
          <cell r="A433" t="str">
            <v>Osiris (FRCS)</v>
          </cell>
          <cell r="H433" t="str">
            <v/>
          </cell>
        </row>
        <row r="434">
          <cell r="A434" t="str">
            <v>Red Knight (FRCS)</v>
          </cell>
          <cell r="H434" t="str">
            <v/>
          </cell>
        </row>
        <row r="435">
          <cell r="A435" t="str">
            <v>Rillifane Rallathil (FRCS)</v>
          </cell>
          <cell r="H435" t="str">
            <v/>
          </cell>
        </row>
        <row r="436">
          <cell r="A436" t="str">
            <v>Savras (FRCS)</v>
          </cell>
          <cell r="H436" t="str">
            <v/>
          </cell>
        </row>
        <row r="437">
          <cell r="A437" t="str">
            <v>Sebek (FRCS)</v>
          </cell>
          <cell r="H437" t="str">
            <v/>
          </cell>
        </row>
        <row r="438">
          <cell r="A438" t="str">
            <v>Segojan Earthcaller (FRCS)</v>
          </cell>
          <cell r="H438" t="str">
            <v/>
          </cell>
        </row>
        <row r="439">
          <cell r="A439" t="str">
            <v>Sehanine Moonhow (FRCS)</v>
          </cell>
          <cell r="H439" t="str">
            <v/>
          </cell>
        </row>
        <row r="440">
          <cell r="A440" t="str">
            <v>Selune (FRCS)</v>
          </cell>
          <cell r="H440" t="str">
            <v/>
          </cell>
        </row>
        <row r="441">
          <cell r="A441" t="str">
            <v>Selvetarm (FRCS)</v>
          </cell>
          <cell r="H441" t="str">
            <v/>
          </cell>
        </row>
        <row r="442">
          <cell r="A442" t="str">
            <v>Set (FRCS)</v>
          </cell>
          <cell r="H442" t="str">
            <v/>
          </cell>
        </row>
        <row r="443">
          <cell r="A443" t="str">
            <v>Shar (FRCS)</v>
          </cell>
          <cell r="H443" t="str">
            <v/>
          </cell>
        </row>
        <row r="444">
          <cell r="A444" t="str">
            <v>Sharess (FRCS)</v>
          </cell>
          <cell r="H444" t="str">
            <v/>
          </cell>
        </row>
        <row r="445">
          <cell r="A445" t="str">
            <v>Shargaas (FRCS)</v>
          </cell>
          <cell r="H445" t="str">
            <v/>
          </cell>
        </row>
        <row r="446">
          <cell r="A446" t="str">
            <v>Sharindlar (FRCS)</v>
          </cell>
          <cell r="H446" t="str">
            <v/>
          </cell>
        </row>
        <row r="447">
          <cell r="A447" t="str">
            <v>Shaundakul (FRCS)</v>
          </cell>
          <cell r="H447" t="str">
            <v/>
          </cell>
        </row>
        <row r="448">
          <cell r="A448" t="str">
            <v>Sheela Peryroyl (FRCS)</v>
          </cell>
          <cell r="H448" t="str">
            <v/>
          </cell>
        </row>
        <row r="449">
          <cell r="A449" t="str">
            <v>Shevarash (FRCS)</v>
          </cell>
          <cell r="H449" t="str">
            <v/>
          </cell>
        </row>
        <row r="450">
          <cell r="A450" t="str">
            <v>Shiallia (FRCS)</v>
          </cell>
          <cell r="H450" t="str">
            <v/>
          </cell>
        </row>
        <row r="451">
          <cell r="A451" t="str">
            <v>Siamorphe (FRCS)</v>
          </cell>
          <cell r="H451" t="str">
            <v/>
          </cell>
        </row>
        <row r="452">
          <cell r="A452" t="str">
            <v>Silvanus (FRCS)</v>
          </cell>
          <cell r="H452" t="str">
            <v/>
          </cell>
        </row>
        <row r="453">
          <cell r="A453" t="str">
            <v>Solonor Thelandira (FRCS)</v>
          </cell>
          <cell r="H453" t="str">
            <v/>
          </cell>
        </row>
        <row r="454">
          <cell r="A454" t="str">
            <v>Sune (FRCS)</v>
          </cell>
          <cell r="H454" t="str">
            <v/>
          </cell>
        </row>
        <row r="455">
          <cell r="A455" t="str">
            <v>Talona (FRCS)</v>
          </cell>
          <cell r="H455" t="str">
            <v/>
          </cell>
        </row>
        <row r="456">
          <cell r="A456" t="str">
            <v>Talos (FRCS)</v>
          </cell>
          <cell r="H456" t="str">
            <v/>
          </cell>
        </row>
        <row r="457">
          <cell r="A457" t="str">
            <v>Tempus (FRCS)</v>
          </cell>
          <cell r="H457" t="str">
            <v/>
          </cell>
        </row>
        <row r="458">
          <cell r="A458" t="str">
            <v>Thard Harr (FRCS)</v>
          </cell>
          <cell r="H458" t="str">
            <v/>
          </cell>
        </row>
        <row r="459">
          <cell r="A459" t="str">
            <v>Thoth (FRCS)</v>
          </cell>
          <cell r="H459" t="str">
            <v/>
          </cell>
        </row>
        <row r="460">
          <cell r="A460" t="str">
            <v>Tiamat (FRCS)</v>
          </cell>
          <cell r="H460" t="str">
            <v/>
          </cell>
        </row>
        <row r="461">
          <cell r="A461" t="str">
            <v>Torm (FRCS)</v>
          </cell>
          <cell r="H461" t="str">
            <v/>
          </cell>
        </row>
        <row r="462">
          <cell r="A462" t="str">
            <v>Tymora (FRCS)</v>
          </cell>
          <cell r="H462" t="str">
            <v/>
          </cell>
        </row>
        <row r="463">
          <cell r="A463" t="str">
            <v>Tyr (FRCS)</v>
          </cell>
          <cell r="H463" t="str">
            <v/>
          </cell>
        </row>
        <row r="464">
          <cell r="A464" t="str">
            <v>Ubtao (FRCS)</v>
          </cell>
          <cell r="H464" t="str">
            <v/>
          </cell>
        </row>
        <row r="465">
          <cell r="A465" t="str">
            <v>Ulutiu (slumbering) (FRCS)</v>
          </cell>
          <cell r="H465" t="str">
            <v/>
          </cell>
        </row>
        <row r="466">
          <cell r="A466" t="str">
            <v>Umberlee (FRCS)</v>
          </cell>
          <cell r="H466" t="str">
            <v/>
          </cell>
        </row>
        <row r="467">
          <cell r="A467" t="str">
            <v>Urdlen (FRCS)</v>
          </cell>
          <cell r="H467" t="str">
            <v/>
          </cell>
        </row>
        <row r="468">
          <cell r="A468" t="str">
            <v>Urogalan (FRCS)</v>
          </cell>
          <cell r="H468" t="str">
            <v/>
          </cell>
        </row>
        <row r="469">
          <cell r="A469" t="str">
            <v>Uthgar (FRCS)</v>
          </cell>
          <cell r="H469" t="str">
            <v/>
          </cell>
        </row>
        <row r="470">
          <cell r="A470" t="str">
            <v>Valkur (FRCS)</v>
          </cell>
          <cell r="H470" t="str">
            <v/>
          </cell>
        </row>
        <row r="471">
          <cell r="A471" t="str">
            <v>Velsharoon (FRCS)</v>
          </cell>
          <cell r="H471" t="str">
            <v/>
          </cell>
        </row>
        <row r="472">
          <cell r="A472" t="str">
            <v>Vergadain (FRCS)</v>
          </cell>
          <cell r="H472" t="str">
            <v/>
          </cell>
        </row>
        <row r="473">
          <cell r="A473" t="str">
            <v>Vhaeraun (FRCS)</v>
          </cell>
          <cell r="H473" t="str">
            <v/>
          </cell>
        </row>
        <row r="474">
          <cell r="A474" t="str">
            <v>Waukeen (FRCS)</v>
          </cell>
          <cell r="H474" t="str">
            <v/>
          </cell>
        </row>
        <row r="475">
          <cell r="A475" t="str">
            <v>Yondolla (FRCS)</v>
          </cell>
          <cell r="H475" t="str">
            <v/>
          </cell>
        </row>
        <row r="476">
          <cell r="A476" t="str">
            <v>Yurtrus (FRCS)</v>
          </cell>
          <cell r="H476" t="str">
            <v/>
          </cell>
        </row>
        <row r="477">
          <cell r="A477" t="str">
            <v>The Silver Flame (ES)</v>
          </cell>
          <cell r="H477" t="str">
            <v/>
          </cell>
        </row>
        <row r="478">
          <cell r="A478" t="str">
            <v>The Sovereign Host (ES)</v>
          </cell>
          <cell r="H478" t="str">
            <v/>
          </cell>
        </row>
        <row r="479">
          <cell r="A479" t="str">
            <v>Arawai (ES)</v>
          </cell>
          <cell r="H479" t="str">
            <v/>
          </cell>
        </row>
        <row r="480">
          <cell r="A480" t="str">
            <v>Aureon (ES)</v>
          </cell>
          <cell r="H480" t="str">
            <v/>
          </cell>
        </row>
        <row r="481">
          <cell r="A481" t="str">
            <v>Balinor (ES)</v>
          </cell>
          <cell r="H481" t="str">
            <v/>
          </cell>
        </row>
        <row r="482">
          <cell r="A482" t="str">
            <v>Boldrei (ES)</v>
          </cell>
          <cell r="H482" t="str">
            <v/>
          </cell>
        </row>
        <row r="483">
          <cell r="A483" t="str">
            <v>Dol Arrah (ES)</v>
          </cell>
          <cell r="H483" t="str">
            <v/>
          </cell>
        </row>
        <row r="484">
          <cell r="A484" t="str">
            <v>Dol Dorn (ES)</v>
          </cell>
          <cell r="H484" t="str">
            <v/>
          </cell>
        </row>
        <row r="485">
          <cell r="A485" t="str">
            <v>Kol Korran (ES)</v>
          </cell>
          <cell r="H485" t="str">
            <v/>
          </cell>
        </row>
        <row r="486">
          <cell r="A486" t="str">
            <v>Olladra (ES)</v>
          </cell>
          <cell r="H486" t="str">
            <v/>
          </cell>
        </row>
        <row r="487">
          <cell r="A487" t="str">
            <v>Onatar (ES)</v>
          </cell>
          <cell r="H487" t="str">
            <v/>
          </cell>
        </row>
        <row r="488">
          <cell r="A488" t="str">
            <v>The Dark Six</v>
          </cell>
          <cell r="H488" t="str">
            <v/>
          </cell>
        </row>
        <row r="489">
          <cell r="A489" t="str">
            <v>The Devourer (ES)</v>
          </cell>
          <cell r="H489" t="str">
            <v/>
          </cell>
        </row>
        <row r="490">
          <cell r="A490" t="str">
            <v>The Fury (ES)</v>
          </cell>
          <cell r="H490" t="str">
            <v/>
          </cell>
        </row>
        <row r="491">
          <cell r="A491" t="str">
            <v>The Keeper (ES)</v>
          </cell>
          <cell r="H491" t="str">
            <v/>
          </cell>
        </row>
        <row r="492">
          <cell r="A492" t="str">
            <v>The Mockery (ES)</v>
          </cell>
          <cell r="H492" t="str">
            <v/>
          </cell>
        </row>
        <row r="493">
          <cell r="A493" t="str">
            <v>The Shadow (ES)</v>
          </cell>
          <cell r="H493" t="str">
            <v/>
          </cell>
        </row>
        <row r="494">
          <cell r="A494" t="str">
            <v>The Traveler (ES)</v>
          </cell>
          <cell r="H494" t="str">
            <v/>
          </cell>
        </row>
        <row r="495">
          <cell r="A495" t="str">
            <v>The Blood of Vol (ES)</v>
          </cell>
          <cell r="H495" t="str">
            <v/>
          </cell>
        </row>
        <row r="496">
          <cell r="A496" t="str">
            <v>The Cults of the Dragon Below (ES)</v>
          </cell>
          <cell r="H496" t="str">
            <v/>
          </cell>
        </row>
        <row r="497">
          <cell r="A497" t="str">
            <v>The Path of Light (ES)</v>
          </cell>
          <cell r="H497" t="str">
            <v/>
          </cell>
        </row>
        <row r="498">
          <cell r="A498" t="str">
            <v>The Undying Court (ES)</v>
          </cell>
          <cell r="H498" t="str">
            <v/>
          </cell>
        </row>
        <row r="499">
          <cell r="A499" t="str">
            <v>Belenus (RVLT)</v>
          </cell>
          <cell r="H499" t="str">
            <v/>
          </cell>
        </row>
        <row r="500">
          <cell r="A500" t="str">
            <v>The Eternal Order (RVLT)</v>
          </cell>
          <cell r="H500" t="str">
            <v/>
          </cell>
        </row>
        <row r="501">
          <cell r="A501" t="str">
            <v>Ezra (RVLT)</v>
          </cell>
          <cell r="H501" t="str">
            <v/>
          </cell>
        </row>
        <row r="502">
          <cell r="A502" t="str">
            <v>Hala (RVLT)</v>
          </cell>
          <cell r="H502" t="str">
            <v/>
          </cell>
        </row>
        <row r="503">
          <cell r="A503" t="str">
            <v>Kali (RVLT)</v>
          </cell>
          <cell r="H503" t="str">
            <v/>
          </cell>
        </row>
        <row r="504">
          <cell r="A504" t="str">
            <v>The Lawgiver (RVLT)</v>
          </cell>
          <cell r="H504" t="str">
            <v/>
          </cell>
        </row>
        <row r="505">
          <cell r="A505" t="str">
            <v>The Morninglord (RVLT)</v>
          </cell>
          <cell r="H505" t="str">
            <v/>
          </cell>
        </row>
        <row r="506">
          <cell r="A506" t="str">
            <v>Osiris (RVLT)</v>
          </cell>
          <cell r="H506" t="str">
            <v/>
          </cell>
        </row>
        <row r="507">
          <cell r="A507" t="str">
            <v>Ra (RVLT)</v>
          </cell>
          <cell r="H507" t="str">
            <v/>
          </cell>
        </row>
        <row r="508">
          <cell r="A508" t="str">
            <v>Set (RVLT)</v>
          </cell>
          <cell r="H508" t="str">
            <v/>
          </cell>
        </row>
        <row r="509">
          <cell r="A509" t="str">
            <v>Tvashtri (RVLT)</v>
          </cell>
          <cell r="H509" t="str">
            <v/>
          </cell>
        </row>
        <row r="510">
          <cell r="A510" t="str">
            <v>The Wolf God (RVLT)</v>
          </cell>
          <cell r="H510" t="str">
            <v/>
          </cell>
        </row>
        <row r="511">
          <cell r="A511" t="str">
            <v>Zhakata (RVLT)</v>
          </cell>
          <cell r="H511" t="str">
            <v/>
          </cell>
        </row>
        <row r="512">
          <cell r="A512" t="str">
            <v>Ancestral Fey (RVLT)</v>
          </cell>
          <cell r="H512" t="str">
            <v/>
          </cell>
        </row>
        <row r="513">
          <cell r="A513" t="str">
            <v>Branchala (DLCS)</v>
          </cell>
          <cell r="H513" t="str">
            <v/>
          </cell>
        </row>
        <row r="514">
          <cell r="A514" t="str">
            <v>Habbakuk (DLCS)</v>
          </cell>
          <cell r="H514" t="str">
            <v/>
          </cell>
        </row>
        <row r="515">
          <cell r="A515" t="str">
            <v>Kiri-Jolith (DLCS)</v>
          </cell>
          <cell r="H515" t="str">
            <v/>
          </cell>
        </row>
        <row r="516">
          <cell r="A516" t="str">
            <v>Majere (DLCS)</v>
          </cell>
          <cell r="H516" t="str">
            <v/>
          </cell>
        </row>
        <row r="517">
          <cell r="A517" t="str">
            <v>Mishakal (DLCS)</v>
          </cell>
          <cell r="H517" t="str">
            <v/>
          </cell>
        </row>
        <row r="518">
          <cell r="A518" t="str">
            <v>Solinari (DLCS)</v>
          </cell>
          <cell r="H518" t="str">
            <v/>
          </cell>
        </row>
        <row r="519">
          <cell r="A519" t="str">
            <v>Chislev (DLCS)</v>
          </cell>
          <cell r="H519" t="str">
            <v/>
          </cell>
        </row>
        <row r="520">
          <cell r="A520" t="str">
            <v>Gilean (DLCS)</v>
          </cell>
          <cell r="H520" t="str">
            <v/>
          </cell>
        </row>
        <row r="521">
          <cell r="A521" t="str">
            <v>Lunitari (DLCS)</v>
          </cell>
          <cell r="H521" t="str">
            <v/>
          </cell>
        </row>
        <row r="522">
          <cell r="A522" t="str">
            <v>Reorx (DLCS)</v>
          </cell>
          <cell r="H522" t="str">
            <v/>
          </cell>
        </row>
        <row r="523">
          <cell r="A523" t="str">
            <v>Shinare (DLCS)</v>
          </cell>
          <cell r="H523" t="str">
            <v/>
          </cell>
        </row>
        <row r="524">
          <cell r="A524" t="str">
            <v>Sirrion (DLCS)</v>
          </cell>
          <cell r="H524" t="str">
            <v/>
          </cell>
        </row>
        <row r="525">
          <cell r="A525" t="str">
            <v>Zivilyn (DLCS)</v>
          </cell>
          <cell r="H525" t="str">
            <v/>
          </cell>
        </row>
        <row r="526">
          <cell r="A526" t="str">
            <v>Chemosh (DLCS)</v>
          </cell>
          <cell r="H526" t="str">
            <v/>
          </cell>
        </row>
        <row r="527">
          <cell r="A527" t="str">
            <v>Hiddukel (DLCS)</v>
          </cell>
          <cell r="H527" t="str">
            <v/>
          </cell>
        </row>
        <row r="528">
          <cell r="A528" t="str">
            <v>Morgion (DLCS)</v>
          </cell>
          <cell r="H528" t="str">
            <v/>
          </cell>
        </row>
        <row r="529">
          <cell r="A529" t="str">
            <v>Nuitari (DLCS)</v>
          </cell>
          <cell r="H529" t="str">
            <v/>
          </cell>
        </row>
        <row r="530">
          <cell r="A530" t="str">
            <v>Sargonas (DLCS)</v>
          </cell>
          <cell r="H530" t="str">
            <v/>
          </cell>
        </row>
        <row r="531">
          <cell r="A531" t="str">
            <v>Zeboim (DLCS)</v>
          </cell>
          <cell r="H531" t="str">
            <v/>
          </cell>
        </row>
        <row r="532">
          <cell r="A532" t="str">
            <v>--End of Deity Marker</v>
          </cell>
        </row>
        <row r="534">
          <cell r="A534">
            <v>0</v>
          </cell>
        </row>
        <row r="535">
          <cell r="P535" t="str">
            <v>Select A Domain Spell</v>
          </cell>
        </row>
        <row r="536">
          <cell r="A536" t="str">
            <v>No</v>
          </cell>
          <cell r="B536" t="str">
            <v/>
          </cell>
          <cell r="C536" t="str">
            <v/>
          </cell>
          <cell r="D536" t="str">
            <v/>
          </cell>
          <cell r="E536" t="str">
            <v/>
          </cell>
          <cell r="F536" t="str">
            <v/>
          </cell>
          <cell r="G536" t="str">
            <v/>
          </cell>
          <cell r="H536" t="str">
            <v/>
          </cell>
          <cell r="I536" t="str">
            <v/>
          </cell>
          <cell r="J536" t="str">
            <v/>
          </cell>
          <cell r="K536" t="str">
            <v/>
          </cell>
          <cell r="N536" t="str">
            <v/>
          </cell>
          <cell r="P536" t="str">
            <v/>
          </cell>
        </row>
        <row r="537">
          <cell r="A537" t="str">
            <v>No</v>
          </cell>
          <cell r="B537" t="str">
            <v/>
          </cell>
          <cell r="C537" t="str">
            <v/>
          </cell>
          <cell r="D537" t="str">
            <v/>
          </cell>
          <cell r="E537" t="str">
            <v/>
          </cell>
          <cell r="F537" t="str">
            <v/>
          </cell>
          <cell r="G537" t="str">
            <v/>
          </cell>
          <cell r="H537" t="str">
            <v/>
          </cell>
          <cell r="I537" t="str">
            <v/>
          </cell>
          <cell r="J537" t="str">
            <v/>
          </cell>
          <cell r="K537" t="str">
            <v/>
          </cell>
          <cell r="P537" t="str">
            <v/>
          </cell>
        </row>
        <row r="538">
          <cell r="A538" t="str">
            <v>No</v>
          </cell>
          <cell r="B538" t="str">
            <v/>
          </cell>
          <cell r="C538" t="str">
            <v/>
          </cell>
          <cell r="D538" t="str">
            <v/>
          </cell>
          <cell r="E538" t="str">
            <v/>
          </cell>
          <cell r="F538" t="str">
            <v/>
          </cell>
          <cell r="G538" t="str">
            <v/>
          </cell>
          <cell r="H538" t="str">
            <v/>
          </cell>
          <cell r="I538" t="str">
            <v/>
          </cell>
          <cell r="J538" t="str">
            <v/>
          </cell>
          <cell r="K538" t="str">
            <v/>
          </cell>
          <cell r="P538" t="str">
            <v/>
          </cell>
        </row>
        <row r="539">
          <cell r="A539" t="str">
            <v>No</v>
          </cell>
          <cell r="B539" t="str">
            <v/>
          </cell>
          <cell r="C539" t="str">
            <v/>
          </cell>
          <cell r="D539" t="str">
            <v/>
          </cell>
          <cell r="E539" t="str">
            <v/>
          </cell>
          <cell r="F539" t="str">
            <v/>
          </cell>
          <cell r="G539" t="str">
            <v/>
          </cell>
          <cell r="H539" t="str">
            <v/>
          </cell>
          <cell r="I539" t="str">
            <v/>
          </cell>
          <cell r="J539" t="str">
            <v/>
          </cell>
          <cell r="K539" t="str">
            <v/>
          </cell>
          <cell r="P539" t="str">
            <v/>
          </cell>
        </row>
        <row r="540">
          <cell r="A540" t="str">
            <v>No</v>
          </cell>
          <cell r="B540" t="str">
            <v/>
          </cell>
          <cell r="C540" t="str">
            <v/>
          </cell>
          <cell r="D540" t="str">
            <v/>
          </cell>
          <cell r="E540" t="str">
            <v/>
          </cell>
          <cell r="F540" t="str">
            <v/>
          </cell>
          <cell r="G540" t="str">
            <v/>
          </cell>
          <cell r="H540" t="str">
            <v/>
          </cell>
          <cell r="I540" t="str">
            <v/>
          </cell>
          <cell r="J540" t="str">
            <v/>
          </cell>
          <cell r="K540" t="str">
            <v/>
          </cell>
          <cell r="P540" t="str">
            <v/>
          </cell>
        </row>
        <row r="541">
          <cell r="A541" t="str">
            <v>No</v>
          </cell>
          <cell r="B541" t="str">
            <v/>
          </cell>
          <cell r="C541" t="str">
            <v/>
          </cell>
          <cell r="D541" t="str">
            <v/>
          </cell>
          <cell r="E541" t="str">
            <v/>
          </cell>
          <cell r="F541" t="str">
            <v/>
          </cell>
          <cell r="G541" t="str">
            <v/>
          </cell>
          <cell r="H541" t="str">
            <v/>
          </cell>
          <cell r="I541" t="str">
            <v/>
          </cell>
          <cell r="J541" t="str">
            <v/>
          </cell>
          <cell r="K541" t="str">
            <v/>
          </cell>
          <cell r="P541" t="str">
            <v/>
          </cell>
        </row>
        <row r="542">
          <cell r="P542" t="str">
            <v/>
          </cell>
        </row>
        <row r="543">
          <cell r="P543" t="str">
            <v/>
          </cell>
        </row>
        <row r="544">
          <cell r="P544" t="str">
            <v/>
          </cell>
        </row>
        <row r="545">
          <cell r="P545" t="str">
            <v/>
          </cell>
        </row>
        <row r="546">
          <cell r="P546" t="str">
            <v/>
          </cell>
        </row>
        <row r="547">
          <cell r="P547" t="str">
            <v/>
          </cell>
        </row>
        <row r="548">
          <cell r="P548" t="str">
            <v/>
          </cell>
        </row>
        <row r="549">
          <cell r="P549" t="str">
            <v/>
          </cell>
        </row>
        <row r="550">
          <cell r="P550" t="str">
            <v/>
          </cell>
        </row>
        <row r="551">
          <cell r="P551" t="str">
            <v/>
          </cell>
        </row>
        <row r="552">
          <cell r="P552" t="str">
            <v/>
          </cell>
        </row>
        <row r="553">
          <cell r="P553" t="str">
            <v/>
          </cell>
        </row>
        <row r="554">
          <cell r="G554" t="str">
            <v>Chaotic or Evil</v>
          </cell>
          <cell r="P554" t="str">
            <v/>
          </cell>
        </row>
        <row r="555">
          <cell r="F555" t="str">
            <v>Select A Domain</v>
          </cell>
          <cell r="P555" t="str">
            <v/>
          </cell>
        </row>
        <row r="556">
          <cell r="F556" t="str">
            <v>Air</v>
          </cell>
          <cell r="P556" t="str">
            <v/>
          </cell>
        </row>
        <row r="557">
          <cell r="F557" t="str">
            <v>Animal</v>
          </cell>
          <cell r="P557" t="str">
            <v/>
          </cell>
        </row>
        <row r="558">
          <cell r="F558" t="str">
            <v>Death</v>
          </cell>
          <cell r="P558" t="str">
            <v/>
          </cell>
        </row>
        <row r="559">
          <cell r="F559" t="str">
            <v>Destruction</v>
          </cell>
          <cell r="P559" t="str">
            <v/>
          </cell>
        </row>
        <row r="560">
          <cell r="F560" t="str">
            <v>Earth</v>
          </cell>
          <cell r="P560" t="str">
            <v/>
          </cell>
        </row>
        <row r="561">
          <cell r="F561" t="str">
            <v>Fire</v>
          </cell>
          <cell r="H561">
            <v>0</v>
          </cell>
          <cell r="P561" t="str">
            <v/>
          </cell>
        </row>
        <row r="562">
          <cell r="F562" t="str">
            <v>Good</v>
          </cell>
          <cell r="P562" t="str">
            <v/>
          </cell>
        </row>
        <row r="563">
          <cell r="F563" t="str">
            <v>Healing</v>
          </cell>
          <cell r="P563" t="str">
            <v/>
          </cell>
        </row>
        <row r="564">
          <cell r="F564" t="str">
            <v>Knowledge</v>
          </cell>
          <cell r="P564" t="str">
            <v/>
          </cell>
        </row>
        <row r="565">
          <cell r="F565" t="str">
            <v>Law</v>
          </cell>
          <cell r="P565" t="str">
            <v/>
          </cell>
        </row>
        <row r="566">
          <cell r="F566" t="str">
            <v>Luck</v>
          </cell>
          <cell r="P566" t="str">
            <v/>
          </cell>
        </row>
        <row r="567">
          <cell r="F567" t="str">
            <v>Magic</v>
          </cell>
          <cell r="P567" t="str">
            <v/>
          </cell>
        </row>
        <row r="568">
          <cell r="F568" t="str">
            <v>Plant</v>
          </cell>
          <cell r="P568" t="str">
            <v/>
          </cell>
        </row>
        <row r="569">
          <cell r="F569" t="str">
            <v>Protection</v>
          </cell>
          <cell r="P569" t="str">
            <v/>
          </cell>
        </row>
        <row r="570">
          <cell r="F570" t="str">
            <v>Strength</v>
          </cell>
          <cell r="P570" t="str">
            <v/>
          </cell>
        </row>
        <row r="571">
          <cell r="F571" t="str">
            <v>Sun</v>
          </cell>
          <cell r="P571" t="str">
            <v/>
          </cell>
        </row>
        <row r="572">
          <cell r="F572" t="str">
            <v>Travel</v>
          </cell>
          <cell r="P572" t="str">
            <v/>
          </cell>
        </row>
        <row r="573">
          <cell r="F573" t="str">
            <v>Trickery</v>
          </cell>
          <cell r="P573" t="str">
            <v/>
          </cell>
        </row>
        <row r="574">
          <cell r="F574" t="str">
            <v>War</v>
          </cell>
          <cell r="P574" t="str">
            <v/>
          </cell>
        </row>
        <row r="575">
          <cell r="F575" t="str">
            <v>Water</v>
          </cell>
          <cell r="P575" t="str">
            <v/>
          </cell>
        </row>
        <row r="576">
          <cell r="F576" t="str">
            <v/>
          </cell>
          <cell r="P576" t="str">
            <v/>
          </cell>
        </row>
        <row r="577">
          <cell r="F577" t="str">
            <v/>
          </cell>
          <cell r="P577" t="str">
            <v/>
          </cell>
        </row>
        <row r="578">
          <cell r="F578" t="str">
            <v/>
          </cell>
          <cell r="P578" t="str">
            <v/>
          </cell>
        </row>
        <row r="579">
          <cell r="F579" t="str">
            <v/>
          </cell>
          <cell r="P579" t="str">
            <v/>
          </cell>
        </row>
        <row r="580">
          <cell r="F580" t="str">
            <v/>
          </cell>
          <cell r="P580" t="str">
            <v/>
          </cell>
        </row>
        <row r="581">
          <cell r="F581" t="str">
            <v/>
          </cell>
          <cell r="P581" t="str">
            <v/>
          </cell>
        </row>
        <row r="582">
          <cell r="F582" t="str">
            <v/>
          </cell>
          <cell r="P582" t="str">
            <v/>
          </cell>
        </row>
        <row r="583">
          <cell r="F583" t="str">
            <v/>
          </cell>
          <cell r="P583" t="str">
            <v/>
          </cell>
        </row>
        <row r="584">
          <cell r="F584" t="str">
            <v/>
          </cell>
          <cell r="P584" t="str">
            <v/>
          </cell>
        </row>
        <row r="585">
          <cell r="F585" t="str">
            <v/>
          </cell>
          <cell r="P585" t="str">
            <v/>
          </cell>
        </row>
        <row r="586">
          <cell r="F586" t="str">
            <v/>
          </cell>
          <cell r="P586" t="str">
            <v/>
          </cell>
        </row>
        <row r="587">
          <cell r="F587" t="str">
            <v/>
          </cell>
          <cell r="P587" t="str">
            <v/>
          </cell>
        </row>
        <row r="588">
          <cell r="F588" t="str">
            <v/>
          </cell>
          <cell r="P588" t="str">
            <v/>
          </cell>
        </row>
        <row r="589">
          <cell r="F589" t="str">
            <v/>
          </cell>
          <cell r="P589" t="str">
            <v/>
          </cell>
        </row>
        <row r="590">
          <cell r="F590" t="str">
            <v/>
          </cell>
          <cell r="P590" t="str">
            <v/>
          </cell>
        </row>
        <row r="591">
          <cell r="F591" t="str">
            <v/>
          </cell>
          <cell r="P591" t="str">
            <v/>
          </cell>
        </row>
        <row r="592">
          <cell r="F592" t="str">
            <v/>
          </cell>
          <cell r="P592" t="str">
            <v/>
          </cell>
        </row>
        <row r="593">
          <cell r="F593" t="str">
            <v/>
          </cell>
          <cell r="P593" t="str">
            <v/>
          </cell>
        </row>
        <row r="594">
          <cell r="F594" t="str">
            <v/>
          </cell>
          <cell r="P594" t="str">
            <v/>
          </cell>
        </row>
        <row r="595">
          <cell r="F595" t="str">
            <v/>
          </cell>
          <cell r="P595" t="str">
            <v/>
          </cell>
        </row>
        <row r="596">
          <cell r="F596" t="str">
            <v/>
          </cell>
        </row>
        <row r="597">
          <cell r="F597" t="str">
            <v/>
          </cell>
        </row>
        <row r="598">
          <cell r="F598" t="str">
            <v/>
          </cell>
        </row>
        <row r="599">
          <cell r="F599" t="str">
            <v/>
          </cell>
        </row>
        <row r="600">
          <cell r="F600" t="str">
            <v/>
          </cell>
        </row>
        <row r="601">
          <cell r="F601" t="str">
            <v/>
          </cell>
        </row>
        <row r="602">
          <cell r="F602" t="str">
            <v/>
          </cell>
        </row>
        <row r="603">
          <cell r="F603" t="str">
            <v/>
          </cell>
        </row>
        <row r="604">
          <cell r="F604" t="str">
            <v/>
          </cell>
        </row>
        <row r="605">
          <cell r="F605" t="str">
            <v/>
          </cell>
        </row>
        <row r="606">
          <cell r="F606" t="str">
            <v/>
          </cell>
        </row>
        <row r="607">
          <cell r="F607" t="str">
            <v/>
          </cell>
        </row>
        <row r="608">
          <cell r="F608" t="str">
            <v/>
          </cell>
        </row>
        <row r="609">
          <cell r="F609" t="str">
            <v/>
          </cell>
        </row>
        <row r="610">
          <cell r="F610" t="str">
            <v/>
          </cell>
        </row>
        <row r="611">
          <cell r="F611" t="str">
            <v/>
          </cell>
        </row>
        <row r="612">
          <cell r="F612" t="str">
            <v/>
          </cell>
        </row>
        <row r="613">
          <cell r="F613" t="str">
            <v/>
          </cell>
        </row>
        <row r="614">
          <cell r="F614" t="str">
            <v/>
          </cell>
        </row>
        <row r="615">
          <cell r="F615" t="str">
            <v/>
          </cell>
        </row>
        <row r="616">
          <cell r="F616" t="str">
            <v/>
          </cell>
        </row>
        <row r="617">
          <cell r="F617" t="str">
            <v/>
          </cell>
        </row>
        <row r="618">
          <cell r="F618" t="str">
            <v/>
          </cell>
        </row>
        <row r="619">
          <cell r="F619" t="str">
            <v/>
          </cell>
        </row>
        <row r="620">
          <cell r="F620" t="str">
            <v/>
          </cell>
        </row>
        <row r="621">
          <cell r="F621" t="str">
            <v/>
          </cell>
        </row>
        <row r="622">
          <cell r="F622" t="str">
            <v/>
          </cell>
        </row>
        <row r="623">
          <cell r="F623" t="str">
            <v/>
          </cell>
        </row>
        <row r="624">
          <cell r="F624" t="str">
            <v/>
          </cell>
        </row>
        <row r="625">
          <cell r="F625" t="str">
            <v/>
          </cell>
        </row>
        <row r="626">
          <cell r="F626" t="str">
            <v/>
          </cell>
        </row>
        <row r="627">
          <cell r="F627" t="str">
            <v/>
          </cell>
        </row>
        <row r="628">
          <cell r="F628" t="str">
            <v/>
          </cell>
        </row>
        <row r="629">
          <cell r="F629" t="str">
            <v/>
          </cell>
        </row>
        <row r="630">
          <cell r="F630" t="str">
            <v/>
          </cell>
        </row>
        <row r="631">
          <cell r="F631" t="str">
            <v/>
          </cell>
        </row>
        <row r="632">
          <cell r="F632" t="str">
            <v/>
          </cell>
        </row>
        <row r="633">
          <cell r="F633" t="str">
            <v/>
          </cell>
        </row>
        <row r="634">
          <cell r="F634" t="str">
            <v/>
          </cell>
        </row>
        <row r="635">
          <cell r="F635" t="str">
            <v/>
          </cell>
        </row>
        <row r="636">
          <cell r="F636" t="str">
            <v/>
          </cell>
        </row>
        <row r="637">
          <cell r="F637" t="str">
            <v/>
          </cell>
        </row>
        <row r="638">
          <cell r="F638" t="str">
            <v/>
          </cell>
        </row>
        <row r="639">
          <cell r="F639" t="str">
            <v/>
          </cell>
        </row>
        <row r="640">
          <cell r="F640" t="str">
            <v/>
          </cell>
        </row>
        <row r="641">
          <cell r="F641" t="str">
            <v/>
          </cell>
        </row>
        <row r="642">
          <cell r="F642" t="str">
            <v/>
          </cell>
        </row>
        <row r="643">
          <cell r="F643" t="str">
            <v/>
          </cell>
        </row>
        <row r="644">
          <cell r="F644" t="str">
            <v/>
          </cell>
        </row>
        <row r="645">
          <cell r="F645" t="str">
            <v/>
          </cell>
        </row>
        <row r="646">
          <cell r="F646" t="str">
            <v/>
          </cell>
        </row>
        <row r="647">
          <cell r="F647" t="str">
            <v/>
          </cell>
        </row>
        <row r="648">
          <cell r="F648" t="str">
            <v/>
          </cell>
        </row>
        <row r="649">
          <cell r="F649" t="str">
            <v/>
          </cell>
        </row>
        <row r="650">
          <cell r="F650" t="str">
            <v/>
          </cell>
        </row>
        <row r="651">
          <cell r="F651" t="str">
            <v/>
          </cell>
        </row>
        <row r="652">
          <cell r="F652" t="str">
            <v/>
          </cell>
        </row>
        <row r="653">
          <cell r="F653" t="str">
            <v/>
          </cell>
        </row>
        <row r="654">
          <cell r="F654" t="str">
            <v/>
          </cell>
        </row>
        <row r="655">
          <cell r="F655" t="str">
            <v/>
          </cell>
        </row>
        <row r="656">
          <cell r="F656" t="str">
            <v/>
          </cell>
        </row>
        <row r="657">
          <cell r="F657" t="str">
            <v/>
          </cell>
        </row>
        <row r="658">
          <cell r="F658" t="str">
            <v/>
          </cell>
        </row>
        <row r="659">
          <cell r="F659" t="str">
            <v/>
          </cell>
        </row>
        <row r="660">
          <cell r="F660" t="str">
            <v/>
          </cell>
        </row>
        <row r="661">
          <cell r="F661" t="str">
            <v/>
          </cell>
        </row>
        <row r="662">
          <cell r="F662" t="str">
            <v/>
          </cell>
        </row>
        <row r="663">
          <cell r="F663" t="str">
            <v/>
          </cell>
        </row>
        <row r="664">
          <cell r="F664" t="str">
            <v/>
          </cell>
        </row>
        <row r="665">
          <cell r="F665" t="str">
            <v/>
          </cell>
        </row>
        <row r="666">
          <cell r="F666" t="str">
            <v/>
          </cell>
        </row>
        <row r="667">
          <cell r="F667" t="str">
            <v/>
          </cell>
        </row>
        <row r="668">
          <cell r="F668" t="str">
            <v/>
          </cell>
        </row>
        <row r="669">
          <cell r="F669" t="str">
            <v/>
          </cell>
        </row>
        <row r="670">
          <cell r="F670" t="str">
            <v/>
          </cell>
        </row>
        <row r="671">
          <cell r="F671" t="str">
            <v/>
          </cell>
        </row>
        <row r="672">
          <cell r="F672" t="str">
            <v/>
          </cell>
        </row>
        <row r="673">
          <cell r="F673" t="str">
            <v/>
          </cell>
        </row>
        <row r="674">
          <cell r="F674" t="str">
            <v/>
          </cell>
        </row>
        <row r="675">
          <cell r="F675" t="str">
            <v/>
          </cell>
        </row>
        <row r="676">
          <cell r="F676" t="str">
            <v/>
          </cell>
        </row>
        <row r="677">
          <cell r="F677" t="str">
            <v/>
          </cell>
        </row>
        <row r="678">
          <cell r="F678" t="str">
            <v/>
          </cell>
        </row>
        <row r="679">
          <cell r="F679" t="str">
            <v/>
          </cell>
        </row>
        <row r="680">
          <cell r="F680" t="str">
            <v/>
          </cell>
        </row>
        <row r="681">
          <cell r="F681" t="str">
            <v/>
          </cell>
        </row>
        <row r="682">
          <cell r="F682" t="str">
            <v/>
          </cell>
        </row>
        <row r="683">
          <cell r="F683" t="str">
            <v/>
          </cell>
        </row>
        <row r="684">
          <cell r="F684" t="str">
            <v/>
          </cell>
        </row>
        <row r="685">
          <cell r="F685" t="str">
            <v/>
          </cell>
        </row>
        <row r="686">
          <cell r="F686" t="str">
            <v/>
          </cell>
        </row>
        <row r="687">
          <cell r="F687" t="str">
            <v/>
          </cell>
        </row>
        <row r="688">
          <cell r="F688" t="str">
            <v/>
          </cell>
        </row>
        <row r="689">
          <cell r="F689" t="str">
            <v/>
          </cell>
        </row>
        <row r="690">
          <cell r="F690" t="str">
            <v/>
          </cell>
        </row>
        <row r="691">
          <cell r="F691" t="str">
            <v/>
          </cell>
        </row>
        <row r="692">
          <cell r="F692" t="str">
            <v/>
          </cell>
        </row>
        <row r="693">
          <cell r="F693" t="str">
            <v/>
          </cell>
        </row>
        <row r="694">
          <cell r="F694" t="str">
            <v/>
          </cell>
        </row>
        <row r="695">
          <cell r="F695" t="str">
            <v/>
          </cell>
        </row>
        <row r="696">
          <cell r="F696" t="str">
            <v/>
          </cell>
        </row>
        <row r="697">
          <cell r="F697" t="str">
            <v/>
          </cell>
        </row>
        <row r="698">
          <cell r="F698" t="str">
            <v/>
          </cell>
        </row>
        <row r="699">
          <cell r="F699" t="str">
            <v/>
          </cell>
        </row>
        <row r="700">
          <cell r="F700" t="str">
            <v/>
          </cell>
        </row>
        <row r="701">
          <cell r="F701" t="str">
            <v/>
          </cell>
        </row>
        <row r="702">
          <cell r="F702" t="str">
            <v/>
          </cell>
        </row>
        <row r="703">
          <cell r="F703" t="str">
            <v/>
          </cell>
        </row>
        <row r="704">
          <cell r="F704" t="str">
            <v/>
          </cell>
        </row>
        <row r="705">
          <cell r="F705" t="str">
            <v/>
          </cell>
        </row>
        <row r="706">
          <cell r="F706" t="str">
            <v/>
          </cell>
        </row>
        <row r="707">
          <cell r="F707" t="str">
            <v/>
          </cell>
        </row>
        <row r="708">
          <cell r="F708" t="str">
            <v/>
          </cell>
        </row>
        <row r="709">
          <cell r="F709" t="str">
            <v/>
          </cell>
        </row>
        <row r="710">
          <cell r="F710" t="str">
            <v/>
          </cell>
        </row>
        <row r="711">
          <cell r="F711" t="str">
            <v/>
          </cell>
        </row>
        <row r="712">
          <cell r="F712" t="str">
            <v/>
          </cell>
        </row>
        <row r="713">
          <cell r="F713" t="str">
            <v/>
          </cell>
        </row>
        <row r="714">
          <cell r="F714" t="str">
            <v/>
          </cell>
        </row>
        <row r="715">
          <cell r="F715" t="str">
            <v/>
          </cell>
        </row>
        <row r="716">
          <cell r="F716" t="str">
            <v/>
          </cell>
        </row>
        <row r="717">
          <cell r="F717" t="str">
            <v/>
          </cell>
        </row>
        <row r="718">
          <cell r="F718" t="str">
            <v/>
          </cell>
        </row>
        <row r="719">
          <cell r="F719" t="str">
            <v/>
          </cell>
        </row>
        <row r="720">
          <cell r="F720" t="str">
            <v/>
          </cell>
        </row>
        <row r="721">
          <cell r="F721" t="str">
            <v/>
          </cell>
        </row>
        <row r="722">
          <cell r="F722" t="str">
            <v/>
          </cell>
        </row>
        <row r="723">
          <cell r="F723" t="str">
            <v/>
          </cell>
        </row>
        <row r="724">
          <cell r="F724" t="str">
            <v/>
          </cell>
        </row>
        <row r="725">
          <cell r="F725" t="str">
            <v/>
          </cell>
        </row>
        <row r="726">
          <cell r="F726" t="str">
            <v/>
          </cell>
        </row>
        <row r="727">
          <cell r="F727" t="str">
            <v/>
          </cell>
        </row>
        <row r="728">
          <cell r="F728" t="str">
            <v/>
          </cell>
        </row>
        <row r="729">
          <cell r="F729" t="str">
            <v/>
          </cell>
        </row>
        <row r="730">
          <cell r="F730" t="str">
            <v/>
          </cell>
        </row>
        <row r="731">
          <cell r="F731" t="str">
            <v/>
          </cell>
        </row>
        <row r="732">
          <cell r="F732" t="str">
            <v/>
          </cell>
        </row>
        <row r="733">
          <cell r="F733" t="str">
            <v/>
          </cell>
        </row>
        <row r="734">
          <cell r="F734" t="str">
            <v/>
          </cell>
        </row>
        <row r="735">
          <cell r="F735" t="str">
            <v/>
          </cell>
        </row>
        <row r="736">
          <cell r="F736" t="str">
            <v/>
          </cell>
        </row>
        <row r="737">
          <cell r="F737" t="str">
            <v/>
          </cell>
        </row>
        <row r="738">
          <cell r="F738" t="str">
            <v/>
          </cell>
        </row>
        <row r="739">
          <cell r="F739" t="str">
            <v/>
          </cell>
        </row>
      </sheetData>
      <sheetData sheetId="53">
        <row r="1">
          <cell r="A1" t="str">
            <v>Air</v>
          </cell>
          <cell r="B1" t="str">
            <v>You can turn or destroy earth creatures; rebuke, command, or bolster air creatures 0 times per day as a Supernatural Ability.</v>
          </cell>
          <cell r="C1" t="str">
            <v>Obscuring Mist</v>
          </cell>
          <cell r="D1" t="str">
            <v>Wind Wall</v>
          </cell>
          <cell r="E1" t="str">
            <v>Gaseous Form</v>
          </cell>
          <cell r="F1" t="str">
            <v>Air Walk</v>
          </cell>
          <cell r="G1" t="str">
            <v>Control Winds</v>
          </cell>
          <cell r="H1" t="str">
            <v>Chain Lightning</v>
          </cell>
          <cell r="I1" t="str">
            <v>Control Weather</v>
          </cell>
          <cell r="J1" t="str">
            <v>Whirlwind</v>
          </cell>
          <cell r="K1" t="str">
            <v>Elemental Swarm</v>
          </cell>
        </row>
        <row r="2">
          <cell r="A2" t="str">
            <v>Animal</v>
          </cell>
          <cell r="B2" t="str">
            <v>You can use speak with animals once per day as a spell-like ability.  Knowledge (nature) has been added to your list of cleric class skills.</v>
          </cell>
          <cell r="C2" t="str">
            <v>Calm Animals</v>
          </cell>
          <cell r="D2" t="str">
            <v>Hold Animal</v>
          </cell>
          <cell r="E2" t="str">
            <v>Dominate Animal</v>
          </cell>
          <cell r="F2" t="str">
            <v>Summon Nature's Ally IV</v>
          </cell>
          <cell r="G2" t="str">
            <v>Commune with Nature</v>
          </cell>
          <cell r="H2" t="str">
            <v>Antilife Shell</v>
          </cell>
          <cell r="I2" t="str">
            <v>Animal Shapes</v>
          </cell>
          <cell r="J2" t="str">
            <v>Summon Nature's Ally VIII</v>
          </cell>
          <cell r="K2" t="str">
            <v>Shapechange</v>
          </cell>
        </row>
        <row r="3">
          <cell r="A3" t="str">
            <v>xx-Chaos-xx</v>
          </cell>
          <cell r="B3" t="str">
            <v>You cast chaos spells at +1 caster level.</v>
          </cell>
          <cell r="C3" t="str">
            <v>Protection from Law</v>
          </cell>
          <cell r="D3" t="str">
            <v>Shatter</v>
          </cell>
          <cell r="E3" t="str">
            <v>Magic Circle against Law</v>
          </cell>
          <cell r="F3" t="str">
            <v>Chaos Hammer</v>
          </cell>
          <cell r="G3" t="str">
            <v>Dispel Law</v>
          </cell>
          <cell r="H3" t="str">
            <v>Animate Objects</v>
          </cell>
          <cell r="I3" t="str">
            <v>Word of Chaos</v>
          </cell>
          <cell r="J3" t="str">
            <v>Cloak of Chaos</v>
          </cell>
          <cell r="K3" t="str">
            <v>Summon Monster IX</v>
          </cell>
        </row>
        <row r="4">
          <cell r="A4" t="str">
            <v>Death</v>
          </cell>
          <cell r="B4" t="str">
            <v>You may use death touch once per day.  If you touch your victim, roll 0d6.  If this at least equals the victim's hit points, it dies.</v>
          </cell>
          <cell r="C4" t="str">
            <v>Cause Fear</v>
          </cell>
          <cell r="D4" t="str">
            <v>Death Knell</v>
          </cell>
          <cell r="E4" t="str">
            <v>Animate Dead</v>
          </cell>
          <cell r="F4" t="str">
            <v>Death Ward</v>
          </cell>
          <cell r="G4" t="str">
            <v>Slay Living</v>
          </cell>
          <cell r="H4" t="str">
            <v>Create Undead</v>
          </cell>
          <cell r="I4" t="str">
            <v>Destruction</v>
          </cell>
          <cell r="J4" t="str">
            <v>Create Greater Undead</v>
          </cell>
          <cell r="K4" t="str">
            <v>Wail of the Banshee</v>
          </cell>
        </row>
        <row r="5">
          <cell r="A5" t="str">
            <v>Destruction</v>
          </cell>
          <cell r="B5" t="str">
            <v>You can smite an opponent once per day, gaining a +4 bonus to your attack and +0 to damage.</v>
          </cell>
          <cell r="C5" t="str">
            <v>Inflict Light Wounds</v>
          </cell>
          <cell r="D5" t="str">
            <v>Shatter</v>
          </cell>
          <cell r="E5" t="str">
            <v>Contagion</v>
          </cell>
          <cell r="F5" t="str">
            <v>Inflict Critical Wounds</v>
          </cell>
          <cell r="G5" t="str">
            <v>Inflict Light Wounds, Mass</v>
          </cell>
          <cell r="H5" t="str">
            <v>Harm</v>
          </cell>
          <cell r="I5" t="str">
            <v>Disintegrate</v>
          </cell>
          <cell r="J5" t="str">
            <v>Earthquake</v>
          </cell>
          <cell r="K5" t="str">
            <v>Implosion</v>
          </cell>
        </row>
        <row r="6">
          <cell r="A6" t="str">
            <v>Earth</v>
          </cell>
          <cell r="B6" t="str">
            <v>You can turn or destroy air creatures; rebuke, command, or bolster earth creatures 0 times per day as a Supernatural Ability.</v>
          </cell>
          <cell r="C6" t="str">
            <v>Magic Stone</v>
          </cell>
          <cell r="D6" t="str">
            <v>Soften Earth and Stone</v>
          </cell>
          <cell r="E6" t="str">
            <v>Stone Shape</v>
          </cell>
          <cell r="F6" t="str">
            <v>Spike Stones</v>
          </cell>
          <cell r="G6" t="str">
            <v>Wall of Stone</v>
          </cell>
          <cell r="H6" t="str">
            <v>Stoneskin</v>
          </cell>
          <cell r="I6" t="str">
            <v>Earthquake</v>
          </cell>
          <cell r="J6" t="str">
            <v>Iron Body</v>
          </cell>
          <cell r="K6" t="str">
            <v>Elemental Swarm</v>
          </cell>
        </row>
        <row r="7">
          <cell r="A7" t="str">
            <v>xx-Evil-xx</v>
          </cell>
          <cell r="B7" t="str">
            <v>You cast evil spells at +1 caster level.</v>
          </cell>
          <cell r="C7" t="str">
            <v>Protection from Good</v>
          </cell>
          <cell r="D7" t="str">
            <v>Desecrate</v>
          </cell>
          <cell r="E7" t="str">
            <v>Magic Circle against Good</v>
          </cell>
          <cell r="F7" t="str">
            <v>Unholy Blight</v>
          </cell>
          <cell r="G7" t="str">
            <v>Dispel Good</v>
          </cell>
          <cell r="H7" t="str">
            <v>Create Undead</v>
          </cell>
          <cell r="I7" t="str">
            <v>Blasphemy</v>
          </cell>
          <cell r="J7" t="str">
            <v>Unholy Aura</v>
          </cell>
          <cell r="K7" t="str">
            <v>Summon Monster IX</v>
          </cell>
        </row>
        <row r="8">
          <cell r="A8" t="str">
            <v>Fire</v>
          </cell>
          <cell r="B8" t="str">
            <v>You can turn or destroy water creatures; rebuke, command, or bolster fire creatures 0 times per day as a Supernatural Ability.</v>
          </cell>
          <cell r="C8" t="str">
            <v>Burning Hands</v>
          </cell>
          <cell r="D8" t="str">
            <v>Produce Flame</v>
          </cell>
          <cell r="E8" t="str">
            <v>Resist Energy</v>
          </cell>
          <cell r="F8" t="str">
            <v>Wall of Fire</v>
          </cell>
          <cell r="G8" t="str">
            <v>Fire Shield</v>
          </cell>
          <cell r="H8" t="str">
            <v>Fire Seeds</v>
          </cell>
          <cell r="I8" t="str">
            <v>Fire Storm</v>
          </cell>
          <cell r="J8" t="str">
            <v>Incendiary Cloud</v>
          </cell>
          <cell r="K8" t="str">
            <v>Elemental Swarm</v>
          </cell>
        </row>
        <row r="9">
          <cell r="A9" t="str">
            <v>Good</v>
          </cell>
          <cell r="B9" t="str">
            <v>You cast good spells at +1 caster level.</v>
          </cell>
          <cell r="C9" t="str">
            <v>Protection from Evil</v>
          </cell>
          <cell r="D9" t="str">
            <v>Aid</v>
          </cell>
          <cell r="E9" t="str">
            <v>Magic Circle against Evil</v>
          </cell>
          <cell r="F9" t="str">
            <v>Holy Smite</v>
          </cell>
          <cell r="G9" t="str">
            <v>Dispel Evil</v>
          </cell>
          <cell r="H9" t="str">
            <v>Blade Barrier</v>
          </cell>
          <cell r="I9" t="str">
            <v>Holy Word</v>
          </cell>
          <cell r="J9" t="str">
            <v>Holy Aura</v>
          </cell>
          <cell r="K9" t="str">
            <v>Summon Monster IX</v>
          </cell>
        </row>
        <row r="10">
          <cell r="A10" t="str">
            <v>Healing</v>
          </cell>
          <cell r="B10" t="str">
            <v>You cast healing spells at +1 caster level.</v>
          </cell>
          <cell r="C10" t="str">
            <v>Cure Light Wounds</v>
          </cell>
          <cell r="D10" t="str">
            <v>Cure Moderate Wounds</v>
          </cell>
          <cell r="E10" t="str">
            <v>Cure Serious Wounds</v>
          </cell>
          <cell r="F10" t="str">
            <v>Cure Critical Wounds</v>
          </cell>
          <cell r="G10" t="str">
            <v>Cure Light Wounds, Mass</v>
          </cell>
          <cell r="H10" t="str">
            <v>Heal</v>
          </cell>
          <cell r="I10" t="str">
            <v>Regenerate</v>
          </cell>
          <cell r="J10" t="str">
            <v>Cure Critical Wounds, Mass</v>
          </cell>
          <cell r="K10" t="str">
            <v>Heal, Mass</v>
          </cell>
        </row>
        <row r="11">
          <cell r="A11" t="str">
            <v>Knowledge</v>
          </cell>
          <cell r="B11" t="str">
            <v>All Knowledge skills have been added to your list of cleric class skills.  You cast divination spells at +1 caster level.</v>
          </cell>
          <cell r="C11" t="str">
            <v>Detect Secret Doors</v>
          </cell>
          <cell r="D11" t="str">
            <v>Detect Thoughts</v>
          </cell>
          <cell r="E11" t="str">
            <v>Clairaudience/Clairvoyance</v>
          </cell>
          <cell r="F11" t="str">
            <v>Divination</v>
          </cell>
          <cell r="G11" t="str">
            <v>True Seeing</v>
          </cell>
          <cell r="H11" t="str">
            <v>Find the Path</v>
          </cell>
          <cell r="I11" t="str">
            <v>Legend Lore</v>
          </cell>
          <cell r="J11" t="str">
            <v>Discern Location</v>
          </cell>
          <cell r="K11" t="str">
            <v>Foresight</v>
          </cell>
        </row>
        <row r="12">
          <cell r="A12" t="str">
            <v>Law</v>
          </cell>
          <cell r="B12" t="str">
            <v>You cast law spells at +1 caster level.</v>
          </cell>
          <cell r="C12" t="str">
            <v>Protection from Chaos</v>
          </cell>
          <cell r="D12" t="str">
            <v>Calm Emotions</v>
          </cell>
          <cell r="E12" t="str">
            <v>Magic Circle against Chaos</v>
          </cell>
          <cell r="F12" t="str">
            <v>Order's Wrath</v>
          </cell>
          <cell r="G12" t="str">
            <v>Dispel Chaos</v>
          </cell>
          <cell r="H12" t="str">
            <v>Hold Monster</v>
          </cell>
          <cell r="I12" t="str">
            <v>Dictum</v>
          </cell>
          <cell r="J12" t="str">
            <v>Shield of Law</v>
          </cell>
          <cell r="K12" t="str">
            <v>Summon Monster IX</v>
          </cell>
        </row>
        <row r="13">
          <cell r="A13" t="str">
            <v>Luck</v>
          </cell>
          <cell r="B13" t="str">
            <v>You have good fortune, useable once per day.  When you use this ability, you may reroll any one roll that you have just made.  You must abide by the new roll.</v>
          </cell>
          <cell r="C13" t="str">
            <v>Entropic Shield</v>
          </cell>
          <cell r="D13" t="str">
            <v>Aid</v>
          </cell>
          <cell r="E13" t="str">
            <v>Protection from Energy</v>
          </cell>
          <cell r="F13" t="str">
            <v>Freedom of Movement</v>
          </cell>
          <cell r="G13" t="str">
            <v>Break Enchantment</v>
          </cell>
          <cell r="H13" t="str">
            <v>Mislead</v>
          </cell>
          <cell r="I13" t="str">
            <v>Spell Turning</v>
          </cell>
          <cell r="J13" t="str">
            <v>Moment of Prescience</v>
          </cell>
          <cell r="K13" t="str">
            <v>Miracle</v>
          </cell>
        </row>
        <row r="14">
          <cell r="A14" t="str">
            <v>Magic</v>
          </cell>
          <cell r="B14" t="str">
            <v>You use spell completion or spell trigger devices as a 0-level wizard.</v>
          </cell>
          <cell r="C14" t="str">
            <v>Nystul's Magic Aura</v>
          </cell>
          <cell r="D14" t="str">
            <v>Identify</v>
          </cell>
          <cell r="E14" t="str">
            <v>Dispel Magic</v>
          </cell>
          <cell r="F14" t="str">
            <v>Imbue with Spell Ability</v>
          </cell>
          <cell r="G14" t="str">
            <v>Spell Resistance</v>
          </cell>
          <cell r="H14" t="str">
            <v>Antimagic Field</v>
          </cell>
          <cell r="I14" t="str">
            <v>Spell Turning</v>
          </cell>
          <cell r="J14" t="str">
            <v>Protection from Spells</v>
          </cell>
          <cell r="K14" t="str">
            <v>Mordenkainen's Disjunction</v>
          </cell>
        </row>
        <row r="15">
          <cell r="A15" t="str">
            <v>Plant</v>
          </cell>
          <cell r="B15" t="str">
            <v>Rebuke or command plant creatures as an evil cleric rebukes or commands undead. 0 times per day as a supernatural ability. Knowledge (nature) has been added to your list of cleric class skills.</v>
          </cell>
          <cell r="C15" t="str">
            <v>Entangle</v>
          </cell>
          <cell r="D15" t="str">
            <v>Barkskin</v>
          </cell>
          <cell r="E15" t="str">
            <v>Plant Growth</v>
          </cell>
          <cell r="F15" t="str">
            <v>Command Plants</v>
          </cell>
          <cell r="G15" t="str">
            <v>Wall of Thorns</v>
          </cell>
          <cell r="H15" t="str">
            <v>Repel Wood</v>
          </cell>
          <cell r="I15" t="str">
            <v>Animate Plants</v>
          </cell>
          <cell r="J15" t="str">
            <v>Control Plants</v>
          </cell>
          <cell r="K15" t="str">
            <v>Shambler</v>
          </cell>
        </row>
        <row r="16">
          <cell r="A16" t="str">
            <v>Protection</v>
          </cell>
          <cell r="B16" t="str">
            <v>You can generate a protective ward once per day, granting the person you touch a +0 resistance bonus to their next saving throw, if it is made within an hour.</v>
          </cell>
          <cell r="C16" t="str">
            <v>Sanctuary</v>
          </cell>
          <cell r="D16" t="str">
            <v>Shield Other</v>
          </cell>
          <cell r="E16" t="str">
            <v>Protection from Energy</v>
          </cell>
          <cell r="F16" t="str">
            <v>Spell Immunity</v>
          </cell>
          <cell r="G16" t="str">
            <v>Spell Resistance</v>
          </cell>
          <cell r="H16" t="str">
            <v>Antimagic Field</v>
          </cell>
          <cell r="I16" t="str">
            <v>Repulsion</v>
          </cell>
          <cell r="J16" t="str">
            <v>Mind Blank</v>
          </cell>
          <cell r="K16" t="str">
            <v>Prismatic Sphere</v>
          </cell>
        </row>
        <row r="17">
          <cell r="A17" t="str">
            <v>Strength</v>
          </cell>
          <cell r="B17" t="str">
            <v>You can perform a feat of strength once per day, adding +0 to your Strength score for one round as a free action.</v>
          </cell>
          <cell r="C17" t="str">
            <v>Enlarge Person</v>
          </cell>
          <cell r="D17" t="str">
            <v>Bull's Strength</v>
          </cell>
          <cell r="E17" t="str">
            <v>Magic Vestment</v>
          </cell>
          <cell r="F17" t="str">
            <v>Spell Immunity</v>
          </cell>
          <cell r="G17" t="str">
            <v>Righteous Might</v>
          </cell>
          <cell r="H17" t="str">
            <v>Stoneskin</v>
          </cell>
          <cell r="I17" t="str">
            <v>Bigby's Grasping Hand</v>
          </cell>
          <cell r="J17" t="str">
            <v>Bigby's Clenched Fist</v>
          </cell>
          <cell r="K17" t="str">
            <v>Bigby's Crushing Hand</v>
          </cell>
        </row>
        <row r="18">
          <cell r="A18" t="str">
            <v>Sun</v>
          </cell>
          <cell r="B18" t="str">
            <v>Once per day, you can perform a greater turning in place of a regular turning attempt.  Any undead affected by this are destroyed instead of turned or rebuked.</v>
          </cell>
          <cell r="C18" t="str">
            <v>Endure Elements</v>
          </cell>
          <cell r="D18" t="str">
            <v>Heat Metal</v>
          </cell>
          <cell r="E18" t="str">
            <v>Searing Light</v>
          </cell>
          <cell r="F18" t="str">
            <v>Fire Shield</v>
          </cell>
          <cell r="G18" t="str">
            <v>Flame Strike</v>
          </cell>
          <cell r="H18" t="str">
            <v>Fire Seeds</v>
          </cell>
          <cell r="I18" t="str">
            <v>Sunbeam</v>
          </cell>
          <cell r="J18" t="str">
            <v>Sunburst</v>
          </cell>
          <cell r="K18" t="str">
            <v>Prismatic Sphere</v>
          </cell>
        </row>
        <row r="19">
          <cell r="A19" t="str">
            <v>Travel</v>
          </cell>
          <cell r="B19" t="str">
            <v>For 0 round per day, you can ignore all magical effects which hamper movement and mobility.  Survival added to your list of cleric class skills.</v>
          </cell>
          <cell r="C19" t="str">
            <v>Longstrider</v>
          </cell>
          <cell r="D19" t="str">
            <v>Locate Object</v>
          </cell>
          <cell r="E19" t="str">
            <v>Fly</v>
          </cell>
          <cell r="F19" t="str">
            <v>Dimension Door</v>
          </cell>
          <cell r="G19" t="str">
            <v>Teleport</v>
          </cell>
          <cell r="H19" t="str">
            <v>Find the Path</v>
          </cell>
          <cell r="I19" t="str">
            <v>Teleport, Greater</v>
          </cell>
          <cell r="J19" t="str">
            <v>Phase Door</v>
          </cell>
          <cell r="K19" t="str">
            <v>Astral Projection</v>
          </cell>
        </row>
        <row r="20">
          <cell r="A20" t="str">
            <v>Trickery</v>
          </cell>
          <cell r="B20" t="str">
            <v>Bluff, Disguise, and Hide have been added to your list of cleric class skills.</v>
          </cell>
          <cell r="C20" t="str">
            <v>Disguise Self</v>
          </cell>
          <cell r="D20" t="str">
            <v>Invisibility</v>
          </cell>
          <cell r="E20" t="str">
            <v>Nondetection</v>
          </cell>
          <cell r="F20" t="str">
            <v>Confusion</v>
          </cell>
          <cell r="G20" t="str">
            <v>False Vision</v>
          </cell>
          <cell r="H20" t="str">
            <v>Mislead</v>
          </cell>
          <cell r="I20" t="str">
            <v>Screen</v>
          </cell>
          <cell r="J20" t="str">
            <v>Polymorph Any Object</v>
          </cell>
          <cell r="K20" t="str">
            <v>Time Stop</v>
          </cell>
        </row>
        <row r="21">
          <cell r="A21" t="str">
            <v>War</v>
          </cell>
          <cell r="B21" t="str">
            <v>Free Martial Weapon Proficiency (if necessary) and Weapon Focus with your deities favored weapon.</v>
          </cell>
          <cell r="C21" t="str">
            <v>Magic Weapon</v>
          </cell>
          <cell r="D21" t="str">
            <v>Spiritual Weapon</v>
          </cell>
          <cell r="E21" t="str">
            <v>Magic Vestment</v>
          </cell>
          <cell r="F21" t="str">
            <v>Divine Power</v>
          </cell>
          <cell r="G21" t="str">
            <v>Flame Strike</v>
          </cell>
          <cell r="H21" t="str">
            <v>Blade Barrier</v>
          </cell>
          <cell r="I21" t="str">
            <v>Power Word Blind</v>
          </cell>
          <cell r="J21" t="str">
            <v>Power Word Stun</v>
          </cell>
          <cell r="K21" t="str">
            <v>Power Word Kill</v>
          </cell>
        </row>
        <row r="22">
          <cell r="A22" t="str">
            <v>Water</v>
          </cell>
          <cell r="B22" t="str">
            <v>You can turn or destroy fire creatures; rebuke, command, or bolster water creatures 0 times per day as a Supernatural Ability.</v>
          </cell>
          <cell r="C22" t="str">
            <v>Obscuring Mist</v>
          </cell>
          <cell r="D22" t="str">
            <v>Fog Cloud</v>
          </cell>
          <cell r="E22" t="str">
            <v>Water Breathing</v>
          </cell>
          <cell r="F22" t="str">
            <v>Control Water</v>
          </cell>
          <cell r="G22" t="str">
            <v>Ice Storm</v>
          </cell>
          <cell r="H22" t="str">
            <v>Cone of Cold</v>
          </cell>
          <cell r="I22" t="str">
            <v>Acid Fog</v>
          </cell>
          <cell r="J22" t="str">
            <v>Horrid Wilting</v>
          </cell>
          <cell r="K22" t="str">
            <v>Elemental Swarm</v>
          </cell>
        </row>
        <row r="23">
          <cell r="A23" t="str">
            <v>-VD Domains-</v>
          </cell>
        </row>
        <row r="24">
          <cell r="A24" t="str">
            <v>Bestial</v>
          </cell>
          <cell r="B24" t="str">
            <v>Character gains the Scent extraordinary ability.</v>
          </cell>
          <cell r="C24" t="str">
            <v>Magic Fang</v>
          </cell>
          <cell r="D24" t="str">
            <v>Bull's Strength</v>
          </cell>
          <cell r="E24" t="str">
            <v>Magic Fang, Greater</v>
          </cell>
          <cell r="F24" t="str">
            <v>Claws of the Savage</v>
          </cell>
          <cell r="G24" t="str">
            <v>Charm Monster</v>
          </cell>
          <cell r="H24" t="str">
            <v>Hold Monster</v>
          </cell>
          <cell r="I24" t="str">
            <v>Whirlwind of Teeth</v>
          </cell>
          <cell r="J24" t="str">
            <v>Spread of Savagery</v>
          </cell>
          <cell r="K24" t="str">
            <v>Were-doom</v>
          </cell>
        </row>
        <row r="25">
          <cell r="A25" t="str">
            <v>Demonic</v>
          </cell>
          <cell r="B25" t="str">
            <v>Character gains +1 divine bonus on attack and damage rolls for unarmed attacks and attacks with natural weapons.</v>
          </cell>
          <cell r="C25" t="str">
            <v>Demonflesh</v>
          </cell>
          <cell r="D25" t="str">
            <v>Demoncall</v>
          </cell>
          <cell r="E25" t="str">
            <v>Demon Wings</v>
          </cell>
          <cell r="F25" t="str">
            <v>Dimensional Anchor</v>
          </cell>
          <cell r="G25" t="str">
            <v>Planar Binding, Lesser</v>
          </cell>
          <cell r="H25" t="str">
            <v>Planar Binding</v>
          </cell>
          <cell r="I25" t="str">
            <v>Fiendish Clarity</v>
          </cell>
          <cell r="J25" t="str">
            <v>Utterdark</v>
          </cell>
          <cell r="K25" t="str">
            <v>Gate</v>
          </cell>
        </row>
        <row r="26">
          <cell r="A26" t="str">
            <v>Diabolic</v>
          </cell>
          <cell r="B26" t="str">
            <v>Once per day, character can add her class level as a bonus on a Bluff, Diplomacy, Intimidate or Sense Motive check.</v>
          </cell>
          <cell r="C26" t="str">
            <v>Devil's Tail</v>
          </cell>
          <cell r="D26" t="str">
            <v>Devil's Eye</v>
          </cell>
          <cell r="E26" t="str">
            <v>Devil's Ego</v>
          </cell>
          <cell r="F26" t="str">
            <v>Hellfire</v>
          </cell>
          <cell r="G26" t="str">
            <v>Planar Binding, Lesser</v>
          </cell>
          <cell r="H26" t="str">
            <v>Planar Binding</v>
          </cell>
          <cell r="I26" t="str">
            <v>Hellfire Storm</v>
          </cell>
          <cell r="J26" t="str">
            <v>Demand</v>
          </cell>
          <cell r="K26" t="str">
            <v>Gate</v>
          </cell>
        </row>
        <row r="27">
          <cell r="A27" t="str">
            <v>Pain</v>
          </cell>
          <cell r="B27" t="str">
            <v>Character converts damage that he deals in one blow per day into healing for himself, up to 1  point of damage per level.</v>
          </cell>
          <cell r="C27" t="str">
            <v>Angry Ache</v>
          </cell>
          <cell r="D27" t="str">
            <v>Sadism</v>
          </cell>
          <cell r="E27" t="str">
            <v>Wrack</v>
          </cell>
          <cell r="F27" t="str">
            <v>Liquid Pain</v>
          </cell>
          <cell r="G27" t="str">
            <v>Thousand Needles</v>
          </cell>
          <cell r="H27" t="str">
            <v>Pox</v>
          </cell>
          <cell r="I27" t="str">
            <v>Wave of Pain</v>
          </cell>
          <cell r="J27" t="str">
            <v>Symbol</v>
          </cell>
          <cell r="K27" t="str">
            <v>Eternity of Torture</v>
          </cell>
        </row>
        <row r="28">
          <cell r="A28" t="str">
            <v>-ED Domains-</v>
          </cell>
        </row>
        <row r="29">
          <cell r="A29" t="str">
            <v>Celestial</v>
          </cell>
          <cell r="B29" t="str">
            <v>You can smite evil once per day, gaining a +4 bonus to your attack and +0 to damage.</v>
          </cell>
          <cell r="C29" t="str">
            <v>Vision of Heaven</v>
          </cell>
          <cell r="D29" t="str">
            <v>Consecrate</v>
          </cell>
          <cell r="E29" t="str">
            <v>Blessed Sight</v>
          </cell>
          <cell r="F29" t="str">
            <v>Planar Ally, Lesser</v>
          </cell>
          <cell r="G29" t="str">
            <v>Heavenly Lightning</v>
          </cell>
          <cell r="H29" t="str">
            <v>Call Faithful Servants</v>
          </cell>
          <cell r="I29" t="str">
            <v>Heavenly Lightning Storm</v>
          </cell>
          <cell r="J29" t="str">
            <v>Holy Aura</v>
          </cell>
          <cell r="K29" t="str">
            <v>Gate</v>
          </cell>
        </row>
        <row r="30">
          <cell r="A30" t="str">
            <v>Endurance</v>
          </cell>
          <cell r="B30" t="str">
            <v>You can perform a feat of endurance once per day, adding +0 to your Constitution score for one minute as a free action.</v>
          </cell>
          <cell r="C30" t="str">
            <v>Endure Elements</v>
          </cell>
          <cell r="D30" t="str">
            <v>Bear's Endurance</v>
          </cell>
          <cell r="E30" t="str">
            <v>Refreshment</v>
          </cell>
          <cell r="F30" t="str">
            <v>Sustain</v>
          </cell>
          <cell r="G30" t="str">
            <v>Stoneskin</v>
          </cell>
          <cell r="H30" t="str">
            <v>Bear's Endurance, Mass</v>
          </cell>
          <cell r="I30" t="str">
            <v>Globe of Invulnerability</v>
          </cell>
          <cell r="J30" t="str">
            <v>Spell Turning</v>
          </cell>
          <cell r="K30" t="str">
            <v>Iron Body</v>
          </cell>
        </row>
        <row r="31">
          <cell r="A31" t="str">
            <v>Fey</v>
          </cell>
          <cell r="B31" t="str">
            <v>Gain a +4 bonus on saving throws against the spell-like abilities of feys.</v>
          </cell>
          <cell r="C31" t="str">
            <v>Faerie Fire</v>
          </cell>
          <cell r="D31" t="str">
            <v>Charm Person</v>
          </cell>
          <cell r="E31" t="str">
            <v>Inspired Aim</v>
          </cell>
          <cell r="F31" t="str">
            <v>Blinding Beauty</v>
          </cell>
          <cell r="G31" t="str">
            <v>Tree Stride</v>
          </cell>
          <cell r="H31" t="str">
            <v>Heroes' Feast</v>
          </cell>
          <cell r="I31" t="str">
            <v>Liveoak</v>
          </cell>
          <cell r="J31" t="str">
            <v>Unearthly Beauty</v>
          </cell>
          <cell r="K31" t="str">
            <v>Summon Nature's Ally IX</v>
          </cell>
        </row>
        <row r="32">
          <cell r="A32" t="str">
            <v>Herald</v>
          </cell>
          <cell r="B32" t="str">
            <v>Intimidate is a class skill.  You gain a +4 sacred bonus on Diplomacy and Intimidate checks.</v>
          </cell>
          <cell r="C32" t="str">
            <v>Comprehend Languages</v>
          </cell>
          <cell r="D32" t="str">
            <v>Enthrall</v>
          </cell>
          <cell r="E32" t="str">
            <v>Tongues</v>
          </cell>
          <cell r="F32" t="str">
            <v>Sending</v>
          </cell>
          <cell r="G32" t="str">
            <v>Command, Greater</v>
          </cell>
          <cell r="H32" t="str">
            <v>Dream</v>
          </cell>
          <cell r="I32" t="str">
            <v>Aspect of the Deity</v>
          </cell>
          <cell r="J32" t="str">
            <v>Crown of Glory</v>
          </cell>
          <cell r="K32" t="str">
            <v>Visage of the Deity, Greater</v>
          </cell>
        </row>
        <row r="33">
          <cell r="A33" t="str">
            <v>Joy</v>
          </cell>
          <cell r="B33" t="str">
            <v>You gain a +4 sacred bonus on Diplomacy checks.</v>
          </cell>
          <cell r="C33" t="str">
            <v>Vision of Heaven</v>
          </cell>
          <cell r="D33" t="str">
            <v>Elation</v>
          </cell>
          <cell r="E33" t="str">
            <v>Distilled Joy</v>
          </cell>
          <cell r="F33" t="str">
            <v>Good Hope</v>
          </cell>
          <cell r="G33" t="str">
            <v>Chaav's Laugh</v>
          </cell>
          <cell r="H33" t="str">
            <v>Heroism, Greater</v>
          </cell>
          <cell r="I33" t="str">
            <v>Starmantle</v>
          </cell>
          <cell r="J33" t="str">
            <v>Sympathy</v>
          </cell>
          <cell r="K33" t="str">
            <v>Otto's Irresistible Dance</v>
          </cell>
        </row>
        <row r="34">
          <cell r="A34" t="str">
            <v>Pleasure</v>
          </cell>
          <cell r="B34" t="str">
            <v>You are immune to any effect that damages or drains your Charisma.</v>
          </cell>
          <cell r="C34" t="str">
            <v>Remove Fear</v>
          </cell>
          <cell r="D34" t="str">
            <v>Lastai's Caress</v>
          </cell>
          <cell r="E34" t="str">
            <v>Heart's Ease</v>
          </cell>
          <cell r="F34" t="str">
            <v>Remove Fatigue</v>
          </cell>
          <cell r="G34" t="str">
            <v>Eagle's Splendor, Mass</v>
          </cell>
          <cell r="H34" t="str">
            <v>Celestial Blood</v>
          </cell>
          <cell r="I34" t="str">
            <v>Empyreal Ecstacy</v>
          </cell>
          <cell r="J34" t="str">
            <v>Spread of Contentment</v>
          </cell>
          <cell r="K34" t="str">
            <v>Sublime Revelry</v>
          </cell>
        </row>
        <row r="35">
          <cell r="A35" t="str">
            <v xml:space="preserve"> -ES Domains-</v>
          </cell>
        </row>
        <row r="36">
          <cell r="A36" t="str">
            <v>Artifice</v>
          </cell>
          <cell r="B36" t="str">
            <v>Gain +4 competence bonus on Craft check.  You cast creation spells at +1 caster level.</v>
          </cell>
          <cell r="C36" t="str">
            <v>Animate Rope</v>
          </cell>
          <cell r="D36" t="str">
            <v>Wood Shape</v>
          </cell>
          <cell r="E36" t="str">
            <v>Stone Shape</v>
          </cell>
          <cell r="F36" t="str">
            <v>Minor Creation</v>
          </cell>
          <cell r="G36" t="str">
            <v>Fabricate</v>
          </cell>
          <cell r="H36" t="str">
            <v>Major Creation</v>
          </cell>
          <cell r="I36" t="str">
            <v>Hardening</v>
          </cell>
          <cell r="J36" t="str">
            <v>True Creation</v>
          </cell>
          <cell r="K36" t="str">
            <v>Prismatic Sphere</v>
          </cell>
        </row>
        <row r="37">
          <cell r="A37" t="str">
            <v>Commerce</v>
          </cell>
          <cell r="B37" t="str">
            <v>You gain a +10 competence bonus on Profession checks made to earn a living.  Add appraise to your list of cleric class skills.</v>
          </cell>
          <cell r="C37" t="str">
            <v>Comprehend Languages</v>
          </cell>
          <cell r="D37" t="str">
            <v>Zone of Truth</v>
          </cell>
          <cell r="E37" t="str">
            <v>Tongues</v>
          </cell>
          <cell r="F37" t="str">
            <v>Glibness</v>
          </cell>
          <cell r="G37" t="str">
            <v>True Seeing</v>
          </cell>
          <cell r="H37" t="str">
            <v>Leomund's Secret Chest</v>
          </cell>
          <cell r="I37" t="str">
            <v>Refuge</v>
          </cell>
          <cell r="J37" t="str">
            <v>Analyze Dweomer</v>
          </cell>
          <cell r="K37" t="str">
            <v>Polymorph Any Object</v>
          </cell>
        </row>
        <row r="38">
          <cell r="A38" t="str">
            <v>Deathless</v>
          </cell>
          <cell r="B38" t="str">
            <v>Once per day, you can perform a greater rebuking against deathless creatures in place of a regular turning attempt.  Any deathless creatures affected by this are commanded instead of rebuked.</v>
          </cell>
          <cell r="C38" t="str">
            <v>Detect Undead</v>
          </cell>
          <cell r="D38" t="str">
            <v>Consecrate</v>
          </cell>
          <cell r="E38" t="str">
            <v>Halt Deathless</v>
          </cell>
          <cell r="F38" t="str">
            <v>Spirit Steed</v>
          </cell>
          <cell r="G38" t="str">
            <v>Hallow</v>
          </cell>
          <cell r="H38" t="str">
            <v>Create Deathless</v>
          </cell>
          <cell r="I38" t="str">
            <v>Control Deathless</v>
          </cell>
          <cell r="J38" t="str">
            <v>Create Greater Deathless</v>
          </cell>
          <cell r="K38" t="str">
            <v>Hero's Blade</v>
          </cell>
        </row>
        <row r="39">
          <cell r="A39" t="str">
            <v>Decay</v>
          </cell>
          <cell r="B39" t="str">
            <v>You may use a touch of decay once per day.  You must succeed on a melee touch attack to deal 1d4 points of Constitution damage to living creatures, or 2d6+0 damage to undead, constructs or objects.</v>
          </cell>
          <cell r="C39" t="str">
            <v>Doom</v>
          </cell>
          <cell r="D39" t="str">
            <v>Ray of Enfeeblement</v>
          </cell>
          <cell r="E39" t="str">
            <v>Contagion</v>
          </cell>
          <cell r="F39" t="str">
            <v>Enervation</v>
          </cell>
          <cell r="G39" t="str">
            <v>Blight</v>
          </cell>
          <cell r="H39" t="str">
            <v>Antilife Shell</v>
          </cell>
          <cell r="I39" t="str">
            <v>Withering Palm</v>
          </cell>
          <cell r="J39" t="str">
            <v>Horrid Wilting</v>
          </cell>
          <cell r="K39" t="str">
            <v>Energy Drain</v>
          </cell>
        </row>
        <row r="40">
          <cell r="A40" t="str">
            <v>Dragon Below</v>
          </cell>
          <cell r="B40" t="str">
            <v>You gain Augment Summoning as a bonus feat.</v>
          </cell>
          <cell r="C40" t="str">
            <v>Cause Fear</v>
          </cell>
          <cell r="D40" t="str">
            <v>Death Knell</v>
          </cell>
          <cell r="E40" t="str">
            <v>Bestow Curse</v>
          </cell>
          <cell r="F40" t="str">
            <v>Planar Ally, Lesser</v>
          </cell>
          <cell r="G40" t="str">
            <v>Slay Living</v>
          </cell>
          <cell r="H40" t="str">
            <v>Planar Ally</v>
          </cell>
          <cell r="I40" t="str">
            <v>Blasphemy</v>
          </cell>
          <cell r="J40" t="str">
            <v>Planar Ally, Greater</v>
          </cell>
          <cell r="K40" t="str">
            <v>Gate</v>
          </cell>
        </row>
        <row r="41">
          <cell r="A41" t="str">
            <v>Exorcism</v>
          </cell>
          <cell r="B41" t="str">
            <v>You have the supernatural ability to force possessing spirits out of the bodies they inhabit.</v>
          </cell>
          <cell r="C41" t="str">
            <v>Protection from Evil</v>
          </cell>
          <cell r="D41" t="str">
            <v>Magic Circle against Evil</v>
          </cell>
          <cell r="E41" t="str">
            <v>Remove Curse</v>
          </cell>
          <cell r="F41" t="str">
            <v>Dismissal</v>
          </cell>
          <cell r="G41" t="str">
            <v>Dispel Evil</v>
          </cell>
          <cell r="H41" t="str">
            <v>Banishment</v>
          </cell>
          <cell r="I41" t="str">
            <v>Holy Word</v>
          </cell>
          <cell r="J41" t="str">
            <v>Holy Aura</v>
          </cell>
          <cell r="K41" t="str">
            <v>Freedom</v>
          </cell>
        </row>
        <row r="42">
          <cell r="A42" t="str">
            <v>Feast</v>
          </cell>
          <cell r="B42" t="str">
            <v>You have immunity to ingested poisons and to diseases spread by ingestion.</v>
          </cell>
          <cell r="C42" t="str">
            <v>Goodberry</v>
          </cell>
          <cell r="D42" t="str">
            <v>Delay Poison</v>
          </cell>
          <cell r="E42" t="str">
            <v>Create Food and Water</v>
          </cell>
          <cell r="F42" t="str">
            <v>Neutralize Poison</v>
          </cell>
          <cell r="G42" t="str">
            <v>Leomund's Secure Shelter</v>
          </cell>
          <cell r="H42" t="str">
            <v>Heroes' Feast</v>
          </cell>
          <cell r="I42" t="str">
            <v>Mordenkainen's Magnificent Mansion</v>
          </cell>
          <cell r="J42" t="str">
            <v>Detoxify</v>
          </cell>
          <cell r="K42" t="str">
            <v>Feast of Champions</v>
          </cell>
        </row>
        <row r="43">
          <cell r="A43" t="str">
            <v>Life</v>
          </cell>
          <cell r="B43" t="str">
            <v>Once per day, you can grant 1d6+0 temporary hit points to a creature you touch.  These temporary hit points last for a maximum of  0 hours.</v>
          </cell>
          <cell r="C43" t="str">
            <v>Hide from Undead</v>
          </cell>
          <cell r="D43" t="str">
            <v>Restoration, Lesser</v>
          </cell>
          <cell r="E43" t="str">
            <v>Plant Growth</v>
          </cell>
          <cell r="F43" t="str">
            <v>Death Ward</v>
          </cell>
          <cell r="G43" t="str">
            <v>Disrupting Weapon</v>
          </cell>
          <cell r="H43" t="str">
            <v>Animate Objects</v>
          </cell>
          <cell r="I43" t="str">
            <v>Regenerate</v>
          </cell>
          <cell r="J43" t="str">
            <v>Animate Plants</v>
          </cell>
          <cell r="K43" t="str">
            <v>Heal, Mass</v>
          </cell>
        </row>
        <row r="44">
          <cell r="A44" t="str">
            <v>Meditation</v>
          </cell>
          <cell r="B44" t="str">
            <v>Once per day, you can cast one spell as though it had the Empower Spell feat applied to it.  However, you cast the spell at its normal level, not two levels higher, and use the normal casting time of the spell.  You need not know the Empower Spell feat to use this ability.</v>
          </cell>
          <cell r="C44" t="str">
            <v>Comprehend Languages</v>
          </cell>
          <cell r="D44" t="str">
            <v>Owl's Wisdom</v>
          </cell>
          <cell r="E44" t="str">
            <v>Locate Object</v>
          </cell>
          <cell r="F44" t="str">
            <v>Tongues</v>
          </cell>
          <cell r="G44" t="str">
            <v>Spell Resistance</v>
          </cell>
          <cell r="H44" t="str">
            <v>Find the Path</v>
          </cell>
          <cell r="I44" t="str">
            <v>Spell Turning</v>
          </cell>
          <cell r="J44" t="str">
            <v>Mind Blank</v>
          </cell>
          <cell r="K44" t="str">
            <v>Astral Projection</v>
          </cell>
        </row>
        <row r="45">
          <cell r="A45" t="str">
            <v>Necromancer</v>
          </cell>
          <cell r="B45" t="str">
            <v>You cast necromancy spells at +1 caster level.</v>
          </cell>
          <cell r="C45" t="str">
            <v>Ray of Enfeeblement</v>
          </cell>
          <cell r="D45" t="str">
            <v>Command Undead</v>
          </cell>
          <cell r="E45" t="str">
            <v>Vampiric Touch</v>
          </cell>
          <cell r="F45" t="str">
            <v>Enervation</v>
          </cell>
          <cell r="G45" t="str">
            <v>Waves of Fatigue</v>
          </cell>
          <cell r="H45" t="str">
            <v>Eyebite</v>
          </cell>
          <cell r="I45" t="str">
            <v>Control Undead</v>
          </cell>
          <cell r="J45" t="str">
            <v>Horrid Wilting</v>
          </cell>
          <cell r="K45" t="str">
            <v>Energy Drain</v>
          </cell>
        </row>
        <row r="46">
          <cell r="A46" t="str">
            <v>Passion</v>
          </cell>
          <cell r="B46" t="str">
            <v>For a total time per day of 0 rounds, as a free action you can act as if under the effect of the Rage spell.  This granted power is a supernatural abiity.</v>
          </cell>
          <cell r="C46" t="str">
            <v>Cause Fear</v>
          </cell>
          <cell r="D46" t="str">
            <v>Tasha's Hideous Laughter</v>
          </cell>
          <cell r="E46" t="str">
            <v>Confusion</v>
          </cell>
          <cell r="F46" t="str">
            <v>Crushing Despair</v>
          </cell>
          <cell r="G46" t="str">
            <v>Command, Greater</v>
          </cell>
          <cell r="H46" t="str">
            <v>Heroism, Greater</v>
          </cell>
          <cell r="I46" t="str">
            <v>Song of Discord</v>
          </cell>
          <cell r="J46" t="str">
            <v>Otto's Irresistable Dance</v>
          </cell>
          <cell r="K46" t="str">
            <v>Dominate Monster</v>
          </cell>
        </row>
        <row r="47">
          <cell r="A47" t="str">
            <v>Shadow</v>
          </cell>
          <cell r="B47" t="str">
            <v>Gain Blind-Fight as a bonus feat.</v>
          </cell>
          <cell r="C47" t="str">
            <v>Obscuring Mist</v>
          </cell>
          <cell r="D47" t="str">
            <v>Darkness</v>
          </cell>
          <cell r="E47" t="str">
            <v>Deeper Darkness</v>
          </cell>
          <cell r="F47" t="str">
            <v>Shadow Conjuration</v>
          </cell>
          <cell r="G47" t="str">
            <v>Shadow Evocation</v>
          </cell>
          <cell r="H47" t="str">
            <v>Shadow Walk</v>
          </cell>
          <cell r="I47" t="str">
            <v>Shadow Conjuration, Greater</v>
          </cell>
          <cell r="J47" t="str">
            <v>Shadow Evocation, Greater</v>
          </cell>
          <cell r="K47" t="str">
            <v>Shades</v>
          </cell>
        </row>
        <row r="48">
          <cell r="A48" t="str">
            <v>Weather</v>
          </cell>
          <cell r="B48" t="str">
            <v>Your vision is unobstructed by nonmagical weather conditions.  Add Survival to your list of cleric class skills.  You gain a +2 bonus on all weather related Survival checks.</v>
          </cell>
          <cell r="C48" t="str">
            <v>Obscuring Mist</v>
          </cell>
          <cell r="D48" t="str">
            <v>Fog Cloud</v>
          </cell>
          <cell r="E48" t="str">
            <v>Call Lightning</v>
          </cell>
          <cell r="F48" t="str">
            <v>Sleet Storm</v>
          </cell>
          <cell r="G48" t="str">
            <v>Call Lightning Storm</v>
          </cell>
          <cell r="H48" t="str">
            <v>Control Winds</v>
          </cell>
          <cell r="I48" t="str">
            <v>Control Weather</v>
          </cell>
          <cell r="J48" t="str">
            <v>Whirlwind</v>
          </cell>
          <cell r="K48" t="str">
            <v>Storm of Vengeance</v>
          </cell>
        </row>
        <row r="49">
          <cell r="A49" t="str">
            <v>-FB Domains-</v>
          </cell>
        </row>
        <row r="50">
          <cell r="A50" t="str">
            <v>Winter</v>
          </cell>
          <cell r="B50" t="str">
            <v>You gain a +2 Sacred bonus to all wisdom-based skills (during the winter season).</v>
          </cell>
          <cell r="C50" t="str">
            <v>Snowsight</v>
          </cell>
          <cell r="D50" t="str">
            <v>Snow Walk</v>
          </cell>
          <cell r="E50" t="str">
            <v>Winter's Embrace</v>
          </cell>
          <cell r="F50" t="str">
            <v>Ice Storm</v>
          </cell>
          <cell r="G50" t="str">
            <v>Blizzard</v>
          </cell>
          <cell r="H50" t="str">
            <v>Death Hail</v>
          </cell>
          <cell r="I50" t="str">
            <v>Control Weather</v>
          </cell>
          <cell r="J50" t="str">
            <v>Summon Giants</v>
          </cell>
          <cell r="K50" t="str">
            <v>Fimbulwinter</v>
          </cell>
        </row>
        <row r="51">
          <cell r="A51" t="str">
            <v>-RD Domains-</v>
          </cell>
        </row>
        <row r="52">
          <cell r="A52" t="str">
            <v>City</v>
          </cell>
          <cell r="B52" t="str">
            <v>Add Gather Info and Knowledge: Local to your cleric skill list.</v>
          </cell>
          <cell r="C52" t="str">
            <v>Rooftop Strider</v>
          </cell>
          <cell r="D52" t="str">
            <v>City Lights</v>
          </cell>
          <cell r="E52" t="str">
            <v>Winding Alleys</v>
          </cell>
          <cell r="F52" t="str">
            <v>Commune with City</v>
          </cell>
          <cell r="G52" t="str">
            <v>Skyline Runner</v>
          </cell>
          <cell r="H52" t="str">
            <v>City Stride</v>
          </cell>
          <cell r="I52" t="str">
            <v>Urban Shield</v>
          </cell>
          <cell r="J52" t="str">
            <v>City's Might</v>
          </cell>
          <cell r="K52" t="str">
            <v>Animate City</v>
          </cell>
        </row>
        <row r="53">
          <cell r="A53" t="str">
            <v>Destiny</v>
          </cell>
          <cell r="B53" t="str">
            <v>Grant a reroll (attack, save, ability check, or skill check to a willing creature (not you) within 30 ft.</v>
          </cell>
          <cell r="C53" t="str">
            <v>Omen of Peril</v>
          </cell>
          <cell r="D53" t="str">
            <v>Augury</v>
          </cell>
          <cell r="E53" t="str">
            <v>Delay Death</v>
          </cell>
          <cell r="F53" t="str">
            <v>Bestow Curse</v>
          </cell>
          <cell r="G53" t="str">
            <v>Stalwart Pact</v>
          </cell>
          <cell r="H53" t="str">
            <v>Warp Destiny</v>
          </cell>
          <cell r="I53" t="str">
            <v>Bestow Curse, Greater</v>
          </cell>
          <cell r="J53" t="str">
            <v>Moment of Prescience</v>
          </cell>
          <cell r="K53" t="str">
            <v>Choose Destiny</v>
          </cell>
        </row>
        <row r="54">
          <cell r="A54" t="str">
            <v>-RW Domains-</v>
          </cell>
        </row>
        <row r="55">
          <cell r="A55" t="str">
            <v>Sky</v>
          </cell>
          <cell r="B55" t="str">
            <v>Fly speed improves by 5 ft.  Add Spot to your list of cleric skills</v>
          </cell>
          <cell r="C55" t="str">
            <v>Raptor's Sight</v>
          </cell>
          <cell r="D55" t="str">
            <v>Summon Dire Hawk</v>
          </cell>
          <cell r="E55" t="str">
            <v>Enduring Flight</v>
          </cell>
          <cell r="F55" t="str">
            <v>Aerial Alacrity</v>
          </cell>
          <cell r="G55" t="str">
            <v>Control Winds</v>
          </cell>
          <cell r="H55" t="str">
            <v>Wind Walk</v>
          </cell>
          <cell r="I55" t="str">
            <v>Reverse Gravity</v>
          </cell>
          <cell r="J55" t="str">
            <v>Mastery of the Sky</v>
          </cell>
          <cell r="K55" t="str">
            <v>Summon Devoted Roc</v>
          </cell>
        </row>
        <row r="56">
          <cell r="A56" t="str">
            <v>-SS Domains-</v>
          </cell>
        </row>
        <row r="57">
          <cell r="A57" t="str">
            <v>Repose</v>
          </cell>
          <cell r="B57" t="str">
            <v>You may use death touch once per day.  If you touch your victim, roll 0d6.  If this at least equals the victim's hit points, it dies.</v>
          </cell>
          <cell r="C57" t="str">
            <v>Deathwatch</v>
          </cell>
          <cell r="D57" t="str">
            <v>Gentle Repose</v>
          </cell>
          <cell r="E57" t="str">
            <v>Speak with Dead</v>
          </cell>
          <cell r="F57" t="str">
            <v>Discern Lies</v>
          </cell>
          <cell r="G57" t="str">
            <v>Command, Greater</v>
          </cell>
          <cell r="H57" t="str">
            <v>Undeath to Death</v>
          </cell>
          <cell r="I57" t="str">
            <v>Destruction</v>
          </cell>
          <cell r="J57" t="str">
            <v>Surelife</v>
          </cell>
          <cell r="K57" t="str">
            <v>Wail of the Banshee</v>
          </cell>
        </row>
        <row r="58">
          <cell r="A58" t="str">
            <v>Sand</v>
          </cell>
          <cell r="B58" t="str">
            <v>Once per day you can shape a small amount of sand into any solid object you can imagine, up to 8 cubic feet in volume.  This effect lasts for 0 minutes.</v>
          </cell>
          <cell r="C58" t="str">
            <v>Waste Strider</v>
          </cell>
          <cell r="D58" t="str">
            <v>Black Sand</v>
          </cell>
          <cell r="E58" t="str">
            <v>Haboob</v>
          </cell>
          <cell r="F58" t="str">
            <v>Blast of Sand</v>
          </cell>
          <cell r="G58" t="str">
            <v>Flaywind Burst</v>
          </cell>
          <cell r="H58" t="str">
            <v>Awaken Sand</v>
          </cell>
          <cell r="I58" t="str">
            <v>Vitrify</v>
          </cell>
          <cell r="J58" t="str">
            <v>Desert Binding</v>
          </cell>
          <cell r="K58" t="str">
            <v>Summon Desert Ally IX</v>
          </cell>
        </row>
        <row r="59">
          <cell r="A59" t="str">
            <v>Summer</v>
          </cell>
          <cell r="B59" t="str">
            <v>You are considered a native of the waste for purposes of heat resistance.  During the summer season, you gain +2 bonus on al Wisdom-based skill checks.</v>
          </cell>
          <cell r="C59" t="str">
            <v>Impede Sun's Brilliance</v>
          </cell>
          <cell r="D59" t="str">
            <v>Sunstroke</v>
          </cell>
          <cell r="E59" t="str">
            <v>Protection from Dessication</v>
          </cell>
          <cell r="F59" t="str">
            <v>Skin of the Cactus</v>
          </cell>
          <cell r="G59" t="str">
            <v>Unearthly Heat</v>
          </cell>
          <cell r="H59" t="str">
            <v>Sunbeam</v>
          </cell>
          <cell r="I59" t="str">
            <v>Control Weather</v>
          </cell>
          <cell r="J59" t="str">
            <v>Sunburst</v>
          </cell>
          <cell r="K59" t="str">
            <v>Storm of Vengeance</v>
          </cell>
        </row>
        <row r="60">
          <cell r="A60" t="str">
            <v>Thirst</v>
          </cell>
          <cell r="B60" t="str">
            <v>Rebuke or command oozes as an evil cleric rebukes or commands undead. 2 times per day as a supernatural ability. You also gain a +2 bonus on Constitution checks to avoid dehydration.</v>
          </cell>
          <cell r="C60" t="str">
            <v>Parching Touch</v>
          </cell>
          <cell r="D60" t="str">
            <v>Desiccate</v>
          </cell>
          <cell r="E60" t="str">
            <v>Torment Thirst</v>
          </cell>
          <cell r="F60" t="str">
            <v>Dispel Water</v>
          </cell>
          <cell r="G60" t="str">
            <v>Desiccate, Mass</v>
          </cell>
          <cell r="H60" t="str">
            <v>Symbol of Thirst</v>
          </cell>
          <cell r="I60" t="str">
            <v>Mephit Mob</v>
          </cell>
          <cell r="J60" t="str">
            <v>Horrid Wilting</v>
          </cell>
          <cell r="K60" t="str">
            <v>Energy Drain</v>
          </cell>
        </row>
        <row r="61">
          <cell r="A61" t="str">
            <v>-LM Domains-</v>
          </cell>
        </row>
        <row r="62">
          <cell r="A62" t="str">
            <v>Corruption</v>
          </cell>
          <cell r="B62" t="str">
            <v>Once per day, make a melee touch attack to deal 0d6 damage and sicken target for 1 round.</v>
          </cell>
          <cell r="C62" t="str">
            <v>Doom</v>
          </cell>
          <cell r="D62" t="str">
            <v>Blindness/Deafness</v>
          </cell>
          <cell r="E62" t="str">
            <v>Contagion</v>
          </cell>
          <cell r="F62" t="str">
            <v>Morality Undone</v>
          </cell>
          <cell r="G62" t="str">
            <v>Feeblemind</v>
          </cell>
          <cell r="H62" t="str">
            <v>Pox</v>
          </cell>
          <cell r="I62" t="str">
            <v>Insanity</v>
          </cell>
          <cell r="J62" t="str">
            <v>Befoul</v>
          </cell>
          <cell r="K62" t="str">
            <v>Despoil</v>
          </cell>
        </row>
        <row r="63">
          <cell r="A63" t="str">
            <v>Vile Darkness</v>
          </cell>
          <cell r="B63" t="str">
            <v>Free Blind-Fight feat.</v>
          </cell>
          <cell r="C63" t="str">
            <v>Darkvision</v>
          </cell>
          <cell r="D63" t="str">
            <v>Darkbolt</v>
          </cell>
          <cell r="E63" t="str">
            <v>Deeper Darkness</v>
          </cell>
          <cell r="F63" t="str">
            <v>Damning Darkness</v>
          </cell>
          <cell r="G63" t="str">
            <v>Evard's Black Tentacles</v>
          </cell>
          <cell r="H63" t="str">
            <v>Wall of Force</v>
          </cell>
          <cell r="I63" t="str">
            <v>Shadow Walk</v>
          </cell>
          <cell r="J63" t="str">
            <v>Utterdark</v>
          </cell>
          <cell r="K63" t="str">
            <v>Screen</v>
          </cell>
        </row>
        <row r="64">
          <cell r="A64" t="str">
            <v>-SW Domains-</v>
          </cell>
        </row>
        <row r="65">
          <cell r="A65" t="str">
            <v>Blackwater</v>
          </cell>
          <cell r="B65" t="str">
            <v>You are immune to pressure damage from descending into even the greatest of oceanic depths.</v>
          </cell>
          <cell r="C65" t="str">
            <v>Cause Fear</v>
          </cell>
          <cell r="D65" t="str">
            <v>Pressure Sphere</v>
          </cell>
          <cell r="E65" t="str">
            <v>Evard's Black Tentacles</v>
          </cell>
          <cell r="F65" t="str">
            <v>Transformation of the Deeps</v>
          </cell>
          <cell r="G65" t="str">
            <v>Blackwater Tentacle</v>
          </cell>
          <cell r="H65" t="str">
            <v>Blackwater Taint</v>
          </cell>
          <cell r="I65" t="str">
            <v>Dark Tide</v>
          </cell>
          <cell r="J65" t="str">
            <v>Maelstrom</v>
          </cell>
          <cell r="K65" t="str">
            <v>Doom of the Seas</v>
          </cell>
        </row>
        <row r="66">
          <cell r="A66" t="str">
            <v>Seafolk</v>
          </cell>
          <cell r="B66" t="str">
            <v>You gain Expert Swimmer or Rapid Swimming (your choice) as a bonus feat.</v>
          </cell>
          <cell r="C66" t="str">
            <v>Quickswim</v>
          </cell>
          <cell r="D66" t="str">
            <v>Fins to Feet</v>
          </cell>
          <cell r="E66" t="str">
            <v>Scales of the Sealord</v>
          </cell>
          <cell r="F66" t="str">
            <v>Siren's Call</v>
          </cell>
          <cell r="G66" t="str">
            <v>Commune with Nature</v>
          </cell>
          <cell r="H66" t="str">
            <v>Airy Water</v>
          </cell>
          <cell r="I66" t="str">
            <v>Megalodon Empowerment</v>
          </cell>
          <cell r="J66" t="str">
            <v>Depthsurge</v>
          </cell>
          <cell r="K66" t="str">
            <v>Foresight</v>
          </cell>
        </row>
        <row r="67">
          <cell r="A67" t="str">
            <v>-Heroes of Horror Domains-</v>
          </cell>
        </row>
        <row r="68">
          <cell r="A68" t="str">
            <v>Spite</v>
          </cell>
          <cell r="B68" t="str">
            <v>Once per day, make a melee touch attack to deal damage equal to the damage the target dealt to you in the last round, to a mximum of 5 hp per divine caster level you possess</v>
          </cell>
          <cell r="C68" t="str">
            <v>Bestow Wound</v>
          </cell>
          <cell r="D68" t="str">
            <v>Rage</v>
          </cell>
          <cell r="E68" t="str">
            <v>Vampiric Touch</v>
          </cell>
          <cell r="F68" t="str">
            <v>Procouncement of Fate</v>
          </cell>
          <cell r="G68" t="str">
            <v>Fire in the Blood</v>
          </cell>
          <cell r="H68" t="str">
            <v>Cloak of Hate</v>
          </cell>
          <cell r="I68" t="str">
            <v>Pact of Return</v>
          </cell>
          <cell r="J68" t="str">
            <v>Mantle of Pure Spite</v>
          </cell>
          <cell r="K68" t="str">
            <v>Imprison Soul</v>
          </cell>
        </row>
        <row r="69">
          <cell r="A69" t="str">
            <v>-SpC Domains-</v>
          </cell>
        </row>
        <row r="70">
          <cell r="A70" t="str">
            <v>Balance</v>
          </cell>
          <cell r="B70" t="str">
            <v>Once per day, as a free action, you may add your Wisdom modifier(-1) to your Armor Class. This bonus lasts for 0 rounds.</v>
          </cell>
          <cell r="C70" t="str">
            <v>Make Whole</v>
          </cell>
          <cell r="D70" t="str">
            <v>Calm Emotions</v>
          </cell>
          <cell r="E70" t="str">
            <v>Clarity of Mind</v>
          </cell>
          <cell r="F70" t="str">
            <v>Dismissal</v>
          </cell>
          <cell r="G70" t="str">
            <v>Sanctuary, Mass</v>
          </cell>
          <cell r="H70" t="str">
            <v>Banishment</v>
          </cell>
          <cell r="I70" t="str">
            <v>Word of Balance</v>
          </cell>
          <cell r="J70" t="str">
            <v>Protection from Spells</v>
          </cell>
          <cell r="K70" t="str">
            <v>Weighed in the Balance</v>
          </cell>
        </row>
        <row r="71">
          <cell r="A71" t="str">
            <v>Cavern</v>
          </cell>
          <cell r="B71" t="str">
            <v>You gain the dwarf ability of stonecunning. If you already have stonecunning, your racial bonus for stonecunning increases to +4 on checks to notice unusual stonework.</v>
          </cell>
          <cell r="C71" t="str">
            <v>Detect Secret Doors</v>
          </cell>
          <cell r="D71" t="str">
            <v>Darkness</v>
          </cell>
          <cell r="E71" t="str">
            <v>Meld into Stone</v>
          </cell>
          <cell r="F71" t="str">
            <v>Leomund's Secure Shelter</v>
          </cell>
          <cell r="G71" t="str">
            <v>Passwall</v>
          </cell>
          <cell r="H71" t="str">
            <v>Find the Path</v>
          </cell>
          <cell r="I71" t="str">
            <v>Maw of Stone</v>
          </cell>
          <cell r="J71" t="str">
            <v>Earthquake</v>
          </cell>
          <cell r="K71" t="str">
            <v>Imprisonment</v>
          </cell>
        </row>
        <row r="72">
          <cell r="A72" t="str">
            <v>Celerity</v>
          </cell>
          <cell r="B72" t="str">
            <v>Your land speed is faster than the normal for your race by 10 ft. This benefit is lost if you are wearing medium or heavy armor or carrying a medium or heavy load.</v>
          </cell>
          <cell r="C72" t="str">
            <v>Expeditious Retreat</v>
          </cell>
          <cell r="D72" t="str">
            <v>Cat's Grace</v>
          </cell>
          <cell r="E72" t="str">
            <v>Blur</v>
          </cell>
          <cell r="F72" t="str">
            <v>Haste</v>
          </cell>
          <cell r="G72" t="str">
            <v>Tree Stride</v>
          </cell>
          <cell r="H72" t="str">
            <v>Wind Walk</v>
          </cell>
          <cell r="I72" t="str">
            <v>Cat's Grace, Mass</v>
          </cell>
          <cell r="J72" t="str">
            <v>Blink, Greater</v>
          </cell>
          <cell r="K72" t="str">
            <v>Time Stop</v>
          </cell>
        </row>
        <row r="73">
          <cell r="A73" t="str">
            <v>Charm</v>
          </cell>
          <cell r="B73" t="str">
            <v>You can boost your Charisma by 4 points once per day.  Activating this power is a free action.  The Charisma increase lasts 1 minute.</v>
          </cell>
          <cell r="C73" t="str">
            <v>Charm Person</v>
          </cell>
          <cell r="D73" t="str">
            <v>Calm Emotions</v>
          </cell>
          <cell r="E73" t="str">
            <v>Suggestion</v>
          </cell>
          <cell r="F73" t="str">
            <v>Good Hope</v>
          </cell>
          <cell r="G73" t="str">
            <v>Charm Monster</v>
          </cell>
          <cell r="H73" t="str">
            <v>Geas/Quest</v>
          </cell>
          <cell r="I73" t="str">
            <v>Insanity</v>
          </cell>
          <cell r="J73" t="str">
            <v>Demand</v>
          </cell>
          <cell r="K73" t="str">
            <v>Dominate Monster</v>
          </cell>
        </row>
        <row r="74">
          <cell r="A74" t="str">
            <v>Cold</v>
          </cell>
          <cell r="B74" t="str">
            <v>As a supernatural ability you can turn/destroy fire creatures and rebuke/command cold creatures 0 times per day.</v>
          </cell>
          <cell r="C74" t="str">
            <v>Chill Touch</v>
          </cell>
          <cell r="D74" t="str">
            <v>Chill Metal</v>
          </cell>
          <cell r="E74" t="str">
            <v>Sleet Storm</v>
          </cell>
          <cell r="F74" t="str">
            <v>Ice Storm</v>
          </cell>
          <cell r="G74" t="str">
            <v>Wall of Ice</v>
          </cell>
          <cell r="H74" t="str">
            <v>Cone of Cold</v>
          </cell>
          <cell r="I74" t="str">
            <v>Control Weather</v>
          </cell>
          <cell r="J74" t="str">
            <v>Polar Ray</v>
          </cell>
          <cell r="K74" t="str">
            <v>Obedient Avalanche</v>
          </cell>
        </row>
        <row r="75">
          <cell r="A75" t="str">
            <v>Community</v>
          </cell>
          <cell r="B75" t="str">
            <v>You can use the calm emotions spell as a spell-like ability once per day.  You also gain a +2 bonus on Diplomacy checks.</v>
          </cell>
          <cell r="C75" t="str">
            <v>Bless</v>
          </cell>
          <cell r="D75" t="str">
            <v>Status</v>
          </cell>
          <cell r="E75" t="str">
            <v>Prayer</v>
          </cell>
          <cell r="F75" t="str">
            <v>Tongues</v>
          </cell>
          <cell r="G75" t="str">
            <v>Rary's Telepathic Bond</v>
          </cell>
          <cell r="H75" t="str">
            <v>Heroes' Feast</v>
          </cell>
          <cell r="I75" t="str">
            <v>Refuge</v>
          </cell>
          <cell r="J75" t="str">
            <v>Morenkainen's Magnificent Mansion</v>
          </cell>
          <cell r="K75" t="str">
            <v>Heal, Mass</v>
          </cell>
        </row>
        <row r="76">
          <cell r="A76" t="str">
            <v>Competition</v>
          </cell>
          <cell r="B76" t="str">
            <v>As an extraordinary ability you gain a +1 bonus on all opposed checks you make.</v>
          </cell>
          <cell r="C76" t="str">
            <v>Remove Fear</v>
          </cell>
          <cell r="D76" t="str">
            <v>Zeal</v>
          </cell>
          <cell r="E76" t="str">
            <v>Prayer</v>
          </cell>
          <cell r="F76" t="str">
            <v>Divine Power</v>
          </cell>
          <cell r="G76" t="str">
            <v>Righteous Might</v>
          </cell>
          <cell r="H76" t="str">
            <v>Zealot Pact</v>
          </cell>
          <cell r="I76" t="str">
            <v>Regenerate</v>
          </cell>
          <cell r="J76" t="str">
            <v>Moment of Prescience</v>
          </cell>
          <cell r="K76" t="str">
            <v>Visage of the Deity, Greater</v>
          </cell>
        </row>
        <row r="77">
          <cell r="A77" t="str">
            <v>Courage</v>
          </cell>
          <cell r="B77" t="str">
            <v>Your radiate an aura of courage that grants all allies within 10 feet (including yourself) a +4 morale bonus on saving throws against fear effects. This supernatural ability functions while you are conscious.</v>
          </cell>
          <cell r="C77" t="str">
            <v>Remove Fear</v>
          </cell>
          <cell r="D77" t="str">
            <v>Aid</v>
          </cell>
          <cell r="E77" t="str">
            <v>Cloak of Bravery</v>
          </cell>
          <cell r="F77" t="str">
            <v>Heroism</v>
          </cell>
          <cell r="G77" t="str">
            <v>Valiant Fury</v>
          </cell>
          <cell r="H77" t="str">
            <v>Heroes' Feast</v>
          </cell>
          <cell r="I77" t="str">
            <v>Heroism, Greater</v>
          </cell>
          <cell r="J77" t="str">
            <v>Lion's Roar</v>
          </cell>
          <cell r="K77" t="str">
            <v>Cloak of Bravery, Greater</v>
          </cell>
        </row>
        <row r="78">
          <cell r="A78" t="str">
            <v>Craft</v>
          </cell>
          <cell r="B78" t="str">
            <v>You cast Conjuration (creation) spells at +1 caster level and gain Skill Focus in the Craft skill of your choice.</v>
          </cell>
          <cell r="C78" t="str">
            <v>Animate Rope</v>
          </cell>
          <cell r="D78" t="str">
            <v>Wood Shape</v>
          </cell>
          <cell r="E78" t="str">
            <v>Stone Shape</v>
          </cell>
          <cell r="F78" t="str">
            <v>Minor Creation</v>
          </cell>
          <cell r="G78" t="str">
            <v>Wall of Stone</v>
          </cell>
          <cell r="H78" t="str">
            <v>Fantastic Machine</v>
          </cell>
          <cell r="I78" t="str">
            <v>Major Creation</v>
          </cell>
          <cell r="J78" t="str">
            <v>Forcecage</v>
          </cell>
          <cell r="K78" t="str">
            <v>Fantastic Machine, Greater</v>
          </cell>
        </row>
        <row r="79">
          <cell r="A79" t="str">
            <v>Creation</v>
          </cell>
          <cell r="B79" t="str">
            <v>You cast Conjuration (creation) spells at +1 caster level.</v>
          </cell>
          <cell r="C79" t="str">
            <v>Create Water</v>
          </cell>
          <cell r="D79" t="str">
            <v>Minor Image</v>
          </cell>
          <cell r="E79" t="str">
            <v>Create Food and Water</v>
          </cell>
          <cell r="F79" t="str">
            <v>Minor Creation</v>
          </cell>
          <cell r="G79" t="str">
            <v>Major Creation</v>
          </cell>
          <cell r="H79" t="str">
            <v>Heroes' Feast</v>
          </cell>
          <cell r="I79" t="str">
            <v>Permanent Image</v>
          </cell>
          <cell r="J79" t="str">
            <v>True Creation</v>
          </cell>
          <cell r="K79" t="str">
            <v>Pavilion of Grandeur</v>
          </cell>
        </row>
        <row r="80">
          <cell r="A80" t="str">
            <v>Darkness</v>
          </cell>
          <cell r="B80" t="str">
            <v>Free Blind-Fight feat.</v>
          </cell>
          <cell r="C80" t="str">
            <v>Obscuring Mist</v>
          </cell>
          <cell r="D80" t="str">
            <v>Blindness/Deafness</v>
          </cell>
          <cell r="E80" t="str">
            <v>Blacklight</v>
          </cell>
          <cell r="F80" t="str">
            <v>Armor of Darkness</v>
          </cell>
          <cell r="G80" t="str">
            <v>Darkbolt</v>
          </cell>
          <cell r="H80" t="str">
            <v>Prying Eyes</v>
          </cell>
          <cell r="I80" t="str">
            <v>Nightmare</v>
          </cell>
          <cell r="J80" t="str">
            <v>Power Word Blind</v>
          </cell>
          <cell r="K80" t="str">
            <v>Power Word Kill</v>
          </cell>
        </row>
        <row r="81">
          <cell r="A81" t="str">
            <v>Deathbound</v>
          </cell>
          <cell r="B81" t="str">
            <v>Your limit for creating undead animated with spells increases to three times your caster level instead of the normal two times caster level</v>
          </cell>
          <cell r="C81" t="str">
            <v>Chill of the Grave</v>
          </cell>
          <cell r="D81" t="str">
            <v>Blade of Pain and Fear</v>
          </cell>
          <cell r="E81" t="str">
            <v>Fangs of the Vampire King</v>
          </cell>
          <cell r="F81" t="str">
            <v>Wither Limb</v>
          </cell>
          <cell r="G81" t="str">
            <v>Revive Undead</v>
          </cell>
          <cell r="H81" t="str">
            <v>Awaken Undead</v>
          </cell>
          <cell r="I81" t="str">
            <v>Avasculate</v>
          </cell>
          <cell r="J81" t="str">
            <v>Avascular, Mass</v>
          </cell>
          <cell r="K81" t="str">
            <v>Wail of the Banshee</v>
          </cell>
        </row>
        <row r="82">
          <cell r="A82" t="str">
            <v>Domination</v>
          </cell>
          <cell r="B82" t="str">
            <v>You gain the Spell Focus(Enchantment) Feat.</v>
          </cell>
          <cell r="C82" t="str">
            <v>Command</v>
          </cell>
          <cell r="D82" t="str">
            <v>Enthrall</v>
          </cell>
          <cell r="E82" t="str">
            <v>Suggestion</v>
          </cell>
          <cell r="F82" t="str">
            <v>Dominate Person</v>
          </cell>
          <cell r="G82" t="str">
            <v>Command, Greater</v>
          </cell>
          <cell r="H82" t="str">
            <v>Geas/Quest</v>
          </cell>
          <cell r="I82" t="str">
            <v>Suggestion, Mass</v>
          </cell>
          <cell r="J82" t="str">
            <v>True Domination</v>
          </cell>
          <cell r="K82" t="str">
            <v>Monstrous Thrall</v>
          </cell>
        </row>
        <row r="83">
          <cell r="A83" t="str">
            <v>Dragon</v>
          </cell>
          <cell r="B83" t="str">
            <v>Add Bluff and Intimidate to your list of cleric class skills.</v>
          </cell>
          <cell r="C83" t="str">
            <v>Magic Fang</v>
          </cell>
          <cell r="D83" t="str">
            <v>Resist Energy</v>
          </cell>
          <cell r="E83" t="str">
            <v>Magic Fang, Greater</v>
          </cell>
          <cell r="F83" t="str">
            <v>Voice of the Dragon</v>
          </cell>
          <cell r="G83" t="str">
            <v>True Seeing</v>
          </cell>
          <cell r="H83" t="str">
            <v>Stoneskin</v>
          </cell>
          <cell r="I83" t="str">
            <v>Dragon Ally</v>
          </cell>
          <cell r="J83" t="str">
            <v>Suggestion, Mass</v>
          </cell>
          <cell r="K83" t="str">
            <v>Dominate Monster</v>
          </cell>
        </row>
        <row r="84">
          <cell r="A84" t="str">
            <v>Dream</v>
          </cell>
          <cell r="B84" t="str">
            <v>You are immune to fear effects.</v>
          </cell>
          <cell r="C84" t="str">
            <v>Sleep</v>
          </cell>
          <cell r="D84" t="str">
            <v>Augury</v>
          </cell>
          <cell r="E84" t="str">
            <v>Deep Slumber</v>
          </cell>
          <cell r="F84" t="str">
            <v>Phantasmal Killer</v>
          </cell>
          <cell r="G84" t="str">
            <v>Nightmare</v>
          </cell>
          <cell r="H84" t="str">
            <v>Dream Sight</v>
          </cell>
          <cell r="I84" t="str">
            <v>Scrying, Greater</v>
          </cell>
          <cell r="J84" t="str">
            <v>Power Word Stun</v>
          </cell>
          <cell r="K84" t="str">
            <v>Weird</v>
          </cell>
        </row>
        <row r="85">
          <cell r="A85" t="str">
            <v>Drow</v>
          </cell>
          <cell r="B85" t="str">
            <v>Free Lightning Reflexes feat.</v>
          </cell>
          <cell r="C85" t="str">
            <v>Cloak of Dark Power</v>
          </cell>
          <cell r="D85" t="str">
            <v>Clairaudience/Clairvoyance</v>
          </cell>
          <cell r="E85" t="str">
            <v>Suggestion</v>
          </cell>
          <cell r="F85" t="str">
            <v>Discern Lies</v>
          </cell>
          <cell r="G85" t="str">
            <v>Spiderform</v>
          </cell>
          <cell r="H85" t="str">
            <v>Dispel Magic, Greater</v>
          </cell>
          <cell r="I85" t="str">
            <v>Word of Chaos</v>
          </cell>
          <cell r="J85" t="str">
            <v>Planar Ally, Greater</v>
          </cell>
          <cell r="K85" t="str">
            <v>Gate</v>
          </cell>
        </row>
        <row r="86">
          <cell r="A86" t="str">
            <v>Dwarf</v>
          </cell>
          <cell r="B86" t="str">
            <v>Free Great Fortitude feat.</v>
          </cell>
          <cell r="C86" t="str">
            <v>Magic Weapon</v>
          </cell>
          <cell r="D86" t="str">
            <v>Bear's Endurance</v>
          </cell>
          <cell r="E86" t="str">
            <v>Glyph of Warding</v>
          </cell>
          <cell r="F86" t="str">
            <v>Magic Weapon, Greater</v>
          </cell>
          <cell r="G86" t="str">
            <v>Fabricate</v>
          </cell>
          <cell r="H86" t="str">
            <v>Stone Tell</v>
          </cell>
          <cell r="I86" t="str">
            <v>Dictum</v>
          </cell>
          <cell r="J86" t="str">
            <v>Protection from Spells</v>
          </cell>
          <cell r="K86" t="str">
            <v>Elemental Swarm</v>
          </cell>
        </row>
        <row r="87">
          <cell r="A87" t="str">
            <v>Elf</v>
          </cell>
          <cell r="B87" t="str">
            <v>Free Point Blank Shot feat.</v>
          </cell>
          <cell r="C87" t="str">
            <v>True Strike</v>
          </cell>
          <cell r="D87" t="str">
            <v>Cat's Grace</v>
          </cell>
          <cell r="E87" t="str">
            <v>Snare</v>
          </cell>
          <cell r="F87" t="str">
            <v>Tree Stride</v>
          </cell>
          <cell r="G87" t="str">
            <v>Commune with Nature</v>
          </cell>
          <cell r="H87" t="str">
            <v>Find the Path</v>
          </cell>
          <cell r="I87" t="str">
            <v>Liveoak</v>
          </cell>
          <cell r="J87" t="str">
            <v>Sunburst</v>
          </cell>
          <cell r="K87" t="str">
            <v>Antipathy</v>
          </cell>
        </row>
        <row r="88">
          <cell r="A88" t="str">
            <v>Envy</v>
          </cell>
          <cell r="B88" t="str">
            <v>Add bluff to your list of cleric class skills.  You cast spells that damage or drain ability scores or bestow negative levels at +1 caster level.</v>
          </cell>
          <cell r="C88" t="str">
            <v>Disguise Self</v>
          </cell>
          <cell r="D88" t="str">
            <v>Ray of Enfeeblement</v>
          </cell>
          <cell r="E88" t="str">
            <v>Touch of Idiocy</v>
          </cell>
          <cell r="F88" t="str">
            <v>Vampiric Touch</v>
          </cell>
          <cell r="G88" t="str">
            <v>Crushing Despair</v>
          </cell>
          <cell r="H88" t="str">
            <v>Magic Jar</v>
          </cell>
          <cell r="I88" t="str">
            <v>Limited Wish</v>
          </cell>
          <cell r="J88" t="str">
            <v>Simulacrum</v>
          </cell>
          <cell r="K88" t="str">
            <v>Wish</v>
          </cell>
        </row>
        <row r="89">
          <cell r="A89" t="str">
            <v>Family</v>
          </cell>
          <cell r="B89" t="str">
            <v>As a free action, you may choose to protect 1 creatures(including yourself) within 10 feet with a +4 dodge bonus to AC. This supernatural ability lasts for 0 rounds.</v>
          </cell>
          <cell r="C89" t="str">
            <v>Bless</v>
          </cell>
          <cell r="D89" t="str">
            <v>Shield Other</v>
          </cell>
          <cell r="E89" t="str">
            <v>Helping Hand</v>
          </cell>
          <cell r="F89" t="str">
            <v>Imbue with Spell Ability</v>
          </cell>
          <cell r="G89" t="str">
            <v>Rary's Telepathic Bond</v>
          </cell>
          <cell r="H89" t="str">
            <v>Heroes' Feast</v>
          </cell>
          <cell r="I89" t="str">
            <v>Refuge</v>
          </cell>
          <cell r="J89" t="str">
            <v>Protection from Spells</v>
          </cell>
          <cell r="K89" t="str">
            <v>Prismatic Sphere</v>
          </cell>
        </row>
        <row r="90">
          <cell r="A90" t="str">
            <v>Fate</v>
          </cell>
          <cell r="B90" t="str">
            <v>You gain the uncanny dodge ability.  If you already have it, your cleric levels add to that class's level for determining when you gain improved uncanny dodge.</v>
          </cell>
          <cell r="C90" t="str">
            <v>True Strike</v>
          </cell>
          <cell r="D90" t="str">
            <v>Augury</v>
          </cell>
          <cell r="E90" t="str">
            <v>Bestow Curse</v>
          </cell>
          <cell r="F90" t="str">
            <v>Status</v>
          </cell>
          <cell r="G90" t="str">
            <v>Mark of Justice</v>
          </cell>
          <cell r="H90" t="str">
            <v>Geas/Quest</v>
          </cell>
          <cell r="I90" t="str">
            <v>Vision</v>
          </cell>
          <cell r="J90" t="str">
            <v>Mind Blank</v>
          </cell>
          <cell r="K90" t="str">
            <v>Foresight</v>
          </cell>
        </row>
        <row r="91">
          <cell r="A91" t="str">
            <v>Force</v>
          </cell>
          <cell r="B91" t="str">
            <v>As a supernatural ability, once per day you can reroll any damage roll and take the better of the two rolls.</v>
          </cell>
          <cell r="C91" t="str">
            <v>Mage Armor</v>
          </cell>
          <cell r="D91" t="str">
            <v>Magic Missile</v>
          </cell>
          <cell r="E91" t="str">
            <v>Blast of Force</v>
          </cell>
          <cell r="F91" t="str">
            <v>Otiluke's Resilient Sphere</v>
          </cell>
          <cell r="G91" t="str">
            <v>Wall of Force</v>
          </cell>
          <cell r="H91" t="str">
            <v>Repulsion</v>
          </cell>
          <cell r="I91" t="str">
            <v>Forcecage</v>
          </cell>
          <cell r="J91" t="str">
            <v>Otiluke's Telekinetic Sphere</v>
          </cell>
          <cell r="K91" t="str">
            <v>Bigby's Crushing Hand</v>
          </cell>
        </row>
        <row r="92">
          <cell r="A92" t="str">
            <v>Glory</v>
          </cell>
          <cell r="B92" t="str">
            <v>Turn undead with a +2 bonus on turning check and +1d6 on the turning damage roll.</v>
          </cell>
          <cell r="C92" t="str">
            <v>Disrupt Undead</v>
          </cell>
          <cell r="D92" t="str">
            <v>Bless Weapon</v>
          </cell>
          <cell r="E92" t="str">
            <v>Searing Light</v>
          </cell>
          <cell r="F92" t="str">
            <v>Holy Smite</v>
          </cell>
          <cell r="G92" t="str">
            <v>Holy Sword</v>
          </cell>
          <cell r="H92" t="str">
            <v>Bolt of Glory</v>
          </cell>
          <cell r="I92" t="str">
            <v>Sunbeam</v>
          </cell>
          <cell r="J92" t="str">
            <v>Crown of Glory</v>
          </cell>
          <cell r="K92" t="str">
            <v>Gate</v>
          </cell>
        </row>
        <row r="93">
          <cell r="A93" t="str">
            <v>Gluttony</v>
          </cell>
          <cell r="B93" t="str">
            <v>For a total time per day of 0 rounds, as a free action you can act as if under the effect of the Enlarge Person spell.</v>
          </cell>
          <cell r="C93" t="str">
            <v>Goodberry</v>
          </cell>
          <cell r="D93" t="str">
            <v>Death Knell</v>
          </cell>
          <cell r="E93" t="str">
            <v>Create Food and Water</v>
          </cell>
          <cell r="F93" t="str">
            <v>Vampiric Touch</v>
          </cell>
          <cell r="G93" t="str">
            <v>Baleful Polymorph</v>
          </cell>
          <cell r="H93" t="str">
            <v>Heroes' Feast</v>
          </cell>
          <cell r="I93" t="str">
            <v>Stone to Flesh</v>
          </cell>
          <cell r="J93" t="str">
            <v>Bite of the King</v>
          </cell>
          <cell r="K93" t="str">
            <v>Trap the Soul</v>
          </cell>
        </row>
        <row r="94">
          <cell r="A94" t="str">
            <v>Gnome</v>
          </cell>
          <cell r="B94" t="str">
            <v>You cast all illusion spells at +1 caster level.</v>
          </cell>
          <cell r="C94" t="str">
            <v>Silent Image</v>
          </cell>
          <cell r="D94" t="str">
            <v>Gembomb</v>
          </cell>
          <cell r="E94" t="str">
            <v>Minor Image</v>
          </cell>
          <cell r="F94" t="str">
            <v>Minor Creation</v>
          </cell>
          <cell r="G94" t="str">
            <v>Hallucinatory Terrain</v>
          </cell>
          <cell r="H94" t="str">
            <v>Fantastic Machine</v>
          </cell>
          <cell r="I94" t="str">
            <v>Screen</v>
          </cell>
          <cell r="J94" t="str">
            <v>Otto's Irresistable Dance</v>
          </cell>
          <cell r="K94" t="str">
            <v>Summon Nature's Ally IX</v>
          </cell>
        </row>
        <row r="95">
          <cell r="A95" t="str">
            <v>Greed</v>
          </cell>
          <cell r="B95" t="str">
            <v>You gain a +2 Competence bonus on Appraise, Open Lock, and Sleight of Hand checks.</v>
          </cell>
          <cell r="C95" t="str">
            <v>Cheat</v>
          </cell>
          <cell r="D95" t="str">
            <v>Entice Gift</v>
          </cell>
          <cell r="E95" t="str">
            <v>Knock</v>
          </cell>
          <cell r="F95" t="str">
            <v>Fire Trap</v>
          </cell>
          <cell r="G95" t="str">
            <v>Fabricate</v>
          </cell>
          <cell r="H95" t="str">
            <v>Guards and Wards</v>
          </cell>
          <cell r="I95" t="str">
            <v>Teleport Object</v>
          </cell>
          <cell r="J95" t="str">
            <v>Phantasmal Thief</v>
          </cell>
          <cell r="K95" t="str">
            <v>Sympathy</v>
          </cell>
        </row>
        <row r="96">
          <cell r="A96" t="str">
            <v>Halfling</v>
          </cell>
          <cell r="B96" t="str">
            <v>You gain the ability to add -2 to your Climb, Jump, Move Silently, and Hide checks.  This extraordinary ability is a free action that lasts 10 minutes.  It can be used once per day.</v>
          </cell>
          <cell r="C96" t="str">
            <v>Magic Stone</v>
          </cell>
          <cell r="D96" t="str">
            <v>Cat's Grace</v>
          </cell>
          <cell r="E96" t="str">
            <v>Magic Vestment</v>
          </cell>
          <cell r="F96" t="str">
            <v>Freedom of Movement</v>
          </cell>
          <cell r="G96" t="str">
            <v>Mordenkainen's Faithful Hound</v>
          </cell>
          <cell r="H96" t="str">
            <v>Move Earth</v>
          </cell>
          <cell r="I96" t="str">
            <v>Shadow Walk</v>
          </cell>
          <cell r="J96" t="str">
            <v>Word of Recall</v>
          </cell>
          <cell r="K96" t="str">
            <v>Foresight</v>
          </cell>
        </row>
        <row r="97">
          <cell r="A97" t="str">
            <v>Hatred</v>
          </cell>
          <cell r="B97" t="str">
            <v>Once per day, as a free action, choose one opponnent.  Against that opponent you gain a +2 profane bonus on attack rolls, saving throws, and Armor Class.  This supernatural ability lasts 1 minute.</v>
          </cell>
          <cell r="C97" t="str">
            <v>Doom</v>
          </cell>
          <cell r="D97" t="str">
            <v>Scare</v>
          </cell>
          <cell r="E97" t="str">
            <v>Bestow Curse</v>
          </cell>
          <cell r="F97" t="str">
            <v>Rage</v>
          </cell>
          <cell r="G97" t="str">
            <v>Righteous Might</v>
          </cell>
          <cell r="H97" t="str">
            <v>Forbiddance</v>
          </cell>
          <cell r="I97" t="str">
            <v>Blasphemy</v>
          </cell>
          <cell r="J97" t="str">
            <v>Antipathy</v>
          </cell>
          <cell r="K97" t="str">
            <v>Wail of the Banshee</v>
          </cell>
        </row>
        <row r="98">
          <cell r="A98" t="str">
            <v>Hunger</v>
          </cell>
          <cell r="B98" t="str">
            <v>You gain a bite attack. If you are Small, your bite attack deals 1d4 points of damage; Medium, 1d6; or Large, 1d8. You are proficient with your bite, and considered armed.</v>
          </cell>
          <cell r="C98" t="str">
            <v>Ghoul Light</v>
          </cell>
          <cell r="D98" t="str">
            <v>Ghoul Glyph</v>
          </cell>
          <cell r="E98" t="str">
            <v>Ghoul Gesture</v>
          </cell>
          <cell r="F98" t="str">
            <v>Enervation</v>
          </cell>
          <cell r="G98" t="str">
            <v>Ghoul Gauntlet</v>
          </cell>
          <cell r="H98" t="str">
            <v>Eyes of the King</v>
          </cell>
          <cell r="I98" t="str">
            <v>Field of Ghouls</v>
          </cell>
          <cell r="J98" t="str">
            <v>Bite of the King</v>
          </cell>
          <cell r="K98" t="str">
            <v>Energy Drain</v>
          </cell>
        </row>
        <row r="99">
          <cell r="A99" t="str">
            <v>Illusion</v>
          </cell>
          <cell r="B99" t="str">
            <v>You cast all illusion spells at +1 caster level.</v>
          </cell>
          <cell r="C99" t="str">
            <v>Silent Image</v>
          </cell>
          <cell r="D99" t="str">
            <v>Minor Image</v>
          </cell>
          <cell r="E99" t="str">
            <v>Displacement</v>
          </cell>
          <cell r="F99" t="str">
            <v>Phantasmal Killer</v>
          </cell>
          <cell r="G99" t="str">
            <v>Persistant Image</v>
          </cell>
          <cell r="H99" t="str">
            <v>Mislead</v>
          </cell>
          <cell r="I99" t="str">
            <v>Project Image</v>
          </cell>
          <cell r="J99" t="str">
            <v>Screen</v>
          </cell>
          <cell r="K99" t="str">
            <v>Weird</v>
          </cell>
        </row>
        <row r="100">
          <cell r="A100" t="str">
            <v>Inquisition</v>
          </cell>
          <cell r="B100" t="str">
            <v>Gain a +4 bonus on all dispel checks.</v>
          </cell>
          <cell r="C100" t="str">
            <v>Detect Chaos</v>
          </cell>
          <cell r="D100" t="str">
            <v>Zone of Truth</v>
          </cell>
          <cell r="E100" t="str">
            <v>Detect Thoughts</v>
          </cell>
          <cell r="F100" t="str">
            <v>Discern Lies</v>
          </cell>
          <cell r="G100" t="str">
            <v>True Seeing</v>
          </cell>
          <cell r="H100" t="str">
            <v>Geas/Quest</v>
          </cell>
          <cell r="I100" t="str">
            <v>Dictum</v>
          </cell>
          <cell r="J100" t="str">
            <v>Shield of Law</v>
          </cell>
          <cell r="K100" t="str">
            <v>Imprisonment</v>
          </cell>
        </row>
        <row r="101">
          <cell r="A101" t="str">
            <v>Liberation</v>
          </cell>
          <cell r="B101" t="str">
            <v>As a supernatural ability, if affected by a charm, compulsion, or fear effect as a result of a failed save, you can attempt the save 1 round later at the same DC.</v>
          </cell>
          <cell r="C101" t="str">
            <v>Omen of Peril</v>
          </cell>
          <cell r="D101" t="str">
            <v>Undetectable Alignment</v>
          </cell>
          <cell r="E101" t="str">
            <v>Rage</v>
          </cell>
          <cell r="F101" t="str">
            <v>Freedom of Movement</v>
          </cell>
          <cell r="G101" t="str">
            <v>Break Enchantment</v>
          </cell>
          <cell r="H101" t="str">
            <v>Dispel Magic, Greater</v>
          </cell>
          <cell r="I101" t="str">
            <v>Refuge</v>
          </cell>
          <cell r="J101" t="str">
            <v>Mind Blank</v>
          </cell>
          <cell r="K101" t="str">
            <v>Unbinding</v>
          </cell>
        </row>
        <row r="102">
          <cell r="A102" t="str">
            <v>Lust</v>
          </cell>
          <cell r="B102" t="str">
            <v>Once per day for 1 round, as a free action you gain a bonus of 0  to your charisma. This granted power is a supernatural abiity.</v>
          </cell>
          <cell r="C102" t="str">
            <v>Charm Person</v>
          </cell>
          <cell r="D102" t="str">
            <v>Invisibility</v>
          </cell>
          <cell r="E102" t="str">
            <v>Clairaudience/Clairvoyance</v>
          </cell>
          <cell r="F102" t="str">
            <v>Planar Ally, Lesser</v>
          </cell>
          <cell r="G102" t="str">
            <v>Scrying</v>
          </cell>
          <cell r="H102" t="str">
            <v>Symbol of Persuasion</v>
          </cell>
          <cell r="I102" t="str">
            <v>Refuge</v>
          </cell>
          <cell r="J102" t="str">
            <v>Sympathy</v>
          </cell>
          <cell r="K102" t="str">
            <v>Trap the Soul</v>
          </cell>
        </row>
        <row r="103">
          <cell r="A103" t="str">
            <v>Madness</v>
          </cell>
          <cell r="B103" t="str">
            <v>You subtract 1 from all Wisdom-based skill checks and all Will saves. However, once per day you can add 1 to a single Wisdom-based check or Will save.</v>
          </cell>
          <cell r="C103" t="str">
            <v>Confusion, Lesser</v>
          </cell>
          <cell r="D103" t="str">
            <v>Touch of Madness</v>
          </cell>
          <cell r="E103" t="str">
            <v>Rage</v>
          </cell>
          <cell r="F103" t="str">
            <v>Confusion</v>
          </cell>
          <cell r="G103" t="str">
            <v>Bolts of Bedevilment</v>
          </cell>
          <cell r="H103" t="str">
            <v>Phantasmal Killer</v>
          </cell>
          <cell r="I103" t="str">
            <v>Insanity</v>
          </cell>
          <cell r="J103" t="str">
            <v>Maddening Scream</v>
          </cell>
          <cell r="K103" t="str">
            <v>Weird</v>
          </cell>
        </row>
        <row r="104">
          <cell r="A104" t="str">
            <v>Mentalism</v>
          </cell>
          <cell r="B104" t="str">
            <v>Once per day you grant any creature you touch a +2 resistance bonus on their next Will save. This spell-like ability requires a standard action to activate, and lasts for 1 hour.</v>
          </cell>
          <cell r="C104" t="str">
            <v>Confusion, Lesser</v>
          </cell>
          <cell r="D104" t="str">
            <v>Detect Thoughts</v>
          </cell>
          <cell r="E104" t="str">
            <v>Clairaudience/Clairvoyance</v>
          </cell>
          <cell r="F104" t="str">
            <v>Modify Memory</v>
          </cell>
          <cell r="G104" t="str">
            <v>Mind Fog</v>
          </cell>
          <cell r="H104" t="str">
            <v>Rary's Telepathic Bond</v>
          </cell>
          <cell r="I104" t="str">
            <v>Antipathy</v>
          </cell>
          <cell r="J104" t="str">
            <v>Mind Blank</v>
          </cell>
          <cell r="K104" t="str">
            <v>Astral Projection</v>
          </cell>
        </row>
        <row r="105">
          <cell r="A105" t="str">
            <v>Metal</v>
          </cell>
          <cell r="B105" t="str">
            <v>Free Martial Weapon Proficiency Feat and Weapon Focus feat with your choice of Light Hammer or Warhammer.</v>
          </cell>
          <cell r="C105" t="str">
            <v>Magic Weapon</v>
          </cell>
          <cell r="D105" t="str">
            <v>Heat Metal</v>
          </cell>
          <cell r="E105" t="str">
            <v>Keen Edge</v>
          </cell>
          <cell r="F105" t="str">
            <v>Rusting Grasp</v>
          </cell>
          <cell r="G105" t="str">
            <v>Wall of Iron</v>
          </cell>
          <cell r="H105" t="str">
            <v>Blade Barrier</v>
          </cell>
          <cell r="I105" t="str">
            <v>Transmute Metal to Wood</v>
          </cell>
          <cell r="J105" t="str">
            <v>Iron Body</v>
          </cell>
          <cell r="K105" t="str">
            <v>Repel Metal or Stone</v>
          </cell>
        </row>
        <row r="106">
          <cell r="A106" t="str">
            <v>Mind</v>
          </cell>
          <cell r="B106" t="str">
            <v>Gain a +2 bonus on Bluff, Diplomacy, and Sense Motive Checks.</v>
          </cell>
          <cell r="C106" t="str">
            <v>Comprehend Languages</v>
          </cell>
          <cell r="D106" t="str">
            <v>Detect Thoughts</v>
          </cell>
          <cell r="E106" t="str">
            <v>Telepathic Bond, Lesser</v>
          </cell>
          <cell r="F106" t="str">
            <v>Discern Lies</v>
          </cell>
          <cell r="G106" t="str">
            <v>Rary's Telepathic Bond</v>
          </cell>
          <cell r="H106" t="str">
            <v>Probe Thoughts</v>
          </cell>
          <cell r="I106" t="str">
            <v>Brain Spider</v>
          </cell>
          <cell r="J106" t="str">
            <v>Mind Blank</v>
          </cell>
          <cell r="K106" t="str">
            <v>Weird</v>
          </cell>
        </row>
        <row r="107">
          <cell r="A107" t="str">
            <v>Moon</v>
          </cell>
          <cell r="B107" t="str">
            <v>You can turn or destroy Lycanthropes 0 times per day as a Supernatural Ability.</v>
          </cell>
          <cell r="C107" t="str">
            <v>Faerie Fire</v>
          </cell>
          <cell r="D107" t="str">
            <v>Moonbeam</v>
          </cell>
          <cell r="E107" t="str">
            <v>Moon Blade</v>
          </cell>
          <cell r="F107" t="str">
            <v>Fear</v>
          </cell>
          <cell r="G107" t="str">
            <v>Moon Path</v>
          </cell>
          <cell r="H107" t="str">
            <v>Permanent Image</v>
          </cell>
          <cell r="I107" t="str">
            <v>Insanity</v>
          </cell>
          <cell r="J107" t="str">
            <v>Animal Shapes</v>
          </cell>
          <cell r="K107" t="str">
            <v>Moonfire</v>
          </cell>
        </row>
        <row r="108">
          <cell r="A108" t="str">
            <v>Mysticism</v>
          </cell>
          <cell r="B108" t="str">
            <v>As a supernatural ability, once per day you can use a free action to grant yourself a +-2 luck bonus on your saving throws for 0 rounds.</v>
          </cell>
          <cell r="C108" t="str">
            <v>Divine Favor</v>
          </cell>
          <cell r="D108" t="str">
            <v>Spiritual Weapon</v>
          </cell>
          <cell r="E108" t="str">
            <v>Visage of the Deity, Lesser</v>
          </cell>
          <cell r="F108" t="str">
            <v>Weapon of the Deity</v>
          </cell>
          <cell r="G108" t="str">
            <v>Righteous Might</v>
          </cell>
          <cell r="H108" t="str">
            <v>Visage of the Deity</v>
          </cell>
          <cell r="I108" t="str">
            <v>Blasphemy/Holy Word</v>
          </cell>
          <cell r="J108" t="str">
            <v>Holy Aura/Unholy Aura</v>
          </cell>
          <cell r="K108" t="str">
            <v>Visage of the Deity, Greater</v>
          </cell>
        </row>
        <row r="109">
          <cell r="A109" t="str">
            <v>Nobility</v>
          </cell>
          <cell r="B109" t="str">
            <v>You have the spell-like ability(a standard action) to inspire allies, giving them a +2 morale bonus on saves, attacks, ability checks, skill checks, and weapon damage. It lasts 1 rounds and can be used once/day.</v>
          </cell>
          <cell r="C109" t="str">
            <v>Divine Favor</v>
          </cell>
          <cell r="D109" t="str">
            <v>Enthrall</v>
          </cell>
          <cell r="E109" t="str">
            <v>Magic Vestment</v>
          </cell>
          <cell r="F109" t="str">
            <v>Discern Lies</v>
          </cell>
          <cell r="G109" t="str">
            <v>Command, Greater</v>
          </cell>
          <cell r="H109" t="str">
            <v>Geas/Quest</v>
          </cell>
          <cell r="I109" t="str">
            <v>Repulsion</v>
          </cell>
          <cell r="J109" t="str">
            <v>Demand</v>
          </cell>
          <cell r="K109" t="str">
            <v>Storm of Vengeance</v>
          </cell>
        </row>
        <row r="110">
          <cell r="A110" t="str">
            <v>Ocean</v>
          </cell>
          <cell r="B110" t="str">
            <v>You have the supernatural ability to breathe water as water breathing spell for up to 0 rounds.  This effect occurs automatically as soon as it applies, lasts until it runs out or is no longer needed.</v>
          </cell>
          <cell r="C110" t="str">
            <v>Endure Elements</v>
          </cell>
          <cell r="D110" t="str">
            <v>Sound Burst</v>
          </cell>
          <cell r="E110" t="str">
            <v>Water Breathing</v>
          </cell>
          <cell r="F110" t="str">
            <v>Freedom of Movement</v>
          </cell>
          <cell r="G110" t="str">
            <v>Wall of Ice</v>
          </cell>
          <cell r="H110" t="str">
            <v>Otiluke's Freezing Sphere</v>
          </cell>
          <cell r="I110" t="str">
            <v>Waterspout</v>
          </cell>
          <cell r="J110" t="str">
            <v>Maelstrom</v>
          </cell>
          <cell r="K110" t="str">
            <v>Elemental Swarm</v>
          </cell>
        </row>
        <row r="111">
          <cell r="A111" t="str">
            <v>Oracle</v>
          </cell>
          <cell r="B111" t="str">
            <v>You cast divination spells at +2 caster levels.</v>
          </cell>
          <cell r="C111" t="str">
            <v>Identify</v>
          </cell>
          <cell r="D111" t="str">
            <v>Augury</v>
          </cell>
          <cell r="E111" t="str">
            <v>Divination</v>
          </cell>
          <cell r="F111" t="str">
            <v>Scrying</v>
          </cell>
          <cell r="G111" t="str">
            <v>Commune</v>
          </cell>
          <cell r="H111" t="str">
            <v>Legend Lore</v>
          </cell>
          <cell r="I111" t="str">
            <v>Scrying, Greater</v>
          </cell>
          <cell r="J111" t="str">
            <v>Discern Location</v>
          </cell>
          <cell r="K111" t="str">
            <v>Foresight</v>
          </cell>
        </row>
        <row r="112">
          <cell r="A112" t="str">
            <v>Orc</v>
          </cell>
          <cell r="B112" t="str">
            <v>Once per day, as a supernatural ability, you can make a single melee attack with a damage bonus of +0.  If used against a dwarf or an elf you get +4 to the attack roll.</v>
          </cell>
          <cell r="C112" t="str">
            <v>Cause Fear</v>
          </cell>
          <cell r="D112" t="str">
            <v>Produce Flame</v>
          </cell>
          <cell r="E112" t="str">
            <v>Prayer</v>
          </cell>
          <cell r="F112" t="str">
            <v>Divine Power</v>
          </cell>
          <cell r="G112" t="str">
            <v>Prying Eyes</v>
          </cell>
          <cell r="H112" t="str">
            <v>Eyebite</v>
          </cell>
          <cell r="I112" t="str">
            <v>Blasphemy</v>
          </cell>
          <cell r="J112" t="str">
            <v>Cloak of Chaos</v>
          </cell>
          <cell r="K112" t="str">
            <v>Power Word Kill</v>
          </cell>
        </row>
        <row r="113">
          <cell r="A113" t="str">
            <v>Pact</v>
          </cell>
          <cell r="B113" t="str">
            <v>Add Appraise, Intimidate, and Sense Motive to your list of cleric class skills.</v>
          </cell>
          <cell r="C113" t="str">
            <v>Command</v>
          </cell>
          <cell r="D113" t="str">
            <v>Shield Other</v>
          </cell>
          <cell r="E113" t="str">
            <v>Speak with Dead</v>
          </cell>
          <cell r="F113" t="str">
            <v>Divination</v>
          </cell>
          <cell r="G113" t="str">
            <v>Stalwart Pact</v>
          </cell>
          <cell r="H113" t="str">
            <v>Zealot Pact</v>
          </cell>
          <cell r="I113" t="str">
            <v>Renewal Pact</v>
          </cell>
          <cell r="J113" t="str">
            <v>Death Pact</v>
          </cell>
          <cell r="K113" t="str">
            <v>Gate</v>
          </cell>
        </row>
        <row r="114">
          <cell r="A114" t="str">
            <v>Pestilence</v>
          </cell>
          <cell r="B114" t="str">
            <v>Immunity to the effects of all diseases, though you can still carry infectious diseases.</v>
          </cell>
          <cell r="C114" t="str">
            <v>Doom</v>
          </cell>
          <cell r="D114" t="str">
            <v>Summon Swarm</v>
          </cell>
          <cell r="E114" t="str">
            <v>Contagion</v>
          </cell>
          <cell r="F114" t="str">
            <v>Poison</v>
          </cell>
          <cell r="G114" t="str">
            <v>Plague of Rats</v>
          </cell>
          <cell r="H114" t="str">
            <v>Curse of Lycanthropy</v>
          </cell>
          <cell r="I114" t="str">
            <v>Scourge</v>
          </cell>
          <cell r="J114" t="str">
            <v>Horrid Wilting</v>
          </cell>
          <cell r="K114" t="str">
            <v>Otyugh Swarm</v>
          </cell>
        </row>
        <row r="115">
          <cell r="A115" t="str">
            <v>Planning</v>
          </cell>
          <cell r="B115" t="str">
            <v>Free Extend Spell feat.</v>
          </cell>
          <cell r="C115" t="str">
            <v>Deathwatch</v>
          </cell>
          <cell r="D115" t="str">
            <v>Augury</v>
          </cell>
          <cell r="E115" t="str">
            <v>Clairaudience/Clairvoyance</v>
          </cell>
          <cell r="F115" t="str">
            <v>Status</v>
          </cell>
          <cell r="G115" t="str">
            <v>Detect Scrying</v>
          </cell>
          <cell r="H115" t="str">
            <v>Heroes' Feast</v>
          </cell>
          <cell r="I115" t="str">
            <v>Scrying, Greater</v>
          </cell>
          <cell r="J115" t="str">
            <v>Discern Location</v>
          </cell>
          <cell r="K115" t="str">
            <v>Time Stop</v>
          </cell>
        </row>
        <row r="116">
          <cell r="A116" t="str">
            <v>Portal</v>
          </cell>
          <cell r="B116" t="str">
            <v>You can detect an active or inactive portal as if it were a normal secret door (DC 20).</v>
          </cell>
          <cell r="C116" t="str">
            <v>Summon Monster I</v>
          </cell>
          <cell r="D116" t="str">
            <v>Analyze Portal</v>
          </cell>
          <cell r="E116" t="str">
            <v>Dimensional Anchor</v>
          </cell>
          <cell r="F116" t="str">
            <v>Dimension Door</v>
          </cell>
          <cell r="G116" t="str">
            <v>Teleport</v>
          </cell>
          <cell r="H116" t="str">
            <v>Banishment</v>
          </cell>
          <cell r="I116" t="str">
            <v>Etherealness</v>
          </cell>
          <cell r="J116" t="str">
            <v>Maze</v>
          </cell>
          <cell r="K116" t="str">
            <v>Gate</v>
          </cell>
        </row>
        <row r="117">
          <cell r="A117" t="str">
            <v>Pride</v>
          </cell>
          <cell r="B117" t="str">
            <v>Whenenver you roll a 1 on a save, you may reroll the save.  You must keep the result of the second roll.</v>
          </cell>
          <cell r="C117" t="str">
            <v>Hypnotism</v>
          </cell>
          <cell r="D117" t="str">
            <v>Eagle's Splendor</v>
          </cell>
          <cell r="E117" t="str">
            <v>Heroism</v>
          </cell>
          <cell r="F117" t="str">
            <v>Divine Power</v>
          </cell>
          <cell r="G117" t="str">
            <v>Reduce Person, Mass</v>
          </cell>
          <cell r="H117" t="str">
            <v>Forbiddance</v>
          </cell>
          <cell r="I117" t="str">
            <v>Heroism, Greater</v>
          </cell>
          <cell r="J117" t="str">
            <v>Spell Immunity, Greater</v>
          </cell>
          <cell r="K117" t="str">
            <v>Charm Monster, Mass</v>
          </cell>
        </row>
        <row r="118">
          <cell r="A118" t="str">
            <v>Purification</v>
          </cell>
          <cell r="B118" t="str">
            <v>You cast abjuration spells at +1 caster level.</v>
          </cell>
          <cell r="C118" t="str">
            <v>Nimbus of Light</v>
          </cell>
          <cell r="D118" t="str">
            <v>Deific Vengeance</v>
          </cell>
          <cell r="E118" t="str">
            <v>Recitation</v>
          </cell>
          <cell r="F118" t="str">
            <v>Castigate</v>
          </cell>
          <cell r="G118" t="str">
            <v>Dance of the Unicorn</v>
          </cell>
          <cell r="H118" t="str">
            <v>Fires of Purity</v>
          </cell>
          <cell r="I118" t="str">
            <v>Righteous Wrath of the Faithful</v>
          </cell>
          <cell r="J118" t="str">
            <v>Sunburst</v>
          </cell>
          <cell r="K118" t="str">
            <v>Visage of the Deity, Greater</v>
          </cell>
        </row>
        <row r="119">
          <cell r="A119" t="str">
            <v>Renewal</v>
          </cell>
          <cell r="B119" t="str">
            <v>If you fall below 0 hit points, you regain a number of hitpoints equal to 1d8-2.  This supernatural ability functions once per day.  If an attack brings you to -10 hit points or less, you die before this power takes effect.</v>
          </cell>
          <cell r="C119" t="str">
            <v>Charm Person</v>
          </cell>
          <cell r="D119" t="str">
            <v>Restoration, Lesser</v>
          </cell>
          <cell r="E119" t="str">
            <v>Remove Disease</v>
          </cell>
          <cell r="F119" t="str">
            <v>Reincarnate</v>
          </cell>
          <cell r="G119" t="str">
            <v>Atonement</v>
          </cell>
          <cell r="H119" t="str">
            <v>Heroes' Feast</v>
          </cell>
          <cell r="I119" t="str">
            <v>Restoration, Greater</v>
          </cell>
          <cell r="J119" t="str">
            <v>Polymorph Any Object</v>
          </cell>
          <cell r="K119" t="str">
            <v>Freedom</v>
          </cell>
        </row>
        <row r="120">
          <cell r="A120" t="str">
            <v>Retribution</v>
          </cell>
          <cell r="B120" t="str">
            <v>Once per day, you may make a strike of vengeance with a melee or ranged weapon against an individual that harmed you on your next action, dealing maximum damage if you hit.</v>
          </cell>
          <cell r="C120" t="str">
            <v>Shield of Faith</v>
          </cell>
          <cell r="D120" t="str">
            <v>Bear's Endurance</v>
          </cell>
          <cell r="E120" t="str">
            <v>Speak with Dead</v>
          </cell>
          <cell r="F120" t="str">
            <v>Fire Shield</v>
          </cell>
          <cell r="G120" t="str">
            <v>Mark of Justice</v>
          </cell>
          <cell r="H120" t="str">
            <v>Banishment</v>
          </cell>
          <cell r="I120" t="str">
            <v>Spell Turning</v>
          </cell>
          <cell r="J120" t="str">
            <v>Discern Location</v>
          </cell>
          <cell r="K120" t="str">
            <v>Storm of Vengeance</v>
          </cell>
        </row>
        <row r="121">
          <cell r="A121" t="str">
            <v>Rune</v>
          </cell>
          <cell r="B121" t="str">
            <v>Free Scribe Scroll feat.</v>
          </cell>
          <cell r="C121" t="str">
            <v>Erase</v>
          </cell>
          <cell r="D121" t="str">
            <v>Secret Page</v>
          </cell>
          <cell r="E121" t="str">
            <v>Glyph of Warding</v>
          </cell>
          <cell r="F121" t="str">
            <v>Explosive Runes</v>
          </cell>
          <cell r="G121" t="str">
            <v>Planar Binding, Lesser</v>
          </cell>
          <cell r="H121" t="str">
            <v>Glyph of Warding, Greater</v>
          </cell>
          <cell r="I121" t="str">
            <v>Drawmij's Instant Summons</v>
          </cell>
          <cell r="J121" t="str">
            <v>Symbol of Death</v>
          </cell>
          <cell r="K121" t="str">
            <v>Teleportation Circle</v>
          </cell>
        </row>
        <row r="122">
          <cell r="A122" t="str">
            <v>Scalykind</v>
          </cell>
          <cell r="B122" t="str">
            <v>You can rebuke or command animals(reptilian/snakes) 0 times per day as a Supernatural Ability.</v>
          </cell>
          <cell r="C122" t="str">
            <v>Magic Fang</v>
          </cell>
          <cell r="D122" t="str">
            <v>Animal Trance</v>
          </cell>
          <cell r="E122" t="str">
            <v>Magic Fang, Greater</v>
          </cell>
          <cell r="F122" t="str">
            <v>Poison</v>
          </cell>
          <cell r="G122" t="str">
            <v>Animal Growth</v>
          </cell>
          <cell r="H122" t="str">
            <v>Eyebite</v>
          </cell>
          <cell r="I122" t="str">
            <v>Creeping Doom</v>
          </cell>
          <cell r="J122" t="str">
            <v>Animal Shapes</v>
          </cell>
          <cell r="K122" t="str">
            <v>Shapechange</v>
          </cell>
        </row>
        <row r="123">
          <cell r="A123" t="str">
            <v>Slime</v>
          </cell>
          <cell r="B123" t="str">
            <v>You can rebuke or command oozes 0 times per day as a Supernatural Ability.</v>
          </cell>
          <cell r="C123" t="str">
            <v>Grease</v>
          </cell>
          <cell r="D123" t="str">
            <v>Melf's Acid Arrow</v>
          </cell>
          <cell r="E123" t="str">
            <v>Poison</v>
          </cell>
          <cell r="F123" t="str">
            <v>Rusting Grasp</v>
          </cell>
          <cell r="G123" t="str">
            <v>Evard's Black Tentacles</v>
          </cell>
          <cell r="H123" t="str">
            <v>Transmute Rock to Mud</v>
          </cell>
          <cell r="I123" t="str">
            <v>Destruction</v>
          </cell>
          <cell r="J123" t="str">
            <v>Power Word Blind</v>
          </cell>
          <cell r="K123" t="str">
            <v>Implosion</v>
          </cell>
        </row>
        <row r="124">
          <cell r="A124" t="str">
            <v>Sloth</v>
          </cell>
          <cell r="B124" t="str">
            <v>You take no penalty to AC against melee attacks while prone</v>
          </cell>
          <cell r="C124" t="str">
            <v>Touch of Fatigue</v>
          </cell>
          <cell r="D124" t="str">
            <v>Unseen Servant</v>
          </cell>
          <cell r="E124" t="str">
            <v>Deep Slumber</v>
          </cell>
          <cell r="F124" t="str">
            <v>Slow</v>
          </cell>
          <cell r="G124" t="str">
            <v>Symbol of Sleep</v>
          </cell>
          <cell r="H124" t="str">
            <v>Waves of Fatigue</v>
          </cell>
          <cell r="I124" t="str">
            <v>Shadow Walk</v>
          </cell>
          <cell r="J124" t="str">
            <v>Waves of Exhaustion</v>
          </cell>
          <cell r="K124" t="str">
            <v>Astral Projection</v>
          </cell>
        </row>
        <row r="125">
          <cell r="A125" t="str">
            <v>Spell</v>
          </cell>
          <cell r="B125" t="str">
            <v>You get a +2 bonus on Concentration and Spellcraft checks.</v>
          </cell>
          <cell r="C125" t="str">
            <v>Mage Armor</v>
          </cell>
          <cell r="D125" t="str">
            <v>Silence</v>
          </cell>
          <cell r="E125" t="str">
            <v>Anyspell</v>
          </cell>
          <cell r="F125" t="str">
            <v>Rary's Mnemonic Enhancer</v>
          </cell>
          <cell r="G125" t="str">
            <v>Break Enchantment</v>
          </cell>
          <cell r="H125" t="str">
            <v>Anyspell, Greater</v>
          </cell>
          <cell r="I125" t="str">
            <v>Limited Wish</v>
          </cell>
          <cell r="J125" t="str">
            <v>Antimagic Field</v>
          </cell>
          <cell r="K125" t="str">
            <v>Mordenkainen's Disjunction</v>
          </cell>
        </row>
        <row r="126">
          <cell r="A126" t="str">
            <v>Spider</v>
          </cell>
          <cell r="B126" t="str">
            <v>You can rebuke or command spiders 0 times per day as a Supernatural Ability.</v>
          </cell>
          <cell r="C126" t="str">
            <v>Spider climb</v>
          </cell>
          <cell r="D126" t="str">
            <v>Summon Swarm</v>
          </cell>
          <cell r="E126" t="str">
            <v>Phantom Steed</v>
          </cell>
          <cell r="F126" t="str">
            <v>Giant Vermin</v>
          </cell>
          <cell r="G126" t="str">
            <v>Insect Plague</v>
          </cell>
          <cell r="H126" t="str">
            <v>Spider Curse</v>
          </cell>
          <cell r="I126" t="str">
            <v>Stone Spiders</v>
          </cell>
          <cell r="J126" t="str">
            <v>Creeping Doom</v>
          </cell>
          <cell r="K126" t="str">
            <v>Spider Shapes</v>
          </cell>
        </row>
        <row r="127">
          <cell r="A127" t="str">
            <v>Storm</v>
          </cell>
          <cell r="B127" t="str">
            <v>You gain resistance to electricity 5.</v>
          </cell>
          <cell r="C127" t="str">
            <v>Entropic Shield</v>
          </cell>
          <cell r="D127" t="str">
            <v>Gust of Wind</v>
          </cell>
          <cell r="E127" t="str">
            <v>Call Lightning</v>
          </cell>
          <cell r="F127" t="str">
            <v>Sleet Storm</v>
          </cell>
          <cell r="G127" t="str">
            <v>Ice Storm</v>
          </cell>
          <cell r="H127" t="str">
            <v>Summon Monster VI</v>
          </cell>
          <cell r="I127" t="str">
            <v>Control Weather</v>
          </cell>
          <cell r="J127" t="str">
            <v>Whirlwind</v>
          </cell>
          <cell r="K127" t="str">
            <v>Storm of Vengeance</v>
          </cell>
        </row>
        <row r="128">
          <cell r="A128" t="str">
            <v>Suffering</v>
          </cell>
          <cell r="B128" t="str">
            <v>Once per day you can make a melee touch attack against a living creature subject to critical hits, which bestows on that creature a -2 enhancement penalty to Str and Dex for 1 minute.</v>
          </cell>
          <cell r="C128" t="str">
            <v>Bane</v>
          </cell>
          <cell r="D128" t="str">
            <v>Bear's Endurance</v>
          </cell>
          <cell r="E128" t="str">
            <v>Bestow Curse</v>
          </cell>
          <cell r="F128" t="str">
            <v>Enervation</v>
          </cell>
          <cell r="G128" t="str">
            <v>Feeblemind</v>
          </cell>
          <cell r="H128" t="str">
            <v>Harm</v>
          </cell>
          <cell r="I128" t="str">
            <v>Eyebite</v>
          </cell>
          <cell r="J128" t="str">
            <v>Symbol of Pain</v>
          </cell>
          <cell r="K128" t="str">
            <v>Horrid Wilting</v>
          </cell>
        </row>
        <row r="129">
          <cell r="A129" t="str">
            <v>Summoner</v>
          </cell>
          <cell r="B129" t="str">
            <v>Add +2 to your caster level for all Conjuration(summoning) or Conjuration(calling) spells.</v>
          </cell>
          <cell r="C129" t="str">
            <v>Summon Monster I</v>
          </cell>
          <cell r="D129" t="str">
            <v>Summon Monster II</v>
          </cell>
          <cell r="E129" t="str">
            <v>Summon Monster III</v>
          </cell>
          <cell r="F129" t="str">
            <v>Planar Ally, Lesser</v>
          </cell>
          <cell r="G129" t="str">
            <v>Summon Monster V</v>
          </cell>
          <cell r="H129" t="str">
            <v>Planar Ally</v>
          </cell>
          <cell r="I129" t="str">
            <v>Summon Monster VII</v>
          </cell>
          <cell r="J129" t="str">
            <v>Planar Ally, Greater</v>
          </cell>
          <cell r="K129" t="str">
            <v>Gate</v>
          </cell>
        </row>
        <row r="130">
          <cell r="A130" t="str">
            <v>Time</v>
          </cell>
          <cell r="B130" t="str">
            <v>Free Improved Initiative feat.</v>
          </cell>
          <cell r="C130" t="str">
            <v>True Strike</v>
          </cell>
          <cell r="D130" t="str">
            <v>Gentle Repose</v>
          </cell>
          <cell r="E130" t="str">
            <v>Haste</v>
          </cell>
          <cell r="F130" t="str">
            <v>Freedom of Movement</v>
          </cell>
          <cell r="G130" t="str">
            <v>Permanency</v>
          </cell>
          <cell r="H130" t="str">
            <v>Contingency</v>
          </cell>
          <cell r="I130" t="str">
            <v>Legend Lore</v>
          </cell>
          <cell r="J130" t="str">
            <v>Foresight</v>
          </cell>
          <cell r="K130" t="str">
            <v>Time Stop</v>
          </cell>
        </row>
        <row r="131">
          <cell r="A131" t="str">
            <v>Trade</v>
          </cell>
          <cell r="B131" t="str">
            <v>You may use detect thoughts once per day as a spell-like ability, affecting one target and lasting 1 minutes.  Activating this power is a free action.</v>
          </cell>
          <cell r="C131" t="str">
            <v>Message</v>
          </cell>
          <cell r="D131" t="str">
            <v>Gembomb</v>
          </cell>
          <cell r="E131" t="str">
            <v>Eagle's Splendor</v>
          </cell>
          <cell r="F131" t="str">
            <v>Sending</v>
          </cell>
          <cell r="G131" t="str">
            <v>Fabricate</v>
          </cell>
          <cell r="H131" t="str">
            <v>True Seeing</v>
          </cell>
          <cell r="I131" t="str">
            <v>Mordenkainen's Magnificent Mansion</v>
          </cell>
          <cell r="J131" t="str">
            <v>Mind Blank</v>
          </cell>
          <cell r="K131" t="str">
            <v>Discern Location</v>
          </cell>
        </row>
        <row r="132">
          <cell r="A132" t="str">
            <v>Tyranny</v>
          </cell>
          <cell r="B132" t="str">
            <v>Add +1 to the saving throw DC of any Enchantment(compulsion) spell you cast.</v>
          </cell>
          <cell r="C132" t="str">
            <v>Command</v>
          </cell>
          <cell r="D132" t="str">
            <v>Enthrall</v>
          </cell>
          <cell r="E132" t="str">
            <v>Discern Lies</v>
          </cell>
          <cell r="F132" t="str">
            <v>Fear</v>
          </cell>
          <cell r="G132" t="str">
            <v>Command, Greater</v>
          </cell>
          <cell r="H132" t="str">
            <v>Geas/Quest</v>
          </cell>
          <cell r="I132" t="str">
            <v>Bigby's Grasping Hand</v>
          </cell>
          <cell r="J132" t="str">
            <v>Charm Monster, Mass</v>
          </cell>
          <cell r="K132" t="str">
            <v>Dominate Monster</v>
          </cell>
        </row>
        <row r="133">
          <cell r="A133" t="str">
            <v>Undeath</v>
          </cell>
          <cell r="B133" t="str">
            <v>Free Extra Turning feat.</v>
          </cell>
          <cell r="C133" t="str">
            <v>Detect Undead</v>
          </cell>
          <cell r="D133" t="str">
            <v>Desecrate</v>
          </cell>
          <cell r="E133" t="str">
            <v>Animate Dead</v>
          </cell>
          <cell r="F133" t="str">
            <v>Death Ward</v>
          </cell>
          <cell r="G133" t="str">
            <v>Circle of Death</v>
          </cell>
          <cell r="H133" t="str">
            <v>Create Undead</v>
          </cell>
          <cell r="I133" t="str">
            <v>Control Undead</v>
          </cell>
          <cell r="J133" t="str">
            <v>Create Greater Undead</v>
          </cell>
          <cell r="K133" t="str">
            <v>Energy Drain</v>
          </cell>
        </row>
        <row r="134">
          <cell r="A134" t="str">
            <v>Wealth</v>
          </cell>
          <cell r="B134" t="str">
            <v>Add Appraise to your list of cleric class skills. You gain Skill Focus (Appraise) as a bonus feat.</v>
          </cell>
          <cell r="C134" t="str">
            <v>Alarm</v>
          </cell>
          <cell r="D134" t="str">
            <v>Obscure Object</v>
          </cell>
          <cell r="E134" t="str">
            <v>Glyph of Warding</v>
          </cell>
          <cell r="F134" t="str">
            <v>Detect Scrying</v>
          </cell>
          <cell r="G134" t="str">
            <v>Leomund's Secret Chest</v>
          </cell>
          <cell r="H134" t="str">
            <v>Forbiddance</v>
          </cell>
          <cell r="I134" t="str">
            <v>Sequester</v>
          </cell>
          <cell r="J134" t="str">
            <v>Discern Location</v>
          </cell>
          <cell r="K134" t="str">
            <v>Antipathy</v>
          </cell>
        </row>
        <row r="135">
          <cell r="A135" t="str">
            <v>Windstorm</v>
          </cell>
          <cell r="B135" t="str">
            <v>Rain and snow don't penalize your spot and search checks.  You can move through snow-covered and icy terrain at normal movement.  Wind effects affect you as if you were one size category larger.</v>
          </cell>
          <cell r="C135" t="str">
            <v>Obscuring Mist</v>
          </cell>
          <cell r="D135" t="str">
            <v>Binding Winds</v>
          </cell>
          <cell r="E135" t="str">
            <v>Call Lightning</v>
          </cell>
          <cell r="F135" t="str">
            <v>Ice Storm</v>
          </cell>
          <cell r="G135" t="str">
            <v>Arc of Lightning</v>
          </cell>
          <cell r="H135" t="str">
            <v>Cloudwalkers</v>
          </cell>
          <cell r="I135" t="str">
            <v>Control Weather</v>
          </cell>
          <cell r="J135" t="str">
            <v>Whirlwind</v>
          </cell>
          <cell r="K135" t="str">
            <v>Whirlwind, Greater</v>
          </cell>
        </row>
        <row r="136">
          <cell r="A136" t="str">
            <v>Wrath</v>
          </cell>
          <cell r="B136" t="str">
            <v>Once per day, you can subtract Wisdom points (equal to or less than your cleric level) and trade them (2 for 1) for Strength points. This effect lasts for 1 round per cleric level and cannot be ended prematurely.</v>
          </cell>
          <cell r="C136" t="str">
            <v>Rhino’s Rush</v>
          </cell>
          <cell r="D136" t="str">
            <v>Bull’s Strength</v>
          </cell>
          <cell r="E136" t="str">
            <v>Rage</v>
          </cell>
          <cell r="F136" t="str">
            <v>Shout</v>
          </cell>
          <cell r="G136" t="str">
            <v>Righteous Might</v>
          </cell>
          <cell r="H136" t="str">
            <v>Song of Discord</v>
          </cell>
          <cell r="I136" t="str">
            <v>Tenser’s Transformation</v>
          </cell>
          <cell r="J136" t="str">
            <v>Shout, Greater</v>
          </cell>
          <cell r="K136" t="str">
            <v>Storm of Vengeance</v>
          </cell>
        </row>
        <row r="137">
          <cell r="A137" t="str">
            <v>xx-Abyss-1-xx</v>
          </cell>
          <cell r="B137" t="str">
            <v>Once per day as a free action, you may channel the power of demons, gaining a +4 bonus to Strength but a -2 penalty to Armor Class.  The effect lasts 5 rounds.</v>
          </cell>
          <cell r="C137" t="str">
            <v>Align Weapon</v>
          </cell>
          <cell r="D137" t="str">
            <v>Bull's Strength</v>
          </cell>
          <cell r="E137" t="str">
            <v>Babau Slime</v>
          </cell>
          <cell r="F137" t="str">
            <v>Balor Nimbus</v>
          </cell>
          <cell r="G137" t="str">
            <v>Slay Living</v>
          </cell>
          <cell r="H137" t="str">
            <v>Bull's Strength, Mass</v>
          </cell>
          <cell r="I137" t="str">
            <v>Destruction</v>
          </cell>
          <cell r="J137" t="str">
            <v>Finger of Death</v>
          </cell>
          <cell r="K137" t="str">
            <v>Implosion</v>
          </cell>
        </row>
        <row r="138">
          <cell r="A138" t="str">
            <v>xx-Abyss-2-xx</v>
          </cell>
          <cell r="B138" t="str">
            <v/>
          </cell>
          <cell r="C138" t="str">
            <v>Cause Fear</v>
          </cell>
          <cell r="D138" t="str">
            <v>Death Knell</v>
          </cell>
          <cell r="E138" t="str">
            <v>Summon Monster III</v>
          </cell>
          <cell r="F138" t="str">
            <v>Poison</v>
          </cell>
          <cell r="G138" t="str">
            <v>Summon Monster V</v>
          </cell>
          <cell r="H138" t="str">
            <v>Harm</v>
          </cell>
          <cell r="I138" t="str">
            <v>Summon Monster VII</v>
          </cell>
          <cell r="J138" t="str">
            <v>Bodak's Glare</v>
          </cell>
          <cell r="K138" t="str">
            <v>Summon Monster IX</v>
          </cell>
        </row>
        <row r="139">
          <cell r="A139" t="str">
            <v>xx-Arborea-1-xx</v>
          </cell>
          <cell r="B139" t="str">
            <v>Once per day as a free action, you may channel the glory of the eladrin to grant yourself a +0 morale bonus to damage rolls and saves against charm and fear for 1 minute.</v>
          </cell>
          <cell r="C139" t="str">
            <v>Endure Elements</v>
          </cell>
          <cell r="D139" t="str">
            <v>Aid</v>
          </cell>
          <cell r="E139" t="str">
            <v>Heroism</v>
          </cell>
          <cell r="F139" t="str">
            <v>Neutralize Poison</v>
          </cell>
          <cell r="G139" t="str">
            <v>Break Enchantment</v>
          </cell>
          <cell r="H139" t="str">
            <v>Heroes' Feast</v>
          </cell>
          <cell r="I139" t="str">
            <v>Spell Turning</v>
          </cell>
          <cell r="J139" t="str">
            <v>Heroism, Greater</v>
          </cell>
          <cell r="K139" t="str">
            <v>Freedom</v>
          </cell>
        </row>
        <row r="140">
          <cell r="A140" t="str">
            <v>xx-Arborea-2-xx</v>
          </cell>
          <cell r="B140" t="str">
            <v/>
          </cell>
          <cell r="C140" t="str">
            <v>Longstrider</v>
          </cell>
          <cell r="D140" t="str">
            <v>Eagle's Splendor</v>
          </cell>
          <cell r="E140" t="str">
            <v>Summon Monster III</v>
          </cell>
          <cell r="F140" t="str">
            <v>Opalescent Glare</v>
          </cell>
          <cell r="G140" t="str">
            <v>Summon Monster V</v>
          </cell>
          <cell r="H140" t="str">
            <v>Eagle's Splendor, Mass</v>
          </cell>
          <cell r="I140" t="str">
            <v>Summon Monster VII</v>
          </cell>
          <cell r="J140" t="str">
            <v>Mind Blank</v>
          </cell>
          <cell r="K140" t="str">
            <v>Summon Monster IX</v>
          </cell>
        </row>
        <row r="141">
          <cell r="A141" t="str">
            <v>xx-Baator-1-xx</v>
          </cell>
          <cell r="B141" t="str">
            <v>You have the supernatural ability to see perfectly in darkness of any kind.</v>
          </cell>
          <cell r="C141" t="str">
            <v>Bane</v>
          </cell>
          <cell r="D141" t="str">
            <v>Darkness</v>
          </cell>
          <cell r="E141" t="str">
            <v>Detect Thoughts</v>
          </cell>
          <cell r="F141" t="str">
            <v>Deeper Darkness</v>
          </cell>
          <cell r="G141" t="str">
            <v>Spell Resistance</v>
          </cell>
          <cell r="H141" t="str">
            <v>Dominate Person</v>
          </cell>
          <cell r="I141" t="str">
            <v>Repulsion</v>
          </cell>
          <cell r="J141" t="str">
            <v>Demand</v>
          </cell>
          <cell r="K141" t="str">
            <v>Imprisonment</v>
          </cell>
        </row>
        <row r="142">
          <cell r="A142" t="str">
            <v>xx-Baator-2-xx</v>
          </cell>
          <cell r="B142" t="str">
            <v/>
          </cell>
          <cell r="C142" t="str">
            <v>Disguise Self</v>
          </cell>
          <cell r="D142" t="str">
            <v>Fox's Cunning</v>
          </cell>
          <cell r="E142" t="str">
            <v>Summon Monster III</v>
          </cell>
          <cell r="F142" t="str">
            <v>Suggestion</v>
          </cell>
          <cell r="G142" t="str">
            <v>Summon Monster V</v>
          </cell>
          <cell r="H142" t="str">
            <v>Fox's Cunning, Mass</v>
          </cell>
          <cell r="I142" t="str">
            <v>Summon Monster VII</v>
          </cell>
          <cell r="J142" t="str">
            <v>Spell Turning</v>
          </cell>
          <cell r="K142" t="str">
            <v>Summon Monster IX</v>
          </cell>
        </row>
        <row r="143">
          <cell r="A143" t="str">
            <v>Celestia-1</v>
          </cell>
          <cell r="B143" t="str">
            <v>Once per day, as a free action, you can generate an aura of menace similar to that of the archons.</v>
          </cell>
          <cell r="C143" t="str">
            <v>Light of Lunia</v>
          </cell>
          <cell r="D143" t="str">
            <v>Bear's Endurance</v>
          </cell>
          <cell r="E143" t="str">
            <v>Magic Vestment</v>
          </cell>
          <cell r="F143" t="str">
            <v>Divine Power</v>
          </cell>
          <cell r="G143" t="str">
            <v>Righteous Might</v>
          </cell>
          <cell r="H143" t="str">
            <v>Blade Barrier</v>
          </cell>
          <cell r="I143" t="str">
            <v>Regenerate</v>
          </cell>
          <cell r="J143" t="str">
            <v>Power Word Stun</v>
          </cell>
          <cell r="K143" t="str">
            <v>Foresight</v>
          </cell>
        </row>
        <row r="144">
          <cell r="A144" t="str">
            <v>Celestia-2</v>
          </cell>
          <cell r="B144" t="str">
            <v/>
          </cell>
          <cell r="C144" t="str">
            <v>Shield of Faith</v>
          </cell>
          <cell r="D144" t="str">
            <v>Shield Other</v>
          </cell>
          <cell r="E144" t="str">
            <v>Summon Monster III</v>
          </cell>
          <cell r="F144" t="str">
            <v>Magic Weapon, Greater</v>
          </cell>
          <cell r="G144" t="str">
            <v>Summon Monster V</v>
          </cell>
          <cell r="H144" t="str">
            <v>Bear's Endurance, Mass</v>
          </cell>
          <cell r="I144" t="str">
            <v>Summon Monster VII</v>
          </cell>
          <cell r="J144" t="str">
            <v>Shield of Law</v>
          </cell>
          <cell r="K144" t="str">
            <v>Summon Monster IX</v>
          </cell>
        </row>
        <row r="145">
          <cell r="A145" t="str">
            <v>xx-Elysium-1-xx</v>
          </cell>
          <cell r="B145" t="str">
            <v>You can smite evil once per day, gaining a +0 bonus to your attack and +0 to damage.</v>
          </cell>
          <cell r="C145" t="str">
            <v>Charm Person</v>
          </cell>
          <cell r="D145" t="str">
            <v>Enthrall</v>
          </cell>
          <cell r="E145" t="str">
            <v>Magic Circle against Evil</v>
          </cell>
          <cell r="F145" t="str">
            <v>Charm Monster</v>
          </cell>
          <cell r="G145" t="str">
            <v>Dispel Evil</v>
          </cell>
          <cell r="H145" t="str">
            <v>Find the Path</v>
          </cell>
          <cell r="I145" t="str">
            <v>Control Weather</v>
          </cell>
          <cell r="J145" t="str">
            <v>Holy Aura</v>
          </cell>
          <cell r="K145" t="str">
            <v>Heal, Mass</v>
          </cell>
        </row>
        <row r="146">
          <cell r="A146" t="str">
            <v>xx-Elysium-2-xx</v>
          </cell>
          <cell r="B146" t="str">
            <v/>
          </cell>
          <cell r="C146" t="str">
            <v>Protection from Evil</v>
          </cell>
          <cell r="D146" t="str">
            <v>Planar Tolerance</v>
          </cell>
          <cell r="E146" t="str">
            <v>Mantle of Good</v>
          </cell>
          <cell r="F146" t="str">
            <v>Holy Smite</v>
          </cell>
          <cell r="G146" t="str">
            <v>Cure Light Wounds, Mass</v>
          </cell>
          <cell r="H146" t="str">
            <v>Mind Fog</v>
          </cell>
          <cell r="I146" t="str">
            <v>Holy Word</v>
          </cell>
          <cell r="J146" t="str">
            <v>Sunburst</v>
          </cell>
          <cell r="K146" t="str">
            <v>Moment of Prescience</v>
          </cell>
        </row>
        <row r="147">
          <cell r="A147" t="str">
            <v>xx-Hades-1-xx</v>
          </cell>
          <cell r="B147" t="str">
            <v>You can smite good once per day, gaining a +0 bonus to your attack and +0 to damage.</v>
          </cell>
          <cell r="C147" t="str">
            <v>Doom</v>
          </cell>
          <cell r="D147" t="str">
            <v>Resist Planar Alignment</v>
          </cell>
          <cell r="E147" t="str">
            <v>Magic Circle against Good</v>
          </cell>
          <cell r="F147" t="str">
            <v>Contagion</v>
          </cell>
          <cell r="G147" t="str">
            <v>Crushing Despair</v>
          </cell>
          <cell r="H147" t="str">
            <v>Mind Fog</v>
          </cell>
          <cell r="I147" t="str">
            <v>Blasphemy</v>
          </cell>
          <cell r="J147" t="str">
            <v>Unholy Aura</v>
          </cell>
          <cell r="K147" t="str">
            <v>Energy Drain</v>
          </cell>
        </row>
        <row r="148">
          <cell r="A148" t="str">
            <v>xx-Hades-2-xx</v>
          </cell>
          <cell r="B148" t="str">
            <v/>
          </cell>
          <cell r="C148" t="str">
            <v>Protection from Good</v>
          </cell>
          <cell r="E148" t="str">
            <v>Mantle of Evil</v>
          </cell>
          <cell r="F148" t="str">
            <v>Unholy Blight</v>
          </cell>
          <cell r="G148" t="str">
            <v>Dispel Good</v>
          </cell>
          <cell r="H148" t="str">
            <v>Waves of Fatigue</v>
          </cell>
          <cell r="I148" t="str">
            <v>Plane Shift</v>
          </cell>
          <cell r="J148" t="str">
            <v>Waves of Exhaustion</v>
          </cell>
          <cell r="K148" t="str">
            <v>Gate</v>
          </cell>
        </row>
        <row r="149">
          <cell r="A149" t="str">
            <v>xx-Limbo-1-xx</v>
          </cell>
          <cell r="B149" t="str">
            <v>You can smite law once per day, gaining a +0 bonus to your attack and +0 to damage.</v>
          </cell>
          <cell r="C149" t="str">
            <v>Lesser Confusion</v>
          </cell>
          <cell r="D149" t="str">
            <v>Entropic Shield</v>
          </cell>
          <cell r="E149" t="str">
            <v>Magic Circle against Law</v>
          </cell>
          <cell r="F149" t="str">
            <v>Chaos Hammer</v>
          </cell>
          <cell r="G149" t="str">
            <v>Baleful Polymorph</v>
          </cell>
          <cell r="H149" t="str">
            <v>Animate Objects</v>
          </cell>
          <cell r="I149" t="str">
            <v>Song of Discord</v>
          </cell>
          <cell r="J149" t="str">
            <v>Cloak of Chaos</v>
          </cell>
          <cell r="K149" t="str">
            <v>Perinarch, Planar</v>
          </cell>
        </row>
        <row r="150">
          <cell r="A150" t="str">
            <v>xx-Limbo-2-xx</v>
          </cell>
          <cell r="B150" t="str">
            <v/>
          </cell>
          <cell r="C150" t="str">
            <v>Protection from Law</v>
          </cell>
          <cell r="D150" t="str">
            <v>Resist Planar Alignment</v>
          </cell>
          <cell r="E150" t="str">
            <v>Mantle of Chaos</v>
          </cell>
          <cell r="F150" t="str">
            <v>Perinarch</v>
          </cell>
          <cell r="G150" t="str">
            <v>Dispel Law</v>
          </cell>
          <cell r="H150" t="str">
            <v>Insanity</v>
          </cell>
          <cell r="I150" t="str">
            <v>Word of Chaos</v>
          </cell>
          <cell r="J150" t="str">
            <v>Otto's Irresistable Dance</v>
          </cell>
          <cell r="K150" t="str">
            <v>Shapechange</v>
          </cell>
        </row>
        <row r="151">
          <cell r="A151" t="str">
            <v>xx-Mechanus-1-xx</v>
          </cell>
          <cell r="B151" t="str">
            <v>You can smite chaos once per day, gaining a +0 bonus to your attack and +0 to damage.</v>
          </cell>
          <cell r="C151" t="str">
            <v>Command</v>
          </cell>
          <cell r="D151" t="str">
            <v>Calm Emotions</v>
          </cell>
          <cell r="E151" t="str">
            <v>Magic Circle against Chaos</v>
          </cell>
          <cell r="F151" t="str">
            <v>Discern Lies</v>
          </cell>
          <cell r="G151" t="str">
            <v>Dispel Chaos</v>
          </cell>
          <cell r="H151" t="str">
            <v>Hold Monster</v>
          </cell>
          <cell r="I151" t="str">
            <v>Dictum</v>
          </cell>
          <cell r="J151" t="str">
            <v>Iron Body</v>
          </cell>
          <cell r="K151" t="str">
            <v>Call Marut</v>
          </cell>
        </row>
        <row r="152">
          <cell r="A152" t="str">
            <v>xx-Mechanus-2-xx</v>
          </cell>
          <cell r="B152" t="str">
            <v/>
          </cell>
          <cell r="C152" t="str">
            <v>Protection from Chaos</v>
          </cell>
          <cell r="D152" t="str">
            <v>Mechanus Mind</v>
          </cell>
          <cell r="E152" t="str">
            <v>Mantle of Law</v>
          </cell>
          <cell r="F152" t="str">
            <v>Order's Wrath</v>
          </cell>
          <cell r="G152" t="str">
            <v>Mark of Justice</v>
          </cell>
          <cell r="H152" t="str">
            <v>Wall of Gears</v>
          </cell>
          <cell r="I152" t="str">
            <v>Hold Person, Mass</v>
          </cell>
          <cell r="J152" t="str">
            <v>Shield of Law</v>
          </cell>
          <cell r="K152" t="str">
            <v>Mordenkainen's Disjunction</v>
          </cell>
        </row>
        <row r="153">
          <cell r="A153" t="str">
            <v>-Underdark Domains-</v>
          </cell>
        </row>
        <row r="154">
          <cell r="A154" t="str">
            <v>Portal (alternative)</v>
          </cell>
          <cell r="B154" t="str">
            <v>You gain Portal Sensitive as a bonus feat.</v>
          </cell>
          <cell r="C154" t="str">
            <v>Portal Stablization</v>
          </cell>
          <cell r="D154" t="str">
            <v>Analyze Portal</v>
          </cell>
          <cell r="E154" t="str">
            <v>Portal View</v>
          </cell>
          <cell r="F154" t="str">
            <v>Dimension Door</v>
          </cell>
          <cell r="G154" t="str">
            <v>Portal Barricade</v>
          </cell>
          <cell r="H154" t="str">
            <v>Portal-to-Portal Redirect</v>
          </cell>
          <cell r="I154" t="str">
            <v>Etherealness</v>
          </cell>
          <cell r="J154" t="str">
            <v>Portal Reformat</v>
          </cell>
          <cell r="K154" t="str">
            <v>Gate</v>
          </cell>
        </row>
        <row r="155">
          <cell r="A155" t="str">
            <v>Watery Death</v>
          </cell>
          <cell r="B155" t="str">
            <v>You gain the ability to smite any nonaquatic creature once per day with one normal melee attack. You add +-1 to your attack roll and deal 0 extra points of damage.</v>
          </cell>
          <cell r="C155" t="str">
            <v>Entangle</v>
          </cell>
          <cell r="D155" t="str">
            <v>Mark of the Outcast</v>
          </cell>
          <cell r="E155" t="str">
            <v>Control Water</v>
          </cell>
          <cell r="F155" t="str">
            <v>Rushing Water</v>
          </cell>
          <cell r="G155" t="str">
            <v>Dehydrate</v>
          </cell>
          <cell r="H155" t="str">
            <v>Drown</v>
          </cell>
          <cell r="I155" t="str">
            <v>Contagious Fog</v>
          </cell>
          <cell r="J155" t="str">
            <v>Horrid Wilting</v>
          </cell>
          <cell r="K155" t="str">
            <v>Drown, Mass</v>
          </cell>
        </row>
        <row r="156">
          <cell r="A156" t="str">
            <v>-RVLT Domains-</v>
          </cell>
        </row>
        <row r="157">
          <cell r="A157" t="str">
            <v>Mists</v>
          </cell>
          <cell r="B157" t="str">
            <v>Once per day, you may call on the shield of Ezra, a film of luminous mist that envelops your body granting you protection based on your alignment.</v>
          </cell>
          <cell r="C157" t="str">
            <v>Obscuring Mist</v>
          </cell>
          <cell r="D157" t="str">
            <v>Fog Cloud</v>
          </cell>
          <cell r="E157" t="str">
            <v>Gaseous Form</v>
          </cell>
          <cell r="F157" t="str">
            <v>Solid Fog</v>
          </cell>
          <cell r="G157" t="str">
            <v>Mind Fog</v>
          </cell>
          <cell r="H157" t="str">
            <v>Wind Walk</v>
          </cell>
          <cell r="I157" t="str">
            <v>Teleport, Greater</v>
          </cell>
          <cell r="J157" t="str">
            <v>Vanish</v>
          </cell>
          <cell r="K157" t="str">
            <v>Imprisonment</v>
          </cell>
        </row>
        <row r="158">
          <cell r="A158" t="str">
            <v>Repose</v>
          </cell>
          <cell r="B158" t="str">
            <v>You can grant final rest upon a newly dead body that allows the corpse a chance to resist any attempt to transform it into an undead creature.</v>
          </cell>
          <cell r="C158" t="str">
            <v>Detect Undead</v>
          </cell>
          <cell r="D158" t="str">
            <v>Gentle Repose</v>
          </cell>
          <cell r="E158" t="str">
            <v>Speak with Dead</v>
          </cell>
          <cell r="F158" t="str">
            <v>Halt Undead</v>
          </cell>
          <cell r="G158" t="str">
            <v>Raise Dead</v>
          </cell>
          <cell r="H158" t="str">
            <v>Antilife Shell</v>
          </cell>
          <cell r="I158" t="str">
            <v>Resurrection</v>
          </cell>
          <cell r="J158" t="str">
            <v>Control Undead</v>
          </cell>
          <cell r="K158" t="str">
            <v>Soul Bind</v>
          </cell>
        </row>
        <row r="159">
          <cell r="A159" t="str">
            <v>Curse</v>
          </cell>
          <cell r="B159" t="str">
            <v>You may cast bestow curse with a +4 to the DC of the targets saving throw.   You may cast mark of justice once per day.</v>
          </cell>
          <cell r="C159" t="str">
            <v>Doom</v>
          </cell>
          <cell r="D159" t="str">
            <v>Hold Person</v>
          </cell>
          <cell r="E159" t="str">
            <v>Bestow Curse</v>
          </cell>
          <cell r="F159" t="str">
            <v>Poison</v>
          </cell>
          <cell r="G159" t="str">
            <v>Insect Plague</v>
          </cell>
          <cell r="H159" t="str">
            <v>Harm</v>
          </cell>
          <cell r="I159" t="str">
            <v>Destruction</v>
          </cell>
          <cell r="J159" t="str">
            <v>Horrid Wilting</v>
          </cell>
          <cell r="K159" t="str">
            <v>Energy Drain</v>
          </cell>
        </row>
        <row r="160">
          <cell r="A160" t="str">
            <v>Glamour</v>
          </cell>
          <cell r="B160" t="str">
            <v>You receive a +3 bonus to all Will saves vs mind-affecting enchantments or enchantments that alter the perceptions.</v>
          </cell>
          <cell r="C160" t="str">
            <v>Charm Person</v>
          </cell>
          <cell r="D160" t="str">
            <v>Glitterdust</v>
          </cell>
          <cell r="E160" t="str">
            <v>Charm Monster</v>
          </cell>
          <cell r="F160" t="str">
            <v>Modify Memory</v>
          </cell>
          <cell r="G160" t="str">
            <v>Dream</v>
          </cell>
          <cell r="H160" t="str">
            <v>Veil</v>
          </cell>
          <cell r="I160" t="str">
            <v>Nightmare</v>
          </cell>
          <cell r="J160" t="str">
            <v>Charm Monster, Mass</v>
          </cell>
          <cell r="K160" t="str">
            <v>Weird</v>
          </cell>
        </row>
        <row r="161">
          <cell r="A161" t="str">
            <v xml:space="preserve">- DragonLance Domains - </v>
          </cell>
        </row>
        <row r="162">
          <cell r="A162" t="str">
            <v>Alteration</v>
          </cell>
          <cell r="B162" t="str">
            <v>You cast Transmutation spells on living targets at +1 caster level.</v>
          </cell>
          <cell r="C162" t="str">
            <v>Enlarge Person</v>
          </cell>
          <cell r="D162" t="str">
            <v>Alter self</v>
          </cell>
          <cell r="E162" t="str">
            <v>Gaseous Form</v>
          </cell>
          <cell r="F162" t="str">
            <v>Polymorph</v>
          </cell>
          <cell r="G162" t="str">
            <v>Baleful Polymorph</v>
          </cell>
          <cell r="H162" t="str">
            <v>Flesh to Stone</v>
          </cell>
          <cell r="I162" t="str">
            <v>Regenerate</v>
          </cell>
          <cell r="J162" t="str">
            <v>Polymorph Any Object</v>
          </cell>
          <cell r="K162" t="str">
            <v>Shapechange</v>
          </cell>
        </row>
        <row r="163">
          <cell r="A163" t="str">
            <v>Forge</v>
          </cell>
          <cell r="B163" t="str">
            <v>You gain a +2 insight bonus on Craft and Appraise checks releated to stone or metal items.</v>
          </cell>
          <cell r="C163" t="str">
            <v>Magic Weapon</v>
          </cell>
          <cell r="D163" t="str">
            <v>Heat Metal</v>
          </cell>
          <cell r="E163" t="str">
            <v>Keen Edge</v>
          </cell>
          <cell r="F163" t="str">
            <v>Minor Creation</v>
          </cell>
          <cell r="G163" t="str">
            <v>Wall of Iron</v>
          </cell>
          <cell r="H163" t="str">
            <v>Major Creation</v>
          </cell>
          <cell r="I163" t="str">
            <v>Hardening</v>
          </cell>
          <cell r="J163" t="str">
            <v>Repel Metal or Stone</v>
          </cell>
          <cell r="K163" t="str">
            <v>Iron Body</v>
          </cell>
        </row>
        <row r="164">
          <cell r="A164" t="str">
            <v>Insight</v>
          </cell>
          <cell r="B164" t="str">
            <v>You gain uncanny dodge. If you already have uncanny dodge from another class you gain Improved uncanny dodge.</v>
          </cell>
          <cell r="C164" t="str">
            <v>True Strike</v>
          </cell>
          <cell r="D164" t="str">
            <v>Augury</v>
          </cell>
          <cell r="E164" t="str">
            <v>Locate Object</v>
          </cell>
          <cell r="F164" t="str">
            <v>Divination</v>
          </cell>
          <cell r="G164" t="str">
            <v>Commune</v>
          </cell>
          <cell r="H164" t="str">
            <v>Mass Owl's Wisdom</v>
          </cell>
          <cell r="I164" t="str">
            <v>Greater Arcane Sight</v>
          </cell>
          <cell r="J164" t="str">
            <v>Moment of Prescience</v>
          </cell>
          <cell r="K164" t="str">
            <v>Foresight</v>
          </cell>
        </row>
        <row r="165">
          <cell r="A165" t="str">
            <v>Liberation</v>
          </cell>
          <cell r="B165" t="str">
            <v>You gain a +2 morale bonus on all saving throws against Enchantment spells or effects.</v>
          </cell>
          <cell r="C165" t="str">
            <v>Remove Fear</v>
          </cell>
          <cell r="D165" t="str">
            <v>Remove Paralysis</v>
          </cell>
          <cell r="E165" t="str">
            <v>Remove Curse</v>
          </cell>
          <cell r="F165" t="str">
            <v>Freedom of Movement</v>
          </cell>
          <cell r="G165" t="str">
            <v>Break Enchantment</v>
          </cell>
          <cell r="H165" t="str">
            <v>Greater Dispel Magic</v>
          </cell>
          <cell r="I165" t="str">
            <v>Refuge</v>
          </cell>
          <cell r="J165" t="str">
            <v>Mind Blank</v>
          </cell>
          <cell r="K165" t="str">
            <v>Unbinding</v>
          </cell>
        </row>
        <row r="166">
          <cell r="A166" t="str">
            <v>Mentalism(DLCS)</v>
          </cell>
          <cell r="B166" t="str">
            <v>You gain +2 bonus on Bluff, Diplomacy, and Sense Motive checks. You also gain a +2 bonus on Will saves against Enchantment spells and effects.</v>
          </cell>
          <cell r="C166" t="str">
            <v>Command</v>
          </cell>
          <cell r="D166" t="str">
            <v>Detect Thoughts</v>
          </cell>
          <cell r="E166" t="str">
            <v>Hold Person</v>
          </cell>
          <cell r="F166" t="str">
            <v>Dicern Lies</v>
          </cell>
          <cell r="G166" t="str">
            <v>Greater Command</v>
          </cell>
          <cell r="H166" t="str">
            <v>Hold Monster</v>
          </cell>
          <cell r="I166" t="str">
            <v>Mass Hold Person</v>
          </cell>
          <cell r="J166" t="str">
            <v>Mass Charm</v>
          </cell>
          <cell r="K166" t="str">
            <v>Dominate Monster</v>
          </cell>
        </row>
        <row r="167">
          <cell r="A167" t="str">
            <v>Necromancy</v>
          </cell>
          <cell r="B167" t="str">
            <v>Rebuke, command, or bolster undead as an evil cleric. Use this ability a number of times per day equal to 1. This is a supernatural ability.</v>
          </cell>
          <cell r="C167" t="str">
            <v>Detect Undead</v>
          </cell>
          <cell r="D167" t="str">
            <v>Death Knell</v>
          </cell>
          <cell r="E167" t="str">
            <v>Halt Undead</v>
          </cell>
          <cell r="F167" t="str">
            <v>Animate Dead</v>
          </cell>
          <cell r="G167" t="str">
            <v>Slay Living</v>
          </cell>
          <cell r="H167" t="str">
            <v>Create Undead</v>
          </cell>
          <cell r="I167" t="str">
            <v>Destruction</v>
          </cell>
          <cell r="J167" t="str">
            <v>Create Greater Undead</v>
          </cell>
          <cell r="K167" t="str">
            <v>Energy Drain</v>
          </cell>
        </row>
        <row r="168">
          <cell r="A168" t="str">
            <v>Restoration</v>
          </cell>
          <cell r="B168" t="str">
            <v>You cast healing spells at +1 caster level.</v>
          </cell>
          <cell r="C168" t="str">
            <v>Remove Fear</v>
          </cell>
          <cell r="D168" t="str">
            <v>Lesser Restoration</v>
          </cell>
          <cell r="E168" t="str">
            <v>Remove Disease</v>
          </cell>
          <cell r="F168" t="str">
            <v>Restoration</v>
          </cell>
          <cell r="G168" t="str">
            <v>Raise Dead</v>
          </cell>
          <cell r="H168" t="str">
            <v>Heal</v>
          </cell>
          <cell r="I168" t="str">
            <v>Greater Restoration</v>
          </cell>
          <cell r="J168" t="str">
            <v>Resurrection</v>
          </cell>
          <cell r="K168" t="str">
            <v>True Resurection</v>
          </cell>
        </row>
        <row r="169">
          <cell r="A169" t="str">
            <v>Sun(DLCS)</v>
          </cell>
          <cell r="B169" t="str">
            <v>Turn or destroy undead as a good cleric. You can use this ability 1 times a day. This is a supernatural ability.</v>
          </cell>
          <cell r="C169" t="str">
            <v>Endure Elements</v>
          </cell>
          <cell r="D169" t="str">
            <v>Heat Metal</v>
          </cell>
          <cell r="E169" t="str">
            <v>Searing Light</v>
          </cell>
          <cell r="F169" t="str">
            <v>Fire Shield</v>
          </cell>
          <cell r="G169" t="str">
            <v>Flame Strike</v>
          </cell>
          <cell r="H169" t="str">
            <v>Fire Seeds</v>
          </cell>
          <cell r="I169" t="str">
            <v>Sunbeam</v>
          </cell>
          <cell r="J169" t="str">
            <v>Sunburst</v>
          </cell>
          <cell r="K169" t="str">
            <v>Prismatic Sphere</v>
          </cell>
        </row>
        <row r="170">
          <cell r="A170" t="str">
            <v>Treachery</v>
          </cell>
          <cell r="B170" t="str">
            <v>Once a day when you attack a flat-footed opponent, you deal additional damage equal to 0d6 with a single melee attack. You must declare the use of the ability before the attack and if you miss it is wasted.</v>
          </cell>
          <cell r="C170" t="str">
            <v>Undetectable Alignment</v>
          </cell>
          <cell r="D170" t="str">
            <v>Eagle's Splendor</v>
          </cell>
          <cell r="E170" t="str">
            <v>Bestow Curse</v>
          </cell>
          <cell r="F170" t="str">
            <v>Glibness</v>
          </cell>
          <cell r="G170" t="str">
            <v>Magic Jar</v>
          </cell>
          <cell r="H170" t="str">
            <v>Symbol of Persuasion</v>
          </cell>
          <cell r="I170" t="str">
            <v>Eyebite</v>
          </cell>
          <cell r="J170" t="str">
            <v>Trap the Soul</v>
          </cell>
          <cell r="K170" t="str">
            <v>Imprisonment</v>
          </cell>
        </row>
        <row r="171">
          <cell r="A171" t="str">
            <v>- Age Of Mortals Domains-</v>
          </cell>
        </row>
        <row r="172">
          <cell r="A172" t="str">
            <v>Channeling</v>
          </cell>
          <cell r="B172" t="str">
            <v>All Transmutation spells that affect living creatures are cast at +1 caster level.</v>
          </cell>
          <cell r="C172" t="str">
            <v>Jump</v>
          </cell>
          <cell r="D172" t="str">
            <v>Bear's Endurance</v>
          </cell>
          <cell r="E172" t="str">
            <v>Haste</v>
          </cell>
          <cell r="F172" t="str">
            <v>Stoneskin</v>
          </cell>
          <cell r="G172" t="str">
            <v>Heroism, Greater</v>
          </cell>
          <cell r="H172" t="str">
            <v>Tenser's Transformation</v>
          </cell>
          <cell r="I172" t="str">
            <v>Regenerate</v>
          </cell>
          <cell r="J172" t="str">
            <v>Iron Body</v>
          </cell>
          <cell r="K172" t="str">
            <v>Diamond Body</v>
          </cell>
        </row>
        <row r="173">
          <cell r="A173" t="str">
            <v>Sensitivity</v>
          </cell>
          <cell r="B173" t="str">
            <v>All Divination spells with a range of Personal are cast at +1 caster level.</v>
          </cell>
          <cell r="C173" t="str">
            <v>Deathwatch</v>
          </cell>
          <cell r="D173" t="str">
            <v>See Invisibility</v>
          </cell>
          <cell r="E173" t="str">
            <v>Tongues</v>
          </cell>
          <cell r="F173" t="str">
            <v>Discern Lies</v>
          </cell>
          <cell r="G173" t="str">
            <v>Analyxe Dweomer</v>
          </cell>
          <cell r="H173" t="str">
            <v>Legend Lore</v>
          </cell>
          <cell r="I173" t="str">
            <v>Arcane Sight, Greater</v>
          </cell>
          <cell r="J173" t="str">
            <v>Discern Location</v>
          </cell>
          <cell r="K173" t="str">
            <v>Foresight</v>
          </cell>
        </row>
        <row r="174">
          <cell r="A174" t="str">
            <v/>
          </cell>
          <cell r="B174" t="str">
            <v/>
          </cell>
          <cell r="C174" t="str">
            <v/>
          </cell>
          <cell r="D174" t="str">
            <v/>
          </cell>
          <cell r="E174" t="str">
            <v/>
          </cell>
          <cell r="F174" t="str">
            <v/>
          </cell>
          <cell r="G174" t="str">
            <v/>
          </cell>
          <cell r="H174" t="str">
            <v/>
          </cell>
          <cell r="I174" t="str">
            <v/>
          </cell>
          <cell r="J174" t="str">
            <v/>
          </cell>
          <cell r="K174" t="str">
            <v/>
          </cell>
        </row>
        <row r="175">
          <cell r="A175" t="str">
            <v>No</v>
          </cell>
          <cell r="B175" t="str">
            <v/>
          </cell>
          <cell r="C175" t="str">
            <v/>
          </cell>
          <cell r="D175" t="str">
            <v/>
          </cell>
          <cell r="E175" t="str">
            <v/>
          </cell>
          <cell r="F175" t="str">
            <v/>
          </cell>
          <cell r="G175" t="str">
            <v/>
          </cell>
          <cell r="H175" t="str">
            <v/>
          </cell>
          <cell r="I175" t="str">
            <v/>
          </cell>
          <cell r="J175" t="str">
            <v/>
          </cell>
          <cell r="K175" t="str">
            <v/>
          </cell>
        </row>
      </sheetData>
      <sheetData sheetId="54">
        <row r="3">
          <cell r="N3" t="str">
            <v>Select Spell Casting Class</v>
          </cell>
        </row>
        <row r="4">
          <cell r="A4" t="str">
            <v>Adept</v>
          </cell>
          <cell r="B4">
            <v>1</v>
          </cell>
          <cell r="F4">
            <v>0</v>
          </cell>
          <cell r="I4">
            <v>8</v>
          </cell>
          <cell r="J4">
            <v>-1</v>
          </cell>
          <cell r="N4" t="str">
            <v>Wizard</v>
          </cell>
        </row>
        <row r="5">
          <cell r="A5" t="str">
            <v>Apostle of Peace</v>
          </cell>
          <cell r="B5">
            <v>2</v>
          </cell>
          <cell r="F5">
            <v>0</v>
          </cell>
          <cell r="I5">
            <v>8</v>
          </cell>
          <cell r="J5">
            <v>-1</v>
          </cell>
          <cell r="N5" t="str">
            <v/>
          </cell>
        </row>
        <row r="6">
          <cell r="A6" t="str">
            <v>Archivist</v>
          </cell>
          <cell r="B6">
            <v>3</v>
          </cell>
          <cell r="F6">
            <v>0</v>
          </cell>
          <cell r="I6">
            <v>8</v>
          </cell>
          <cell r="J6">
            <v>-1</v>
          </cell>
          <cell r="N6" t="str">
            <v/>
          </cell>
        </row>
        <row r="7">
          <cell r="A7" t="str">
            <v>Artificer</v>
          </cell>
          <cell r="B7">
            <v>4</v>
          </cell>
          <cell r="F7">
            <v>0</v>
          </cell>
          <cell r="I7">
            <v>8</v>
          </cell>
          <cell r="J7">
            <v>-1</v>
          </cell>
          <cell r="N7" t="str">
            <v/>
          </cell>
        </row>
        <row r="8">
          <cell r="A8" t="str">
            <v>Assassin</v>
          </cell>
          <cell r="B8">
            <v>5</v>
          </cell>
          <cell r="F8">
            <v>0</v>
          </cell>
          <cell r="I8">
            <v>8</v>
          </cell>
          <cell r="J8">
            <v>-1</v>
          </cell>
          <cell r="N8" t="str">
            <v/>
          </cell>
        </row>
        <row r="9">
          <cell r="A9" t="str">
            <v>Bard</v>
          </cell>
          <cell r="B9">
            <v>6</v>
          </cell>
          <cell r="F9">
            <v>0</v>
          </cell>
          <cell r="I9">
            <v>6</v>
          </cell>
          <cell r="J9">
            <v>-2</v>
          </cell>
          <cell r="N9" t="str">
            <v/>
          </cell>
        </row>
        <row r="10">
          <cell r="A10" t="str">
            <v>Beguiler</v>
          </cell>
          <cell r="B10">
            <v>7</v>
          </cell>
          <cell r="F10">
            <v>0</v>
          </cell>
          <cell r="I10">
            <v>8</v>
          </cell>
          <cell r="J10">
            <v>-1</v>
          </cell>
          <cell r="N10" t="str">
            <v/>
          </cell>
        </row>
        <row r="11">
          <cell r="A11" t="str">
            <v>Beloved of Valarian</v>
          </cell>
          <cell r="B11">
            <v>8</v>
          </cell>
          <cell r="F11">
            <v>0</v>
          </cell>
          <cell r="I11">
            <v>8</v>
          </cell>
          <cell r="J11">
            <v>-1</v>
          </cell>
          <cell r="N11" t="str">
            <v/>
          </cell>
        </row>
        <row r="12">
          <cell r="A12" t="str">
            <v>Blackguard</v>
          </cell>
          <cell r="B12">
            <v>9</v>
          </cell>
          <cell r="F12">
            <v>0</v>
          </cell>
          <cell r="I12">
            <v>8</v>
          </cell>
          <cell r="J12">
            <v>-1</v>
          </cell>
          <cell r="N12" t="str">
            <v/>
          </cell>
        </row>
        <row r="13">
          <cell r="A13" t="str">
            <v>Blighter</v>
          </cell>
          <cell r="B13">
            <v>10</v>
          </cell>
          <cell r="F13">
            <v>0</v>
          </cell>
          <cell r="I13">
            <v>8</v>
          </cell>
          <cell r="J13">
            <v>-1</v>
          </cell>
          <cell r="N13" t="str">
            <v/>
          </cell>
        </row>
        <row r="14">
          <cell r="A14" t="str">
            <v>Celebrant of Sharess</v>
          </cell>
          <cell r="B14">
            <v>11</v>
          </cell>
          <cell r="F14">
            <v>0</v>
          </cell>
          <cell r="I14">
            <v>6</v>
          </cell>
          <cell r="J14">
            <v>-2</v>
          </cell>
          <cell r="N14" t="str">
            <v/>
          </cell>
        </row>
        <row r="15">
          <cell r="A15" t="str">
            <v>Champion of Gwynharwyf</v>
          </cell>
          <cell r="B15">
            <v>12</v>
          </cell>
          <cell r="F15">
            <v>0</v>
          </cell>
          <cell r="I15">
            <v>8</v>
          </cell>
          <cell r="J15">
            <v>-1</v>
          </cell>
          <cell r="N15" t="str">
            <v/>
          </cell>
        </row>
        <row r="16">
          <cell r="A16" t="str">
            <v>Cleric</v>
          </cell>
          <cell r="B16">
            <v>13</v>
          </cell>
          <cell r="F16">
            <v>0</v>
          </cell>
          <cell r="I16">
            <v>8</v>
          </cell>
          <cell r="J16">
            <v>-1</v>
          </cell>
          <cell r="N16" t="str">
            <v/>
          </cell>
        </row>
        <row r="17">
          <cell r="A17" t="str">
            <v>Cloistered Cleric</v>
          </cell>
          <cell r="B17">
            <v>14</v>
          </cell>
          <cell r="F17">
            <v>0</v>
          </cell>
          <cell r="I17">
            <v>8</v>
          </cell>
          <cell r="J17">
            <v>-1</v>
          </cell>
          <cell r="N17" t="str">
            <v/>
          </cell>
        </row>
        <row r="18">
          <cell r="A18" t="str">
            <v>Consecrated Harrier</v>
          </cell>
          <cell r="B18">
            <v>15</v>
          </cell>
          <cell r="F18">
            <v>0</v>
          </cell>
          <cell r="I18">
            <v>8</v>
          </cell>
          <cell r="J18">
            <v>-1</v>
          </cell>
          <cell r="N18" t="str">
            <v/>
          </cell>
        </row>
        <row r="19">
          <cell r="A19" t="str">
            <v>Corrupt Avenger</v>
          </cell>
          <cell r="B19">
            <v>16</v>
          </cell>
          <cell r="F19">
            <v>0</v>
          </cell>
          <cell r="I19">
            <v>10</v>
          </cell>
          <cell r="J19">
            <v>0</v>
          </cell>
          <cell r="N19" t="str">
            <v/>
          </cell>
        </row>
        <row r="20">
          <cell r="A20" t="str">
            <v>Death Delver</v>
          </cell>
          <cell r="B20">
            <v>17</v>
          </cell>
          <cell r="F20">
            <v>0</v>
          </cell>
          <cell r="I20">
            <v>8</v>
          </cell>
          <cell r="J20">
            <v>-1</v>
          </cell>
          <cell r="N20" t="str">
            <v/>
          </cell>
        </row>
        <row r="21">
          <cell r="A21" t="str">
            <v>Demonologist</v>
          </cell>
          <cell r="B21">
            <v>18</v>
          </cell>
          <cell r="F21">
            <v>0</v>
          </cell>
          <cell r="I21">
            <v>6</v>
          </cell>
          <cell r="J21">
            <v>-2</v>
          </cell>
          <cell r="N21" t="str">
            <v/>
          </cell>
        </row>
        <row r="22">
          <cell r="A22" t="str">
            <v>Disciple of Thrym</v>
          </cell>
          <cell r="B22">
            <v>19</v>
          </cell>
          <cell r="F22">
            <v>0</v>
          </cell>
          <cell r="I22">
            <v>8</v>
          </cell>
          <cell r="J22">
            <v>-1</v>
          </cell>
          <cell r="N22" t="str">
            <v/>
          </cell>
        </row>
        <row r="23">
          <cell r="A23" t="str">
            <v>Divine Crusader</v>
          </cell>
          <cell r="B23">
            <v>20</v>
          </cell>
          <cell r="F23">
            <v>0</v>
          </cell>
          <cell r="I23">
            <v>6</v>
          </cell>
          <cell r="J23">
            <v>-2</v>
          </cell>
          <cell r="N23" t="str">
            <v/>
          </cell>
        </row>
        <row r="24">
          <cell r="A24" t="str">
            <v>Dread Necromancer</v>
          </cell>
          <cell r="B24">
            <v>21</v>
          </cell>
          <cell r="F24">
            <v>0</v>
          </cell>
          <cell r="I24">
            <v>6</v>
          </cell>
          <cell r="J24">
            <v>-2</v>
          </cell>
          <cell r="N24" t="str">
            <v/>
          </cell>
        </row>
        <row r="25">
          <cell r="A25" t="str">
            <v>Druid</v>
          </cell>
          <cell r="B25">
            <v>22</v>
          </cell>
          <cell r="F25">
            <v>0</v>
          </cell>
          <cell r="I25">
            <v>8</v>
          </cell>
          <cell r="J25">
            <v>-1</v>
          </cell>
          <cell r="N25" t="str">
            <v/>
          </cell>
        </row>
        <row r="26">
          <cell r="A26" t="str">
            <v>Duskblade</v>
          </cell>
          <cell r="B26">
            <v>23</v>
          </cell>
          <cell r="F26">
            <v>0</v>
          </cell>
          <cell r="I26">
            <v>8</v>
          </cell>
          <cell r="J26">
            <v>-1</v>
          </cell>
          <cell r="N26" t="str">
            <v/>
          </cell>
        </row>
        <row r="27">
          <cell r="A27" t="str">
            <v>Ebonmar Infiltrator</v>
          </cell>
          <cell r="B27">
            <v>24</v>
          </cell>
          <cell r="F27">
            <v>0</v>
          </cell>
          <cell r="I27">
            <v>8</v>
          </cell>
          <cell r="J27">
            <v>-1</v>
          </cell>
          <cell r="N27" t="str">
            <v/>
          </cell>
        </row>
        <row r="28">
          <cell r="A28" t="str">
            <v>Emissary of Barachiel</v>
          </cell>
          <cell r="B28">
            <v>25</v>
          </cell>
          <cell r="F28">
            <v>0</v>
          </cell>
          <cell r="I28">
            <v>6</v>
          </cell>
          <cell r="J28">
            <v>-2</v>
          </cell>
          <cell r="N28" t="str">
            <v/>
          </cell>
        </row>
        <row r="29">
          <cell r="A29" t="str">
            <v>Factotum</v>
          </cell>
          <cell r="B29">
            <v>26</v>
          </cell>
          <cell r="F29">
            <v>0</v>
          </cell>
          <cell r="I29">
            <v>8</v>
          </cell>
          <cell r="J29">
            <v>-1</v>
          </cell>
          <cell r="N29" t="str">
            <v/>
          </cell>
        </row>
        <row r="30">
          <cell r="A30" t="str">
            <v>Fatemaker</v>
          </cell>
          <cell r="B30">
            <v>27</v>
          </cell>
          <cell r="F30">
            <v>0</v>
          </cell>
          <cell r="I30">
            <v>6</v>
          </cell>
          <cell r="J30">
            <v>-2</v>
          </cell>
          <cell r="N30" t="str">
            <v/>
          </cell>
        </row>
        <row r="31">
          <cell r="A31" t="str">
            <v>Favored Soul</v>
          </cell>
          <cell r="B31">
            <v>28</v>
          </cell>
          <cell r="F31">
            <v>0</v>
          </cell>
          <cell r="I31">
            <v>6</v>
          </cell>
          <cell r="J31">
            <v>-2</v>
          </cell>
          <cell r="N31" t="str">
            <v/>
          </cell>
        </row>
        <row r="32">
          <cell r="A32" t="str">
            <v>Fiend of Blasphemy</v>
          </cell>
          <cell r="B32">
            <v>29</v>
          </cell>
          <cell r="F32">
            <v>0</v>
          </cell>
          <cell r="I32">
            <v>8</v>
          </cell>
          <cell r="J32">
            <v>-1</v>
          </cell>
          <cell r="N32" t="str">
            <v/>
          </cell>
        </row>
        <row r="33">
          <cell r="A33" t="str">
            <v>Gnome Artificer</v>
          </cell>
          <cell r="B33">
            <v>30</v>
          </cell>
          <cell r="F33">
            <v>0</v>
          </cell>
          <cell r="I33">
            <v>8</v>
          </cell>
          <cell r="J33">
            <v>-1</v>
          </cell>
          <cell r="N33" t="str">
            <v/>
          </cell>
        </row>
        <row r="34">
          <cell r="A34" t="str">
            <v>Healer</v>
          </cell>
          <cell r="B34">
            <v>31</v>
          </cell>
          <cell r="F34">
            <v>0</v>
          </cell>
          <cell r="I34">
            <v>8</v>
          </cell>
          <cell r="J34">
            <v>-1</v>
          </cell>
          <cell r="N34" t="str">
            <v/>
          </cell>
        </row>
        <row r="35">
          <cell r="A35" t="str">
            <v>Hexblade</v>
          </cell>
          <cell r="B35">
            <v>32</v>
          </cell>
          <cell r="F35">
            <v>0</v>
          </cell>
          <cell r="I35">
            <v>6</v>
          </cell>
          <cell r="J35">
            <v>-2</v>
          </cell>
          <cell r="N35" t="str">
            <v/>
          </cell>
        </row>
        <row r="36">
          <cell r="A36" t="str">
            <v>Hoardstealer</v>
          </cell>
          <cell r="B36">
            <v>33</v>
          </cell>
          <cell r="F36">
            <v>0</v>
          </cell>
          <cell r="I36">
            <v>8</v>
          </cell>
          <cell r="J36">
            <v>-1</v>
          </cell>
          <cell r="N36" t="str">
            <v/>
          </cell>
        </row>
        <row r="37">
          <cell r="A37" t="str">
            <v>Holy Liberator</v>
          </cell>
          <cell r="B37">
            <v>34</v>
          </cell>
          <cell r="F37">
            <v>0</v>
          </cell>
          <cell r="I37">
            <v>8</v>
          </cell>
          <cell r="J37">
            <v>-1</v>
          </cell>
          <cell r="N37" t="str">
            <v/>
          </cell>
        </row>
        <row r="38">
          <cell r="A38" t="str">
            <v>Hunter of the Dead</v>
          </cell>
          <cell r="B38">
            <v>35</v>
          </cell>
          <cell r="F38">
            <v>0</v>
          </cell>
          <cell r="I38">
            <v>8</v>
          </cell>
          <cell r="J38">
            <v>-1</v>
          </cell>
          <cell r="N38" t="str">
            <v/>
          </cell>
        </row>
        <row r="39">
          <cell r="A39" t="str">
            <v>Justice of Weald and Woe</v>
          </cell>
          <cell r="B39">
            <v>36</v>
          </cell>
          <cell r="F39">
            <v>0</v>
          </cell>
          <cell r="I39">
            <v>8</v>
          </cell>
          <cell r="J39">
            <v>-1</v>
          </cell>
          <cell r="N39" t="str">
            <v/>
          </cell>
        </row>
        <row r="40">
          <cell r="A40" t="str">
            <v>Kender Nightstalker</v>
          </cell>
          <cell r="B40">
            <v>37</v>
          </cell>
          <cell r="F40">
            <v>0</v>
          </cell>
          <cell r="I40">
            <v>8</v>
          </cell>
          <cell r="J40">
            <v>-1</v>
          </cell>
          <cell r="N40" t="str">
            <v/>
          </cell>
        </row>
        <row r="41">
          <cell r="A41" t="str">
            <v>Knight of the Chalice</v>
          </cell>
          <cell r="B41">
            <v>38</v>
          </cell>
          <cell r="F41">
            <v>0</v>
          </cell>
          <cell r="I41">
            <v>8</v>
          </cell>
          <cell r="J41">
            <v>-1</v>
          </cell>
          <cell r="N41" t="str">
            <v/>
          </cell>
        </row>
        <row r="42">
          <cell r="A42" t="str">
            <v>Knight of the Weave</v>
          </cell>
          <cell r="B42">
            <v>39</v>
          </cell>
          <cell r="F42">
            <v>0</v>
          </cell>
          <cell r="I42">
            <v>6</v>
          </cell>
          <cell r="J42">
            <v>-2</v>
          </cell>
          <cell r="N42" t="str">
            <v/>
          </cell>
        </row>
        <row r="43">
          <cell r="A43" t="str">
            <v>Manipulator</v>
          </cell>
          <cell r="B43">
            <v>40</v>
          </cell>
          <cell r="F43">
            <v>0</v>
          </cell>
          <cell r="I43">
            <v>6</v>
          </cell>
          <cell r="J43">
            <v>-2</v>
          </cell>
          <cell r="N43" t="str">
            <v/>
          </cell>
        </row>
        <row r="44">
          <cell r="A44" t="str">
            <v>Mesmerist</v>
          </cell>
          <cell r="B44">
            <v>41</v>
          </cell>
          <cell r="F44">
            <v>0</v>
          </cell>
          <cell r="I44">
            <v>6</v>
          </cell>
          <cell r="J44">
            <v>-2</v>
          </cell>
          <cell r="N44" t="str">
            <v/>
          </cell>
        </row>
        <row r="45">
          <cell r="A45" t="str">
            <v>Monster Hunter</v>
          </cell>
          <cell r="B45">
            <v>42</v>
          </cell>
          <cell r="F45">
            <v>0</v>
          </cell>
          <cell r="I45">
            <v>8</v>
          </cell>
          <cell r="J45">
            <v>-1</v>
          </cell>
          <cell r="N45" t="str">
            <v/>
          </cell>
        </row>
        <row r="46">
          <cell r="A46" t="str">
            <v>Mortal Hunter</v>
          </cell>
          <cell r="B46">
            <v>43</v>
          </cell>
          <cell r="F46">
            <v>0</v>
          </cell>
          <cell r="I46">
            <v>6</v>
          </cell>
          <cell r="J46">
            <v>-2</v>
          </cell>
          <cell r="N46" t="str">
            <v/>
          </cell>
        </row>
        <row r="47">
          <cell r="A47" t="str">
            <v>Mystic</v>
          </cell>
          <cell r="B47">
            <v>44</v>
          </cell>
          <cell r="F47">
            <v>0</v>
          </cell>
          <cell r="I47">
            <v>8</v>
          </cell>
          <cell r="J47">
            <v>-1</v>
          </cell>
          <cell r="N47" t="str">
            <v/>
          </cell>
        </row>
        <row r="48">
          <cell r="A48" t="str">
            <v>Night Lord</v>
          </cell>
          <cell r="B48">
            <v>45</v>
          </cell>
          <cell r="F48">
            <v>0</v>
          </cell>
          <cell r="I48">
            <v>8</v>
          </cell>
          <cell r="J48">
            <v>-1</v>
          </cell>
          <cell r="N48" t="str">
            <v/>
          </cell>
        </row>
        <row r="49">
          <cell r="A49" t="str">
            <v>Ocular Adept</v>
          </cell>
          <cell r="B49">
            <v>46</v>
          </cell>
          <cell r="F49">
            <v>0</v>
          </cell>
          <cell r="I49">
            <v>8</v>
          </cell>
          <cell r="J49">
            <v>-1</v>
          </cell>
          <cell r="N49" t="str">
            <v/>
          </cell>
        </row>
        <row r="50">
          <cell r="A50" t="str">
            <v>Paladin</v>
          </cell>
          <cell r="B50">
            <v>47</v>
          </cell>
          <cell r="F50">
            <v>0</v>
          </cell>
          <cell r="I50">
            <v>8</v>
          </cell>
          <cell r="J50">
            <v>-1</v>
          </cell>
          <cell r="N50" t="str">
            <v/>
          </cell>
        </row>
        <row r="51">
          <cell r="A51" t="str">
            <v>Pious Templar</v>
          </cell>
          <cell r="B51">
            <v>48</v>
          </cell>
          <cell r="F51">
            <v>0</v>
          </cell>
          <cell r="I51">
            <v>8</v>
          </cell>
          <cell r="J51">
            <v>-1</v>
          </cell>
          <cell r="N51" t="str">
            <v/>
          </cell>
        </row>
        <row r="52">
          <cell r="A52" t="str">
            <v>Prime Underdark Guide</v>
          </cell>
          <cell r="B52">
            <v>49</v>
          </cell>
          <cell r="F52">
            <v>0</v>
          </cell>
          <cell r="I52">
            <v>8</v>
          </cell>
          <cell r="J52">
            <v>-1</v>
          </cell>
          <cell r="N52" t="str">
            <v/>
          </cell>
        </row>
        <row r="53">
          <cell r="A53" t="str">
            <v>Ranger</v>
          </cell>
          <cell r="B53">
            <v>50</v>
          </cell>
          <cell r="F53">
            <v>0</v>
          </cell>
          <cell r="I53">
            <v>8</v>
          </cell>
          <cell r="J53">
            <v>-1</v>
          </cell>
          <cell r="N53" t="str">
            <v/>
          </cell>
        </row>
        <row r="54">
          <cell r="A54" t="str">
            <v>Scourge</v>
          </cell>
          <cell r="B54">
            <v>51</v>
          </cell>
          <cell r="F54">
            <v>0</v>
          </cell>
          <cell r="I54">
            <v>6</v>
          </cell>
          <cell r="J54">
            <v>-2</v>
          </cell>
          <cell r="N54" t="str">
            <v/>
          </cell>
        </row>
        <row r="55">
          <cell r="A55" t="str">
            <v>Shade Hunter</v>
          </cell>
          <cell r="B55">
            <v>52</v>
          </cell>
          <cell r="F55">
            <v>0</v>
          </cell>
          <cell r="I55">
            <v>8</v>
          </cell>
          <cell r="J55">
            <v>-1</v>
          </cell>
          <cell r="N55" t="str">
            <v/>
          </cell>
        </row>
        <row r="56">
          <cell r="A56" t="str">
            <v>Shaman</v>
          </cell>
          <cell r="B56">
            <v>53</v>
          </cell>
          <cell r="F56">
            <v>0</v>
          </cell>
          <cell r="I56">
            <v>8</v>
          </cell>
          <cell r="J56">
            <v>-1</v>
          </cell>
          <cell r="N56" t="str">
            <v/>
          </cell>
        </row>
        <row r="57">
          <cell r="A57" t="str">
            <v>Shugenja</v>
          </cell>
          <cell r="B57">
            <v>54</v>
          </cell>
          <cell r="F57">
            <v>0</v>
          </cell>
          <cell r="I57">
            <v>6</v>
          </cell>
          <cell r="J57">
            <v>-2</v>
          </cell>
          <cell r="N57" t="str">
            <v/>
          </cell>
        </row>
        <row r="58">
          <cell r="A58" t="str">
            <v>Slayer of Domiel</v>
          </cell>
          <cell r="B58">
            <v>55</v>
          </cell>
          <cell r="F58">
            <v>0</v>
          </cell>
          <cell r="I58">
            <v>8</v>
          </cell>
          <cell r="J58">
            <v>-1</v>
          </cell>
          <cell r="N58" t="str">
            <v/>
          </cell>
        </row>
        <row r="59">
          <cell r="A59" t="str">
            <v>Sohei</v>
          </cell>
          <cell r="B59">
            <v>56</v>
          </cell>
          <cell r="F59">
            <v>0</v>
          </cell>
          <cell r="I59">
            <v>8</v>
          </cell>
          <cell r="J59">
            <v>-1</v>
          </cell>
          <cell r="N59" t="str">
            <v/>
          </cell>
        </row>
        <row r="60">
          <cell r="A60" t="str">
            <v>Sorcerer</v>
          </cell>
          <cell r="B60">
            <v>57</v>
          </cell>
          <cell r="F60">
            <v>0</v>
          </cell>
          <cell r="I60">
            <v>6</v>
          </cell>
          <cell r="J60">
            <v>-2</v>
          </cell>
          <cell r="N60" t="str">
            <v/>
          </cell>
        </row>
        <row r="61">
          <cell r="A61" t="str">
            <v>Spellfire Adept</v>
          </cell>
          <cell r="B61">
            <v>58</v>
          </cell>
          <cell r="F61">
            <v>0</v>
          </cell>
          <cell r="I61">
            <v>6</v>
          </cell>
          <cell r="J61">
            <v>-2</v>
          </cell>
          <cell r="N61" t="str">
            <v/>
          </cell>
        </row>
        <row r="62">
          <cell r="A62" t="str">
            <v>Spellthief</v>
          </cell>
          <cell r="B62">
            <v>59</v>
          </cell>
          <cell r="F62">
            <v>0</v>
          </cell>
          <cell r="I62">
            <v>6</v>
          </cell>
          <cell r="J62">
            <v>-2</v>
          </cell>
          <cell r="N62" t="str">
            <v/>
          </cell>
        </row>
        <row r="63">
          <cell r="A63" t="str">
            <v>Spirit Shaman</v>
          </cell>
          <cell r="B63">
            <v>60</v>
          </cell>
          <cell r="F63">
            <v>0</v>
          </cell>
          <cell r="I63">
            <v>8</v>
          </cell>
          <cell r="J63">
            <v>-1</v>
          </cell>
          <cell r="N63" t="str">
            <v/>
          </cell>
        </row>
        <row r="64">
          <cell r="A64" t="str">
            <v>Sublime Chord</v>
          </cell>
          <cell r="B64">
            <v>61</v>
          </cell>
          <cell r="F64">
            <v>0</v>
          </cell>
          <cell r="I64">
            <v>6</v>
          </cell>
          <cell r="J64">
            <v>-2</v>
          </cell>
          <cell r="N64" t="str">
            <v/>
          </cell>
        </row>
        <row r="65">
          <cell r="A65" t="str">
            <v>Suel Arcanamach</v>
          </cell>
          <cell r="B65">
            <v>62</v>
          </cell>
          <cell r="F65">
            <v>0</v>
          </cell>
          <cell r="I65">
            <v>6</v>
          </cell>
          <cell r="J65">
            <v>-2</v>
          </cell>
          <cell r="N65" t="str">
            <v/>
          </cell>
        </row>
        <row r="66">
          <cell r="A66" t="str">
            <v>Temple Raider of Olidammara</v>
          </cell>
          <cell r="B66">
            <v>63</v>
          </cell>
          <cell r="F66">
            <v>0</v>
          </cell>
          <cell r="I66">
            <v>8</v>
          </cell>
          <cell r="J66">
            <v>-1</v>
          </cell>
          <cell r="N66" t="str">
            <v/>
          </cell>
        </row>
        <row r="67">
          <cell r="A67" t="str">
            <v>Ur-Priest</v>
          </cell>
          <cell r="B67">
            <v>64</v>
          </cell>
          <cell r="F67">
            <v>0</v>
          </cell>
          <cell r="I67">
            <v>8</v>
          </cell>
          <cell r="J67">
            <v>-1</v>
          </cell>
          <cell r="N67" t="str">
            <v/>
          </cell>
        </row>
        <row r="68">
          <cell r="A68" t="str">
            <v>Vassal of Bahamut</v>
          </cell>
          <cell r="B68">
            <v>65</v>
          </cell>
          <cell r="F68">
            <v>0</v>
          </cell>
          <cell r="I68">
            <v>8</v>
          </cell>
          <cell r="J68">
            <v>-1</v>
          </cell>
          <cell r="N68" t="str">
            <v/>
          </cell>
        </row>
        <row r="69">
          <cell r="A69" t="str">
            <v>Vigilante</v>
          </cell>
          <cell r="B69">
            <v>66</v>
          </cell>
          <cell r="F69">
            <v>0</v>
          </cell>
          <cell r="I69">
            <v>6</v>
          </cell>
          <cell r="J69">
            <v>-2</v>
          </cell>
          <cell r="N69" t="str">
            <v/>
          </cell>
        </row>
        <row r="70">
          <cell r="A70" t="str">
            <v>Warlock</v>
          </cell>
          <cell r="B70">
            <v>67</v>
          </cell>
          <cell r="F70">
            <v>0</v>
          </cell>
          <cell r="I70">
            <v>6</v>
          </cell>
          <cell r="J70">
            <v>-2</v>
          </cell>
          <cell r="N70" t="str">
            <v/>
          </cell>
        </row>
        <row r="71">
          <cell r="A71" t="str">
            <v>Warmage</v>
          </cell>
          <cell r="B71">
            <v>68</v>
          </cell>
          <cell r="F71">
            <v>0</v>
          </cell>
          <cell r="I71">
            <v>6</v>
          </cell>
          <cell r="J71">
            <v>-2</v>
          </cell>
          <cell r="N71" t="str">
            <v/>
          </cell>
        </row>
        <row r="72">
          <cell r="A72" t="str">
            <v>Wizard</v>
          </cell>
          <cell r="B72">
            <v>69</v>
          </cell>
          <cell r="F72">
            <v>1</v>
          </cell>
          <cell r="I72">
            <v>8</v>
          </cell>
          <cell r="J72">
            <v>-1</v>
          </cell>
          <cell r="N72" t="str">
            <v/>
          </cell>
        </row>
        <row r="73">
          <cell r="A73" t="str">
            <v>Wu Jen</v>
          </cell>
          <cell r="B73">
            <v>70</v>
          </cell>
          <cell r="F73">
            <v>0</v>
          </cell>
          <cell r="I73">
            <v>8</v>
          </cell>
          <cell r="J73">
            <v>-1</v>
          </cell>
          <cell r="N73" t="str">
            <v/>
          </cell>
        </row>
        <row r="75">
          <cell r="D75">
            <v>-1</v>
          </cell>
          <cell r="F75">
            <v>0</v>
          </cell>
        </row>
        <row r="78">
          <cell r="L78" t="str">
            <v>Dwarf, Hill</v>
          </cell>
        </row>
        <row r="80">
          <cell r="C80">
            <v>1</v>
          </cell>
          <cell r="D80">
            <v>1</v>
          </cell>
          <cell r="E80">
            <v>1</v>
          </cell>
          <cell r="L80">
            <v>-1</v>
          </cell>
        </row>
        <row r="81">
          <cell r="C81">
            <v>0</v>
          </cell>
          <cell r="E81">
            <v>0</v>
          </cell>
          <cell r="L81">
            <v>-1</v>
          </cell>
        </row>
        <row r="82">
          <cell r="C82">
            <v>0</v>
          </cell>
          <cell r="E82">
            <v>0</v>
          </cell>
          <cell r="L82">
            <v>-1</v>
          </cell>
        </row>
        <row r="83">
          <cell r="E83">
            <v>1</v>
          </cell>
          <cell r="L83">
            <v>-1</v>
          </cell>
        </row>
        <row r="84">
          <cell r="AX84" t="str">
            <v>not valid</v>
          </cell>
          <cell r="BB84">
            <v>0</v>
          </cell>
        </row>
        <row r="85">
          <cell r="AX85" t="str">
            <v>not valid</v>
          </cell>
          <cell r="BB85">
            <v>1</v>
          </cell>
        </row>
        <row r="86">
          <cell r="AX86" t="str">
            <v>not valid</v>
          </cell>
          <cell r="BB86">
            <v>2</v>
          </cell>
        </row>
        <row r="87">
          <cell r="L87">
            <v>-1</v>
          </cell>
          <cell r="AX87" t="str">
            <v>not valid</v>
          </cell>
          <cell r="BB87">
            <v>3</v>
          </cell>
        </row>
        <row r="88">
          <cell r="L88">
            <v>0</v>
          </cell>
          <cell r="AX88" t="str">
            <v>not valid</v>
          </cell>
          <cell r="BB88">
            <v>4</v>
          </cell>
        </row>
        <row r="89">
          <cell r="L89">
            <v>0</v>
          </cell>
          <cell r="AX89" t="str">
            <v>not valid</v>
          </cell>
          <cell r="BB89">
            <v>5</v>
          </cell>
        </row>
        <row r="90">
          <cell r="L90">
            <v>0</v>
          </cell>
          <cell r="AX90" t="str">
            <v>not valid</v>
          </cell>
          <cell r="BB90">
            <v>6</v>
          </cell>
        </row>
        <row r="91">
          <cell r="AX91" t="str">
            <v>not valid</v>
          </cell>
          <cell r="BB91">
            <v>7</v>
          </cell>
        </row>
        <row r="92">
          <cell r="AX92" t="str">
            <v>not valid</v>
          </cell>
          <cell r="BB92">
            <v>8</v>
          </cell>
        </row>
        <row r="93">
          <cell r="AX93" t="str">
            <v>not valid</v>
          </cell>
          <cell r="BB93">
            <v>9</v>
          </cell>
        </row>
        <row r="94">
          <cell r="AX94" t="str">
            <v>not valid</v>
          </cell>
        </row>
        <row r="95">
          <cell r="AX95" t="str">
            <v>not valid</v>
          </cell>
        </row>
        <row r="96">
          <cell r="L96" t="str">
            <v/>
          </cell>
          <cell r="AX96" t="str">
            <v>not valid</v>
          </cell>
        </row>
        <row r="97">
          <cell r="L97">
            <v>0</v>
          </cell>
          <cell r="AX97" t="str">
            <v>not valid</v>
          </cell>
        </row>
        <row r="98">
          <cell r="L98" t="str">
            <v/>
          </cell>
          <cell r="AX98" t="str">
            <v>not valid</v>
          </cell>
        </row>
        <row r="99">
          <cell r="AX99" t="str">
            <v>not valid</v>
          </cell>
        </row>
        <row r="100">
          <cell r="AX100" t="str">
            <v>not valid</v>
          </cell>
        </row>
        <row r="101">
          <cell r="AX101" t="str">
            <v>not valid</v>
          </cell>
        </row>
        <row r="102">
          <cell r="L102" t="b">
            <v>0</v>
          </cell>
          <cell r="AX102" t="str">
            <v>not valid</v>
          </cell>
        </row>
        <row r="103">
          <cell r="AX103" t="str">
            <v>not valid</v>
          </cell>
        </row>
        <row r="104">
          <cell r="AX104" t="str">
            <v>not valid</v>
          </cell>
        </row>
        <row r="105">
          <cell r="AX105" t="str">
            <v>not valid</v>
          </cell>
        </row>
        <row r="106">
          <cell r="AX106" t="str">
            <v>not valid</v>
          </cell>
        </row>
        <row r="107">
          <cell r="AX107" t="str">
            <v>not valid</v>
          </cell>
        </row>
        <row r="108">
          <cell r="AX108" t="str">
            <v>not valid</v>
          </cell>
        </row>
        <row r="109">
          <cell r="AX109" t="str">
            <v>not valid</v>
          </cell>
        </row>
        <row r="110">
          <cell r="AX110" t="str">
            <v>not valid</v>
          </cell>
        </row>
        <row r="111">
          <cell r="AX111" t="str">
            <v>not valid</v>
          </cell>
        </row>
        <row r="112">
          <cell r="AX112" t="str">
            <v>not valid</v>
          </cell>
        </row>
        <row r="113">
          <cell r="AX113" t="str">
            <v>not valid</v>
          </cell>
        </row>
        <row r="114">
          <cell r="AX114" t="str">
            <v>not valid</v>
          </cell>
        </row>
        <row r="115">
          <cell r="AX115" t="str">
            <v>not valid</v>
          </cell>
        </row>
        <row r="116">
          <cell r="AX116" t="str">
            <v>not valid</v>
          </cell>
        </row>
        <row r="117">
          <cell r="AX117" t="str">
            <v>not valid</v>
          </cell>
        </row>
        <row r="118">
          <cell r="AX118" t="str">
            <v>not valid</v>
          </cell>
        </row>
        <row r="119">
          <cell r="AX119" t="str">
            <v>not valid</v>
          </cell>
        </row>
        <row r="120">
          <cell r="AX120" t="str">
            <v>not valid</v>
          </cell>
        </row>
        <row r="121">
          <cell r="AX121" t="str">
            <v>not valid</v>
          </cell>
        </row>
        <row r="122">
          <cell r="AX122" t="str">
            <v>not valid</v>
          </cell>
        </row>
      </sheetData>
      <sheetData sheetId="55">
        <row r="3">
          <cell r="A3">
            <v>0</v>
          </cell>
          <cell r="B3" t="str">
            <v/>
          </cell>
          <cell r="C3" t="str">
            <v/>
          </cell>
          <cell r="D3" t="str">
            <v/>
          </cell>
          <cell r="E3" t="str">
            <v/>
          </cell>
          <cell r="F3" t="str">
            <v/>
          </cell>
          <cell r="G3" t="str">
            <v/>
          </cell>
          <cell r="H3" t="str">
            <v/>
          </cell>
          <cell r="I3">
            <v>0</v>
          </cell>
          <cell r="J3" t="str">
            <v/>
          </cell>
          <cell r="K3" t="str">
            <v/>
          </cell>
          <cell r="L3" t="str">
            <v/>
          </cell>
          <cell r="M3" t="str">
            <v/>
          </cell>
          <cell r="N3" t="str">
            <v/>
          </cell>
          <cell r="O3" t="str">
            <v/>
          </cell>
          <cell r="P3" t="str">
            <v/>
          </cell>
          <cell r="Q3" t="str">
            <v/>
          </cell>
          <cell r="R3" t="str">
            <v/>
          </cell>
          <cell r="S3" t="str">
            <v/>
          </cell>
          <cell r="T3">
            <v>0</v>
          </cell>
          <cell r="V3" t="str">
            <v/>
          </cell>
          <cell r="W3" t="str">
            <v/>
          </cell>
          <cell r="X3" t="str">
            <v/>
          </cell>
          <cell r="Y3" t="str">
            <v/>
          </cell>
          <cell r="AE3">
            <v>0</v>
          </cell>
          <cell r="AF3" t="str">
            <v/>
          </cell>
          <cell r="AG3" t="str">
            <v/>
          </cell>
          <cell r="AH3" t="str">
            <v/>
          </cell>
          <cell r="AI3" t="str">
            <v/>
          </cell>
          <cell r="AJ3" t="str">
            <v/>
          </cell>
        </row>
        <row r="4">
          <cell r="A4">
            <v>1</v>
          </cell>
          <cell r="B4">
            <v>2</v>
          </cell>
          <cell r="C4" t="str">
            <v/>
          </cell>
          <cell r="D4" t="str">
            <v/>
          </cell>
          <cell r="E4" t="str">
            <v/>
          </cell>
          <cell r="F4" t="str">
            <v/>
          </cell>
          <cell r="G4" t="str">
            <v/>
          </cell>
          <cell r="H4" t="str">
            <v/>
          </cell>
          <cell r="I4">
            <v>1</v>
          </cell>
          <cell r="J4">
            <v>3</v>
          </cell>
          <cell r="K4">
            <v>1</v>
          </cell>
          <cell r="L4" t="str">
            <v/>
          </cell>
          <cell r="M4" t="str">
            <v/>
          </cell>
          <cell r="N4" t="str">
            <v/>
          </cell>
          <cell r="O4" t="str">
            <v/>
          </cell>
          <cell r="P4" t="str">
            <v/>
          </cell>
          <cell r="Q4" t="str">
            <v/>
          </cell>
          <cell r="R4" t="str">
            <v/>
          </cell>
          <cell r="S4" t="str">
            <v/>
          </cell>
          <cell r="T4">
            <v>1</v>
          </cell>
          <cell r="V4" t="str">
            <v/>
          </cell>
          <cell r="W4" t="str">
            <v/>
          </cell>
          <cell r="X4" t="str">
            <v/>
          </cell>
          <cell r="Y4" t="str">
            <v/>
          </cell>
          <cell r="AE4">
            <v>1</v>
          </cell>
          <cell r="AF4" t="str">
            <v/>
          </cell>
          <cell r="AG4">
            <v>0</v>
          </cell>
          <cell r="AH4" t="str">
            <v/>
          </cell>
          <cell r="AI4" t="str">
            <v/>
          </cell>
          <cell r="AJ4" t="str">
            <v/>
          </cell>
        </row>
        <row r="5">
          <cell r="A5">
            <v>2</v>
          </cell>
          <cell r="B5">
            <v>3</v>
          </cell>
          <cell r="C5">
            <v>0</v>
          </cell>
          <cell r="D5" t="str">
            <v/>
          </cell>
          <cell r="E5" t="str">
            <v/>
          </cell>
          <cell r="F5" t="str">
            <v/>
          </cell>
          <cell r="G5" t="str">
            <v/>
          </cell>
          <cell r="H5" t="str">
            <v/>
          </cell>
          <cell r="I5">
            <v>2</v>
          </cell>
          <cell r="J5">
            <v>4</v>
          </cell>
          <cell r="K5">
            <v>2</v>
          </cell>
          <cell r="L5" t="str">
            <v/>
          </cell>
          <cell r="M5" t="str">
            <v/>
          </cell>
          <cell r="N5" t="str">
            <v/>
          </cell>
          <cell r="O5" t="str">
            <v/>
          </cell>
          <cell r="P5" t="str">
            <v/>
          </cell>
          <cell r="Q5" t="str">
            <v/>
          </cell>
          <cell r="R5" t="str">
            <v/>
          </cell>
          <cell r="S5" t="str">
            <v/>
          </cell>
          <cell r="T5">
            <v>2</v>
          </cell>
          <cell r="V5" t="str">
            <v/>
          </cell>
          <cell r="W5" t="str">
            <v/>
          </cell>
          <cell r="X5" t="str">
            <v/>
          </cell>
          <cell r="Y5" t="str">
            <v/>
          </cell>
          <cell r="AE5">
            <v>2</v>
          </cell>
          <cell r="AF5" t="str">
            <v/>
          </cell>
          <cell r="AG5">
            <v>1</v>
          </cell>
          <cell r="AH5" t="str">
            <v/>
          </cell>
          <cell r="AI5" t="str">
            <v/>
          </cell>
          <cell r="AJ5" t="str">
            <v/>
          </cell>
        </row>
        <row r="6">
          <cell r="A6">
            <v>3</v>
          </cell>
          <cell r="B6">
            <v>3</v>
          </cell>
          <cell r="C6">
            <v>1</v>
          </cell>
          <cell r="D6" t="str">
            <v/>
          </cell>
          <cell r="E6" t="str">
            <v/>
          </cell>
          <cell r="F6" t="str">
            <v/>
          </cell>
          <cell r="G6" t="str">
            <v/>
          </cell>
          <cell r="H6" t="str">
            <v/>
          </cell>
          <cell r="I6">
            <v>3</v>
          </cell>
          <cell r="J6">
            <v>4</v>
          </cell>
          <cell r="K6">
            <v>2</v>
          </cell>
          <cell r="L6">
            <v>1</v>
          </cell>
          <cell r="M6" t="str">
            <v/>
          </cell>
          <cell r="N6" t="str">
            <v/>
          </cell>
          <cell r="O6" t="str">
            <v/>
          </cell>
          <cell r="P6" t="str">
            <v/>
          </cell>
          <cell r="Q6" t="str">
            <v/>
          </cell>
          <cell r="R6" t="str">
            <v/>
          </cell>
          <cell r="S6" t="str">
            <v/>
          </cell>
          <cell r="T6">
            <v>3</v>
          </cell>
          <cell r="V6" t="str">
            <v/>
          </cell>
          <cell r="W6" t="str">
            <v/>
          </cell>
          <cell r="X6" t="str">
            <v/>
          </cell>
          <cell r="Y6" t="str">
            <v/>
          </cell>
          <cell r="AE6">
            <v>3</v>
          </cell>
          <cell r="AF6" t="str">
            <v/>
          </cell>
          <cell r="AG6">
            <v>2</v>
          </cell>
          <cell r="AH6">
            <v>0</v>
          </cell>
          <cell r="AI6" t="str">
            <v/>
          </cell>
          <cell r="AJ6" t="str">
            <v/>
          </cell>
        </row>
        <row r="7">
          <cell r="A7">
            <v>4</v>
          </cell>
          <cell r="B7">
            <v>3</v>
          </cell>
          <cell r="C7">
            <v>2</v>
          </cell>
          <cell r="D7">
            <v>0</v>
          </cell>
          <cell r="E7" t="str">
            <v/>
          </cell>
          <cell r="F7" t="str">
            <v/>
          </cell>
          <cell r="G7" t="str">
            <v/>
          </cell>
          <cell r="H7" t="str">
            <v/>
          </cell>
          <cell r="I7">
            <v>4</v>
          </cell>
          <cell r="J7">
            <v>5</v>
          </cell>
          <cell r="K7">
            <v>3</v>
          </cell>
          <cell r="L7">
            <v>2</v>
          </cell>
          <cell r="M7" t="str">
            <v/>
          </cell>
          <cell r="N7" t="str">
            <v/>
          </cell>
          <cell r="O7" t="str">
            <v/>
          </cell>
          <cell r="P7" t="str">
            <v/>
          </cell>
          <cell r="Q7" t="str">
            <v/>
          </cell>
          <cell r="R7" t="str">
            <v/>
          </cell>
          <cell r="S7" t="str">
            <v/>
          </cell>
          <cell r="T7">
            <v>4</v>
          </cell>
          <cell r="U7">
            <v>2</v>
          </cell>
          <cell r="V7">
            <v>0</v>
          </cell>
          <cell r="W7" t="str">
            <v/>
          </cell>
          <cell r="X7" t="str">
            <v/>
          </cell>
          <cell r="Y7" t="str">
            <v/>
          </cell>
          <cell r="AE7">
            <v>4</v>
          </cell>
          <cell r="AF7" t="str">
            <v/>
          </cell>
          <cell r="AG7">
            <v>3</v>
          </cell>
          <cell r="AH7">
            <v>1</v>
          </cell>
          <cell r="AI7" t="str">
            <v/>
          </cell>
          <cell r="AJ7" t="str">
            <v/>
          </cell>
        </row>
        <row r="8">
          <cell r="A8">
            <v>5</v>
          </cell>
          <cell r="B8">
            <v>3</v>
          </cell>
          <cell r="C8">
            <v>3</v>
          </cell>
          <cell r="D8">
            <v>1</v>
          </cell>
          <cell r="E8" t="str">
            <v/>
          </cell>
          <cell r="F8" t="str">
            <v/>
          </cell>
          <cell r="G8" t="str">
            <v/>
          </cell>
          <cell r="H8" t="str">
            <v/>
          </cell>
          <cell r="I8">
            <v>5</v>
          </cell>
          <cell r="J8">
            <v>5</v>
          </cell>
          <cell r="K8">
            <v>3</v>
          </cell>
          <cell r="L8">
            <v>2</v>
          </cell>
          <cell r="M8">
            <v>1</v>
          </cell>
          <cell r="N8" t="str">
            <v/>
          </cell>
          <cell r="O8" t="str">
            <v/>
          </cell>
          <cell r="P8" t="str">
            <v/>
          </cell>
          <cell r="Q8" t="str">
            <v/>
          </cell>
          <cell r="R8" t="str">
            <v/>
          </cell>
          <cell r="S8" t="str">
            <v/>
          </cell>
          <cell r="T8">
            <v>5</v>
          </cell>
          <cell r="U8">
            <v>2</v>
          </cell>
          <cell r="V8">
            <v>0</v>
          </cell>
          <cell r="W8" t="str">
            <v/>
          </cell>
          <cell r="X8" t="str">
            <v/>
          </cell>
          <cell r="Y8" t="str">
            <v/>
          </cell>
          <cell r="AE8">
            <v>5</v>
          </cell>
          <cell r="AF8" t="str">
            <v/>
          </cell>
          <cell r="AG8">
            <v>3</v>
          </cell>
          <cell r="AH8">
            <v>2</v>
          </cell>
          <cell r="AI8">
            <v>0</v>
          </cell>
          <cell r="AJ8" t="str">
            <v/>
          </cell>
        </row>
        <row r="9">
          <cell r="A9">
            <v>6</v>
          </cell>
          <cell r="B9">
            <v>3</v>
          </cell>
          <cell r="C9">
            <v>3</v>
          </cell>
          <cell r="D9">
            <v>2</v>
          </cell>
          <cell r="E9" t="str">
            <v/>
          </cell>
          <cell r="F9" t="str">
            <v/>
          </cell>
          <cell r="G9" t="str">
            <v/>
          </cell>
          <cell r="H9" t="str">
            <v/>
          </cell>
          <cell r="I9">
            <v>6</v>
          </cell>
          <cell r="J9">
            <v>5</v>
          </cell>
          <cell r="K9">
            <v>3</v>
          </cell>
          <cell r="L9">
            <v>3</v>
          </cell>
          <cell r="M9">
            <v>2</v>
          </cell>
          <cell r="N9" t="str">
            <v/>
          </cell>
          <cell r="O9" t="str">
            <v/>
          </cell>
          <cell r="P9" t="str">
            <v/>
          </cell>
          <cell r="Q9" t="str">
            <v/>
          </cell>
          <cell r="R9" t="str">
            <v/>
          </cell>
          <cell r="S9" t="str">
            <v/>
          </cell>
          <cell r="T9">
            <v>6</v>
          </cell>
          <cell r="U9">
            <v>3</v>
          </cell>
          <cell r="V9">
            <v>1</v>
          </cell>
          <cell r="W9" t="str">
            <v/>
          </cell>
          <cell r="X9" t="str">
            <v/>
          </cell>
          <cell r="Y9" t="str">
            <v/>
          </cell>
          <cell r="AE9">
            <v>6</v>
          </cell>
          <cell r="AF9" t="str">
            <v/>
          </cell>
          <cell r="AG9">
            <v>3</v>
          </cell>
          <cell r="AH9">
            <v>3</v>
          </cell>
          <cell r="AI9">
            <v>1</v>
          </cell>
          <cell r="AJ9" t="str">
            <v/>
          </cell>
        </row>
        <row r="10">
          <cell r="A10">
            <v>7</v>
          </cell>
          <cell r="B10">
            <v>3</v>
          </cell>
          <cell r="C10">
            <v>3</v>
          </cell>
          <cell r="D10">
            <v>2</v>
          </cell>
          <cell r="E10">
            <v>0</v>
          </cell>
          <cell r="F10" t="str">
            <v/>
          </cell>
          <cell r="G10" t="str">
            <v/>
          </cell>
          <cell r="H10" t="str">
            <v/>
          </cell>
          <cell r="I10">
            <v>7</v>
          </cell>
          <cell r="J10">
            <v>6</v>
          </cell>
          <cell r="K10">
            <v>4</v>
          </cell>
          <cell r="L10">
            <v>3</v>
          </cell>
          <cell r="M10">
            <v>2</v>
          </cell>
          <cell r="N10">
            <v>1</v>
          </cell>
          <cell r="O10" t="str">
            <v/>
          </cell>
          <cell r="P10" t="str">
            <v/>
          </cell>
          <cell r="Q10" t="str">
            <v/>
          </cell>
          <cell r="R10" t="str">
            <v/>
          </cell>
          <cell r="S10" t="str">
            <v/>
          </cell>
          <cell r="T10">
            <v>7</v>
          </cell>
          <cell r="U10">
            <v>3</v>
          </cell>
          <cell r="V10">
            <v>1</v>
          </cell>
          <cell r="W10" t="str">
            <v/>
          </cell>
          <cell r="X10" t="str">
            <v/>
          </cell>
          <cell r="Y10" t="str">
            <v/>
          </cell>
          <cell r="AE10">
            <v>7</v>
          </cell>
          <cell r="AF10" t="str">
            <v/>
          </cell>
          <cell r="AG10">
            <v>3</v>
          </cell>
          <cell r="AH10">
            <v>3</v>
          </cell>
          <cell r="AI10">
            <v>2</v>
          </cell>
          <cell r="AJ10">
            <v>0</v>
          </cell>
        </row>
        <row r="11">
          <cell r="A11">
            <v>8</v>
          </cell>
          <cell r="B11">
            <v>3</v>
          </cell>
          <cell r="C11">
            <v>3</v>
          </cell>
          <cell r="D11">
            <v>3</v>
          </cell>
          <cell r="E11">
            <v>1</v>
          </cell>
          <cell r="F11" t="str">
            <v/>
          </cell>
          <cell r="G11" t="str">
            <v/>
          </cell>
          <cell r="H11" t="str">
            <v/>
          </cell>
          <cell r="I11">
            <v>8</v>
          </cell>
          <cell r="J11">
            <v>6</v>
          </cell>
          <cell r="K11">
            <v>4</v>
          </cell>
          <cell r="L11">
            <v>3</v>
          </cell>
          <cell r="M11">
            <v>3</v>
          </cell>
          <cell r="N11">
            <v>2</v>
          </cell>
          <cell r="O11" t="str">
            <v/>
          </cell>
          <cell r="P11" t="str">
            <v/>
          </cell>
          <cell r="Q11" t="str">
            <v/>
          </cell>
          <cell r="R11" t="str">
            <v/>
          </cell>
          <cell r="S11" t="str">
            <v/>
          </cell>
          <cell r="T11">
            <v>8</v>
          </cell>
          <cell r="U11">
            <v>4</v>
          </cell>
          <cell r="V11">
            <v>1</v>
          </cell>
          <cell r="W11">
            <v>0</v>
          </cell>
          <cell r="X11" t="str">
            <v/>
          </cell>
          <cell r="Y11" t="str">
            <v/>
          </cell>
          <cell r="AE11">
            <v>8</v>
          </cell>
          <cell r="AF11" t="str">
            <v/>
          </cell>
          <cell r="AG11">
            <v>3</v>
          </cell>
          <cell r="AH11">
            <v>3</v>
          </cell>
          <cell r="AI11">
            <v>3</v>
          </cell>
          <cell r="AJ11">
            <v>1</v>
          </cell>
        </row>
        <row r="12">
          <cell r="A12">
            <v>9</v>
          </cell>
          <cell r="B12">
            <v>3</v>
          </cell>
          <cell r="C12">
            <v>3</v>
          </cell>
          <cell r="D12">
            <v>3</v>
          </cell>
          <cell r="E12">
            <v>2</v>
          </cell>
          <cell r="F12" t="str">
            <v/>
          </cell>
          <cell r="G12" t="str">
            <v/>
          </cell>
          <cell r="H12" t="str">
            <v/>
          </cell>
          <cell r="I12">
            <v>9</v>
          </cell>
          <cell r="J12">
            <v>6</v>
          </cell>
          <cell r="K12">
            <v>4</v>
          </cell>
          <cell r="L12">
            <v>4</v>
          </cell>
          <cell r="M12">
            <v>3</v>
          </cell>
          <cell r="N12">
            <v>2</v>
          </cell>
          <cell r="O12">
            <v>1</v>
          </cell>
          <cell r="P12" t="str">
            <v/>
          </cell>
          <cell r="Q12" t="str">
            <v/>
          </cell>
          <cell r="R12" t="str">
            <v/>
          </cell>
          <cell r="S12" t="str">
            <v/>
          </cell>
          <cell r="T12">
            <v>9</v>
          </cell>
          <cell r="U12">
            <v>4</v>
          </cell>
          <cell r="V12">
            <v>1</v>
          </cell>
          <cell r="W12">
            <v>0</v>
          </cell>
          <cell r="X12" t="str">
            <v/>
          </cell>
          <cell r="Y12" t="str">
            <v/>
          </cell>
          <cell r="AE12">
            <v>9</v>
          </cell>
          <cell r="AF12" t="str">
            <v/>
          </cell>
          <cell r="AG12">
            <v>3</v>
          </cell>
          <cell r="AH12">
            <v>3</v>
          </cell>
          <cell r="AI12">
            <v>3</v>
          </cell>
          <cell r="AJ12">
            <v>2</v>
          </cell>
        </row>
        <row r="13">
          <cell r="A13">
            <v>10</v>
          </cell>
          <cell r="B13">
            <v>3</v>
          </cell>
          <cell r="C13">
            <v>3</v>
          </cell>
          <cell r="D13">
            <v>3</v>
          </cell>
          <cell r="E13">
            <v>2</v>
          </cell>
          <cell r="F13">
            <v>0</v>
          </cell>
          <cell r="G13" t="str">
            <v/>
          </cell>
          <cell r="H13" t="str">
            <v/>
          </cell>
          <cell r="I13">
            <v>10</v>
          </cell>
          <cell r="J13">
            <v>6</v>
          </cell>
          <cell r="K13">
            <v>4</v>
          </cell>
          <cell r="L13">
            <v>4</v>
          </cell>
          <cell r="M13">
            <v>3</v>
          </cell>
          <cell r="N13">
            <v>3</v>
          </cell>
          <cell r="O13">
            <v>2</v>
          </cell>
          <cell r="P13" t="str">
            <v/>
          </cell>
          <cell r="Q13" t="str">
            <v/>
          </cell>
          <cell r="R13" t="str">
            <v/>
          </cell>
          <cell r="S13" t="str">
            <v/>
          </cell>
          <cell r="T13">
            <v>10</v>
          </cell>
          <cell r="U13">
            <v>5</v>
          </cell>
          <cell r="V13">
            <v>1</v>
          </cell>
          <cell r="W13">
            <v>1</v>
          </cell>
          <cell r="X13" t="str">
            <v/>
          </cell>
          <cell r="Y13" t="str">
            <v/>
          </cell>
          <cell r="AE13">
            <v>10</v>
          </cell>
          <cell r="AF13" t="str">
            <v/>
          </cell>
          <cell r="AG13">
            <v>3</v>
          </cell>
          <cell r="AH13">
            <v>3</v>
          </cell>
          <cell r="AI13">
            <v>3</v>
          </cell>
          <cell r="AJ13">
            <v>3</v>
          </cell>
        </row>
        <row r="14">
          <cell r="A14">
            <v>11</v>
          </cell>
          <cell r="B14">
            <v>3</v>
          </cell>
          <cell r="C14">
            <v>3</v>
          </cell>
          <cell r="D14">
            <v>3</v>
          </cell>
          <cell r="E14">
            <v>3</v>
          </cell>
          <cell r="F14">
            <v>1</v>
          </cell>
          <cell r="G14" t="str">
            <v/>
          </cell>
          <cell r="H14" t="str">
            <v/>
          </cell>
          <cell r="I14">
            <v>11</v>
          </cell>
          <cell r="J14">
            <v>6</v>
          </cell>
          <cell r="K14">
            <v>5</v>
          </cell>
          <cell r="L14">
            <v>4</v>
          </cell>
          <cell r="M14">
            <v>4</v>
          </cell>
          <cell r="N14">
            <v>3</v>
          </cell>
          <cell r="O14">
            <v>2</v>
          </cell>
          <cell r="P14">
            <v>1</v>
          </cell>
          <cell r="Q14" t="str">
            <v/>
          </cell>
          <cell r="R14" t="str">
            <v/>
          </cell>
          <cell r="S14" t="str">
            <v/>
          </cell>
          <cell r="T14">
            <v>11</v>
          </cell>
          <cell r="U14">
            <v>5</v>
          </cell>
          <cell r="V14">
            <v>1</v>
          </cell>
          <cell r="W14">
            <v>1</v>
          </cell>
          <cell r="X14">
            <v>0</v>
          </cell>
          <cell r="Y14" t="str">
            <v/>
          </cell>
          <cell r="AE14">
            <v>11</v>
          </cell>
          <cell r="AF14" t="str">
            <v/>
          </cell>
          <cell r="AG14" t="str">
            <v/>
          </cell>
          <cell r="AH14" t="str">
            <v/>
          </cell>
          <cell r="AI14" t="str">
            <v/>
          </cell>
          <cell r="AJ14" t="str">
            <v/>
          </cell>
        </row>
        <row r="15">
          <cell r="A15">
            <v>12</v>
          </cell>
          <cell r="B15">
            <v>3</v>
          </cell>
          <cell r="C15">
            <v>3</v>
          </cell>
          <cell r="D15">
            <v>3</v>
          </cell>
          <cell r="E15">
            <v>3</v>
          </cell>
          <cell r="F15">
            <v>2</v>
          </cell>
          <cell r="G15" t="str">
            <v/>
          </cell>
          <cell r="H15" t="str">
            <v/>
          </cell>
          <cell r="I15">
            <v>12</v>
          </cell>
          <cell r="J15">
            <v>6</v>
          </cell>
          <cell r="K15">
            <v>5</v>
          </cell>
          <cell r="L15">
            <v>4</v>
          </cell>
          <cell r="M15">
            <v>4</v>
          </cell>
          <cell r="N15">
            <v>3</v>
          </cell>
          <cell r="O15">
            <v>3</v>
          </cell>
          <cell r="P15">
            <v>2</v>
          </cell>
          <cell r="Q15" t="str">
            <v/>
          </cell>
          <cell r="R15" t="str">
            <v/>
          </cell>
          <cell r="S15" t="str">
            <v/>
          </cell>
          <cell r="T15">
            <v>12</v>
          </cell>
          <cell r="U15">
            <v>6</v>
          </cell>
          <cell r="V15">
            <v>1</v>
          </cell>
          <cell r="W15">
            <v>1</v>
          </cell>
          <cell r="X15">
            <v>1</v>
          </cell>
          <cell r="Y15" t="str">
            <v/>
          </cell>
          <cell r="AE15">
            <v>12</v>
          </cell>
          <cell r="AF15" t="str">
            <v/>
          </cell>
          <cell r="AG15" t="str">
            <v/>
          </cell>
          <cell r="AH15" t="str">
            <v/>
          </cell>
          <cell r="AI15" t="str">
            <v/>
          </cell>
          <cell r="AJ15" t="str">
            <v/>
          </cell>
        </row>
        <row r="16">
          <cell r="A16">
            <v>13</v>
          </cell>
          <cell r="B16">
            <v>3</v>
          </cell>
          <cell r="C16">
            <v>3</v>
          </cell>
          <cell r="D16">
            <v>3</v>
          </cell>
          <cell r="E16">
            <v>3</v>
          </cell>
          <cell r="F16">
            <v>2</v>
          </cell>
          <cell r="G16">
            <v>0</v>
          </cell>
          <cell r="H16" t="str">
            <v/>
          </cell>
          <cell r="I16">
            <v>13</v>
          </cell>
          <cell r="J16">
            <v>6</v>
          </cell>
          <cell r="K16">
            <v>5</v>
          </cell>
          <cell r="L16">
            <v>5</v>
          </cell>
          <cell r="M16">
            <v>4</v>
          </cell>
          <cell r="N16">
            <v>4</v>
          </cell>
          <cell r="O16">
            <v>3</v>
          </cell>
          <cell r="P16">
            <v>2</v>
          </cell>
          <cell r="Q16">
            <v>1</v>
          </cell>
          <cell r="R16" t="str">
            <v/>
          </cell>
          <cell r="S16" t="str">
            <v/>
          </cell>
          <cell r="T16">
            <v>13</v>
          </cell>
          <cell r="U16">
            <v>6</v>
          </cell>
          <cell r="V16">
            <v>1</v>
          </cell>
          <cell r="W16">
            <v>1</v>
          </cell>
          <cell r="X16">
            <v>1</v>
          </cell>
          <cell r="Y16" t="str">
            <v/>
          </cell>
          <cell r="AE16">
            <v>13</v>
          </cell>
          <cell r="AF16" t="str">
            <v/>
          </cell>
          <cell r="AG16" t="str">
            <v/>
          </cell>
          <cell r="AH16" t="str">
            <v/>
          </cell>
          <cell r="AI16" t="str">
            <v/>
          </cell>
          <cell r="AJ16" t="str">
            <v/>
          </cell>
        </row>
        <row r="17">
          <cell r="A17">
            <v>14</v>
          </cell>
          <cell r="B17">
            <v>4</v>
          </cell>
          <cell r="C17">
            <v>3</v>
          </cell>
          <cell r="D17">
            <v>3</v>
          </cell>
          <cell r="E17">
            <v>3</v>
          </cell>
          <cell r="F17">
            <v>3</v>
          </cell>
          <cell r="G17">
            <v>1</v>
          </cell>
          <cell r="H17" t="str">
            <v/>
          </cell>
          <cell r="I17">
            <v>14</v>
          </cell>
          <cell r="J17">
            <v>6</v>
          </cell>
          <cell r="K17">
            <v>5</v>
          </cell>
          <cell r="L17">
            <v>5</v>
          </cell>
          <cell r="M17">
            <v>4</v>
          </cell>
          <cell r="N17">
            <v>4</v>
          </cell>
          <cell r="O17">
            <v>3</v>
          </cell>
          <cell r="P17">
            <v>3</v>
          </cell>
          <cell r="Q17">
            <v>2</v>
          </cell>
          <cell r="R17" t="str">
            <v/>
          </cell>
          <cell r="S17" t="str">
            <v/>
          </cell>
          <cell r="T17">
            <v>14</v>
          </cell>
          <cell r="U17">
            <v>7</v>
          </cell>
          <cell r="V17">
            <v>2</v>
          </cell>
          <cell r="W17">
            <v>1</v>
          </cell>
          <cell r="X17">
            <v>1</v>
          </cell>
          <cell r="Y17">
            <v>0</v>
          </cell>
          <cell r="AE17">
            <v>14</v>
          </cell>
          <cell r="AF17" t="str">
            <v/>
          </cell>
          <cell r="AG17" t="str">
            <v/>
          </cell>
          <cell r="AH17" t="str">
            <v/>
          </cell>
          <cell r="AI17" t="str">
            <v/>
          </cell>
          <cell r="AJ17" t="str">
            <v/>
          </cell>
        </row>
        <row r="18">
          <cell r="A18">
            <v>15</v>
          </cell>
          <cell r="B18">
            <v>4</v>
          </cell>
          <cell r="C18">
            <v>4</v>
          </cell>
          <cell r="D18">
            <v>3</v>
          </cell>
          <cell r="E18">
            <v>3</v>
          </cell>
          <cell r="F18">
            <v>3</v>
          </cell>
          <cell r="G18">
            <v>2</v>
          </cell>
          <cell r="H18" t="str">
            <v/>
          </cell>
          <cell r="I18">
            <v>15</v>
          </cell>
          <cell r="J18">
            <v>6</v>
          </cell>
          <cell r="K18">
            <v>5</v>
          </cell>
          <cell r="L18">
            <v>5</v>
          </cell>
          <cell r="M18">
            <v>5</v>
          </cell>
          <cell r="N18">
            <v>4</v>
          </cell>
          <cell r="O18">
            <v>4</v>
          </cell>
          <cell r="P18">
            <v>3</v>
          </cell>
          <cell r="Q18">
            <v>2</v>
          </cell>
          <cell r="R18">
            <v>1</v>
          </cell>
          <cell r="S18" t="str">
            <v/>
          </cell>
          <cell r="T18">
            <v>15</v>
          </cell>
          <cell r="U18">
            <v>7</v>
          </cell>
          <cell r="V18">
            <v>2</v>
          </cell>
          <cell r="W18">
            <v>1</v>
          </cell>
          <cell r="X18">
            <v>1</v>
          </cell>
          <cell r="Y18">
            <v>1</v>
          </cell>
          <cell r="AE18">
            <v>15</v>
          </cell>
          <cell r="AF18" t="str">
            <v/>
          </cell>
          <cell r="AG18" t="str">
            <v/>
          </cell>
          <cell r="AH18" t="str">
            <v/>
          </cell>
          <cell r="AI18" t="str">
            <v/>
          </cell>
          <cell r="AJ18" t="str">
            <v/>
          </cell>
        </row>
        <row r="19">
          <cell r="A19">
            <v>16</v>
          </cell>
          <cell r="B19">
            <v>4</v>
          </cell>
          <cell r="C19">
            <v>4</v>
          </cell>
          <cell r="D19">
            <v>4</v>
          </cell>
          <cell r="E19">
            <v>3</v>
          </cell>
          <cell r="F19">
            <v>3</v>
          </cell>
          <cell r="G19">
            <v>3</v>
          </cell>
          <cell r="H19">
            <v>0</v>
          </cell>
          <cell r="I19">
            <v>16</v>
          </cell>
          <cell r="J19">
            <v>6</v>
          </cell>
          <cell r="K19">
            <v>5</v>
          </cell>
          <cell r="L19">
            <v>5</v>
          </cell>
          <cell r="M19">
            <v>5</v>
          </cell>
          <cell r="N19">
            <v>4</v>
          </cell>
          <cell r="O19">
            <v>4</v>
          </cell>
          <cell r="P19">
            <v>3</v>
          </cell>
          <cell r="Q19">
            <v>3</v>
          </cell>
          <cell r="R19">
            <v>2</v>
          </cell>
          <cell r="S19" t="str">
            <v/>
          </cell>
          <cell r="T19">
            <v>16</v>
          </cell>
          <cell r="U19">
            <v>8</v>
          </cell>
          <cell r="V19">
            <v>2</v>
          </cell>
          <cell r="W19">
            <v>2</v>
          </cell>
          <cell r="X19">
            <v>1</v>
          </cell>
          <cell r="Y19">
            <v>1</v>
          </cell>
          <cell r="AE19">
            <v>16</v>
          </cell>
          <cell r="AF19" t="str">
            <v/>
          </cell>
          <cell r="AG19" t="str">
            <v/>
          </cell>
          <cell r="AH19" t="str">
            <v/>
          </cell>
          <cell r="AI19" t="str">
            <v/>
          </cell>
          <cell r="AJ19" t="str">
            <v/>
          </cell>
        </row>
        <row r="20">
          <cell r="A20">
            <v>17</v>
          </cell>
          <cell r="B20">
            <v>4</v>
          </cell>
          <cell r="C20">
            <v>4</v>
          </cell>
          <cell r="D20">
            <v>4</v>
          </cell>
          <cell r="E20">
            <v>4</v>
          </cell>
          <cell r="F20">
            <v>3</v>
          </cell>
          <cell r="G20">
            <v>3</v>
          </cell>
          <cell r="H20">
            <v>1</v>
          </cell>
          <cell r="I20">
            <v>17</v>
          </cell>
          <cell r="J20">
            <v>6</v>
          </cell>
          <cell r="K20">
            <v>5</v>
          </cell>
          <cell r="L20">
            <v>5</v>
          </cell>
          <cell r="M20">
            <v>5</v>
          </cell>
          <cell r="N20">
            <v>5</v>
          </cell>
          <cell r="O20">
            <v>4</v>
          </cell>
          <cell r="P20">
            <v>4</v>
          </cell>
          <cell r="Q20">
            <v>3</v>
          </cell>
          <cell r="R20">
            <v>2</v>
          </cell>
          <cell r="S20">
            <v>1</v>
          </cell>
          <cell r="T20">
            <v>17</v>
          </cell>
          <cell r="U20">
            <v>8</v>
          </cell>
          <cell r="V20">
            <v>2</v>
          </cell>
          <cell r="W20">
            <v>2</v>
          </cell>
          <cell r="X20">
            <v>2</v>
          </cell>
          <cell r="Y20">
            <v>1</v>
          </cell>
          <cell r="AE20">
            <v>17</v>
          </cell>
          <cell r="AF20" t="str">
            <v/>
          </cell>
          <cell r="AG20" t="str">
            <v/>
          </cell>
          <cell r="AH20" t="str">
            <v/>
          </cell>
          <cell r="AI20" t="str">
            <v/>
          </cell>
          <cell r="AJ20" t="str">
            <v/>
          </cell>
        </row>
        <row r="21">
          <cell r="A21">
            <v>18</v>
          </cell>
          <cell r="B21">
            <v>4</v>
          </cell>
          <cell r="C21">
            <v>4</v>
          </cell>
          <cell r="D21">
            <v>4</v>
          </cell>
          <cell r="E21">
            <v>4</v>
          </cell>
          <cell r="F21">
            <v>4</v>
          </cell>
          <cell r="G21">
            <v>3</v>
          </cell>
          <cell r="H21">
            <v>2</v>
          </cell>
          <cell r="I21">
            <v>18</v>
          </cell>
          <cell r="J21">
            <v>6</v>
          </cell>
          <cell r="K21">
            <v>5</v>
          </cell>
          <cell r="L21">
            <v>5</v>
          </cell>
          <cell r="M21">
            <v>5</v>
          </cell>
          <cell r="N21">
            <v>5</v>
          </cell>
          <cell r="O21">
            <v>4</v>
          </cell>
          <cell r="P21">
            <v>4</v>
          </cell>
          <cell r="Q21">
            <v>3</v>
          </cell>
          <cell r="R21">
            <v>3</v>
          </cell>
          <cell r="S21">
            <v>2</v>
          </cell>
          <cell r="T21">
            <v>18</v>
          </cell>
          <cell r="U21">
            <v>9</v>
          </cell>
          <cell r="V21">
            <v>3</v>
          </cell>
          <cell r="W21">
            <v>2</v>
          </cell>
          <cell r="X21">
            <v>2</v>
          </cell>
          <cell r="Y21">
            <v>1</v>
          </cell>
          <cell r="AE21">
            <v>18</v>
          </cell>
          <cell r="AF21" t="str">
            <v/>
          </cell>
          <cell r="AG21" t="str">
            <v/>
          </cell>
          <cell r="AH21" t="str">
            <v/>
          </cell>
          <cell r="AI21" t="str">
            <v/>
          </cell>
          <cell r="AJ21" t="str">
            <v/>
          </cell>
        </row>
        <row r="22">
          <cell r="A22">
            <v>19</v>
          </cell>
          <cell r="B22">
            <v>4</v>
          </cell>
          <cell r="C22">
            <v>4</v>
          </cell>
          <cell r="D22">
            <v>4</v>
          </cell>
          <cell r="E22">
            <v>4</v>
          </cell>
          <cell r="F22">
            <v>4</v>
          </cell>
          <cell r="G22">
            <v>4</v>
          </cell>
          <cell r="H22">
            <v>3</v>
          </cell>
          <cell r="I22">
            <v>19</v>
          </cell>
          <cell r="J22">
            <v>6</v>
          </cell>
          <cell r="K22">
            <v>5</v>
          </cell>
          <cell r="L22">
            <v>5</v>
          </cell>
          <cell r="M22">
            <v>5</v>
          </cell>
          <cell r="N22">
            <v>5</v>
          </cell>
          <cell r="O22">
            <v>5</v>
          </cell>
          <cell r="P22">
            <v>4</v>
          </cell>
          <cell r="Q22">
            <v>4</v>
          </cell>
          <cell r="R22">
            <v>3</v>
          </cell>
          <cell r="S22">
            <v>3</v>
          </cell>
          <cell r="T22">
            <v>19</v>
          </cell>
          <cell r="U22">
            <v>9</v>
          </cell>
          <cell r="V22">
            <v>3</v>
          </cell>
          <cell r="W22">
            <v>3</v>
          </cell>
          <cell r="X22">
            <v>3</v>
          </cell>
          <cell r="Y22">
            <v>2</v>
          </cell>
          <cell r="AE22">
            <v>19</v>
          </cell>
          <cell r="AF22" t="str">
            <v/>
          </cell>
          <cell r="AG22" t="str">
            <v/>
          </cell>
          <cell r="AH22" t="str">
            <v/>
          </cell>
          <cell r="AI22" t="str">
            <v/>
          </cell>
          <cell r="AJ22" t="str">
            <v/>
          </cell>
        </row>
        <row r="23">
          <cell r="A23">
            <v>20</v>
          </cell>
          <cell r="B23">
            <v>4</v>
          </cell>
          <cell r="C23">
            <v>4</v>
          </cell>
          <cell r="D23">
            <v>4</v>
          </cell>
          <cell r="E23">
            <v>4</v>
          </cell>
          <cell r="F23">
            <v>4</v>
          </cell>
          <cell r="G23">
            <v>4</v>
          </cell>
          <cell r="H23">
            <v>4</v>
          </cell>
          <cell r="I23">
            <v>20</v>
          </cell>
          <cell r="J23">
            <v>6</v>
          </cell>
          <cell r="K23">
            <v>5</v>
          </cell>
          <cell r="L23">
            <v>5</v>
          </cell>
          <cell r="M23">
            <v>5</v>
          </cell>
          <cell r="N23">
            <v>5</v>
          </cell>
          <cell r="O23">
            <v>5</v>
          </cell>
          <cell r="P23">
            <v>4</v>
          </cell>
          <cell r="Q23">
            <v>4</v>
          </cell>
          <cell r="R23">
            <v>4</v>
          </cell>
          <cell r="S23">
            <v>4</v>
          </cell>
          <cell r="T23">
            <v>20</v>
          </cell>
          <cell r="U23">
            <v>10</v>
          </cell>
          <cell r="V23">
            <v>3</v>
          </cell>
          <cell r="W23">
            <v>3</v>
          </cell>
          <cell r="X23">
            <v>3</v>
          </cell>
          <cell r="Y23">
            <v>3</v>
          </cell>
          <cell r="AE23">
            <v>20</v>
          </cell>
          <cell r="AF23" t="str">
            <v/>
          </cell>
          <cell r="AG23" t="str">
            <v/>
          </cell>
          <cell r="AH23" t="str">
            <v/>
          </cell>
          <cell r="AI23" t="str">
            <v/>
          </cell>
          <cell r="AJ23" t="str">
            <v/>
          </cell>
        </row>
        <row r="26">
          <cell r="A26">
            <v>0</v>
          </cell>
          <cell r="B26" t="str">
            <v/>
          </cell>
          <cell r="C26" t="str">
            <v/>
          </cell>
          <cell r="D26" t="str">
            <v/>
          </cell>
          <cell r="E26" t="str">
            <v/>
          </cell>
          <cell r="F26" t="str">
            <v/>
          </cell>
          <cell r="G26" t="str">
            <v/>
          </cell>
          <cell r="I26">
            <v>0</v>
          </cell>
          <cell r="J26" t="str">
            <v/>
          </cell>
          <cell r="K26" t="str">
            <v/>
          </cell>
          <cell r="L26" t="str">
            <v/>
          </cell>
          <cell r="M26" t="str">
            <v/>
          </cell>
          <cell r="N26" t="str">
            <v/>
          </cell>
          <cell r="O26" t="str">
            <v/>
          </cell>
          <cell r="P26" t="str">
            <v/>
          </cell>
          <cell r="Q26" t="str">
            <v/>
          </cell>
          <cell r="R26" t="str">
            <v/>
          </cell>
          <cell r="S26" t="str">
            <v/>
          </cell>
          <cell r="T26">
            <v>0</v>
          </cell>
          <cell r="V26" t="str">
            <v/>
          </cell>
          <cell r="W26" t="str">
            <v/>
          </cell>
          <cell r="X26" t="str">
            <v/>
          </cell>
          <cell r="Y26" t="str">
            <v/>
          </cell>
          <cell r="AE26">
            <v>0</v>
          </cell>
          <cell r="AF26" t="str">
            <v/>
          </cell>
          <cell r="AG26" t="str">
            <v/>
          </cell>
          <cell r="AH26" t="str">
            <v/>
          </cell>
          <cell r="AI26" t="str">
            <v/>
          </cell>
          <cell r="AJ26" t="str">
            <v/>
          </cell>
        </row>
        <row r="27">
          <cell r="A27">
            <v>1</v>
          </cell>
          <cell r="B27">
            <v>3</v>
          </cell>
          <cell r="C27">
            <v>1</v>
          </cell>
          <cell r="D27" t="str">
            <v/>
          </cell>
          <cell r="E27" t="str">
            <v/>
          </cell>
          <cell r="F27" t="str">
            <v/>
          </cell>
          <cell r="G27" t="str">
            <v/>
          </cell>
          <cell r="I27">
            <v>1</v>
          </cell>
          <cell r="J27">
            <v>3</v>
          </cell>
          <cell r="K27">
            <v>1</v>
          </cell>
          <cell r="L27" t="str">
            <v/>
          </cell>
          <cell r="M27" t="str">
            <v/>
          </cell>
          <cell r="N27" t="str">
            <v/>
          </cell>
          <cell r="O27" t="str">
            <v/>
          </cell>
          <cell r="P27" t="str">
            <v/>
          </cell>
          <cell r="Q27" t="str">
            <v/>
          </cell>
          <cell r="R27" t="str">
            <v/>
          </cell>
          <cell r="S27" t="str">
            <v/>
          </cell>
          <cell r="T27">
            <v>1</v>
          </cell>
          <cell r="V27" t="str">
            <v/>
          </cell>
          <cell r="W27" t="str">
            <v/>
          </cell>
          <cell r="X27" t="str">
            <v/>
          </cell>
          <cell r="Y27" t="str">
            <v/>
          </cell>
          <cell r="AE27">
            <v>1</v>
          </cell>
          <cell r="AF27" t="str">
            <v/>
          </cell>
          <cell r="AG27">
            <v>0</v>
          </cell>
          <cell r="AH27" t="str">
            <v/>
          </cell>
          <cell r="AI27" t="str">
            <v/>
          </cell>
          <cell r="AJ27" t="str">
            <v/>
          </cell>
        </row>
        <row r="28">
          <cell r="A28">
            <v>2</v>
          </cell>
          <cell r="B28">
            <v>3</v>
          </cell>
          <cell r="C28">
            <v>1</v>
          </cell>
          <cell r="D28" t="str">
            <v/>
          </cell>
          <cell r="E28" t="str">
            <v/>
          </cell>
          <cell r="F28" t="str">
            <v/>
          </cell>
          <cell r="G28" t="str">
            <v/>
          </cell>
          <cell r="I28">
            <v>2</v>
          </cell>
          <cell r="J28">
            <v>4</v>
          </cell>
          <cell r="K28">
            <v>2</v>
          </cell>
          <cell r="L28" t="str">
            <v/>
          </cell>
          <cell r="M28" t="str">
            <v/>
          </cell>
          <cell r="N28" t="str">
            <v/>
          </cell>
          <cell r="O28" t="str">
            <v/>
          </cell>
          <cell r="P28" t="str">
            <v/>
          </cell>
          <cell r="Q28" t="str">
            <v/>
          </cell>
          <cell r="R28" t="str">
            <v/>
          </cell>
          <cell r="S28" t="str">
            <v/>
          </cell>
          <cell r="T28">
            <v>2</v>
          </cell>
          <cell r="V28" t="str">
            <v/>
          </cell>
          <cell r="W28" t="str">
            <v/>
          </cell>
          <cell r="X28" t="str">
            <v/>
          </cell>
          <cell r="Y28" t="str">
            <v/>
          </cell>
          <cell r="AE28">
            <v>2</v>
          </cell>
          <cell r="AF28" t="str">
            <v/>
          </cell>
          <cell r="AG28">
            <v>1</v>
          </cell>
          <cell r="AH28" t="str">
            <v/>
          </cell>
          <cell r="AI28" t="str">
            <v/>
          </cell>
          <cell r="AJ28" t="str">
            <v/>
          </cell>
        </row>
        <row r="29">
          <cell r="A29">
            <v>3</v>
          </cell>
          <cell r="B29">
            <v>3</v>
          </cell>
          <cell r="C29">
            <v>2</v>
          </cell>
          <cell r="D29" t="str">
            <v/>
          </cell>
          <cell r="E29" t="str">
            <v/>
          </cell>
          <cell r="F29" t="str">
            <v/>
          </cell>
          <cell r="G29" t="str">
            <v/>
          </cell>
          <cell r="I29">
            <v>3</v>
          </cell>
          <cell r="J29">
            <v>4</v>
          </cell>
          <cell r="K29">
            <v>2</v>
          </cell>
          <cell r="L29">
            <v>1</v>
          </cell>
          <cell r="M29" t="str">
            <v/>
          </cell>
          <cell r="N29" t="str">
            <v/>
          </cell>
          <cell r="O29" t="str">
            <v/>
          </cell>
          <cell r="P29" t="str">
            <v/>
          </cell>
          <cell r="Q29" t="str">
            <v/>
          </cell>
          <cell r="R29" t="str">
            <v/>
          </cell>
          <cell r="S29" t="str">
            <v/>
          </cell>
          <cell r="T29">
            <v>3</v>
          </cell>
          <cell r="V29" t="str">
            <v/>
          </cell>
          <cell r="W29" t="str">
            <v/>
          </cell>
          <cell r="X29" t="str">
            <v/>
          </cell>
          <cell r="Y29" t="str">
            <v/>
          </cell>
          <cell r="AE29">
            <v>3</v>
          </cell>
          <cell r="AF29" t="str">
            <v/>
          </cell>
          <cell r="AG29">
            <v>1</v>
          </cell>
          <cell r="AH29">
            <v>0</v>
          </cell>
          <cell r="AI29" t="str">
            <v/>
          </cell>
          <cell r="AJ29" t="str">
            <v/>
          </cell>
        </row>
        <row r="30">
          <cell r="A30">
            <v>4</v>
          </cell>
          <cell r="B30">
            <v>3</v>
          </cell>
          <cell r="C30">
            <v>2</v>
          </cell>
          <cell r="D30">
            <v>0</v>
          </cell>
          <cell r="E30" t="str">
            <v/>
          </cell>
          <cell r="F30" t="str">
            <v/>
          </cell>
          <cell r="G30" t="str">
            <v/>
          </cell>
          <cell r="I30">
            <v>4</v>
          </cell>
          <cell r="J30">
            <v>5</v>
          </cell>
          <cell r="K30">
            <v>3</v>
          </cell>
          <cell r="L30">
            <v>2</v>
          </cell>
          <cell r="M30" t="str">
            <v/>
          </cell>
          <cell r="N30" t="str">
            <v/>
          </cell>
          <cell r="O30" t="str">
            <v/>
          </cell>
          <cell r="P30" t="str">
            <v/>
          </cell>
          <cell r="Q30" t="str">
            <v/>
          </cell>
          <cell r="R30" t="str">
            <v/>
          </cell>
          <cell r="S30" t="str">
            <v/>
          </cell>
          <cell r="T30">
            <v>4</v>
          </cell>
          <cell r="U30">
            <v>2</v>
          </cell>
          <cell r="V30">
            <v>0</v>
          </cell>
          <cell r="W30" t="str">
            <v/>
          </cell>
          <cell r="X30" t="str">
            <v/>
          </cell>
          <cell r="Y30" t="str">
            <v/>
          </cell>
          <cell r="AE30">
            <v>4</v>
          </cell>
          <cell r="AF30" t="str">
            <v/>
          </cell>
          <cell r="AG30">
            <v>1</v>
          </cell>
          <cell r="AH30">
            <v>1</v>
          </cell>
          <cell r="AI30" t="str">
            <v/>
          </cell>
          <cell r="AJ30" t="str">
            <v/>
          </cell>
        </row>
        <row r="31">
          <cell r="A31">
            <v>5</v>
          </cell>
          <cell r="B31">
            <v>3</v>
          </cell>
          <cell r="C31">
            <v>2</v>
          </cell>
          <cell r="D31">
            <v>1</v>
          </cell>
          <cell r="E31" t="str">
            <v/>
          </cell>
          <cell r="F31" t="str">
            <v/>
          </cell>
          <cell r="G31" t="str">
            <v/>
          </cell>
          <cell r="I31">
            <v>5</v>
          </cell>
          <cell r="J31">
            <v>5</v>
          </cell>
          <cell r="K31">
            <v>3</v>
          </cell>
          <cell r="L31">
            <v>2</v>
          </cell>
          <cell r="M31">
            <v>1</v>
          </cell>
          <cell r="N31" t="str">
            <v/>
          </cell>
          <cell r="O31" t="str">
            <v/>
          </cell>
          <cell r="P31" t="str">
            <v/>
          </cell>
          <cell r="Q31" t="str">
            <v/>
          </cell>
          <cell r="R31" t="str">
            <v/>
          </cell>
          <cell r="S31" t="str">
            <v/>
          </cell>
          <cell r="T31">
            <v>5</v>
          </cell>
          <cell r="U31">
            <v>2</v>
          </cell>
          <cell r="V31">
            <v>0</v>
          </cell>
          <cell r="W31" t="str">
            <v/>
          </cell>
          <cell r="X31" t="str">
            <v/>
          </cell>
          <cell r="Y31" t="str">
            <v/>
          </cell>
          <cell r="AE31">
            <v>5</v>
          </cell>
          <cell r="AF31" t="str">
            <v/>
          </cell>
          <cell r="AG31">
            <v>1</v>
          </cell>
          <cell r="AH31">
            <v>1</v>
          </cell>
          <cell r="AI31">
            <v>0</v>
          </cell>
          <cell r="AJ31" t="str">
            <v/>
          </cell>
        </row>
        <row r="32">
          <cell r="A32">
            <v>6</v>
          </cell>
          <cell r="B32">
            <v>3</v>
          </cell>
          <cell r="C32">
            <v>2</v>
          </cell>
          <cell r="D32">
            <v>1</v>
          </cell>
          <cell r="E32" t="str">
            <v/>
          </cell>
          <cell r="F32" t="str">
            <v/>
          </cell>
          <cell r="G32" t="str">
            <v/>
          </cell>
          <cell r="I32">
            <v>6</v>
          </cell>
          <cell r="J32">
            <v>5</v>
          </cell>
          <cell r="K32">
            <v>3</v>
          </cell>
          <cell r="L32">
            <v>3</v>
          </cell>
          <cell r="M32">
            <v>2</v>
          </cell>
          <cell r="N32" t="str">
            <v/>
          </cell>
          <cell r="O32" t="str">
            <v/>
          </cell>
          <cell r="P32" t="str">
            <v/>
          </cell>
          <cell r="Q32" t="str">
            <v/>
          </cell>
          <cell r="R32" t="str">
            <v/>
          </cell>
          <cell r="S32" t="str">
            <v/>
          </cell>
          <cell r="T32">
            <v>6</v>
          </cell>
          <cell r="U32">
            <v>3</v>
          </cell>
          <cell r="V32">
            <v>1</v>
          </cell>
          <cell r="W32" t="str">
            <v/>
          </cell>
          <cell r="X32" t="str">
            <v/>
          </cell>
          <cell r="Y32" t="str">
            <v/>
          </cell>
          <cell r="AE32">
            <v>6</v>
          </cell>
          <cell r="AF32" t="str">
            <v/>
          </cell>
          <cell r="AG32">
            <v>1</v>
          </cell>
          <cell r="AH32">
            <v>1</v>
          </cell>
          <cell r="AI32">
            <v>1</v>
          </cell>
          <cell r="AJ32" t="str">
            <v/>
          </cell>
        </row>
        <row r="33">
          <cell r="A33">
            <v>7</v>
          </cell>
          <cell r="B33">
            <v>3</v>
          </cell>
          <cell r="C33">
            <v>3</v>
          </cell>
          <cell r="D33">
            <v>2</v>
          </cell>
          <cell r="E33" t="str">
            <v/>
          </cell>
          <cell r="F33" t="str">
            <v/>
          </cell>
          <cell r="G33" t="str">
            <v/>
          </cell>
          <cell r="I33">
            <v>7</v>
          </cell>
          <cell r="J33">
            <v>6</v>
          </cell>
          <cell r="K33">
            <v>4</v>
          </cell>
          <cell r="L33">
            <v>3</v>
          </cell>
          <cell r="M33">
            <v>2</v>
          </cell>
          <cell r="N33">
            <v>1</v>
          </cell>
          <cell r="O33" t="str">
            <v/>
          </cell>
          <cell r="P33" t="str">
            <v/>
          </cell>
          <cell r="Q33" t="str">
            <v/>
          </cell>
          <cell r="R33" t="str">
            <v/>
          </cell>
          <cell r="S33" t="str">
            <v/>
          </cell>
          <cell r="T33">
            <v>7</v>
          </cell>
          <cell r="U33">
            <v>3</v>
          </cell>
          <cell r="V33">
            <v>1</v>
          </cell>
          <cell r="W33" t="str">
            <v/>
          </cell>
          <cell r="X33" t="str">
            <v/>
          </cell>
          <cell r="Y33" t="str">
            <v/>
          </cell>
          <cell r="AE33">
            <v>7</v>
          </cell>
          <cell r="AF33" t="str">
            <v/>
          </cell>
          <cell r="AG33">
            <v>2</v>
          </cell>
          <cell r="AH33">
            <v>1</v>
          </cell>
          <cell r="AI33">
            <v>1</v>
          </cell>
          <cell r="AJ33">
            <v>0</v>
          </cell>
        </row>
        <row r="34">
          <cell r="A34">
            <v>8</v>
          </cell>
          <cell r="B34">
            <v>3</v>
          </cell>
          <cell r="C34">
            <v>3</v>
          </cell>
          <cell r="D34">
            <v>2</v>
          </cell>
          <cell r="E34">
            <v>0</v>
          </cell>
          <cell r="F34" t="str">
            <v/>
          </cell>
          <cell r="G34" t="str">
            <v/>
          </cell>
          <cell r="I34">
            <v>8</v>
          </cell>
          <cell r="J34">
            <v>6</v>
          </cell>
          <cell r="K34">
            <v>4</v>
          </cell>
          <cell r="L34">
            <v>3</v>
          </cell>
          <cell r="M34">
            <v>3</v>
          </cell>
          <cell r="N34">
            <v>2</v>
          </cell>
          <cell r="O34" t="str">
            <v/>
          </cell>
          <cell r="P34" t="str">
            <v/>
          </cell>
          <cell r="Q34" t="str">
            <v/>
          </cell>
          <cell r="R34" t="str">
            <v/>
          </cell>
          <cell r="S34" t="str">
            <v/>
          </cell>
          <cell r="T34">
            <v>8</v>
          </cell>
          <cell r="U34">
            <v>4</v>
          </cell>
          <cell r="V34">
            <v>1</v>
          </cell>
          <cell r="W34">
            <v>0</v>
          </cell>
          <cell r="X34" t="str">
            <v/>
          </cell>
          <cell r="Y34" t="str">
            <v/>
          </cell>
          <cell r="AE34">
            <v>8</v>
          </cell>
          <cell r="AF34" t="str">
            <v/>
          </cell>
          <cell r="AG34">
            <v>2</v>
          </cell>
          <cell r="AH34">
            <v>1</v>
          </cell>
          <cell r="AI34">
            <v>1</v>
          </cell>
          <cell r="AJ34">
            <v>1</v>
          </cell>
        </row>
        <row r="35">
          <cell r="A35">
            <v>9</v>
          </cell>
          <cell r="B35">
            <v>3</v>
          </cell>
          <cell r="C35">
            <v>3</v>
          </cell>
          <cell r="D35">
            <v>2</v>
          </cell>
          <cell r="E35">
            <v>1</v>
          </cell>
          <cell r="F35" t="str">
            <v/>
          </cell>
          <cell r="G35" t="str">
            <v/>
          </cell>
          <cell r="I35">
            <v>9</v>
          </cell>
          <cell r="J35">
            <v>6</v>
          </cell>
          <cell r="K35">
            <v>4</v>
          </cell>
          <cell r="L35">
            <v>4</v>
          </cell>
          <cell r="M35">
            <v>3</v>
          </cell>
          <cell r="N35">
            <v>2</v>
          </cell>
          <cell r="O35">
            <v>1</v>
          </cell>
          <cell r="P35" t="str">
            <v/>
          </cell>
          <cell r="Q35" t="str">
            <v/>
          </cell>
          <cell r="R35" t="str">
            <v/>
          </cell>
          <cell r="S35" t="str">
            <v/>
          </cell>
          <cell r="T35">
            <v>9</v>
          </cell>
          <cell r="U35">
            <v>4</v>
          </cell>
          <cell r="V35">
            <v>1</v>
          </cell>
          <cell r="W35">
            <v>0</v>
          </cell>
          <cell r="X35" t="str">
            <v/>
          </cell>
          <cell r="Y35" t="str">
            <v/>
          </cell>
          <cell r="AE35">
            <v>9</v>
          </cell>
          <cell r="AF35" t="str">
            <v/>
          </cell>
          <cell r="AG35">
            <v>2</v>
          </cell>
          <cell r="AH35">
            <v>2</v>
          </cell>
          <cell r="AI35">
            <v>1</v>
          </cell>
          <cell r="AJ35">
            <v>1</v>
          </cell>
        </row>
        <row r="36">
          <cell r="A36">
            <v>10</v>
          </cell>
          <cell r="B36">
            <v>3</v>
          </cell>
          <cell r="C36">
            <v>3</v>
          </cell>
          <cell r="D36">
            <v>2</v>
          </cell>
          <cell r="E36">
            <v>1</v>
          </cell>
          <cell r="F36" t="str">
            <v/>
          </cell>
          <cell r="G36" t="str">
            <v/>
          </cell>
          <cell r="I36">
            <v>10</v>
          </cell>
          <cell r="J36">
            <v>6</v>
          </cell>
          <cell r="K36">
            <v>4</v>
          </cell>
          <cell r="L36">
            <v>4</v>
          </cell>
          <cell r="M36">
            <v>3</v>
          </cell>
          <cell r="N36">
            <v>3</v>
          </cell>
          <cell r="O36">
            <v>2</v>
          </cell>
          <cell r="P36" t="str">
            <v/>
          </cell>
          <cell r="Q36" t="str">
            <v/>
          </cell>
          <cell r="R36" t="str">
            <v/>
          </cell>
          <cell r="S36" t="str">
            <v/>
          </cell>
          <cell r="T36">
            <v>10</v>
          </cell>
          <cell r="U36">
            <v>5</v>
          </cell>
          <cell r="V36">
            <v>1</v>
          </cell>
          <cell r="W36">
            <v>1</v>
          </cell>
          <cell r="X36" t="str">
            <v/>
          </cell>
          <cell r="Y36" t="str">
            <v/>
          </cell>
          <cell r="AE36">
            <v>10</v>
          </cell>
          <cell r="AF36" t="str">
            <v/>
          </cell>
          <cell r="AG36">
            <v>2</v>
          </cell>
          <cell r="AH36">
            <v>2</v>
          </cell>
          <cell r="AI36">
            <v>2</v>
          </cell>
          <cell r="AJ36">
            <v>1</v>
          </cell>
        </row>
        <row r="37">
          <cell r="A37">
            <v>11</v>
          </cell>
          <cell r="B37">
            <v>3</v>
          </cell>
          <cell r="C37">
            <v>3</v>
          </cell>
          <cell r="D37">
            <v>3</v>
          </cell>
          <cell r="E37">
            <v>2</v>
          </cell>
          <cell r="F37" t="str">
            <v/>
          </cell>
          <cell r="G37" t="str">
            <v/>
          </cell>
          <cell r="I37">
            <v>11</v>
          </cell>
          <cell r="J37">
            <v>6</v>
          </cell>
          <cell r="K37">
            <v>5</v>
          </cell>
          <cell r="L37">
            <v>4</v>
          </cell>
          <cell r="M37">
            <v>4</v>
          </cell>
          <cell r="N37">
            <v>3</v>
          </cell>
          <cell r="O37">
            <v>2</v>
          </cell>
          <cell r="P37">
            <v>1</v>
          </cell>
          <cell r="Q37" t="str">
            <v/>
          </cell>
          <cell r="R37" t="str">
            <v/>
          </cell>
          <cell r="S37" t="str">
            <v/>
          </cell>
          <cell r="T37">
            <v>11</v>
          </cell>
          <cell r="U37">
            <v>5</v>
          </cell>
          <cell r="V37">
            <v>1</v>
          </cell>
          <cell r="W37">
            <v>1</v>
          </cell>
          <cell r="X37">
            <v>0</v>
          </cell>
          <cell r="Y37" t="str">
            <v/>
          </cell>
          <cell r="AE37">
            <v>11</v>
          </cell>
          <cell r="AF37" t="str">
            <v/>
          </cell>
          <cell r="AG37" t="str">
            <v/>
          </cell>
          <cell r="AH37" t="str">
            <v/>
          </cell>
          <cell r="AI37" t="str">
            <v/>
          </cell>
          <cell r="AJ37" t="str">
            <v/>
          </cell>
        </row>
        <row r="38">
          <cell r="A38">
            <v>12</v>
          </cell>
          <cell r="B38">
            <v>3</v>
          </cell>
          <cell r="C38">
            <v>3</v>
          </cell>
          <cell r="D38">
            <v>3</v>
          </cell>
          <cell r="E38">
            <v>2</v>
          </cell>
          <cell r="F38">
            <v>0</v>
          </cell>
          <cell r="G38" t="str">
            <v/>
          </cell>
          <cell r="I38">
            <v>12</v>
          </cell>
          <cell r="J38">
            <v>6</v>
          </cell>
          <cell r="K38">
            <v>5</v>
          </cell>
          <cell r="L38">
            <v>4</v>
          </cell>
          <cell r="M38">
            <v>4</v>
          </cell>
          <cell r="N38">
            <v>3</v>
          </cell>
          <cell r="O38">
            <v>3</v>
          </cell>
          <cell r="P38">
            <v>2</v>
          </cell>
          <cell r="Q38" t="str">
            <v/>
          </cell>
          <cell r="R38" t="str">
            <v/>
          </cell>
          <cell r="S38" t="str">
            <v/>
          </cell>
          <cell r="T38">
            <v>12</v>
          </cell>
          <cell r="U38">
            <v>6</v>
          </cell>
          <cell r="V38">
            <v>1</v>
          </cell>
          <cell r="W38">
            <v>1</v>
          </cell>
          <cell r="X38">
            <v>1</v>
          </cell>
          <cell r="Y38" t="str">
            <v/>
          </cell>
          <cell r="AE38">
            <v>12</v>
          </cell>
          <cell r="AF38" t="str">
            <v/>
          </cell>
          <cell r="AG38" t="str">
            <v/>
          </cell>
          <cell r="AH38" t="str">
            <v/>
          </cell>
          <cell r="AI38" t="str">
            <v/>
          </cell>
          <cell r="AJ38" t="str">
            <v/>
          </cell>
        </row>
        <row r="39">
          <cell r="A39">
            <v>13</v>
          </cell>
          <cell r="B39">
            <v>3</v>
          </cell>
          <cell r="C39">
            <v>3</v>
          </cell>
          <cell r="D39">
            <v>3</v>
          </cell>
          <cell r="E39">
            <v>2</v>
          </cell>
          <cell r="F39">
            <v>1</v>
          </cell>
          <cell r="G39" t="str">
            <v/>
          </cell>
          <cell r="I39">
            <v>13</v>
          </cell>
          <cell r="J39">
            <v>6</v>
          </cell>
          <cell r="K39">
            <v>5</v>
          </cell>
          <cell r="L39">
            <v>5</v>
          </cell>
          <cell r="M39">
            <v>4</v>
          </cell>
          <cell r="N39">
            <v>4</v>
          </cell>
          <cell r="O39">
            <v>3</v>
          </cell>
          <cell r="P39">
            <v>2</v>
          </cell>
          <cell r="Q39">
            <v>1</v>
          </cell>
          <cell r="R39" t="str">
            <v/>
          </cell>
          <cell r="S39" t="str">
            <v/>
          </cell>
          <cell r="T39">
            <v>13</v>
          </cell>
          <cell r="U39">
            <v>6</v>
          </cell>
          <cell r="V39">
            <v>1</v>
          </cell>
          <cell r="W39">
            <v>1</v>
          </cell>
          <cell r="X39">
            <v>1</v>
          </cell>
          <cell r="Y39" t="str">
            <v/>
          </cell>
          <cell r="AE39">
            <v>13</v>
          </cell>
          <cell r="AF39" t="str">
            <v/>
          </cell>
          <cell r="AG39" t="str">
            <v/>
          </cell>
          <cell r="AH39" t="str">
            <v/>
          </cell>
          <cell r="AI39" t="str">
            <v/>
          </cell>
          <cell r="AJ39" t="str">
            <v/>
          </cell>
        </row>
        <row r="40">
          <cell r="A40">
            <v>14</v>
          </cell>
          <cell r="B40">
            <v>3</v>
          </cell>
          <cell r="C40">
            <v>3</v>
          </cell>
          <cell r="D40">
            <v>3</v>
          </cell>
          <cell r="E40">
            <v>2</v>
          </cell>
          <cell r="F40">
            <v>1</v>
          </cell>
          <cell r="G40" t="str">
            <v/>
          </cell>
          <cell r="I40">
            <v>14</v>
          </cell>
          <cell r="J40">
            <v>6</v>
          </cell>
          <cell r="K40">
            <v>5</v>
          </cell>
          <cell r="L40">
            <v>5</v>
          </cell>
          <cell r="M40">
            <v>4</v>
          </cell>
          <cell r="N40">
            <v>4</v>
          </cell>
          <cell r="O40">
            <v>3</v>
          </cell>
          <cell r="P40">
            <v>3</v>
          </cell>
          <cell r="Q40">
            <v>2</v>
          </cell>
          <cell r="R40" t="str">
            <v/>
          </cell>
          <cell r="S40" t="str">
            <v/>
          </cell>
          <cell r="T40">
            <v>14</v>
          </cell>
          <cell r="U40">
            <v>7</v>
          </cell>
          <cell r="V40">
            <v>2</v>
          </cell>
          <cell r="W40">
            <v>1</v>
          </cell>
          <cell r="X40">
            <v>1</v>
          </cell>
          <cell r="Y40">
            <v>0</v>
          </cell>
          <cell r="AE40">
            <v>14</v>
          </cell>
          <cell r="AF40" t="str">
            <v/>
          </cell>
          <cell r="AG40" t="str">
            <v/>
          </cell>
          <cell r="AH40" t="str">
            <v/>
          </cell>
          <cell r="AI40" t="str">
            <v/>
          </cell>
          <cell r="AJ40" t="str">
            <v/>
          </cell>
        </row>
        <row r="41">
          <cell r="A41">
            <v>15</v>
          </cell>
          <cell r="B41">
            <v>3</v>
          </cell>
          <cell r="C41">
            <v>3</v>
          </cell>
          <cell r="D41">
            <v>3</v>
          </cell>
          <cell r="E41">
            <v>3</v>
          </cell>
          <cell r="F41">
            <v>2</v>
          </cell>
          <cell r="G41" t="str">
            <v/>
          </cell>
          <cell r="I41">
            <v>15</v>
          </cell>
          <cell r="J41">
            <v>6</v>
          </cell>
          <cell r="K41">
            <v>5</v>
          </cell>
          <cell r="L41">
            <v>5</v>
          </cell>
          <cell r="M41">
            <v>4</v>
          </cell>
          <cell r="N41">
            <v>4</v>
          </cell>
          <cell r="O41">
            <v>4</v>
          </cell>
          <cell r="P41">
            <v>3</v>
          </cell>
          <cell r="Q41">
            <v>2</v>
          </cell>
          <cell r="R41">
            <v>1</v>
          </cell>
          <cell r="S41" t="str">
            <v/>
          </cell>
          <cell r="T41">
            <v>15</v>
          </cell>
          <cell r="U41">
            <v>7</v>
          </cell>
          <cell r="V41">
            <v>2</v>
          </cell>
          <cell r="W41">
            <v>1</v>
          </cell>
          <cell r="X41">
            <v>1</v>
          </cell>
          <cell r="Y41">
            <v>1</v>
          </cell>
          <cell r="AE41">
            <v>15</v>
          </cell>
          <cell r="AF41" t="str">
            <v/>
          </cell>
          <cell r="AG41" t="str">
            <v/>
          </cell>
          <cell r="AH41" t="str">
            <v/>
          </cell>
          <cell r="AI41" t="str">
            <v/>
          </cell>
          <cell r="AJ41" t="str">
            <v/>
          </cell>
        </row>
        <row r="42">
          <cell r="A42">
            <v>16</v>
          </cell>
          <cell r="B42">
            <v>3</v>
          </cell>
          <cell r="C42">
            <v>3</v>
          </cell>
          <cell r="D42">
            <v>3</v>
          </cell>
          <cell r="E42">
            <v>3</v>
          </cell>
          <cell r="F42">
            <v>2</v>
          </cell>
          <cell r="G42">
            <v>0</v>
          </cell>
          <cell r="I42">
            <v>16</v>
          </cell>
          <cell r="J42">
            <v>6</v>
          </cell>
          <cell r="K42">
            <v>5</v>
          </cell>
          <cell r="L42">
            <v>5</v>
          </cell>
          <cell r="M42">
            <v>5</v>
          </cell>
          <cell r="N42">
            <v>4</v>
          </cell>
          <cell r="O42">
            <v>4</v>
          </cell>
          <cell r="P42">
            <v>3</v>
          </cell>
          <cell r="Q42">
            <v>3</v>
          </cell>
          <cell r="R42">
            <v>2</v>
          </cell>
          <cell r="S42" t="str">
            <v/>
          </cell>
          <cell r="T42">
            <v>16</v>
          </cell>
          <cell r="U42">
            <v>8</v>
          </cell>
          <cell r="V42">
            <v>2</v>
          </cell>
          <cell r="W42">
            <v>2</v>
          </cell>
          <cell r="X42">
            <v>1</v>
          </cell>
          <cell r="Y42">
            <v>1</v>
          </cell>
          <cell r="AE42">
            <v>16</v>
          </cell>
          <cell r="AF42" t="str">
            <v/>
          </cell>
          <cell r="AG42" t="str">
            <v/>
          </cell>
          <cell r="AH42" t="str">
            <v/>
          </cell>
          <cell r="AI42" t="str">
            <v/>
          </cell>
          <cell r="AJ42" t="str">
            <v/>
          </cell>
        </row>
        <row r="43">
          <cell r="A43">
            <v>17</v>
          </cell>
          <cell r="B43">
            <v>3</v>
          </cell>
          <cell r="C43">
            <v>3</v>
          </cell>
          <cell r="D43">
            <v>3</v>
          </cell>
          <cell r="E43">
            <v>3</v>
          </cell>
          <cell r="F43">
            <v>2</v>
          </cell>
          <cell r="G43">
            <v>1</v>
          </cell>
          <cell r="I43">
            <v>17</v>
          </cell>
          <cell r="J43">
            <v>6</v>
          </cell>
          <cell r="K43">
            <v>5</v>
          </cell>
          <cell r="L43">
            <v>5</v>
          </cell>
          <cell r="M43">
            <v>5</v>
          </cell>
          <cell r="N43">
            <v>5</v>
          </cell>
          <cell r="O43">
            <v>4</v>
          </cell>
          <cell r="P43">
            <v>4</v>
          </cell>
          <cell r="Q43">
            <v>3</v>
          </cell>
          <cell r="R43">
            <v>2</v>
          </cell>
          <cell r="S43">
            <v>1</v>
          </cell>
          <cell r="T43">
            <v>17</v>
          </cell>
          <cell r="U43">
            <v>8</v>
          </cell>
          <cell r="V43">
            <v>2</v>
          </cell>
          <cell r="W43">
            <v>2</v>
          </cell>
          <cell r="X43">
            <v>2</v>
          </cell>
          <cell r="Y43">
            <v>1</v>
          </cell>
          <cell r="AE43">
            <v>17</v>
          </cell>
          <cell r="AF43" t="str">
            <v/>
          </cell>
          <cell r="AG43" t="str">
            <v/>
          </cell>
          <cell r="AH43" t="str">
            <v/>
          </cell>
          <cell r="AI43" t="str">
            <v/>
          </cell>
          <cell r="AJ43" t="str">
            <v/>
          </cell>
        </row>
        <row r="44">
          <cell r="A44">
            <v>18</v>
          </cell>
          <cell r="B44">
            <v>3</v>
          </cell>
          <cell r="C44">
            <v>3</v>
          </cell>
          <cell r="D44">
            <v>3</v>
          </cell>
          <cell r="E44">
            <v>3</v>
          </cell>
          <cell r="F44">
            <v>2</v>
          </cell>
          <cell r="G44">
            <v>1</v>
          </cell>
          <cell r="I44">
            <v>18</v>
          </cell>
          <cell r="J44">
            <v>6</v>
          </cell>
          <cell r="K44">
            <v>5</v>
          </cell>
          <cell r="L44">
            <v>5</v>
          </cell>
          <cell r="M44">
            <v>5</v>
          </cell>
          <cell r="N44">
            <v>5</v>
          </cell>
          <cell r="O44">
            <v>4</v>
          </cell>
          <cell r="P44">
            <v>4</v>
          </cell>
          <cell r="Q44">
            <v>3</v>
          </cell>
          <cell r="R44">
            <v>3</v>
          </cell>
          <cell r="S44">
            <v>2</v>
          </cell>
          <cell r="T44">
            <v>18</v>
          </cell>
          <cell r="U44">
            <v>9</v>
          </cell>
          <cell r="V44">
            <v>3</v>
          </cell>
          <cell r="W44">
            <v>2</v>
          </cell>
          <cell r="X44">
            <v>2</v>
          </cell>
          <cell r="Y44">
            <v>1</v>
          </cell>
          <cell r="AE44">
            <v>18</v>
          </cell>
          <cell r="AF44" t="str">
            <v/>
          </cell>
          <cell r="AG44" t="str">
            <v/>
          </cell>
          <cell r="AH44" t="str">
            <v/>
          </cell>
          <cell r="AI44" t="str">
            <v/>
          </cell>
          <cell r="AJ44" t="str">
            <v/>
          </cell>
        </row>
        <row r="45">
          <cell r="A45">
            <v>19</v>
          </cell>
          <cell r="B45">
            <v>3</v>
          </cell>
          <cell r="C45">
            <v>3</v>
          </cell>
          <cell r="D45">
            <v>3</v>
          </cell>
          <cell r="E45">
            <v>3</v>
          </cell>
          <cell r="F45">
            <v>3</v>
          </cell>
          <cell r="G45">
            <v>2</v>
          </cell>
          <cell r="I45">
            <v>19</v>
          </cell>
          <cell r="J45">
            <v>6</v>
          </cell>
          <cell r="K45">
            <v>5</v>
          </cell>
          <cell r="L45">
            <v>5</v>
          </cell>
          <cell r="M45">
            <v>5</v>
          </cell>
          <cell r="N45">
            <v>5</v>
          </cell>
          <cell r="O45">
            <v>5</v>
          </cell>
          <cell r="P45">
            <v>4</v>
          </cell>
          <cell r="Q45">
            <v>4</v>
          </cell>
          <cell r="R45">
            <v>3</v>
          </cell>
          <cell r="S45">
            <v>3</v>
          </cell>
          <cell r="T45">
            <v>19</v>
          </cell>
          <cell r="U45">
            <v>9</v>
          </cell>
          <cell r="V45">
            <v>3</v>
          </cell>
          <cell r="W45">
            <v>3</v>
          </cell>
          <cell r="X45">
            <v>3</v>
          </cell>
          <cell r="Y45">
            <v>2</v>
          </cell>
          <cell r="AE45">
            <v>19</v>
          </cell>
          <cell r="AF45" t="str">
            <v/>
          </cell>
          <cell r="AG45" t="str">
            <v/>
          </cell>
          <cell r="AH45" t="str">
            <v/>
          </cell>
          <cell r="AI45" t="str">
            <v/>
          </cell>
          <cell r="AJ45" t="str">
            <v/>
          </cell>
        </row>
        <row r="46">
          <cell r="A46">
            <v>20</v>
          </cell>
          <cell r="B46">
            <v>3</v>
          </cell>
          <cell r="C46">
            <v>3</v>
          </cell>
          <cell r="D46">
            <v>3</v>
          </cell>
          <cell r="E46">
            <v>3</v>
          </cell>
          <cell r="F46">
            <v>3</v>
          </cell>
          <cell r="G46">
            <v>2</v>
          </cell>
          <cell r="I46">
            <v>20</v>
          </cell>
          <cell r="J46">
            <v>6</v>
          </cell>
          <cell r="K46">
            <v>5</v>
          </cell>
          <cell r="L46">
            <v>5</v>
          </cell>
          <cell r="M46">
            <v>5</v>
          </cell>
          <cell r="N46">
            <v>5</v>
          </cell>
          <cell r="O46">
            <v>5</v>
          </cell>
          <cell r="P46">
            <v>4</v>
          </cell>
          <cell r="Q46">
            <v>4</v>
          </cell>
          <cell r="R46">
            <v>4</v>
          </cell>
          <cell r="S46">
            <v>4</v>
          </cell>
          <cell r="T46">
            <v>20</v>
          </cell>
          <cell r="U46">
            <v>10</v>
          </cell>
          <cell r="V46">
            <v>3</v>
          </cell>
          <cell r="W46">
            <v>3</v>
          </cell>
          <cell r="X46">
            <v>3</v>
          </cell>
          <cell r="Y46">
            <v>3</v>
          </cell>
          <cell r="AE46">
            <v>20</v>
          </cell>
          <cell r="AF46" t="str">
            <v/>
          </cell>
          <cell r="AG46" t="str">
            <v/>
          </cell>
          <cell r="AH46" t="str">
            <v/>
          </cell>
          <cell r="AI46" t="str">
            <v/>
          </cell>
          <cell r="AJ46" t="str">
            <v/>
          </cell>
        </row>
        <row r="49">
          <cell r="A49">
            <v>0</v>
          </cell>
          <cell r="B49" t="str">
            <v/>
          </cell>
          <cell r="C49" t="str">
            <v/>
          </cell>
          <cell r="D49" t="str">
            <v/>
          </cell>
          <cell r="E49" t="str">
            <v/>
          </cell>
          <cell r="F49" t="str">
            <v/>
          </cell>
          <cell r="G49" t="str">
            <v/>
          </cell>
          <cell r="I49">
            <v>0</v>
          </cell>
          <cell r="J49" t="str">
            <v/>
          </cell>
          <cell r="K49" t="str">
            <v/>
          </cell>
          <cell r="L49" t="str">
            <v/>
          </cell>
          <cell r="M49" t="str">
            <v/>
          </cell>
          <cell r="N49" t="str">
            <v/>
          </cell>
          <cell r="O49" t="str">
            <v/>
          </cell>
          <cell r="P49" t="str">
            <v/>
          </cell>
          <cell r="Q49" t="str">
            <v/>
          </cell>
          <cell r="R49" t="str">
            <v/>
          </cell>
          <cell r="S49" t="str">
            <v/>
          </cell>
          <cell r="T49">
            <v>0</v>
          </cell>
          <cell r="V49" t="str">
            <v/>
          </cell>
          <cell r="W49" t="str">
            <v/>
          </cell>
          <cell r="X49" t="str">
            <v/>
          </cell>
          <cell r="Y49" t="str">
            <v/>
          </cell>
          <cell r="AE49">
            <v>0</v>
          </cell>
          <cell r="AF49" t="str">
            <v/>
          </cell>
          <cell r="AG49" t="str">
            <v/>
          </cell>
          <cell r="AH49" t="str">
            <v/>
          </cell>
          <cell r="AI49" t="str">
            <v/>
          </cell>
          <cell r="AJ49" t="str">
            <v/>
          </cell>
        </row>
        <row r="50">
          <cell r="A50">
            <v>1</v>
          </cell>
          <cell r="B50" t="str">
            <v/>
          </cell>
          <cell r="C50">
            <v>0</v>
          </cell>
          <cell r="D50" t="str">
            <v/>
          </cell>
          <cell r="E50" t="str">
            <v/>
          </cell>
          <cell r="F50" t="str">
            <v/>
          </cell>
          <cell r="G50" t="str">
            <v/>
          </cell>
          <cell r="I50">
            <v>1</v>
          </cell>
          <cell r="J50">
            <v>5</v>
          </cell>
          <cell r="K50">
            <v>3</v>
          </cell>
          <cell r="L50" t="str">
            <v/>
          </cell>
          <cell r="M50" t="str">
            <v/>
          </cell>
          <cell r="N50" t="str">
            <v/>
          </cell>
          <cell r="O50" t="str">
            <v/>
          </cell>
          <cell r="P50" t="str">
            <v/>
          </cell>
          <cell r="Q50" t="str">
            <v/>
          </cell>
          <cell r="R50" t="str">
            <v/>
          </cell>
          <cell r="S50" t="str">
            <v/>
          </cell>
          <cell r="T50">
            <v>1</v>
          </cell>
          <cell r="V50" t="str">
            <v/>
          </cell>
          <cell r="W50" t="str">
            <v/>
          </cell>
          <cell r="X50" t="str">
            <v/>
          </cell>
          <cell r="Y50" t="str">
            <v/>
          </cell>
          <cell r="AE50">
            <v>1</v>
          </cell>
          <cell r="AF50" t="str">
            <v/>
          </cell>
          <cell r="AG50">
            <v>1</v>
          </cell>
          <cell r="AH50" t="str">
            <v/>
          </cell>
          <cell r="AI50" t="str">
            <v/>
          </cell>
          <cell r="AJ50" t="str">
            <v/>
          </cell>
        </row>
        <row r="51">
          <cell r="A51">
            <v>2</v>
          </cell>
          <cell r="B51" t="str">
            <v/>
          </cell>
          <cell r="C51">
            <v>1</v>
          </cell>
          <cell r="D51" t="str">
            <v/>
          </cell>
          <cell r="E51" t="str">
            <v/>
          </cell>
          <cell r="F51" t="str">
            <v/>
          </cell>
          <cell r="G51" t="str">
            <v/>
          </cell>
          <cell r="I51">
            <v>2</v>
          </cell>
          <cell r="J51">
            <v>6</v>
          </cell>
          <cell r="K51">
            <v>4</v>
          </cell>
          <cell r="L51" t="str">
            <v/>
          </cell>
          <cell r="M51" t="str">
            <v/>
          </cell>
          <cell r="N51" t="str">
            <v/>
          </cell>
          <cell r="O51" t="str">
            <v/>
          </cell>
          <cell r="P51" t="str">
            <v/>
          </cell>
          <cell r="Q51" t="str">
            <v/>
          </cell>
          <cell r="R51" t="str">
            <v/>
          </cell>
          <cell r="S51" t="str">
            <v/>
          </cell>
          <cell r="T51">
            <v>2</v>
          </cell>
          <cell r="V51" t="str">
            <v/>
          </cell>
          <cell r="W51" t="str">
            <v/>
          </cell>
          <cell r="X51" t="str">
            <v/>
          </cell>
          <cell r="Y51" t="str">
            <v/>
          </cell>
          <cell r="AE51">
            <v>2</v>
          </cell>
          <cell r="AF51" t="str">
            <v/>
          </cell>
          <cell r="AG51">
            <v>1</v>
          </cell>
          <cell r="AH51">
            <v>1</v>
          </cell>
          <cell r="AI51" t="str">
            <v/>
          </cell>
          <cell r="AJ51" t="str">
            <v/>
          </cell>
        </row>
        <row r="52">
          <cell r="A52">
            <v>3</v>
          </cell>
          <cell r="B52" t="str">
            <v/>
          </cell>
          <cell r="C52">
            <v>1</v>
          </cell>
          <cell r="D52">
            <v>0</v>
          </cell>
          <cell r="E52" t="str">
            <v/>
          </cell>
          <cell r="F52" t="str">
            <v/>
          </cell>
          <cell r="G52" t="str">
            <v/>
          </cell>
          <cell r="I52">
            <v>3</v>
          </cell>
          <cell r="J52">
            <v>6</v>
          </cell>
          <cell r="K52">
            <v>5</v>
          </cell>
          <cell r="L52" t="str">
            <v/>
          </cell>
          <cell r="M52" t="str">
            <v/>
          </cell>
          <cell r="N52" t="str">
            <v/>
          </cell>
          <cell r="O52" t="str">
            <v/>
          </cell>
          <cell r="P52" t="str">
            <v/>
          </cell>
          <cell r="Q52" t="str">
            <v/>
          </cell>
          <cell r="R52" t="str">
            <v/>
          </cell>
          <cell r="S52" t="str">
            <v/>
          </cell>
          <cell r="T52">
            <v>3</v>
          </cell>
          <cell r="V52" t="str">
            <v/>
          </cell>
          <cell r="W52" t="str">
            <v/>
          </cell>
          <cell r="X52" t="str">
            <v/>
          </cell>
          <cell r="Y52" t="str">
            <v/>
          </cell>
          <cell r="AE52">
            <v>3</v>
          </cell>
          <cell r="AF52" t="str">
            <v/>
          </cell>
          <cell r="AG52">
            <v>2</v>
          </cell>
          <cell r="AH52">
            <v>1</v>
          </cell>
          <cell r="AI52">
            <v>1</v>
          </cell>
          <cell r="AJ52" t="str">
            <v/>
          </cell>
        </row>
        <row r="53">
          <cell r="A53">
            <v>4</v>
          </cell>
          <cell r="B53" t="str">
            <v/>
          </cell>
          <cell r="C53">
            <v>1</v>
          </cell>
          <cell r="D53">
            <v>1</v>
          </cell>
          <cell r="E53" t="str">
            <v/>
          </cell>
          <cell r="F53" t="str">
            <v/>
          </cell>
          <cell r="G53" t="str">
            <v/>
          </cell>
          <cell r="I53">
            <v>4</v>
          </cell>
          <cell r="J53">
            <v>6</v>
          </cell>
          <cell r="K53">
            <v>6</v>
          </cell>
          <cell r="L53">
            <v>3</v>
          </cell>
          <cell r="M53" t="str">
            <v/>
          </cell>
          <cell r="N53" t="str">
            <v/>
          </cell>
          <cell r="O53" t="str">
            <v/>
          </cell>
          <cell r="P53" t="str">
            <v/>
          </cell>
          <cell r="Q53" t="str">
            <v/>
          </cell>
          <cell r="R53" t="str">
            <v/>
          </cell>
          <cell r="S53" t="str">
            <v/>
          </cell>
          <cell r="T53">
            <v>4</v>
          </cell>
          <cell r="U53">
            <v>2</v>
          </cell>
          <cell r="V53">
            <v>0</v>
          </cell>
          <cell r="W53" t="str">
            <v/>
          </cell>
          <cell r="X53" t="str">
            <v/>
          </cell>
          <cell r="Y53" t="str">
            <v/>
          </cell>
          <cell r="AE53">
            <v>4</v>
          </cell>
          <cell r="AF53" t="str">
            <v/>
          </cell>
          <cell r="AG53">
            <v>2</v>
          </cell>
          <cell r="AH53">
            <v>2</v>
          </cell>
          <cell r="AI53">
            <v>1</v>
          </cell>
          <cell r="AJ53">
            <v>1</v>
          </cell>
        </row>
        <row r="54">
          <cell r="A54">
            <v>5</v>
          </cell>
          <cell r="B54" t="str">
            <v/>
          </cell>
          <cell r="C54">
            <v>1</v>
          </cell>
          <cell r="D54">
            <v>1</v>
          </cell>
          <cell r="E54">
            <v>0</v>
          </cell>
          <cell r="F54" t="str">
            <v/>
          </cell>
          <cell r="G54" t="str">
            <v/>
          </cell>
          <cell r="I54">
            <v>5</v>
          </cell>
          <cell r="J54">
            <v>6</v>
          </cell>
          <cell r="K54">
            <v>6</v>
          </cell>
          <cell r="L54">
            <v>4</v>
          </cell>
          <cell r="M54" t="str">
            <v/>
          </cell>
          <cell r="N54" t="str">
            <v/>
          </cell>
          <cell r="O54" t="str">
            <v/>
          </cell>
          <cell r="P54" t="str">
            <v/>
          </cell>
          <cell r="Q54" t="str">
            <v/>
          </cell>
          <cell r="R54" t="str">
            <v/>
          </cell>
          <cell r="S54" t="str">
            <v/>
          </cell>
          <cell r="T54">
            <v>5</v>
          </cell>
          <cell r="U54">
            <v>2</v>
          </cell>
          <cell r="V54">
            <v>0</v>
          </cell>
          <cell r="W54" t="str">
            <v/>
          </cell>
          <cell r="X54" t="str">
            <v/>
          </cell>
          <cell r="Y54" t="str">
            <v/>
          </cell>
          <cell r="AE54">
            <v>5</v>
          </cell>
          <cell r="AF54" t="str">
            <v/>
          </cell>
          <cell r="AG54">
            <v>3</v>
          </cell>
          <cell r="AH54">
            <v>2</v>
          </cell>
          <cell r="AI54">
            <v>2</v>
          </cell>
          <cell r="AJ54">
            <v>1</v>
          </cell>
        </row>
        <row r="55">
          <cell r="A55">
            <v>6</v>
          </cell>
          <cell r="B55" t="str">
            <v/>
          </cell>
          <cell r="C55">
            <v>1</v>
          </cell>
          <cell r="D55">
            <v>1</v>
          </cell>
          <cell r="E55">
            <v>1</v>
          </cell>
          <cell r="F55" t="str">
            <v/>
          </cell>
          <cell r="G55" t="str">
            <v/>
          </cell>
          <cell r="I55">
            <v>6</v>
          </cell>
          <cell r="J55">
            <v>6</v>
          </cell>
          <cell r="K55">
            <v>6</v>
          </cell>
          <cell r="L55">
            <v>5</v>
          </cell>
          <cell r="M55">
            <v>3</v>
          </cell>
          <cell r="N55" t="str">
            <v/>
          </cell>
          <cell r="O55" t="str">
            <v/>
          </cell>
          <cell r="P55" t="str">
            <v/>
          </cell>
          <cell r="Q55" t="str">
            <v/>
          </cell>
          <cell r="R55" t="str">
            <v/>
          </cell>
          <cell r="S55" t="str">
            <v/>
          </cell>
          <cell r="T55">
            <v>6</v>
          </cell>
          <cell r="U55">
            <v>3</v>
          </cell>
          <cell r="V55">
            <v>1</v>
          </cell>
          <cell r="W55" t="str">
            <v/>
          </cell>
          <cell r="X55" t="str">
            <v/>
          </cell>
          <cell r="Y55" t="str">
            <v/>
          </cell>
          <cell r="AE55">
            <v>6</v>
          </cell>
          <cell r="AF55" t="str">
            <v/>
          </cell>
          <cell r="AG55">
            <v>3</v>
          </cell>
          <cell r="AH55">
            <v>3</v>
          </cell>
          <cell r="AI55">
            <v>2</v>
          </cell>
          <cell r="AJ55">
            <v>2</v>
          </cell>
        </row>
        <row r="56">
          <cell r="A56">
            <v>7</v>
          </cell>
          <cell r="B56" t="str">
            <v/>
          </cell>
          <cell r="C56">
            <v>2</v>
          </cell>
          <cell r="D56">
            <v>1</v>
          </cell>
          <cell r="E56">
            <v>1</v>
          </cell>
          <cell r="F56">
            <v>0</v>
          </cell>
          <cell r="G56" t="str">
            <v/>
          </cell>
          <cell r="I56">
            <v>7</v>
          </cell>
          <cell r="J56">
            <v>6</v>
          </cell>
          <cell r="K56">
            <v>6</v>
          </cell>
          <cell r="L56">
            <v>6</v>
          </cell>
          <cell r="M56">
            <v>4</v>
          </cell>
          <cell r="N56" t="str">
            <v/>
          </cell>
          <cell r="O56" t="str">
            <v/>
          </cell>
          <cell r="P56" t="str">
            <v/>
          </cell>
          <cell r="Q56" t="str">
            <v/>
          </cell>
          <cell r="R56" t="str">
            <v/>
          </cell>
          <cell r="S56" t="str">
            <v/>
          </cell>
          <cell r="T56">
            <v>7</v>
          </cell>
          <cell r="U56">
            <v>3</v>
          </cell>
          <cell r="V56">
            <v>1</v>
          </cell>
          <cell r="W56" t="str">
            <v/>
          </cell>
          <cell r="X56" t="str">
            <v/>
          </cell>
          <cell r="Y56" t="str">
            <v/>
          </cell>
          <cell r="AE56">
            <v>7</v>
          </cell>
          <cell r="AF56" t="str">
            <v/>
          </cell>
          <cell r="AG56">
            <v>3</v>
          </cell>
          <cell r="AH56">
            <v>3</v>
          </cell>
          <cell r="AI56">
            <v>3</v>
          </cell>
          <cell r="AJ56">
            <v>2</v>
          </cell>
        </row>
        <row r="57">
          <cell r="A57">
            <v>8</v>
          </cell>
          <cell r="B57" t="str">
            <v/>
          </cell>
          <cell r="C57">
            <v>2</v>
          </cell>
          <cell r="D57">
            <v>1</v>
          </cell>
          <cell r="E57">
            <v>1</v>
          </cell>
          <cell r="F57">
            <v>1</v>
          </cell>
          <cell r="G57">
            <v>0</v>
          </cell>
          <cell r="I57">
            <v>8</v>
          </cell>
          <cell r="J57">
            <v>6</v>
          </cell>
          <cell r="K57">
            <v>6</v>
          </cell>
          <cell r="L57">
            <v>6</v>
          </cell>
          <cell r="M57">
            <v>5</v>
          </cell>
          <cell r="N57">
            <v>3</v>
          </cell>
          <cell r="O57" t="str">
            <v/>
          </cell>
          <cell r="P57" t="str">
            <v/>
          </cell>
          <cell r="Q57" t="str">
            <v/>
          </cell>
          <cell r="R57" t="str">
            <v/>
          </cell>
          <cell r="S57" t="str">
            <v/>
          </cell>
          <cell r="T57">
            <v>8</v>
          </cell>
          <cell r="U57">
            <v>4</v>
          </cell>
          <cell r="V57">
            <v>1</v>
          </cell>
          <cell r="W57">
            <v>0</v>
          </cell>
          <cell r="X57" t="str">
            <v/>
          </cell>
          <cell r="Y57" t="str">
            <v/>
          </cell>
          <cell r="AE57">
            <v>8</v>
          </cell>
          <cell r="AF57" t="str">
            <v/>
          </cell>
          <cell r="AG57">
            <v>4</v>
          </cell>
          <cell r="AH57">
            <v>3</v>
          </cell>
          <cell r="AI57">
            <v>3</v>
          </cell>
          <cell r="AJ57">
            <v>3</v>
          </cell>
        </row>
        <row r="58">
          <cell r="A58">
            <v>9</v>
          </cell>
          <cell r="B58" t="str">
            <v/>
          </cell>
          <cell r="C58">
            <v>2</v>
          </cell>
          <cell r="D58">
            <v>2</v>
          </cell>
          <cell r="E58">
            <v>1</v>
          </cell>
          <cell r="F58">
            <v>1</v>
          </cell>
          <cell r="G58">
            <v>1</v>
          </cell>
          <cell r="I58">
            <v>9</v>
          </cell>
          <cell r="J58">
            <v>6</v>
          </cell>
          <cell r="K58">
            <v>6</v>
          </cell>
          <cell r="L58">
            <v>6</v>
          </cell>
          <cell r="M58">
            <v>6</v>
          </cell>
          <cell r="N58">
            <v>4</v>
          </cell>
          <cell r="O58" t="str">
            <v/>
          </cell>
          <cell r="P58" t="str">
            <v/>
          </cell>
          <cell r="Q58" t="str">
            <v/>
          </cell>
          <cell r="R58" t="str">
            <v/>
          </cell>
          <cell r="S58" t="str">
            <v/>
          </cell>
          <cell r="T58">
            <v>9</v>
          </cell>
          <cell r="U58">
            <v>4</v>
          </cell>
          <cell r="V58">
            <v>1</v>
          </cell>
          <cell r="W58">
            <v>0</v>
          </cell>
          <cell r="X58" t="str">
            <v/>
          </cell>
          <cell r="Y58" t="str">
            <v/>
          </cell>
          <cell r="AE58">
            <v>9</v>
          </cell>
          <cell r="AF58" t="str">
            <v/>
          </cell>
          <cell r="AG58">
            <v>4</v>
          </cell>
          <cell r="AH58">
            <v>4</v>
          </cell>
          <cell r="AI58">
            <v>3</v>
          </cell>
          <cell r="AJ58">
            <v>3</v>
          </cell>
        </row>
        <row r="59">
          <cell r="A59">
            <v>10</v>
          </cell>
          <cell r="B59" t="str">
            <v/>
          </cell>
          <cell r="C59">
            <v>2</v>
          </cell>
          <cell r="D59">
            <v>2</v>
          </cell>
          <cell r="E59">
            <v>2</v>
          </cell>
          <cell r="F59">
            <v>1</v>
          </cell>
          <cell r="G59">
            <v>1</v>
          </cell>
          <cell r="I59">
            <v>10</v>
          </cell>
          <cell r="J59">
            <v>6</v>
          </cell>
          <cell r="K59">
            <v>6</v>
          </cell>
          <cell r="L59">
            <v>6</v>
          </cell>
          <cell r="M59">
            <v>6</v>
          </cell>
          <cell r="N59">
            <v>5</v>
          </cell>
          <cell r="O59">
            <v>3</v>
          </cell>
          <cell r="P59" t="str">
            <v/>
          </cell>
          <cell r="Q59" t="str">
            <v/>
          </cell>
          <cell r="R59" t="str">
            <v/>
          </cell>
          <cell r="S59" t="str">
            <v/>
          </cell>
          <cell r="T59">
            <v>10</v>
          </cell>
          <cell r="U59">
            <v>5</v>
          </cell>
          <cell r="V59">
            <v>1</v>
          </cell>
          <cell r="W59">
            <v>1</v>
          </cell>
          <cell r="X59" t="str">
            <v/>
          </cell>
          <cell r="Y59" t="str">
            <v/>
          </cell>
          <cell r="AE59">
            <v>10</v>
          </cell>
          <cell r="AF59" t="str">
            <v/>
          </cell>
          <cell r="AG59">
            <v>4</v>
          </cell>
          <cell r="AH59">
            <v>4</v>
          </cell>
          <cell r="AI59">
            <v>4</v>
          </cell>
          <cell r="AJ59">
            <v>3</v>
          </cell>
        </row>
        <row r="60">
          <cell r="A60">
            <v>11</v>
          </cell>
          <cell r="B60" t="str">
            <v/>
          </cell>
          <cell r="C60" t="str">
            <v/>
          </cell>
          <cell r="D60" t="str">
            <v/>
          </cell>
          <cell r="E60" t="str">
            <v/>
          </cell>
          <cell r="F60" t="str">
            <v/>
          </cell>
          <cell r="G60" t="str">
            <v/>
          </cell>
          <cell r="I60">
            <v>11</v>
          </cell>
          <cell r="J60">
            <v>6</v>
          </cell>
          <cell r="K60">
            <v>6</v>
          </cell>
          <cell r="L60">
            <v>6</v>
          </cell>
          <cell r="M60">
            <v>6</v>
          </cell>
          <cell r="N60">
            <v>6</v>
          </cell>
          <cell r="O60">
            <v>4</v>
          </cell>
          <cell r="P60" t="str">
            <v/>
          </cell>
          <cell r="Q60" t="str">
            <v/>
          </cell>
          <cell r="R60" t="str">
            <v/>
          </cell>
          <cell r="S60" t="str">
            <v/>
          </cell>
          <cell r="T60">
            <v>11</v>
          </cell>
          <cell r="U60">
            <v>5</v>
          </cell>
          <cell r="V60">
            <v>1</v>
          </cell>
          <cell r="W60">
            <v>1</v>
          </cell>
          <cell r="X60">
            <v>0</v>
          </cell>
          <cell r="Y60" t="str">
            <v/>
          </cell>
          <cell r="AE60">
            <v>11</v>
          </cell>
          <cell r="AF60" t="str">
            <v/>
          </cell>
          <cell r="AG60" t="str">
            <v/>
          </cell>
          <cell r="AH60" t="str">
            <v/>
          </cell>
          <cell r="AI60" t="str">
            <v/>
          </cell>
          <cell r="AJ60" t="str">
            <v/>
          </cell>
        </row>
        <row r="61">
          <cell r="A61">
            <v>12</v>
          </cell>
          <cell r="B61" t="str">
            <v/>
          </cell>
          <cell r="C61" t="str">
            <v/>
          </cell>
          <cell r="D61" t="str">
            <v/>
          </cell>
          <cell r="E61" t="str">
            <v/>
          </cell>
          <cell r="F61" t="str">
            <v/>
          </cell>
          <cell r="G61" t="str">
            <v/>
          </cell>
          <cell r="I61">
            <v>12</v>
          </cell>
          <cell r="J61">
            <v>6</v>
          </cell>
          <cell r="K61">
            <v>6</v>
          </cell>
          <cell r="L61">
            <v>6</v>
          </cell>
          <cell r="M61">
            <v>6</v>
          </cell>
          <cell r="N61">
            <v>6</v>
          </cell>
          <cell r="O61">
            <v>5</v>
          </cell>
          <cell r="P61">
            <v>3</v>
          </cell>
          <cell r="Q61" t="str">
            <v/>
          </cell>
          <cell r="R61" t="str">
            <v/>
          </cell>
          <cell r="S61" t="str">
            <v/>
          </cell>
          <cell r="T61">
            <v>12</v>
          </cell>
          <cell r="U61">
            <v>6</v>
          </cell>
          <cell r="V61">
            <v>1</v>
          </cell>
          <cell r="W61">
            <v>1</v>
          </cell>
          <cell r="X61">
            <v>1</v>
          </cell>
          <cell r="Y61" t="str">
            <v/>
          </cell>
          <cell r="AE61">
            <v>12</v>
          </cell>
          <cell r="AF61" t="str">
            <v/>
          </cell>
          <cell r="AG61" t="str">
            <v/>
          </cell>
          <cell r="AH61" t="str">
            <v/>
          </cell>
          <cell r="AI61" t="str">
            <v/>
          </cell>
          <cell r="AJ61" t="str">
            <v/>
          </cell>
        </row>
        <row r="62">
          <cell r="A62">
            <v>13</v>
          </cell>
          <cell r="B62" t="str">
            <v/>
          </cell>
          <cell r="C62" t="str">
            <v/>
          </cell>
          <cell r="D62" t="str">
            <v/>
          </cell>
          <cell r="E62" t="str">
            <v/>
          </cell>
          <cell r="F62" t="str">
            <v/>
          </cell>
          <cell r="G62" t="str">
            <v/>
          </cell>
          <cell r="I62">
            <v>13</v>
          </cell>
          <cell r="J62">
            <v>6</v>
          </cell>
          <cell r="K62">
            <v>6</v>
          </cell>
          <cell r="L62">
            <v>6</v>
          </cell>
          <cell r="M62">
            <v>6</v>
          </cell>
          <cell r="N62">
            <v>6</v>
          </cell>
          <cell r="O62">
            <v>6</v>
          </cell>
          <cell r="P62">
            <v>4</v>
          </cell>
          <cell r="Q62" t="str">
            <v/>
          </cell>
          <cell r="R62" t="str">
            <v/>
          </cell>
          <cell r="S62" t="str">
            <v/>
          </cell>
          <cell r="T62">
            <v>13</v>
          </cell>
          <cell r="U62">
            <v>6</v>
          </cell>
          <cell r="V62">
            <v>1</v>
          </cell>
          <cell r="W62">
            <v>1</v>
          </cell>
          <cell r="X62">
            <v>1</v>
          </cell>
          <cell r="Y62" t="str">
            <v/>
          </cell>
          <cell r="AE62">
            <v>13</v>
          </cell>
          <cell r="AF62" t="str">
            <v/>
          </cell>
          <cell r="AG62" t="str">
            <v/>
          </cell>
          <cell r="AH62" t="str">
            <v/>
          </cell>
          <cell r="AI62" t="str">
            <v/>
          </cell>
          <cell r="AJ62" t="str">
            <v/>
          </cell>
        </row>
        <row r="63">
          <cell r="A63">
            <v>14</v>
          </cell>
          <cell r="B63" t="str">
            <v/>
          </cell>
          <cell r="C63" t="str">
            <v/>
          </cell>
          <cell r="D63" t="str">
            <v/>
          </cell>
          <cell r="E63" t="str">
            <v/>
          </cell>
          <cell r="F63" t="str">
            <v/>
          </cell>
          <cell r="G63" t="str">
            <v/>
          </cell>
          <cell r="I63">
            <v>14</v>
          </cell>
          <cell r="J63">
            <v>6</v>
          </cell>
          <cell r="K63">
            <v>6</v>
          </cell>
          <cell r="L63">
            <v>6</v>
          </cell>
          <cell r="M63">
            <v>6</v>
          </cell>
          <cell r="N63">
            <v>6</v>
          </cell>
          <cell r="O63">
            <v>6</v>
          </cell>
          <cell r="P63">
            <v>5</v>
          </cell>
          <cell r="Q63">
            <v>3</v>
          </cell>
          <cell r="R63" t="str">
            <v/>
          </cell>
          <cell r="S63" t="str">
            <v/>
          </cell>
          <cell r="T63">
            <v>14</v>
          </cell>
          <cell r="U63">
            <v>7</v>
          </cell>
          <cell r="V63">
            <v>2</v>
          </cell>
          <cell r="W63">
            <v>1</v>
          </cell>
          <cell r="X63">
            <v>1</v>
          </cell>
          <cell r="Y63">
            <v>0</v>
          </cell>
          <cell r="AE63">
            <v>14</v>
          </cell>
          <cell r="AF63" t="str">
            <v/>
          </cell>
          <cell r="AG63" t="str">
            <v/>
          </cell>
          <cell r="AH63" t="str">
            <v/>
          </cell>
          <cell r="AI63" t="str">
            <v/>
          </cell>
          <cell r="AJ63" t="str">
            <v/>
          </cell>
        </row>
        <row r="64">
          <cell r="A64">
            <v>15</v>
          </cell>
          <cell r="B64" t="str">
            <v/>
          </cell>
          <cell r="C64" t="str">
            <v/>
          </cell>
          <cell r="D64" t="str">
            <v/>
          </cell>
          <cell r="E64" t="str">
            <v/>
          </cell>
          <cell r="F64" t="str">
            <v/>
          </cell>
          <cell r="G64" t="str">
            <v/>
          </cell>
          <cell r="I64">
            <v>15</v>
          </cell>
          <cell r="J64">
            <v>6</v>
          </cell>
          <cell r="K64">
            <v>6</v>
          </cell>
          <cell r="L64">
            <v>6</v>
          </cell>
          <cell r="M64">
            <v>6</v>
          </cell>
          <cell r="N64">
            <v>6</v>
          </cell>
          <cell r="O64">
            <v>6</v>
          </cell>
          <cell r="P64">
            <v>6</v>
          </cell>
          <cell r="Q64">
            <v>4</v>
          </cell>
          <cell r="R64" t="str">
            <v/>
          </cell>
          <cell r="S64" t="str">
            <v/>
          </cell>
          <cell r="T64">
            <v>15</v>
          </cell>
          <cell r="U64">
            <v>7</v>
          </cell>
          <cell r="V64">
            <v>2</v>
          </cell>
          <cell r="W64">
            <v>1</v>
          </cell>
          <cell r="X64">
            <v>1</v>
          </cell>
          <cell r="Y64">
            <v>1</v>
          </cell>
          <cell r="AE64">
            <v>15</v>
          </cell>
          <cell r="AF64" t="str">
            <v/>
          </cell>
          <cell r="AG64" t="str">
            <v/>
          </cell>
          <cell r="AH64" t="str">
            <v/>
          </cell>
          <cell r="AI64" t="str">
            <v/>
          </cell>
          <cell r="AJ64" t="str">
            <v/>
          </cell>
        </row>
        <row r="65">
          <cell r="A65">
            <v>16</v>
          </cell>
          <cell r="B65" t="str">
            <v/>
          </cell>
          <cell r="C65" t="str">
            <v/>
          </cell>
          <cell r="D65" t="str">
            <v/>
          </cell>
          <cell r="E65" t="str">
            <v/>
          </cell>
          <cell r="F65" t="str">
            <v/>
          </cell>
          <cell r="G65" t="str">
            <v/>
          </cell>
          <cell r="I65">
            <v>16</v>
          </cell>
          <cell r="J65">
            <v>6</v>
          </cell>
          <cell r="K65">
            <v>6</v>
          </cell>
          <cell r="L65">
            <v>6</v>
          </cell>
          <cell r="M65">
            <v>6</v>
          </cell>
          <cell r="N65">
            <v>6</v>
          </cell>
          <cell r="O65">
            <v>6</v>
          </cell>
          <cell r="P65">
            <v>6</v>
          </cell>
          <cell r="Q65">
            <v>5</v>
          </cell>
          <cell r="R65">
            <v>3</v>
          </cell>
          <cell r="S65" t="str">
            <v/>
          </cell>
          <cell r="T65">
            <v>16</v>
          </cell>
          <cell r="U65">
            <v>8</v>
          </cell>
          <cell r="V65">
            <v>2</v>
          </cell>
          <cell r="W65">
            <v>2</v>
          </cell>
          <cell r="X65">
            <v>1</v>
          </cell>
          <cell r="Y65">
            <v>1</v>
          </cell>
          <cell r="AE65">
            <v>16</v>
          </cell>
          <cell r="AF65" t="str">
            <v/>
          </cell>
          <cell r="AG65" t="str">
            <v/>
          </cell>
          <cell r="AH65" t="str">
            <v/>
          </cell>
          <cell r="AI65" t="str">
            <v/>
          </cell>
          <cell r="AJ65" t="str">
            <v/>
          </cell>
        </row>
        <row r="66">
          <cell r="A66">
            <v>17</v>
          </cell>
          <cell r="B66" t="str">
            <v/>
          </cell>
          <cell r="C66" t="str">
            <v/>
          </cell>
          <cell r="D66" t="str">
            <v/>
          </cell>
          <cell r="E66" t="str">
            <v/>
          </cell>
          <cell r="F66" t="str">
            <v/>
          </cell>
          <cell r="G66" t="str">
            <v/>
          </cell>
          <cell r="I66">
            <v>17</v>
          </cell>
          <cell r="J66">
            <v>6</v>
          </cell>
          <cell r="K66">
            <v>6</v>
          </cell>
          <cell r="L66">
            <v>6</v>
          </cell>
          <cell r="M66">
            <v>6</v>
          </cell>
          <cell r="N66">
            <v>6</v>
          </cell>
          <cell r="O66">
            <v>6</v>
          </cell>
          <cell r="P66">
            <v>6</v>
          </cell>
          <cell r="Q66">
            <v>6</v>
          </cell>
          <cell r="R66">
            <v>4</v>
          </cell>
          <cell r="S66" t="str">
            <v/>
          </cell>
          <cell r="T66">
            <v>17</v>
          </cell>
          <cell r="U66">
            <v>8</v>
          </cell>
          <cell r="V66">
            <v>2</v>
          </cell>
          <cell r="W66">
            <v>2</v>
          </cell>
          <cell r="X66">
            <v>2</v>
          </cell>
          <cell r="Y66">
            <v>1</v>
          </cell>
          <cell r="AE66">
            <v>17</v>
          </cell>
          <cell r="AF66" t="str">
            <v/>
          </cell>
          <cell r="AG66" t="str">
            <v/>
          </cell>
          <cell r="AH66" t="str">
            <v/>
          </cell>
          <cell r="AI66" t="str">
            <v/>
          </cell>
          <cell r="AJ66" t="str">
            <v/>
          </cell>
        </row>
        <row r="67">
          <cell r="A67">
            <v>18</v>
          </cell>
          <cell r="B67" t="str">
            <v/>
          </cell>
          <cell r="C67" t="str">
            <v/>
          </cell>
          <cell r="D67" t="str">
            <v/>
          </cell>
          <cell r="E67" t="str">
            <v/>
          </cell>
          <cell r="F67" t="str">
            <v/>
          </cell>
          <cell r="G67" t="str">
            <v/>
          </cell>
          <cell r="I67">
            <v>18</v>
          </cell>
          <cell r="J67">
            <v>6</v>
          </cell>
          <cell r="K67">
            <v>6</v>
          </cell>
          <cell r="L67">
            <v>6</v>
          </cell>
          <cell r="M67">
            <v>6</v>
          </cell>
          <cell r="N67">
            <v>6</v>
          </cell>
          <cell r="O67">
            <v>6</v>
          </cell>
          <cell r="P67">
            <v>6</v>
          </cell>
          <cell r="Q67">
            <v>6</v>
          </cell>
          <cell r="R67">
            <v>5</v>
          </cell>
          <cell r="S67">
            <v>3</v>
          </cell>
          <cell r="T67">
            <v>18</v>
          </cell>
          <cell r="U67">
            <v>9</v>
          </cell>
          <cell r="V67">
            <v>3</v>
          </cell>
          <cell r="W67">
            <v>2</v>
          </cell>
          <cell r="X67">
            <v>2</v>
          </cell>
          <cell r="Y67">
            <v>1</v>
          </cell>
          <cell r="AE67">
            <v>18</v>
          </cell>
          <cell r="AF67" t="str">
            <v/>
          </cell>
          <cell r="AG67" t="str">
            <v/>
          </cell>
          <cell r="AH67" t="str">
            <v/>
          </cell>
          <cell r="AI67" t="str">
            <v/>
          </cell>
          <cell r="AJ67" t="str">
            <v/>
          </cell>
        </row>
        <row r="68">
          <cell r="A68">
            <v>19</v>
          </cell>
          <cell r="B68" t="str">
            <v/>
          </cell>
          <cell r="C68" t="str">
            <v/>
          </cell>
          <cell r="D68" t="str">
            <v/>
          </cell>
          <cell r="E68" t="str">
            <v/>
          </cell>
          <cell r="F68" t="str">
            <v/>
          </cell>
          <cell r="G68" t="str">
            <v/>
          </cell>
          <cell r="I68">
            <v>19</v>
          </cell>
          <cell r="J68">
            <v>6</v>
          </cell>
          <cell r="K68">
            <v>6</v>
          </cell>
          <cell r="L68">
            <v>6</v>
          </cell>
          <cell r="M68">
            <v>6</v>
          </cell>
          <cell r="N68">
            <v>6</v>
          </cell>
          <cell r="O68">
            <v>6</v>
          </cell>
          <cell r="P68">
            <v>6</v>
          </cell>
          <cell r="Q68">
            <v>6</v>
          </cell>
          <cell r="R68">
            <v>6</v>
          </cell>
          <cell r="S68">
            <v>4</v>
          </cell>
          <cell r="T68">
            <v>19</v>
          </cell>
          <cell r="U68">
            <v>9</v>
          </cell>
          <cell r="V68">
            <v>3</v>
          </cell>
          <cell r="W68">
            <v>3</v>
          </cell>
          <cell r="X68">
            <v>3</v>
          </cell>
          <cell r="Y68">
            <v>2</v>
          </cell>
          <cell r="AE68">
            <v>19</v>
          </cell>
          <cell r="AF68" t="str">
            <v/>
          </cell>
          <cell r="AG68" t="str">
            <v/>
          </cell>
          <cell r="AH68" t="str">
            <v/>
          </cell>
          <cell r="AI68" t="str">
            <v/>
          </cell>
          <cell r="AJ68" t="str">
            <v/>
          </cell>
        </row>
        <row r="69">
          <cell r="A69">
            <v>20</v>
          </cell>
          <cell r="B69" t="str">
            <v/>
          </cell>
          <cell r="C69" t="str">
            <v/>
          </cell>
          <cell r="D69" t="str">
            <v/>
          </cell>
          <cell r="E69" t="str">
            <v/>
          </cell>
          <cell r="F69" t="str">
            <v/>
          </cell>
          <cell r="G69" t="str">
            <v/>
          </cell>
          <cell r="I69">
            <v>20</v>
          </cell>
          <cell r="J69">
            <v>6</v>
          </cell>
          <cell r="K69">
            <v>6</v>
          </cell>
          <cell r="L69">
            <v>6</v>
          </cell>
          <cell r="M69">
            <v>6</v>
          </cell>
          <cell r="N69">
            <v>6</v>
          </cell>
          <cell r="O69">
            <v>6</v>
          </cell>
          <cell r="P69">
            <v>6</v>
          </cell>
          <cell r="Q69">
            <v>6</v>
          </cell>
          <cell r="R69">
            <v>6</v>
          </cell>
          <cell r="S69">
            <v>6</v>
          </cell>
          <cell r="T69">
            <v>20</v>
          </cell>
          <cell r="U69">
            <v>10</v>
          </cell>
          <cell r="V69">
            <v>3</v>
          </cell>
          <cell r="W69">
            <v>3</v>
          </cell>
          <cell r="X69">
            <v>3</v>
          </cell>
          <cell r="Y69">
            <v>3</v>
          </cell>
          <cell r="AE69">
            <v>20</v>
          </cell>
          <cell r="AF69" t="str">
            <v/>
          </cell>
          <cell r="AG69" t="str">
            <v/>
          </cell>
          <cell r="AH69" t="str">
            <v/>
          </cell>
          <cell r="AI69" t="str">
            <v/>
          </cell>
          <cell r="AJ69" t="str">
            <v/>
          </cell>
        </row>
        <row r="72">
          <cell r="A72">
            <v>0</v>
          </cell>
          <cell r="B72" t="str">
            <v/>
          </cell>
          <cell r="C72" t="str">
            <v/>
          </cell>
          <cell r="D72" t="str">
            <v/>
          </cell>
          <cell r="E72" t="str">
            <v/>
          </cell>
          <cell r="F72" t="str">
            <v/>
          </cell>
          <cell r="G72" t="str">
            <v/>
          </cell>
          <cell r="H72" t="str">
            <v/>
          </cell>
          <cell r="I72">
            <v>0</v>
          </cell>
          <cell r="J72" t="str">
            <v/>
          </cell>
          <cell r="K72" t="str">
            <v/>
          </cell>
          <cell r="L72" t="str">
            <v/>
          </cell>
          <cell r="M72" t="str">
            <v/>
          </cell>
          <cell r="N72" t="str">
            <v/>
          </cell>
          <cell r="O72" t="str">
            <v/>
          </cell>
          <cell r="P72" t="str">
            <v/>
          </cell>
          <cell r="Q72" t="str">
            <v/>
          </cell>
          <cell r="R72" t="str">
            <v/>
          </cell>
          <cell r="S72" t="str">
            <v/>
          </cell>
          <cell r="AE72">
            <v>0</v>
          </cell>
          <cell r="AF72" t="str">
            <v/>
          </cell>
          <cell r="AG72" t="str">
            <v/>
          </cell>
          <cell r="AH72" t="str">
            <v/>
          </cell>
          <cell r="AI72" t="str">
            <v/>
          </cell>
          <cell r="AJ72" t="str">
            <v/>
          </cell>
        </row>
        <row r="73">
          <cell r="A73">
            <v>1</v>
          </cell>
          <cell r="B73">
            <v>2</v>
          </cell>
          <cell r="C73">
            <v>1</v>
          </cell>
          <cell r="D73">
            <v>0</v>
          </cell>
          <cell r="E73" t="str">
            <v/>
          </cell>
          <cell r="F73" t="str">
            <v/>
          </cell>
          <cell r="G73" t="str">
            <v/>
          </cell>
          <cell r="H73" t="str">
            <v/>
          </cell>
          <cell r="I73">
            <v>1</v>
          </cell>
          <cell r="J73">
            <v>3</v>
          </cell>
          <cell r="K73">
            <v>1</v>
          </cell>
          <cell r="L73" t="str">
            <v/>
          </cell>
          <cell r="M73" t="str">
            <v/>
          </cell>
          <cell r="N73" t="str">
            <v/>
          </cell>
          <cell r="O73" t="str">
            <v/>
          </cell>
          <cell r="P73" t="str">
            <v/>
          </cell>
          <cell r="Q73" t="str">
            <v/>
          </cell>
          <cell r="R73" t="str">
            <v/>
          </cell>
          <cell r="S73" t="str">
            <v/>
          </cell>
          <cell r="AE73">
            <v>1</v>
          </cell>
          <cell r="AF73" t="str">
            <v/>
          </cell>
          <cell r="AG73" t="str">
            <v/>
          </cell>
          <cell r="AH73" t="str">
            <v/>
          </cell>
          <cell r="AI73" t="str">
            <v/>
          </cell>
          <cell r="AJ73" t="str">
            <v/>
          </cell>
        </row>
        <row r="74">
          <cell r="A74">
            <v>2</v>
          </cell>
          <cell r="B74">
            <v>2</v>
          </cell>
          <cell r="C74">
            <v>2</v>
          </cell>
          <cell r="D74">
            <v>1</v>
          </cell>
          <cell r="E74">
            <v>0</v>
          </cell>
          <cell r="F74" t="str">
            <v/>
          </cell>
          <cell r="G74" t="str">
            <v/>
          </cell>
          <cell r="H74" t="str">
            <v/>
          </cell>
          <cell r="I74">
            <v>2</v>
          </cell>
          <cell r="J74">
            <v>4</v>
          </cell>
          <cell r="K74">
            <v>2</v>
          </cell>
          <cell r="L74" t="str">
            <v/>
          </cell>
          <cell r="M74" t="str">
            <v/>
          </cell>
          <cell r="N74" t="str">
            <v/>
          </cell>
          <cell r="O74" t="str">
            <v/>
          </cell>
          <cell r="P74" t="str">
            <v/>
          </cell>
          <cell r="Q74" t="str">
            <v/>
          </cell>
          <cell r="R74" t="str">
            <v/>
          </cell>
          <cell r="S74" t="str">
            <v/>
          </cell>
          <cell r="AE74">
            <v>2</v>
          </cell>
          <cell r="AF74" t="str">
            <v/>
          </cell>
          <cell r="AG74">
            <v>0</v>
          </cell>
          <cell r="AH74" t="str">
            <v/>
          </cell>
          <cell r="AI74" t="str">
            <v/>
          </cell>
          <cell r="AJ74" t="str">
            <v/>
          </cell>
        </row>
        <row r="75">
          <cell r="A75">
            <v>3</v>
          </cell>
          <cell r="B75">
            <v>3</v>
          </cell>
          <cell r="C75">
            <v>2</v>
          </cell>
          <cell r="D75">
            <v>2</v>
          </cell>
          <cell r="E75">
            <v>0</v>
          </cell>
          <cell r="F75" t="str">
            <v/>
          </cell>
          <cell r="G75" t="str">
            <v/>
          </cell>
          <cell r="H75" t="str">
            <v/>
          </cell>
          <cell r="I75">
            <v>3</v>
          </cell>
          <cell r="J75">
            <v>4</v>
          </cell>
          <cell r="K75">
            <v>2</v>
          </cell>
          <cell r="L75">
            <v>1</v>
          </cell>
          <cell r="M75" t="str">
            <v/>
          </cell>
          <cell r="N75" t="str">
            <v/>
          </cell>
          <cell r="O75" t="str">
            <v/>
          </cell>
          <cell r="P75" t="str">
            <v/>
          </cell>
          <cell r="Q75" t="str">
            <v/>
          </cell>
          <cell r="R75" t="str">
            <v/>
          </cell>
          <cell r="S75" t="str">
            <v/>
          </cell>
          <cell r="AE75">
            <v>3</v>
          </cell>
          <cell r="AF75" t="str">
            <v/>
          </cell>
          <cell r="AG75">
            <v>1</v>
          </cell>
          <cell r="AH75">
            <v>0</v>
          </cell>
          <cell r="AI75" t="str">
            <v/>
          </cell>
          <cell r="AJ75" t="str">
            <v/>
          </cell>
        </row>
        <row r="76">
          <cell r="A76">
            <v>4</v>
          </cell>
          <cell r="B76">
            <v>3</v>
          </cell>
          <cell r="C76">
            <v>3</v>
          </cell>
          <cell r="D76">
            <v>2</v>
          </cell>
          <cell r="E76">
            <v>1</v>
          </cell>
          <cell r="F76">
            <v>0</v>
          </cell>
          <cell r="G76" t="str">
            <v/>
          </cell>
          <cell r="H76" t="str">
            <v/>
          </cell>
          <cell r="I76">
            <v>4</v>
          </cell>
          <cell r="J76">
            <v>4</v>
          </cell>
          <cell r="K76">
            <v>3</v>
          </cell>
          <cell r="L76">
            <v>2</v>
          </cell>
          <cell r="M76" t="str">
            <v/>
          </cell>
          <cell r="N76" t="str">
            <v/>
          </cell>
          <cell r="O76" t="str">
            <v/>
          </cell>
          <cell r="P76" t="str">
            <v/>
          </cell>
          <cell r="Q76" t="str">
            <v/>
          </cell>
          <cell r="R76" t="str">
            <v/>
          </cell>
          <cell r="S76" t="str">
            <v/>
          </cell>
          <cell r="AE76">
            <v>4</v>
          </cell>
          <cell r="AF76" t="str">
            <v/>
          </cell>
          <cell r="AG76">
            <v>1</v>
          </cell>
          <cell r="AH76">
            <v>1</v>
          </cell>
          <cell r="AI76" t="str">
            <v/>
          </cell>
          <cell r="AJ76" t="str">
            <v/>
          </cell>
        </row>
        <row r="77">
          <cell r="A77">
            <v>5</v>
          </cell>
          <cell r="B77">
            <v>4</v>
          </cell>
          <cell r="C77">
            <v>3</v>
          </cell>
          <cell r="D77">
            <v>3</v>
          </cell>
          <cell r="E77">
            <v>2</v>
          </cell>
          <cell r="F77">
            <v>0</v>
          </cell>
          <cell r="G77" t="str">
            <v/>
          </cell>
          <cell r="H77" t="str">
            <v/>
          </cell>
          <cell r="I77">
            <v>5</v>
          </cell>
          <cell r="J77">
            <v>4</v>
          </cell>
          <cell r="K77">
            <v>3</v>
          </cell>
          <cell r="L77">
            <v>2</v>
          </cell>
          <cell r="M77">
            <v>1</v>
          </cell>
          <cell r="N77" t="str">
            <v/>
          </cell>
          <cell r="O77" t="str">
            <v/>
          </cell>
          <cell r="P77" t="str">
            <v/>
          </cell>
          <cell r="Q77" t="str">
            <v/>
          </cell>
          <cell r="R77" t="str">
            <v/>
          </cell>
          <cell r="S77" t="str">
            <v/>
          </cell>
          <cell r="AE77">
            <v>5</v>
          </cell>
          <cell r="AF77" t="str">
            <v/>
          </cell>
          <cell r="AG77">
            <v>1</v>
          </cell>
          <cell r="AH77">
            <v>1</v>
          </cell>
          <cell r="AI77">
            <v>0</v>
          </cell>
          <cell r="AJ77" t="str">
            <v/>
          </cell>
        </row>
        <row r="78">
          <cell r="A78">
            <v>6</v>
          </cell>
          <cell r="B78">
            <v>4</v>
          </cell>
          <cell r="C78">
            <v>4</v>
          </cell>
          <cell r="D78">
            <v>3</v>
          </cell>
          <cell r="E78">
            <v>3</v>
          </cell>
          <cell r="F78">
            <v>1</v>
          </cell>
          <cell r="G78">
            <v>0</v>
          </cell>
          <cell r="H78" t="str">
            <v/>
          </cell>
          <cell r="I78">
            <v>6</v>
          </cell>
          <cell r="J78">
            <v>4</v>
          </cell>
          <cell r="K78">
            <v>3</v>
          </cell>
          <cell r="L78">
            <v>3</v>
          </cell>
          <cell r="M78">
            <v>2</v>
          </cell>
          <cell r="N78" t="str">
            <v/>
          </cell>
          <cell r="O78" t="str">
            <v/>
          </cell>
          <cell r="P78" t="str">
            <v/>
          </cell>
          <cell r="Q78" t="str">
            <v/>
          </cell>
          <cell r="R78" t="str">
            <v/>
          </cell>
          <cell r="S78" t="str">
            <v/>
          </cell>
          <cell r="AE78">
            <v>6</v>
          </cell>
          <cell r="AF78" t="str">
            <v/>
          </cell>
          <cell r="AG78">
            <v>1</v>
          </cell>
          <cell r="AH78">
            <v>1</v>
          </cell>
          <cell r="AI78">
            <v>1</v>
          </cell>
          <cell r="AJ78" t="str">
            <v/>
          </cell>
        </row>
        <row r="79">
          <cell r="A79">
            <v>7</v>
          </cell>
          <cell r="B79">
            <v>5</v>
          </cell>
          <cell r="C79">
            <v>4</v>
          </cell>
          <cell r="D79">
            <v>4</v>
          </cell>
          <cell r="E79">
            <v>3</v>
          </cell>
          <cell r="F79">
            <v>2</v>
          </cell>
          <cell r="G79">
            <v>0</v>
          </cell>
          <cell r="H79" t="str">
            <v/>
          </cell>
          <cell r="I79">
            <v>7</v>
          </cell>
          <cell r="J79">
            <v>4</v>
          </cell>
          <cell r="K79">
            <v>4</v>
          </cell>
          <cell r="L79">
            <v>3</v>
          </cell>
          <cell r="M79">
            <v>2</v>
          </cell>
          <cell r="N79">
            <v>1</v>
          </cell>
          <cell r="O79" t="str">
            <v/>
          </cell>
          <cell r="P79" t="str">
            <v/>
          </cell>
          <cell r="Q79" t="str">
            <v/>
          </cell>
          <cell r="R79" t="str">
            <v/>
          </cell>
          <cell r="S79" t="str">
            <v/>
          </cell>
          <cell r="AE79">
            <v>7</v>
          </cell>
          <cell r="AF79" t="str">
            <v/>
          </cell>
          <cell r="AG79">
            <v>2</v>
          </cell>
          <cell r="AH79">
            <v>1</v>
          </cell>
          <cell r="AI79">
            <v>1</v>
          </cell>
          <cell r="AJ79">
            <v>0</v>
          </cell>
        </row>
        <row r="80">
          <cell r="A80">
            <v>8</v>
          </cell>
          <cell r="B80">
            <v>5</v>
          </cell>
          <cell r="C80">
            <v>5</v>
          </cell>
          <cell r="D80">
            <v>4</v>
          </cell>
          <cell r="E80">
            <v>4</v>
          </cell>
          <cell r="F80">
            <v>2</v>
          </cell>
          <cell r="G80">
            <v>1</v>
          </cell>
          <cell r="H80">
            <v>0</v>
          </cell>
          <cell r="I80">
            <v>8</v>
          </cell>
          <cell r="J80">
            <v>4</v>
          </cell>
          <cell r="K80">
            <v>4</v>
          </cell>
          <cell r="L80">
            <v>3</v>
          </cell>
          <cell r="M80">
            <v>3</v>
          </cell>
          <cell r="N80">
            <v>2</v>
          </cell>
          <cell r="O80" t="str">
            <v/>
          </cell>
          <cell r="P80" t="str">
            <v/>
          </cell>
          <cell r="Q80" t="str">
            <v/>
          </cell>
          <cell r="R80" t="str">
            <v/>
          </cell>
          <cell r="S80" t="str">
            <v/>
          </cell>
          <cell r="AE80">
            <v>8</v>
          </cell>
          <cell r="AF80" t="str">
            <v/>
          </cell>
          <cell r="AG80">
            <v>2</v>
          </cell>
          <cell r="AH80">
            <v>1</v>
          </cell>
          <cell r="AI80">
            <v>1</v>
          </cell>
          <cell r="AJ80">
            <v>1</v>
          </cell>
        </row>
        <row r="81">
          <cell r="A81">
            <v>9</v>
          </cell>
          <cell r="B81">
            <v>6</v>
          </cell>
          <cell r="C81">
            <v>5</v>
          </cell>
          <cell r="D81">
            <v>5</v>
          </cell>
          <cell r="E81">
            <v>4</v>
          </cell>
          <cell r="F81">
            <v>3</v>
          </cell>
          <cell r="G81">
            <v>2</v>
          </cell>
          <cell r="H81">
            <v>1</v>
          </cell>
          <cell r="I81">
            <v>9</v>
          </cell>
          <cell r="J81">
            <v>4</v>
          </cell>
          <cell r="K81">
            <v>4</v>
          </cell>
          <cell r="L81">
            <v>4</v>
          </cell>
          <cell r="M81">
            <v>3</v>
          </cell>
          <cell r="N81">
            <v>2</v>
          </cell>
          <cell r="O81">
            <v>1</v>
          </cell>
          <cell r="P81" t="str">
            <v/>
          </cell>
          <cell r="Q81" t="str">
            <v/>
          </cell>
          <cell r="R81" t="str">
            <v/>
          </cell>
          <cell r="S81" t="str">
            <v/>
          </cell>
          <cell r="AE81">
            <v>9</v>
          </cell>
          <cell r="AF81" t="str">
            <v/>
          </cell>
          <cell r="AG81">
            <v>2</v>
          </cell>
          <cell r="AH81">
            <v>2</v>
          </cell>
          <cell r="AI81">
            <v>1</v>
          </cell>
          <cell r="AJ81">
            <v>1</v>
          </cell>
        </row>
        <row r="82">
          <cell r="A82">
            <v>10</v>
          </cell>
          <cell r="B82">
            <v>6</v>
          </cell>
          <cell r="C82">
            <v>6</v>
          </cell>
          <cell r="D82">
            <v>5</v>
          </cell>
          <cell r="E82">
            <v>5</v>
          </cell>
          <cell r="F82">
            <v>3</v>
          </cell>
          <cell r="G82">
            <v>2</v>
          </cell>
          <cell r="H82">
            <v>2</v>
          </cell>
          <cell r="I82">
            <v>10</v>
          </cell>
          <cell r="J82">
            <v>4</v>
          </cell>
          <cell r="K82">
            <v>4</v>
          </cell>
          <cell r="L82">
            <v>4</v>
          </cell>
          <cell r="M82">
            <v>3</v>
          </cell>
          <cell r="N82">
            <v>3</v>
          </cell>
          <cell r="O82">
            <v>2</v>
          </cell>
          <cell r="P82" t="str">
            <v/>
          </cell>
          <cell r="Q82" t="str">
            <v/>
          </cell>
          <cell r="R82" t="str">
            <v/>
          </cell>
          <cell r="S82" t="str">
            <v/>
          </cell>
          <cell r="AE82">
            <v>10</v>
          </cell>
          <cell r="AF82" t="str">
            <v/>
          </cell>
          <cell r="AG82">
            <v>2</v>
          </cell>
          <cell r="AH82">
            <v>2</v>
          </cell>
          <cell r="AI82">
            <v>2</v>
          </cell>
          <cell r="AJ82">
            <v>1</v>
          </cell>
        </row>
        <row r="83">
          <cell r="A83">
            <v>11</v>
          </cell>
          <cell r="B83" t="str">
            <v/>
          </cell>
          <cell r="C83" t="str">
            <v/>
          </cell>
          <cell r="D83" t="str">
            <v/>
          </cell>
          <cell r="E83" t="str">
            <v/>
          </cell>
          <cell r="F83" t="str">
            <v/>
          </cell>
          <cell r="G83" t="str">
            <v/>
          </cell>
          <cell r="H83" t="str">
            <v/>
          </cell>
          <cell r="I83">
            <v>11</v>
          </cell>
          <cell r="J83">
            <v>4</v>
          </cell>
          <cell r="K83">
            <v>4</v>
          </cell>
          <cell r="L83">
            <v>4</v>
          </cell>
          <cell r="M83">
            <v>4</v>
          </cell>
          <cell r="N83">
            <v>3</v>
          </cell>
          <cell r="O83">
            <v>2</v>
          </cell>
          <cell r="P83">
            <v>1</v>
          </cell>
          <cell r="Q83" t="str">
            <v/>
          </cell>
          <cell r="R83" t="str">
            <v/>
          </cell>
          <cell r="S83" t="str">
            <v/>
          </cell>
        </row>
        <row r="84">
          <cell r="A84">
            <v>12</v>
          </cell>
          <cell r="B84" t="str">
            <v/>
          </cell>
          <cell r="C84" t="str">
            <v/>
          </cell>
          <cell r="D84" t="str">
            <v/>
          </cell>
          <cell r="E84" t="str">
            <v/>
          </cell>
          <cell r="F84" t="str">
            <v/>
          </cell>
          <cell r="G84" t="str">
            <v/>
          </cell>
          <cell r="H84" t="str">
            <v/>
          </cell>
          <cell r="I84">
            <v>12</v>
          </cell>
          <cell r="J84">
            <v>4</v>
          </cell>
          <cell r="K84">
            <v>4</v>
          </cell>
          <cell r="L84">
            <v>4</v>
          </cell>
          <cell r="M84">
            <v>4</v>
          </cell>
          <cell r="N84">
            <v>3</v>
          </cell>
          <cell r="O84">
            <v>3</v>
          </cell>
          <cell r="P84">
            <v>2</v>
          </cell>
          <cell r="Q84" t="str">
            <v/>
          </cell>
          <cell r="R84" t="str">
            <v/>
          </cell>
          <cell r="S84" t="str">
            <v/>
          </cell>
        </row>
        <row r="85">
          <cell r="A85">
            <v>13</v>
          </cell>
          <cell r="B85" t="str">
            <v/>
          </cell>
          <cell r="C85" t="str">
            <v/>
          </cell>
          <cell r="D85" t="str">
            <v/>
          </cell>
          <cell r="E85" t="str">
            <v/>
          </cell>
          <cell r="F85" t="str">
            <v/>
          </cell>
          <cell r="G85" t="str">
            <v/>
          </cell>
          <cell r="H85" t="str">
            <v/>
          </cell>
          <cell r="I85">
            <v>13</v>
          </cell>
          <cell r="J85">
            <v>4</v>
          </cell>
          <cell r="K85">
            <v>4</v>
          </cell>
          <cell r="L85">
            <v>4</v>
          </cell>
          <cell r="M85">
            <v>4</v>
          </cell>
          <cell r="N85">
            <v>4</v>
          </cell>
          <cell r="O85">
            <v>3</v>
          </cell>
          <cell r="P85">
            <v>2</v>
          </cell>
          <cell r="Q85">
            <v>1</v>
          </cell>
          <cell r="R85" t="str">
            <v/>
          </cell>
          <cell r="S85" t="str">
            <v/>
          </cell>
          <cell r="AE85">
            <v>0</v>
          </cell>
          <cell r="AF85" t="str">
            <v/>
          </cell>
          <cell r="AG85" t="str">
            <v/>
          </cell>
          <cell r="AH85" t="str">
            <v/>
          </cell>
          <cell r="AI85" t="str">
            <v/>
          </cell>
          <cell r="AJ85" t="str">
            <v/>
          </cell>
          <cell r="AK85" t="str">
            <v/>
          </cell>
        </row>
        <row r="86">
          <cell r="A86">
            <v>14</v>
          </cell>
          <cell r="B86" t="str">
            <v/>
          </cell>
          <cell r="C86" t="str">
            <v/>
          </cell>
          <cell r="D86" t="str">
            <v/>
          </cell>
          <cell r="E86" t="str">
            <v/>
          </cell>
          <cell r="F86" t="str">
            <v/>
          </cell>
          <cell r="G86" t="str">
            <v/>
          </cell>
          <cell r="H86" t="str">
            <v/>
          </cell>
          <cell r="I86">
            <v>14</v>
          </cell>
          <cell r="J86">
            <v>4</v>
          </cell>
          <cell r="K86">
            <v>4</v>
          </cell>
          <cell r="L86">
            <v>4</v>
          </cell>
          <cell r="M86">
            <v>4</v>
          </cell>
          <cell r="N86">
            <v>4</v>
          </cell>
          <cell r="O86">
            <v>3</v>
          </cell>
          <cell r="P86">
            <v>3</v>
          </cell>
          <cell r="Q86">
            <v>2</v>
          </cell>
          <cell r="R86" t="str">
            <v/>
          </cell>
          <cell r="S86" t="str">
            <v/>
          </cell>
          <cell r="AE86">
            <v>1</v>
          </cell>
          <cell r="AF86" t="str">
            <v/>
          </cell>
          <cell r="AG86">
            <v>1</v>
          </cell>
          <cell r="AH86" t="str">
            <v/>
          </cell>
          <cell r="AI86" t="str">
            <v/>
          </cell>
          <cell r="AJ86" t="str">
            <v/>
          </cell>
          <cell r="AK86" t="str">
            <v/>
          </cell>
        </row>
        <row r="87">
          <cell r="A87">
            <v>15</v>
          </cell>
          <cell r="B87" t="str">
            <v/>
          </cell>
          <cell r="C87" t="str">
            <v/>
          </cell>
          <cell r="D87" t="str">
            <v/>
          </cell>
          <cell r="E87" t="str">
            <v/>
          </cell>
          <cell r="F87" t="str">
            <v/>
          </cell>
          <cell r="G87" t="str">
            <v/>
          </cell>
          <cell r="H87" t="str">
            <v/>
          </cell>
          <cell r="I87">
            <v>15</v>
          </cell>
          <cell r="J87">
            <v>4</v>
          </cell>
          <cell r="K87">
            <v>4</v>
          </cell>
          <cell r="L87">
            <v>4</v>
          </cell>
          <cell r="M87">
            <v>4</v>
          </cell>
          <cell r="N87">
            <v>4</v>
          </cell>
          <cell r="O87">
            <v>4</v>
          </cell>
          <cell r="P87">
            <v>3</v>
          </cell>
          <cell r="Q87">
            <v>2</v>
          </cell>
          <cell r="R87">
            <v>1</v>
          </cell>
          <cell r="S87" t="str">
            <v/>
          </cell>
          <cell r="AE87">
            <v>2</v>
          </cell>
          <cell r="AF87" t="str">
            <v/>
          </cell>
          <cell r="AG87">
            <v>1</v>
          </cell>
          <cell r="AH87">
            <v>0</v>
          </cell>
          <cell r="AI87" t="str">
            <v/>
          </cell>
          <cell r="AJ87" t="str">
            <v/>
          </cell>
          <cell r="AK87" t="str">
            <v/>
          </cell>
        </row>
        <row r="88">
          <cell r="A88">
            <v>16</v>
          </cell>
          <cell r="B88" t="str">
            <v/>
          </cell>
          <cell r="C88" t="str">
            <v/>
          </cell>
          <cell r="D88" t="str">
            <v/>
          </cell>
          <cell r="E88" t="str">
            <v/>
          </cell>
          <cell r="F88" t="str">
            <v/>
          </cell>
          <cell r="G88" t="str">
            <v/>
          </cell>
          <cell r="H88" t="str">
            <v/>
          </cell>
          <cell r="I88">
            <v>16</v>
          </cell>
          <cell r="J88">
            <v>4</v>
          </cell>
          <cell r="K88">
            <v>4</v>
          </cell>
          <cell r="L88">
            <v>4</v>
          </cell>
          <cell r="M88">
            <v>4</v>
          </cell>
          <cell r="N88">
            <v>4</v>
          </cell>
          <cell r="O88">
            <v>4</v>
          </cell>
          <cell r="P88">
            <v>3</v>
          </cell>
          <cell r="Q88">
            <v>3</v>
          </cell>
          <cell r="R88">
            <v>2</v>
          </cell>
          <cell r="S88" t="str">
            <v/>
          </cell>
          <cell r="AE88">
            <v>3</v>
          </cell>
          <cell r="AF88" t="str">
            <v/>
          </cell>
          <cell r="AG88">
            <v>2</v>
          </cell>
          <cell r="AH88">
            <v>1</v>
          </cell>
          <cell r="AI88" t="str">
            <v/>
          </cell>
          <cell r="AJ88" t="str">
            <v/>
          </cell>
          <cell r="AK88" t="str">
            <v/>
          </cell>
        </row>
        <row r="89">
          <cell r="A89">
            <v>17</v>
          </cell>
          <cell r="B89" t="str">
            <v/>
          </cell>
          <cell r="C89" t="str">
            <v/>
          </cell>
          <cell r="D89" t="str">
            <v/>
          </cell>
          <cell r="E89" t="str">
            <v/>
          </cell>
          <cell r="F89" t="str">
            <v/>
          </cell>
          <cell r="G89" t="str">
            <v/>
          </cell>
          <cell r="H89" t="str">
            <v/>
          </cell>
          <cell r="I89">
            <v>17</v>
          </cell>
          <cell r="J89">
            <v>4</v>
          </cell>
          <cell r="K89">
            <v>4</v>
          </cell>
          <cell r="L89">
            <v>4</v>
          </cell>
          <cell r="M89">
            <v>4</v>
          </cell>
          <cell r="N89">
            <v>4</v>
          </cell>
          <cell r="O89">
            <v>4</v>
          </cell>
          <cell r="P89">
            <v>4</v>
          </cell>
          <cell r="Q89">
            <v>3</v>
          </cell>
          <cell r="R89">
            <v>2</v>
          </cell>
          <cell r="S89">
            <v>1</v>
          </cell>
          <cell r="AE89">
            <v>4</v>
          </cell>
          <cell r="AF89" t="str">
            <v/>
          </cell>
          <cell r="AG89">
            <v>2</v>
          </cell>
          <cell r="AH89">
            <v>2</v>
          </cell>
          <cell r="AI89">
            <v>0</v>
          </cell>
          <cell r="AJ89" t="str">
            <v/>
          </cell>
          <cell r="AK89" t="str">
            <v/>
          </cell>
        </row>
        <row r="90">
          <cell r="A90">
            <v>18</v>
          </cell>
          <cell r="B90" t="str">
            <v/>
          </cell>
          <cell r="C90" t="str">
            <v/>
          </cell>
          <cell r="D90" t="str">
            <v/>
          </cell>
          <cell r="E90" t="str">
            <v/>
          </cell>
          <cell r="F90" t="str">
            <v/>
          </cell>
          <cell r="G90" t="str">
            <v/>
          </cell>
          <cell r="H90" t="str">
            <v/>
          </cell>
          <cell r="I90">
            <v>18</v>
          </cell>
          <cell r="J90">
            <v>4</v>
          </cell>
          <cell r="K90">
            <v>4</v>
          </cell>
          <cell r="L90">
            <v>4</v>
          </cell>
          <cell r="M90">
            <v>4</v>
          </cell>
          <cell r="N90">
            <v>4</v>
          </cell>
          <cell r="O90">
            <v>4</v>
          </cell>
          <cell r="P90">
            <v>4</v>
          </cell>
          <cell r="Q90">
            <v>3</v>
          </cell>
          <cell r="R90">
            <v>3</v>
          </cell>
          <cell r="S90">
            <v>2</v>
          </cell>
          <cell r="AE90">
            <v>5</v>
          </cell>
          <cell r="AF90" t="str">
            <v/>
          </cell>
          <cell r="AG90">
            <v>3</v>
          </cell>
          <cell r="AH90">
            <v>2</v>
          </cell>
          <cell r="AI90">
            <v>1</v>
          </cell>
          <cell r="AJ90" t="str">
            <v/>
          </cell>
          <cell r="AK90" t="str">
            <v/>
          </cell>
        </row>
        <row r="91">
          <cell r="A91">
            <v>19</v>
          </cell>
          <cell r="B91" t="str">
            <v/>
          </cell>
          <cell r="C91" t="str">
            <v/>
          </cell>
          <cell r="D91" t="str">
            <v/>
          </cell>
          <cell r="E91" t="str">
            <v/>
          </cell>
          <cell r="F91" t="str">
            <v/>
          </cell>
          <cell r="G91" t="str">
            <v/>
          </cell>
          <cell r="H91" t="str">
            <v/>
          </cell>
          <cell r="I91">
            <v>19</v>
          </cell>
          <cell r="J91">
            <v>4</v>
          </cell>
          <cell r="K91">
            <v>4</v>
          </cell>
          <cell r="L91">
            <v>4</v>
          </cell>
          <cell r="M91">
            <v>4</v>
          </cell>
          <cell r="N91">
            <v>4</v>
          </cell>
          <cell r="O91">
            <v>4</v>
          </cell>
          <cell r="P91">
            <v>4</v>
          </cell>
          <cell r="Q91">
            <v>4</v>
          </cell>
          <cell r="R91">
            <v>3</v>
          </cell>
          <cell r="S91">
            <v>3</v>
          </cell>
          <cell r="AE91">
            <v>6</v>
          </cell>
          <cell r="AF91" t="str">
            <v/>
          </cell>
          <cell r="AG91">
            <v>3</v>
          </cell>
          <cell r="AH91">
            <v>3</v>
          </cell>
          <cell r="AI91">
            <v>2</v>
          </cell>
          <cell r="AJ91">
            <v>0</v>
          </cell>
          <cell r="AK91" t="str">
            <v/>
          </cell>
        </row>
        <row r="92">
          <cell r="A92">
            <v>20</v>
          </cell>
          <cell r="B92" t="str">
            <v/>
          </cell>
          <cell r="C92" t="str">
            <v/>
          </cell>
          <cell r="D92" t="str">
            <v/>
          </cell>
          <cell r="E92" t="str">
            <v/>
          </cell>
          <cell r="F92" t="str">
            <v/>
          </cell>
          <cell r="G92" t="str">
            <v/>
          </cell>
          <cell r="H92" t="str">
            <v/>
          </cell>
          <cell r="I92">
            <v>20</v>
          </cell>
          <cell r="J92">
            <v>4</v>
          </cell>
          <cell r="K92">
            <v>4</v>
          </cell>
          <cell r="L92">
            <v>4</v>
          </cell>
          <cell r="M92">
            <v>4</v>
          </cell>
          <cell r="N92">
            <v>4</v>
          </cell>
          <cell r="O92">
            <v>4</v>
          </cell>
          <cell r="P92">
            <v>4</v>
          </cell>
          <cell r="Q92">
            <v>4</v>
          </cell>
          <cell r="R92">
            <v>4</v>
          </cell>
          <cell r="S92">
            <v>4</v>
          </cell>
          <cell r="AE92">
            <v>7</v>
          </cell>
          <cell r="AF92" t="str">
            <v/>
          </cell>
          <cell r="AG92">
            <v>3</v>
          </cell>
          <cell r="AH92">
            <v>3</v>
          </cell>
          <cell r="AI92">
            <v>2</v>
          </cell>
          <cell r="AJ92">
            <v>1</v>
          </cell>
          <cell r="AK92" t="str">
            <v/>
          </cell>
        </row>
        <row r="93">
          <cell r="AE93">
            <v>8</v>
          </cell>
          <cell r="AF93" t="str">
            <v/>
          </cell>
          <cell r="AG93">
            <v>4</v>
          </cell>
          <cell r="AH93">
            <v>3</v>
          </cell>
          <cell r="AI93">
            <v>3</v>
          </cell>
          <cell r="AJ93">
            <v>2</v>
          </cell>
          <cell r="AK93">
            <v>0</v>
          </cell>
        </row>
        <row r="94">
          <cell r="AE94">
            <v>9</v>
          </cell>
          <cell r="AF94" t="str">
            <v/>
          </cell>
          <cell r="AG94">
            <v>4</v>
          </cell>
          <cell r="AH94">
            <v>4</v>
          </cell>
          <cell r="AI94">
            <v>3</v>
          </cell>
          <cell r="AJ94">
            <v>2</v>
          </cell>
          <cell r="AK94">
            <v>1</v>
          </cell>
        </row>
        <row r="95">
          <cell r="A95">
            <v>0</v>
          </cell>
          <cell r="B95" t="str">
            <v/>
          </cell>
          <cell r="C95" t="str">
            <v/>
          </cell>
          <cell r="D95" t="str">
            <v/>
          </cell>
          <cell r="E95" t="str">
            <v/>
          </cell>
          <cell r="F95" t="str">
            <v/>
          </cell>
          <cell r="G95" t="str">
            <v/>
          </cell>
          <cell r="H95" t="str">
            <v/>
          </cell>
          <cell r="I95">
            <v>0</v>
          </cell>
          <cell r="J95" t="str">
            <v/>
          </cell>
          <cell r="K95" t="str">
            <v/>
          </cell>
          <cell r="L95" t="str">
            <v/>
          </cell>
          <cell r="M95" t="str">
            <v/>
          </cell>
          <cell r="N95" t="str">
            <v/>
          </cell>
          <cell r="O95" t="str">
            <v/>
          </cell>
          <cell r="P95" t="str">
            <v/>
          </cell>
          <cell r="Q95" t="str">
            <v/>
          </cell>
          <cell r="R95" t="str">
            <v/>
          </cell>
          <cell r="S95" t="str">
            <v/>
          </cell>
          <cell r="AE95">
            <v>10</v>
          </cell>
          <cell r="AF95" t="str">
            <v/>
          </cell>
          <cell r="AG95">
            <v>4</v>
          </cell>
          <cell r="AH95">
            <v>4</v>
          </cell>
          <cell r="AI95">
            <v>3</v>
          </cell>
          <cell r="AJ95">
            <v>3</v>
          </cell>
          <cell r="AK95">
            <v>2</v>
          </cell>
        </row>
        <row r="96">
          <cell r="A96">
            <v>1</v>
          </cell>
          <cell r="B96">
            <v>3</v>
          </cell>
          <cell r="C96">
            <v>1</v>
          </cell>
          <cell r="D96" t="str">
            <v/>
          </cell>
          <cell r="E96" t="str">
            <v/>
          </cell>
          <cell r="F96" t="str">
            <v/>
          </cell>
          <cell r="G96" t="str">
            <v/>
          </cell>
          <cell r="H96" t="str">
            <v/>
          </cell>
          <cell r="I96">
            <v>1</v>
          </cell>
          <cell r="J96">
            <v>4</v>
          </cell>
          <cell r="K96">
            <v>2</v>
          </cell>
          <cell r="L96" t="str">
            <v/>
          </cell>
          <cell r="M96" t="str">
            <v/>
          </cell>
          <cell r="N96" t="str">
            <v/>
          </cell>
          <cell r="O96" t="str">
            <v/>
          </cell>
          <cell r="P96" t="str">
            <v/>
          </cell>
          <cell r="Q96" t="str">
            <v/>
          </cell>
          <cell r="R96" t="str">
            <v/>
          </cell>
          <cell r="S96" t="str">
            <v/>
          </cell>
        </row>
        <row r="97">
          <cell r="A97">
            <v>2</v>
          </cell>
          <cell r="B97">
            <v>4</v>
          </cell>
          <cell r="C97">
            <v>2</v>
          </cell>
          <cell r="D97" t="str">
            <v/>
          </cell>
          <cell r="E97" t="str">
            <v/>
          </cell>
          <cell r="F97" t="str">
            <v/>
          </cell>
          <cell r="G97" t="str">
            <v/>
          </cell>
          <cell r="H97" t="str">
            <v/>
          </cell>
          <cell r="I97">
            <v>2</v>
          </cell>
          <cell r="J97">
            <v>5</v>
          </cell>
          <cell r="K97">
            <v>3</v>
          </cell>
          <cell r="L97">
            <v>0</v>
          </cell>
          <cell r="M97" t="str">
            <v/>
          </cell>
          <cell r="N97" t="str">
            <v/>
          </cell>
          <cell r="O97" t="str">
            <v/>
          </cell>
          <cell r="P97" t="str">
            <v/>
          </cell>
          <cell r="Q97" t="str">
            <v/>
          </cell>
          <cell r="R97" t="str">
            <v/>
          </cell>
          <cell r="S97" t="str">
            <v/>
          </cell>
        </row>
        <row r="98">
          <cell r="A98">
            <v>3</v>
          </cell>
          <cell r="B98">
            <v>4</v>
          </cell>
          <cell r="C98">
            <v>2</v>
          </cell>
          <cell r="D98">
            <v>1</v>
          </cell>
          <cell r="E98" t="str">
            <v/>
          </cell>
          <cell r="F98" t="str">
            <v/>
          </cell>
          <cell r="G98" t="str">
            <v/>
          </cell>
          <cell r="H98" t="str">
            <v/>
          </cell>
          <cell r="I98">
            <v>3</v>
          </cell>
          <cell r="J98">
            <v>5</v>
          </cell>
          <cell r="K98">
            <v>3</v>
          </cell>
          <cell r="L98">
            <v>1</v>
          </cell>
          <cell r="M98">
            <v>0</v>
          </cell>
          <cell r="N98" t="str">
            <v/>
          </cell>
          <cell r="O98" t="str">
            <v/>
          </cell>
          <cell r="P98" t="str">
            <v/>
          </cell>
          <cell r="Q98" t="str">
            <v/>
          </cell>
          <cell r="R98" t="str">
            <v/>
          </cell>
          <cell r="S98" t="str">
            <v/>
          </cell>
          <cell r="AE98">
            <v>0</v>
          </cell>
          <cell r="AF98" t="str">
            <v/>
          </cell>
          <cell r="AG98" t="str">
            <v/>
          </cell>
          <cell r="AH98" t="str">
            <v/>
          </cell>
          <cell r="AI98" t="str">
            <v/>
          </cell>
          <cell r="AJ98" t="str">
            <v/>
          </cell>
          <cell r="AK98" t="str">
            <v/>
          </cell>
        </row>
        <row r="99">
          <cell r="A99">
            <v>4</v>
          </cell>
          <cell r="B99">
            <v>5</v>
          </cell>
          <cell r="C99">
            <v>3</v>
          </cell>
          <cell r="D99">
            <v>2</v>
          </cell>
          <cell r="E99" t="str">
            <v/>
          </cell>
          <cell r="F99" t="str">
            <v/>
          </cell>
          <cell r="G99" t="str">
            <v/>
          </cell>
          <cell r="H99" t="str">
            <v/>
          </cell>
          <cell r="I99">
            <v>4</v>
          </cell>
          <cell r="J99">
            <v>6</v>
          </cell>
          <cell r="K99">
            <v>3</v>
          </cell>
          <cell r="L99">
            <v>2</v>
          </cell>
          <cell r="M99">
            <v>1</v>
          </cell>
          <cell r="N99">
            <v>0</v>
          </cell>
          <cell r="O99" t="str">
            <v/>
          </cell>
          <cell r="P99" t="str">
            <v/>
          </cell>
          <cell r="Q99" t="str">
            <v/>
          </cell>
          <cell r="R99" t="str">
            <v/>
          </cell>
          <cell r="S99" t="str">
            <v/>
          </cell>
          <cell r="AE99">
            <v>1</v>
          </cell>
          <cell r="AF99" t="str">
            <v/>
          </cell>
          <cell r="AG99">
            <v>1</v>
          </cell>
          <cell r="AH99" t="str">
            <v/>
          </cell>
          <cell r="AI99" t="str">
            <v/>
          </cell>
          <cell r="AJ99" t="str">
            <v/>
          </cell>
          <cell r="AK99" t="str">
            <v/>
          </cell>
        </row>
        <row r="100">
          <cell r="A100">
            <v>5</v>
          </cell>
          <cell r="B100">
            <v>5</v>
          </cell>
          <cell r="C100">
            <v>3</v>
          </cell>
          <cell r="D100">
            <v>2</v>
          </cell>
          <cell r="E100">
            <v>1</v>
          </cell>
          <cell r="F100" t="str">
            <v/>
          </cell>
          <cell r="G100" t="str">
            <v/>
          </cell>
          <cell r="H100" t="str">
            <v/>
          </cell>
          <cell r="I100">
            <v>5</v>
          </cell>
          <cell r="J100">
            <v>6</v>
          </cell>
          <cell r="K100">
            <v>3</v>
          </cell>
          <cell r="L100">
            <v>3</v>
          </cell>
          <cell r="M100">
            <v>2</v>
          </cell>
          <cell r="N100">
            <v>1</v>
          </cell>
          <cell r="O100">
            <v>0</v>
          </cell>
          <cell r="P100" t="str">
            <v/>
          </cell>
          <cell r="Q100" t="str">
            <v/>
          </cell>
          <cell r="R100" t="str">
            <v/>
          </cell>
          <cell r="S100" t="str">
            <v/>
          </cell>
          <cell r="AE100">
            <v>2</v>
          </cell>
          <cell r="AF100" t="str">
            <v/>
          </cell>
          <cell r="AG100">
            <v>2</v>
          </cell>
          <cell r="AH100" t="str">
            <v/>
          </cell>
          <cell r="AI100" t="str">
            <v/>
          </cell>
          <cell r="AJ100" t="str">
            <v/>
          </cell>
          <cell r="AK100" t="str">
            <v/>
          </cell>
        </row>
        <row r="101">
          <cell r="A101">
            <v>6</v>
          </cell>
          <cell r="B101">
            <v>5</v>
          </cell>
          <cell r="C101">
            <v>3</v>
          </cell>
          <cell r="D101">
            <v>3</v>
          </cell>
          <cell r="E101">
            <v>2</v>
          </cell>
          <cell r="F101" t="str">
            <v/>
          </cell>
          <cell r="G101" t="str">
            <v/>
          </cell>
          <cell r="H101" t="str">
            <v/>
          </cell>
          <cell r="I101">
            <v>6</v>
          </cell>
          <cell r="J101">
            <v>6</v>
          </cell>
          <cell r="K101">
            <v>3</v>
          </cell>
          <cell r="L101">
            <v>3</v>
          </cell>
          <cell r="M101">
            <v>3</v>
          </cell>
          <cell r="N101">
            <v>2</v>
          </cell>
          <cell r="O101">
            <v>1</v>
          </cell>
          <cell r="P101">
            <v>0</v>
          </cell>
          <cell r="Q101" t="str">
            <v/>
          </cell>
          <cell r="R101" t="str">
            <v/>
          </cell>
          <cell r="S101" t="str">
            <v/>
          </cell>
          <cell r="AE101">
            <v>3</v>
          </cell>
          <cell r="AF101" t="str">
            <v/>
          </cell>
          <cell r="AG101">
            <v>2</v>
          </cell>
          <cell r="AH101">
            <v>1</v>
          </cell>
          <cell r="AI101" t="str">
            <v/>
          </cell>
          <cell r="AJ101" t="str">
            <v/>
          </cell>
          <cell r="AK101" t="str">
            <v/>
          </cell>
        </row>
        <row r="102">
          <cell r="A102">
            <v>7</v>
          </cell>
          <cell r="B102">
            <v>6</v>
          </cell>
          <cell r="C102">
            <v>4</v>
          </cell>
          <cell r="D102">
            <v>3</v>
          </cell>
          <cell r="E102">
            <v>2</v>
          </cell>
          <cell r="F102">
            <v>1</v>
          </cell>
          <cell r="G102" t="str">
            <v/>
          </cell>
          <cell r="H102" t="str">
            <v/>
          </cell>
          <cell r="I102">
            <v>7</v>
          </cell>
          <cell r="J102">
            <v>6</v>
          </cell>
          <cell r="K102">
            <v>4</v>
          </cell>
          <cell r="L102">
            <v>3</v>
          </cell>
          <cell r="M102">
            <v>3</v>
          </cell>
          <cell r="N102">
            <v>3</v>
          </cell>
          <cell r="O102">
            <v>2</v>
          </cell>
          <cell r="P102">
            <v>1</v>
          </cell>
          <cell r="Q102">
            <v>0</v>
          </cell>
          <cell r="R102" t="str">
            <v/>
          </cell>
          <cell r="S102" t="str">
            <v/>
          </cell>
          <cell r="AE102">
            <v>4</v>
          </cell>
          <cell r="AF102" t="str">
            <v/>
          </cell>
          <cell r="AG102">
            <v>3</v>
          </cell>
          <cell r="AH102">
            <v>2</v>
          </cell>
          <cell r="AI102" t="str">
            <v/>
          </cell>
          <cell r="AJ102" t="str">
            <v/>
          </cell>
          <cell r="AK102" t="str">
            <v/>
          </cell>
        </row>
        <row r="103">
          <cell r="A103">
            <v>8</v>
          </cell>
          <cell r="B103">
            <v>6</v>
          </cell>
          <cell r="C103">
            <v>4</v>
          </cell>
          <cell r="D103">
            <v>3</v>
          </cell>
          <cell r="E103">
            <v>3</v>
          </cell>
          <cell r="F103">
            <v>2</v>
          </cell>
          <cell r="G103" t="str">
            <v/>
          </cell>
          <cell r="H103" t="str">
            <v/>
          </cell>
          <cell r="I103">
            <v>8</v>
          </cell>
          <cell r="J103">
            <v>6</v>
          </cell>
          <cell r="K103">
            <v>4</v>
          </cell>
          <cell r="L103">
            <v>4</v>
          </cell>
          <cell r="M103">
            <v>3</v>
          </cell>
          <cell r="N103">
            <v>3</v>
          </cell>
          <cell r="O103">
            <v>3</v>
          </cell>
          <cell r="P103">
            <v>2</v>
          </cell>
          <cell r="Q103">
            <v>1</v>
          </cell>
          <cell r="R103">
            <v>0</v>
          </cell>
          <cell r="S103" t="str">
            <v/>
          </cell>
          <cell r="AE103">
            <v>5</v>
          </cell>
          <cell r="AF103" t="str">
            <v/>
          </cell>
          <cell r="AG103">
            <v>3</v>
          </cell>
          <cell r="AH103">
            <v>2</v>
          </cell>
          <cell r="AI103">
            <v>1</v>
          </cell>
          <cell r="AJ103" t="str">
            <v/>
          </cell>
          <cell r="AK103" t="str">
            <v/>
          </cell>
        </row>
        <row r="104">
          <cell r="A104">
            <v>9</v>
          </cell>
          <cell r="B104">
            <v>6</v>
          </cell>
          <cell r="C104">
            <v>4</v>
          </cell>
          <cell r="D104">
            <v>4</v>
          </cell>
          <cell r="E104">
            <v>3</v>
          </cell>
          <cell r="F104">
            <v>2</v>
          </cell>
          <cell r="G104">
            <v>1</v>
          </cell>
          <cell r="H104" t="str">
            <v/>
          </cell>
          <cell r="I104">
            <v>9</v>
          </cell>
          <cell r="J104">
            <v>6</v>
          </cell>
          <cell r="K104">
            <v>5</v>
          </cell>
          <cell r="L104">
            <v>4</v>
          </cell>
          <cell r="M104">
            <v>4</v>
          </cell>
          <cell r="N104">
            <v>4</v>
          </cell>
          <cell r="O104">
            <v>4</v>
          </cell>
          <cell r="P104">
            <v>3</v>
          </cell>
          <cell r="Q104">
            <v>2</v>
          </cell>
          <cell r="R104">
            <v>1</v>
          </cell>
          <cell r="S104">
            <v>0</v>
          </cell>
          <cell r="AE104">
            <v>6</v>
          </cell>
          <cell r="AF104" t="str">
            <v/>
          </cell>
          <cell r="AG104">
            <v>3</v>
          </cell>
          <cell r="AH104">
            <v>3</v>
          </cell>
          <cell r="AI104">
            <v>2</v>
          </cell>
          <cell r="AJ104" t="str">
            <v/>
          </cell>
          <cell r="AK104" t="str">
            <v/>
          </cell>
        </row>
        <row r="105">
          <cell r="A105">
            <v>10</v>
          </cell>
          <cell r="B105">
            <v>6</v>
          </cell>
          <cell r="C105">
            <v>4</v>
          </cell>
          <cell r="D105">
            <v>4</v>
          </cell>
          <cell r="E105">
            <v>3</v>
          </cell>
          <cell r="F105">
            <v>3</v>
          </cell>
          <cell r="G105">
            <v>2</v>
          </cell>
          <cell r="H105" t="str">
            <v/>
          </cell>
          <cell r="I105">
            <v>10</v>
          </cell>
          <cell r="J105">
            <v>6</v>
          </cell>
          <cell r="K105">
            <v>5</v>
          </cell>
          <cell r="L105">
            <v>5</v>
          </cell>
          <cell r="M105">
            <v>4</v>
          </cell>
          <cell r="N105">
            <v>4</v>
          </cell>
          <cell r="O105">
            <v>4</v>
          </cell>
          <cell r="P105">
            <v>4</v>
          </cell>
          <cell r="Q105">
            <v>3</v>
          </cell>
          <cell r="R105">
            <v>2</v>
          </cell>
          <cell r="S105">
            <v>1</v>
          </cell>
          <cell r="AE105">
            <v>7</v>
          </cell>
          <cell r="AF105" t="str">
            <v/>
          </cell>
          <cell r="AG105">
            <v>4</v>
          </cell>
          <cell r="AH105">
            <v>3</v>
          </cell>
          <cell r="AI105">
            <v>2</v>
          </cell>
          <cell r="AJ105">
            <v>1</v>
          </cell>
          <cell r="AK105" t="str">
            <v/>
          </cell>
        </row>
        <row r="106">
          <cell r="A106">
            <v>11</v>
          </cell>
          <cell r="B106" t="str">
            <v/>
          </cell>
          <cell r="C106" t="str">
            <v/>
          </cell>
          <cell r="D106" t="str">
            <v/>
          </cell>
          <cell r="E106" t="str">
            <v/>
          </cell>
          <cell r="F106" t="str">
            <v/>
          </cell>
          <cell r="G106" t="str">
            <v/>
          </cell>
          <cell r="H106" t="str">
            <v/>
          </cell>
          <cell r="AE106">
            <v>8</v>
          </cell>
          <cell r="AF106" t="str">
            <v/>
          </cell>
          <cell r="AG106">
            <v>4</v>
          </cell>
          <cell r="AH106">
            <v>3</v>
          </cell>
          <cell r="AI106">
            <v>3</v>
          </cell>
          <cell r="AJ106">
            <v>2</v>
          </cell>
          <cell r="AK106" t="str">
            <v/>
          </cell>
        </row>
        <row r="107">
          <cell r="A107">
            <v>12</v>
          </cell>
          <cell r="B107" t="str">
            <v/>
          </cell>
          <cell r="C107" t="str">
            <v/>
          </cell>
          <cell r="D107" t="str">
            <v/>
          </cell>
          <cell r="E107" t="str">
            <v/>
          </cell>
          <cell r="F107" t="str">
            <v/>
          </cell>
          <cell r="G107" t="str">
            <v/>
          </cell>
          <cell r="H107" t="str">
            <v/>
          </cell>
          <cell r="AE107">
            <v>9</v>
          </cell>
          <cell r="AF107" t="str">
            <v/>
          </cell>
          <cell r="AG107">
            <v>4</v>
          </cell>
          <cell r="AH107">
            <v>4</v>
          </cell>
          <cell r="AI107">
            <v>3</v>
          </cell>
          <cell r="AJ107">
            <v>2</v>
          </cell>
          <cell r="AK107">
            <v>1</v>
          </cell>
        </row>
        <row r="108">
          <cell r="A108">
            <v>13</v>
          </cell>
          <cell r="B108" t="str">
            <v/>
          </cell>
          <cell r="C108" t="str">
            <v/>
          </cell>
          <cell r="D108" t="str">
            <v/>
          </cell>
          <cell r="E108" t="str">
            <v/>
          </cell>
          <cell r="F108" t="str">
            <v/>
          </cell>
          <cell r="G108" t="str">
            <v/>
          </cell>
          <cell r="H108" t="str">
            <v/>
          </cell>
          <cell r="I108">
            <v>0</v>
          </cell>
          <cell r="J108" t="str">
            <v/>
          </cell>
          <cell r="K108" t="str">
            <v/>
          </cell>
          <cell r="L108" t="str">
            <v/>
          </cell>
          <cell r="M108" t="str">
            <v/>
          </cell>
          <cell r="N108" t="str">
            <v/>
          </cell>
          <cell r="O108" t="str">
            <v/>
          </cell>
          <cell r="P108" t="str">
            <v/>
          </cell>
          <cell r="Q108" t="str">
            <v/>
          </cell>
          <cell r="R108" t="str">
            <v/>
          </cell>
          <cell r="S108" t="str">
            <v/>
          </cell>
          <cell r="AE108">
            <v>10</v>
          </cell>
          <cell r="AF108" t="str">
            <v/>
          </cell>
          <cell r="AG108">
            <v>4</v>
          </cell>
          <cell r="AH108">
            <v>4</v>
          </cell>
          <cell r="AI108">
            <v>3</v>
          </cell>
          <cell r="AJ108">
            <v>3</v>
          </cell>
          <cell r="AK108">
            <v>2</v>
          </cell>
        </row>
        <row r="109">
          <cell r="A109">
            <v>14</v>
          </cell>
          <cell r="B109" t="str">
            <v/>
          </cell>
          <cell r="C109" t="str">
            <v/>
          </cell>
          <cell r="D109" t="str">
            <v/>
          </cell>
          <cell r="E109" t="str">
            <v/>
          </cell>
          <cell r="F109" t="str">
            <v/>
          </cell>
          <cell r="G109" t="str">
            <v/>
          </cell>
          <cell r="H109" t="str">
            <v/>
          </cell>
          <cell r="I109">
            <v>1</v>
          </cell>
          <cell r="J109">
            <v>5</v>
          </cell>
          <cell r="K109">
            <v>3</v>
          </cell>
          <cell r="L109" t="str">
            <v/>
          </cell>
          <cell r="M109" t="str">
            <v/>
          </cell>
          <cell r="N109" t="str">
            <v/>
          </cell>
          <cell r="O109" t="str">
            <v/>
          </cell>
          <cell r="P109" t="str">
            <v/>
          </cell>
          <cell r="Q109" t="str">
            <v/>
          </cell>
          <cell r="R109" t="str">
            <v/>
          </cell>
          <cell r="S109" t="str">
            <v/>
          </cell>
        </row>
        <row r="110">
          <cell r="A110">
            <v>15</v>
          </cell>
          <cell r="B110" t="str">
            <v/>
          </cell>
          <cell r="C110" t="str">
            <v/>
          </cell>
          <cell r="D110" t="str">
            <v/>
          </cell>
          <cell r="E110" t="str">
            <v/>
          </cell>
          <cell r="F110" t="str">
            <v/>
          </cell>
          <cell r="G110" t="str">
            <v/>
          </cell>
          <cell r="H110" t="str">
            <v/>
          </cell>
          <cell r="I110">
            <v>2</v>
          </cell>
          <cell r="J110">
            <v>6</v>
          </cell>
          <cell r="K110">
            <v>4</v>
          </cell>
          <cell r="L110" t="str">
            <v/>
          </cell>
          <cell r="M110" t="str">
            <v/>
          </cell>
          <cell r="N110" t="str">
            <v/>
          </cell>
          <cell r="O110" t="str">
            <v/>
          </cell>
          <cell r="P110" t="str">
            <v/>
          </cell>
          <cell r="Q110" t="str">
            <v/>
          </cell>
          <cell r="R110" t="str">
            <v/>
          </cell>
          <cell r="S110" t="str">
            <v/>
          </cell>
        </row>
        <row r="111">
          <cell r="A111">
            <v>16</v>
          </cell>
          <cell r="B111" t="str">
            <v/>
          </cell>
          <cell r="C111" t="str">
            <v/>
          </cell>
          <cell r="D111" t="str">
            <v/>
          </cell>
          <cell r="E111" t="str">
            <v/>
          </cell>
          <cell r="F111" t="str">
            <v/>
          </cell>
          <cell r="G111" t="str">
            <v/>
          </cell>
          <cell r="H111" t="str">
            <v/>
          </cell>
          <cell r="I111">
            <v>3</v>
          </cell>
          <cell r="J111">
            <v>6</v>
          </cell>
          <cell r="K111">
            <v>5</v>
          </cell>
          <cell r="L111" t="str">
            <v/>
          </cell>
          <cell r="M111" t="str">
            <v/>
          </cell>
          <cell r="N111" t="str">
            <v/>
          </cell>
          <cell r="O111" t="str">
            <v/>
          </cell>
          <cell r="P111" t="str">
            <v/>
          </cell>
          <cell r="Q111" t="str">
            <v/>
          </cell>
          <cell r="R111" t="str">
            <v/>
          </cell>
          <cell r="S111" t="str">
            <v/>
          </cell>
          <cell r="AE111">
            <v>0</v>
          </cell>
          <cell r="AF111" t="str">
            <v/>
          </cell>
          <cell r="AG111" t="str">
            <v/>
          </cell>
          <cell r="AH111" t="str">
            <v/>
          </cell>
          <cell r="AI111" t="str">
            <v/>
          </cell>
          <cell r="AJ111" t="str">
            <v/>
          </cell>
          <cell r="AK111" t="str">
            <v/>
          </cell>
          <cell r="AL111" t="str">
            <v/>
          </cell>
        </row>
        <row r="112">
          <cell r="A112">
            <v>17</v>
          </cell>
          <cell r="B112" t="str">
            <v/>
          </cell>
          <cell r="C112" t="str">
            <v/>
          </cell>
          <cell r="D112" t="str">
            <v/>
          </cell>
          <cell r="E112" t="str">
            <v/>
          </cell>
          <cell r="F112" t="str">
            <v/>
          </cell>
          <cell r="G112" t="str">
            <v/>
          </cell>
          <cell r="H112" t="str">
            <v/>
          </cell>
          <cell r="I112">
            <v>4</v>
          </cell>
          <cell r="J112">
            <v>6</v>
          </cell>
          <cell r="K112">
            <v>6</v>
          </cell>
          <cell r="L112">
            <v>3</v>
          </cell>
          <cell r="M112" t="str">
            <v/>
          </cell>
          <cell r="N112" t="str">
            <v/>
          </cell>
          <cell r="O112" t="str">
            <v/>
          </cell>
          <cell r="P112" t="str">
            <v/>
          </cell>
          <cell r="Q112" t="str">
            <v/>
          </cell>
          <cell r="R112" t="str">
            <v/>
          </cell>
          <cell r="S112" t="str">
            <v/>
          </cell>
          <cell r="AE112">
            <v>1</v>
          </cell>
          <cell r="AF112" t="str">
            <v/>
          </cell>
          <cell r="AG112">
            <v>2</v>
          </cell>
          <cell r="AH112" t="str">
            <v/>
          </cell>
          <cell r="AI112" t="str">
            <v/>
          </cell>
          <cell r="AJ112" t="str">
            <v/>
          </cell>
          <cell r="AK112" t="str">
            <v/>
          </cell>
          <cell r="AL112" t="str">
            <v/>
          </cell>
        </row>
        <row r="113">
          <cell r="A113">
            <v>18</v>
          </cell>
          <cell r="B113" t="str">
            <v/>
          </cell>
          <cell r="C113" t="str">
            <v/>
          </cell>
          <cell r="D113" t="str">
            <v/>
          </cell>
          <cell r="E113" t="str">
            <v/>
          </cell>
          <cell r="F113" t="str">
            <v/>
          </cell>
          <cell r="G113" t="str">
            <v/>
          </cell>
          <cell r="H113" t="str">
            <v/>
          </cell>
          <cell r="I113">
            <v>5</v>
          </cell>
          <cell r="J113">
            <v>6</v>
          </cell>
          <cell r="K113">
            <v>6</v>
          </cell>
          <cell r="L113">
            <v>4</v>
          </cell>
          <cell r="M113" t="str">
            <v/>
          </cell>
          <cell r="N113" t="str">
            <v/>
          </cell>
          <cell r="O113" t="str">
            <v/>
          </cell>
          <cell r="P113" t="str">
            <v/>
          </cell>
          <cell r="Q113" t="str">
            <v/>
          </cell>
          <cell r="R113" t="str">
            <v/>
          </cell>
          <cell r="S113" t="str">
            <v/>
          </cell>
          <cell r="AE113">
            <v>2</v>
          </cell>
          <cell r="AF113" t="str">
            <v/>
          </cell>
          <cell r="AG113">
            <v>2</v>
          </cell>
          <cell r="AH113" t="str">
            <v/>
          </cell>
          <cell r="AI113" t="str">
            <v/>
          </cell>
          <cell r="AJ113" t="str">
            <v/>
          </cell>
          <cell r="AK113" t="str">
            <v/>
          </cell>
          <cell r="AL113" t="str">
            <v/>
          </cell>
        </row>
        <row r="114">
          <cell r="A114">
            <v>19</v>
          </cell>
          <cell r="B114" t="str">
            <v/>
          </cell>
          <cell r="C114" t="str">
            <v/>
          </cell>
          <cell r="D114" t="str">
            <v/>
          </cell>
          <cell r="E114" t="str">
            <v/>
          </cell>
          <cell r="F114" t="str">
            <v/>
          </cell>
          <cell r="G114" t="str">
            <v/>
          </cell>
          <cell r="H114" t="str">
            <v/>
          </cell>
          <cell r="I114">
            <v>6</v>
          </cell>
          <cell r="J114">
            <v>6</v>
          </cell>
          <cell r="K114">
            <v>6</v>
          </cell>
          <cell r="L114">
            <v>5</v>
          </cell>
          <cell r="M114">
            <v>3</v>
          </cell>
          <cell r="N114" t="str">
            <v/>
          </cell>
          <cell r="O114" t="str">
            <v/>
          </cell>
          <cell r="P114" t="str">
            <v/>
          </cell>
          <cell r="Q114" t="str">
            <v/>
          </cell>
          <cell r="R114" t="str">
            <v/>
          </cell>
          <cell r="S114" t="str">
            <v/>
          </cell>
          <cell r="AE114">
            <v>3</v>
          </cell>
          <cell r="AF114" t="str">
            <v/>
          </cell>
          <cell r="AG114">
            <v>3</v>
          </cell>
          <cell r="AH114">
            <v>2</v>
          </cell>
          <cell r="AI114" t="str">
            <v/>
          </cell>
          <cell r="AJ114" t="str">
            <v/>
          </cell>
          <cell r="AK114" t="str">
            <v/>
          </cell>
          <cell r="AL114" t="str">
            <v/>
          </cell>
        </row>
        <row r="115">
          <cell r="A115">
            <v>20</v>
          </cell>
          <cell r="B115" t="str">
            <v/>
          </cell>
          <cell r="C115" t="str">
            <v/>
          </cell>
          <cell r="D115" t="str">
            <v/>
          </cell>
          <cell r="E115" t="str">
            <v/>
          </cell>
          <cell r="F115" t="str">
            <v/>
          </cell>
          <cell r="G115" t="str">
            <v/>
          </cell>
          <cell r="H115" t="str">
            <v/>
          </cell>
          <cell r="I115">
            <v>7</v>
          </cell>
          <cell r="J115">
            <v>6</v>
          </cell>
          <cell r="K115">
            <v>6</v>
          </cell>
          <cell r="L115">
            <v>6</v>
          </cell>
          <cell r="M115">
            <v>4</v>
          </cell>
          <cell r="N115" t="str">
            <v/>
          </cell>
          <cell r="O115" t="str">
            <v/>
          </cell>
          <cell r="P115" t="str">
            <v/>
          </cell>
          <cell r="Q115" t="str">
            <v/>
          </cell>
          <cell r="R115" t="str">
            <v/>
          </cell>
          <cell r="S115" t="str">
            <v/>
          </cell>
          <cell r="AE115">
            <v>4</v>
          </cell>
          <cell r="AF115" t="str">
            <v/>
          </cell>
          <cell r="AG115">
            <v>3</v>
          </cell>
          <cell r="AH115">
            <v>2</v>
          </cell>
          <cell r="AI115" t="str">
            <v/>
          </cell>
          <cell r="AJ115" t="str">
            <v/>
          </cell>
          <cell r="AK115" t="str">
            <v/>
          </cell>
          <cell r="AL115" t="str">
            <v/>
          </cell>
        </row>
        <row r="116">
          <cell r="I116">
            <v>8</v>
          </cell>
          <cell r="J116">
            <v>6</v>
          </cell>
          <cell r="K116">
            <v>6</v>
          </cell>
          <cell r="L116">
            <v>6</v>
          </cell>
          <cell r="M116">
            <v>5</v>
          </cell>
          <cell r="N116">
            <v>3</v>
          </cell>
          <cell r="O116" t="str">
            <v/>
          </cell>
          <cell r="P116" t="str">
            <v/>
          </cell>
          <cell r="Q116" t="str">
            <v/>
          </cell>
          <cell r="R116" t="str">
            <v/>
          </cell>
          <cell r="S116" t="str">
            <v/>
          </cell>
          <cell r="AE116">
            <v>5</v>
          </cell>
          <cell r="AF116" t="str">
            <v/>
          </cell>
          <cell r="AG116">
            <v>4</v>
          </cell>
          <cell r="AH116">
            <v>3</v>
          </cell>
          <cell r="AI116">
            <v>2</v>
          </cell>
          <cell r="AJ116" t="str">
            <v/>
          </cell>
          <cell r="AK116" t="str">
            <v/>
          </cell>
          <cell r="AL116" t="str">
            <v/>
          </cell>
        </row>
        <row r="117">
          <cell r="I117">
            <v>9</v>
          </cell>
          <cell r="J117">
            <v>6</v>
          </cell>
          <cell r="K117">
            <v>6</v>
          </cell>
          <cell r="L117">
            <v>6</v>
          </cell>
          <cell r="M117">
            <v>6</v>
          </cell>
          <cell r="N117">
            <v>4</v>
          </cell>
          <cell r="O117" t="str">
            <v/>
          </cell>
          <cell r="P117" t="str">
            <v/>
          </cell>
          <cell r="Q117" t="str">
            <v/>
          </cell>
          <cell r="R117" t="str">
            <v/>
          </cell>
          <cell r="S117" t="str">
            <v/>
          </cell>
          <cell r="AE117">
            <v>6</v>
          </cell>
          <cell r="AF117" t="str">
            <v/>
          </cell>
          <cell r="AG117">
            <v>4</v>
          </cell>
          <cell r="AH117">
            <v>3</v>
          </cell>
          <cell r="AI117">
            <v>2</v>
          </cell>
          <cell r="AJ117">
            <v>2</v>
          </cell>
          <cell r="AK117" t="str">
            <v/>
          </cell>
          <cell r="AL117" t="str">
            <v/>
          </cell>
        </row>
        <row r="118">
          <cell r="A118">
            <v>0</v>
          </cell>
          <cell r="B118" t="str">
            <v/>
          </cell>
          <cell r="C118" t="str">
            <v/>
          </cell>
          <cell r="D118" t="str">
            <v/>
          </cell>
          <cell r="E118" t="str">
            <v/>
          </cell>
          <cell r="F118" t="str">
            <v/>
          </cell>
          <cell r="G118" t="str">
            <v/>
          </cell>
          <cell r="H118" t="str">
            <v/>
          </cell>
          <cell r="I118">
            <v>10</v>
          </cell>
          <cell r="J118">
            <v>6</v>
          </cell>
          <cell r="K118">
            <v>6</v>
          </cell>
          <cell r="L118">
            <v>6</v>
          </cell>
          <cell r="M118">
            <v>6</v>
          </cell>
          <cell r="N118">
            <v>5</v>
          </cell>
          <cell r="O118">
            <v>3</v>
          </cell>
          <cell r="P118" t="str">
            <v/>
          </cell>
          <cell r="Q118" t="str">
            <v/>
          </cell>
          <cell r="R118" t="str">
            <v/>
          </cell>
          <cell r="S118" t="str">
            <v/>
          </cell>
          <cell r="AE118">
            <v>7</v>
          </cell>
          <cell r="AF118" t="str">
            <v/>
          </cell>
          <cell r="AG118">
            <v>4</v>
          </cell>
          <cell r="AH118">
            <v>4</v>
          </cell>
          <cell r="AI118">
            <v>3</v>
          </cell>
          <cell r="AJ118">
            <v>2</v>
          </cell>
          <cell r="AK118">
            <v>2</v>
          </cell>
          <cell r="AL118" t="str">
            <v/>
          </cell>
        </row>
        <row r="119">
          <cell r="A119">
            <v>1</v>
          </cell>
          <cell r="B119" t="str">
            <v/>
          </cell>
          <cell r="C119" t="str">
            <v/>
          </cell>
          <cell r="D119" t="str">
            <v/>
          </cell>
          <cell r="E119" t="str">
            <v/>
          </cell>
          <cell r="F119" t="str">
            <v/>
          </cell>
          <cell r="G119" t="str">
            <v/>
          </cell>
          <cell r="H119" t="str">
            <v/>
          </cell>
          <cell r="I119">
            <v>11</v>
          </cell>
          <cell r="J119">
            <v>6</v>
          </cell>
          <cell r="K119">
            <v>6</v>
          </cell>
          <cell r="L119">
            <v>6</v>
          </cell>
          <cell r="M119">
            <v>6</v>
          </cell>
          <cell r="N119">
            <v>6</v>
          </cell>
          <cell r="O119">
            <v>4</v>
          </cell>
          <cell r="P119" t="str">
            <v/>
          </cell>
          <cell r="Q119" t="str">
            <v/>
          </cell>
          <cell r="R119" t="str">
            <v/>
          </cell>
          <cell r="S119" t="str">
            <v/>
          </cell>
          <cell r="AE119">
            <v>8</v>
          </cell>
          <cell r="AF119" t="str">
            <v/>
          </cell>
          <cell r="AG119">
            <v>4</v>
          </cell>
          <cell r="AH119">
            <v>4</v>
          </cell>
          <cell r="AI119">
            <v>3</v>
          </cell>
          <cell r="AJ119">
            <v>3</v>
          </cell>
          <cell r="AK119">
            <v>2</v>
          </cell>
          <cell r="AL119">
            <v>2</v>
          </cell>
        </row>
        <row r="120">
          <cell r="A120">
            <v>2</v>
          </cell>
          <cell r="B120" t="str">
            <v/>
          </cell>
          <cell r="C120" t="str">
            <v/>
          </cell>
          <cell r="D120" t="str">
            <v/>
          </cell>
          <cell r="E120" t="str">
            <v/>
          </cell>
          <cell r="F120" t="str">
            <v/>
          </cell>
          <cell r="G120" t="str">
            <v/>
          </cell>
          <cell r="H120" t="str">
            <v/>
          </cell>
          <cell r="I120">
            <v>12</v>
          </cell>
          <cell r="J120">
            <v>6</v>
          </cell>
          <cell r="K120">
            <v>6</v>
          </cell>
          <cell r="L120">
            <v>6</v>
          </cell>
          <cell r="M120">
            <v>6</v>
          </cell>
          <cell r="N120">
            <v>6</v>
          </cell>
          <cell r="O120">
            <v>5</v>
          </cell>
          <cell r="P120">
            <v>3</v>
          </cell>
          <cell r="Q120" t="str">
            <v/>
          </cell>
          <cell r="R120" t="str">
            <v/>
          </cell>
          <cell r="S120" t="str">
            <v/>
          </cell>
          <cell r="AE120">
            <v>9</v>
          </cell>
          <cell r="AF120" t="str">
            <v/>
          </cell>
          <cell r="AG120">
            <v>4</v>
          </cell>
          <cell r="AH120">
            <v>4</v>
          </cell>
          <cell r="AI120">
            <v>4</v>
          </cell>
          <cell r="AJ120">
            <v>3</v>
          </cell>
          <cell r="AK120">
            <v>3</v>
          </cell>
          <cell r="AL120">
            <v>2</v>
          </cell>
        </row>
        <row r="121">
          <cell r="A121">
            <v>3</v>
          </cell>
          <cell r="B121" t="str">
            <v/>
          </cell>
          <cell r="C121" t="str">
            <v/>
          </cell>
          <cell r="D121" t="str">
            <v/>
          </cell>
          <cell r="E121" t="str">
            <v/>
          </cell>
          <cell r="F121" t="str">
            <v/>
          </cell>
          <cell r="G121" t="str">
            <v/>
          </cell>
          <cell r="H121" t="str">
            <v/>
          </cell>
          <cell r="I121">
            <v>13</v>
          </cell>
          <cell r="J121">
            <v>6</v>
          </cell>
          <cell r="K121">
            <v>6</v>
          </cell>
          <cell r="L121">
            <v>6</v>
          </cell>
          <cell r="M121">
            <v>6</v>
          </cell>
          <cell r="N121">
            <v>6</v>
          </cell>
          <cell r="O121">
            <v>6</v>
          </cell>
          <cell r="P121">
            <v>4</v>
          </cell>
          <cell r="Q121" t="str">
            <v/>
          </cell>
          <cell r="R121" t="str">
            <v/>
          </cell>
          <cell r="S121" t="str">
            <v/>
          </cell>
          <cell r="AE121">
            <v>10</v>
          </cell>
          <cell r="AF121" t="str">
            <v/>
          </cell>
          <cell r="AG121">
            <v>4</v>
          </cell>
          <cell r="AH121">
            <v>4</v>
          </cell>
          <cell r="AI121">
            <v>4</v>
          </cell>
          <cell r="AJ121">
            <v>3</v>
          </cell>
          <cell r="AK121">
            <v>3</v>
          </cell>
          <cell r="AL121">
            <v>3</v>
          </cell>
        </row>
        <row r="122">
          <cell r="A122">
            <v>4</v>
          </cell>
          <cell r="B122" t="str">
            <v/>
          </cell>
          <cell r="C122">
            <v>0</v>
          </cell>
          <cell r="D122" t="str">
            <v/>
          </cell>
          <cell r="E122" t="str">
            <v/>
          </cell>
          <cell r="F122" t="str">
            <v/>
          </cell>
          <cell r="G122" t="str">
            <v/>
          </cell>
          <cell r="H122" t="str">
            <v/>
          </cell>
          <cell r="I122">
            <v>14</v>
          </cell>
          <cell r="J122">
            <v>6</v>
          </cell>
          <cell r="K122">
            <v>6</v>
          </cell>
          <cell r="L122">
            <v>6</v>
          </cell>
          <cell r="M122">
            <v>6</v>
          </cell>
          <cell r="N122">
            <v>6</v>
          </cell>
          <cell r="O122">
            <v>6</v>
          </cell>
          <cell r="P122">
            <v>5</v>
          </cell>
          <cell r="Q122">
            <v>3</v>
          </cell>
          <cell r="R122" t="str">
            <v/>
          </cell>
          <cell r="S122" t="str">
            <v/>
          </cell>
        </row>
        <row r="123">
          <cell r="A123">
            <v>5</v>
          </cell>
          <cell r="B123" t="str">
            <v/>
          </cell>
          <cell r="C123">
            <v>0</v>
          </cell>
          <cell r="D123" t="str">
            <v/>
          </cell>
          <cell r="E123" t="str">
            <v/>
          </cell>
          <cell r="F123" t="str">
            <v/>
          </cell>
          <cell r="G123" t="str">
            <v/>
          </cell>
          <cell r="H123" t="str">
            <v/>
          </cell>
          <cell r="I123">
            <v>15</v>
          </cell>
          <cell r="J123">
            <v>6</v>
          </cell>
          <cell r="K123">
            <v>6</v>
          </cell>
          <cell r="L123">
            <v>6</v>
          </cell>
          <cell r="M123">
            <v>6</v>
          </cell>
          <cell r="N123">
            <v>6</v>
          </cell>
          <cell r="O123">
            <v>6</v>
          </cell>
          <cell r="P123">
            <v>6</v>
          </cell>
          <cell r="Q123">
            <v>4</v>
          </cell>
          <cell r="R123" t="str">
            <v/>
          </cell>
          <cell r="S123" t="str">
            <v/>
          </cell>
        </row>
        <row r="124">
          <cell r="A124">
            <v>6</v>
          </cell>
          <cell r="B124" t="str">
            <v/>
          </cell>
          <cell r="C124">
            <v>1</v>
          </cell>
          <cell r="D124" t="str">
            <v/>
          </cell>
          <cell r="E124" t="str">
            <v/>
          </cell>
          <cell r="F124" t="str">
            <v/>
          </cell>
          <cell r="G124" t="str">
            <v/>
          </cell>
          <cell r="H124" t="str">
            <v/>
          </cell>
          <cell r="I124">
            <v>16</v>
          </cell>
          <cell r="J124">
            <v>6</v>
          </cell>
          <cell r="K124">
            <v>6</v>
          </cell>
          <cell r="L124">
            <v>6</v>
          </cell>
          <cell r="M124">
            <v>6</v>
          </cell>
          <cell r="N124">
            <v>6</v>
          </cell>
          <cell r="O124">
            <v>6</v>
          </cell>
          <cell r="P124">
            <v>6</v>
          </cell>
          <cell r="Q124">
            <v>5</v>
          </cell>
          <cell r="R124">
            <v>3</v>
          </cell>
          <cell r="S124" t="str">
            <v/>
          </cell>
          <cell r="AE124">
            <v>0</v>
          </cell>
          <cell r="AF124" t="str">
            <v/>
          </cell>
          <cell r="AG124" t="str">
            <v/>
          </cell>
          <cell r="AH124" t="str">
            <v/>
          </cell>
          <cell r="AI124" t="str">
            <v/>
          </cell>
          <cell r="AJ124" t="str">
            <v/>
          </cell>
        </row>
        <row r="125">
          <cell r="A125">
            <v>7</v>
          </cell>
          <cell r="B125" t="str">
            <v/>
          </cell>
          <cell r="C125">
            <v>1</v>
          </cell>
          <cell r="D125" t="str">
            <v/>
          </cell>
          <cell r="E125" t="str">
            <v/>
          </cell>
          <cell r="F125" t="str">
            <v/>
          </cell>
          <cell r="G125" t="str">
            <v/>
          </cell>
          <cell r="H125" t="str">
            <v/>
          </cell>
          <cell r="I125">
            <v>17</v>
          </cell>
          <cell r="J125">
            <v>6</v>
          </cell>
          <cell r="K125">
            <v>6</v>
          </cell>
          <cell r="L125">
            <v>6</v>
          </cell>
          <cell r="M125">
            <v>6</v>
          </cell>
          <cell r="N125">
            <v>6</v>
          </cell>
          <cell r="O125">
            <v>6</v>
          </cell>
          <cell r="P125">
            <v>6</v>
          </cell>
          <cell r="Q125">
            <v>6</v>
          </cell>
          <cell r="R125">
            <v>4</v>
          </cell>
          <cell r="S125" t="str">
            <v/>
          </cell>
          <cell r="AE125">
            <v>1</v>
          </cell>
          <cell r="AF125" t="str">
            <v/>
          </cell>
          <cell r="AG125">
            <v>0</v>
          </cell>
          <cell r="AH125" t="str">
            <v/>
          </cell>
          <cell r="AI125" t="str">
            <v/>
          </cell>
          <cell r="AJ125" t="str">
            <v/>
          </cell>
        </row>
        <row r="126">
          <cell r="A126">
            <v>8</v>
          </cell>
          <cell r="B126" t="str">
            <v/>
          </cell>
          <cell r="C126">
            <v>1</v>
          </cell>
          <cell r="D126">
            <v>0</v>
          </cell>
          <cell r="E126" t="str">
            <v/>
          </cell>
          <cell r="F126" t="str">
            <v/>
          </cell>
          <cell r="G126" t="str">
            <v/>
          </cell>
          <cell r="H126" t="str">
            <v/>
          </cell>
          <cell r="I126">
            <v>18</v>
          </cell>
          <cell r="J126">
            <v>6</v>
          </cell>
          <cell r="K126">
            <v>6</v>
          </cell>
          <cell r="L126">
            <v>6</v>
          </cell>
          <cell r="M126">
            <v>6</v>
          </cell>
          <cell r="N126">
            <v>6</v>
          </cell>
          <cell r="O126">
            <v>6</v>
          </cell>
          <cell r="P126">
            <v>6</v>
          </cell>
          <cell r="Q126">
            <v>6</v>
          </cell>
          <cell r="R126">
            <v>5</v>
          </cell>
          <cell r="S126">
            <v>3</v>
          </cell>
          <cell r="AE126">
            <v>2</v>
          </cell>
          <cell r="AF126" t="str">
            <v/>
          </cell>
          <cell r="AG126">
            <v>1</v>
          </cell>
          <cell r="AH126" t="str">
            <v/>
          </cell>
          <cell r="AI126" t="str">
            <v/>
          </cell>
          <cell r="AJ126" t="str">
            <v/>
          </cell>
        </row>
        <row r="127">
          <cell r="A127">
            <v>9</v>
          </cell>
          <cell r="B127" t="str">
            <v/>
          </cell>
          <cell r="C127">
            <v>1</v>
          </cell>
          <cell r="D127">
            <v>0</v>
          </cell>
          <cell r="E127" t="str">
            <v/>
          </cell>
          <cell r="F127" t="str">
            <v/>
          </cell>
          <cell r="G127" t="str">
            <v/>
          </cell>
          <cell r="H127" t="str">
            <v/>
          </cell>
          <cell r="I127">
            <v>19</v>
          </cell>
          <cell r="J127">
            <v>6</v>
          </cell>
          <cell r="K127">
            <v>6</v>
          </cell>
          <cell r="L127">
            <v>6</v>
          </cell>
          <cell r="M127">
            <v>6</v>
          </cell>
          <cell r="N127">
            <v>6</v>
          </cell>
          <cell r="O127">
            <v>6</v>
          </cell>
          <cell r="P127">
            <v>6</v>
          </cell>
          <cell r="Q127">
            <v>6</v>
          </cell>
          <cell r="R127">
            <v>6</v>
          </cell>
          <cell r="S127">
            <v>4</v>
          </cell>
          <cell r="AE127">
            <v>3</v>
          </cell>
          <cell r="AF127" t="str">
            <v/>
          </cell>
          <cell r="AG127">
            <v>1</v>
          </cell>
          <cell r="AH127">
            <v>0</v>
          </cell>
          <cell r="AI127" t="str">
            <v/>
          </cell>
          <cell r="AJ127" t="str">
            <v/>
          </cell>
        </row>
        <row r="128">
          <cell r="A128">
            <v>10</v>
          </cell>
          <cell r="B128" t="str">
            <v/>
          </cell>
          <cell r="C128">
            <v>1</v>
          </cell>
          <cell r="D128">
            <v>1</v>
          </cell>
          <cell r="E128" t="str">
            <v/>
          </cell>
          <cell r="F128" t="str">
            <v/>
          </cell>
          <cell r="G128" t="str">
            <v/>
          </cell>
          <cell r="H128" t="str">
            <v/>
          </cell>
          <cell r="I128">
            <v>20</v>
          </cell>
          <cell r="J128">
            <v>6</v>
          </cell>
          <cell r="K128">
            <v>6</v>
          </cell>
          <cell r="L128">
            <v>6</v>
          </cell>
          <cell r="M128">
            <v>6</v>
          </cell>
          <cell r="N128">
            <v>6</v>
          </cell>
          <cell r="O128">
            <v>6</v>
          </cell>
          <cell r="P128">
            <v>6</v>
          </cell>
          <cell r="Q128">
            <v>6</v>
          </cell>
          <cell r="R128">
            <v>6</v>
          </cell>
          <cell r="S128">
            <v>6</v>
          </cell>
          <cell r="AE128">
            <v>4</v>
          </cell>
          <cell r="AF128" t="str">
            <v/>
          </cell>
          <cell r="AG128">
            <v>1</v>
          </cell>
          <cell r="AH128">
            <v>1</v>
          </cell>
          <cell r="AI128" t="str">
            <v/>
          </cell>
          <cell r="AJ128" t="str">
            <v/>
          </cell>
        </row>
        <row r="129">
          <cell r="A129">
            <v>11</v>
          </cell>
          <cell r="B129" t="str">
            <v/>
          </cell>
          <cell r="C129">
            <v>1</v>
          </cell>
          <cell r="D129">
            <v>1</v>
          </cell>
          <cell r="E129">
            <v>0</v>
          </cell>
          <cell r="F129" t="str">
            <v/>
          </cell>
          <cell r="G129" t="str">
            <v/>
          </cell>
          <cell r="H129" t="str">
            <v/>
          </cell>
          <cell r="AE129">
            <v>5</v>
          </cell>
          <cell r="AF129" t="str">
            <v/>
          </cell>
          <cell r="AG129">
            <v>2</v>
          </cell>
          <cell r="AH129">
            <v>1</v>
          </cell>
          <cell r="AI129" t="str">
            <v/>
          </cell>
          <cell r="AJ129" t="str">
            <v/>
          </cell>
        </row>
        <row r="130">
          <cell r="A130">
            <v>12</v>
          </cell>
          <cell r="B130" t="str">
            <v/>
          </cell>
          <cell r="C130">
            <v>1</v>
          </cell>
          <cell r="D130">
            <v>1</v>
          </cell>
          <cell r="E130">
            <v>1</v>
          </cell>
          <cell r="F130" t="str">
            <v/>
          </cell>
          <cell r="G130" t="str">
            <v/>
          </cell>
          <cell r="H130" t="str">
            <v/>
          </cell>
          <cell r="AE130">
            <v>6</v>
          </cell>
          <cell r="AF130" t="str">
            <v/>
          </cell>
          <cell r="AG130">
            <v>2</v>
          </cell>
          <cell r="AH130">
            <v>1</v>
          </cell>
          <cell r="AI130">
            <v>0</v>
          </cell>
          <cell r="AJ130" t="str">
            <v/>
          </cell>
        </row>
        <row r="131">
          <cell r="A131">
            <v>13</v>
          </cell>
          <cell r="B131" t="str">
            <v/>
          </cell>
          <cell r="C131">
            <v>1</v>
          </cell>
          <cell r="D131">
            <v>1</v>
          </cell>
          <cell r="E131">
            <v>1</v>
          </cell>
          <cell r="F131" t="str">
            <v/>
          </cell>
          <cell r="G131" t="str">
            <v/>
          </cell>
          <cell r="H131" t="str">
            <v/>
          </cell>
          <cell r="I131">
            <v>0</v>
          </cell>
          <cell r="J131" t="str">
            <v/>
          </cell>
          <cell r="K131" t="str">
            <v/>
          </cell>
          <cell r="L131" t="str">
            <v/>
          </cell>
          <cell r="M131" t="str">
            <v/>
          </cell>
          <cell r="N131" t="str">
            <v/>
          </cell>
          <cell r="O131" t="str">
            <v/>
          </cell>
          <cell r="P131" t="str">
            <v/>
          </cell>
          <cell r="Q131" t="str">
            <v/>
          </cell>
          <cell r="R131" t="str">
            <v/>
          </cell>
          <cell r="S131" t="str">
            <v/>
          </cell>
          <cell r="AE131">
            <v>7</v>
          </cell>
          <cell r="AF131" t="str">
            <v/>
          </cell>
          <cell r="AG131">
            <v>2</v>
          </cell>
          <cell r="AH131">
            <v>1</v>
          </cell>
          <cell r="AI131">
            <v>1</v>
          </cell>
          <cell r="AJ131" t="str">
            <v/>
          </cell>
        </row>
        <row r="132">
          <cell r="A132">
            <v>14</v>
          </cell>
          <cell r="B132" t="str">
            <v/>
          </cell>
          <cell r="C132">
            <v>2</v>
          </cell>
          <cell r="D132">
            <v>1</v>
          </cell>
          <cell r="E132">
            <v>1</v>
          </cell>
          <cell r="F132">
            <v>0</v>
          </cell>
          <cell r="G132" t="str">
            <v/>
          </cell>
          <cell r="H132" t="str">
            <v/>
          </cell>
          <cell r="I132">
            <v>1</v>
          </cell>
          <cell r="J132">
            <v>4</v>
          </cell>
          <cell r="K132">
            <v>3</v>
          </cell>
          <cell r="L132" t="str">
            <v/>
          </cell>
          <cell r="M132" t="str">
            <v/>
          </cell>
          <cell r="N132" t="str">
            <v/>
          </cell>
          <cell r="O132" t="str">
            <v/>
          </cell>
          <cell r="P132" t="str">
            <v/>
          </cell>
          <cell r="Q132" t="str">
            <v/>
          </cell>
          <cell r="R132" t="str">
            <v/>
          </cell>
          <cell r="S132" t="str">
            <v/>
          </cell>
          <cell r="AE132">
            <v>8</v>
          </cell>
          <cell r="AF132" t="str">
            <v/>
          </cell>
          <cell r="AG132">
            <v>2</v>
          </cell>
          <cell r="AH132">
            <v>2</v>
          </cell>
          <cell r="AI132">
            <v>1</v>
          </cell>
          <cell r="AJ132">
            <v>0</v>
          </cell>
        </row>
        <row r="133">
          <cell r="A133">
            <v>15</v>
          </cell>
          <cell r="B133" t="str">
            <v/>
          </cell>
          <cell r="C133">
            <v>2</v>
          </cell>
          <cell r="D133">
            <v>1</v>
          </cell>
          <cell r="E133">
            <v>1</v>
          </cell>
          <cell r="F133">
            <v>1</v>
          </cell>
          <cell r="G133" t="str">
            <v/>
          </cell>
          <cell r="H133" t="str">
            <v/>
          </cell>
          <cell r="I133">
            <v>2</v>
          </cell>
          <cell r="J133">
            <v>4</v>
          </cell>
          <cell r="K133">
            <v>4</v>
          </cell>
          <cell r="L133" t="str">
            <v/>
          </cell>
          <cell r="M133" t="str">
            <v/>
          </cell>
          <cell r="N133" t="str">
            <v/>
          </cell>
          <cell r="O133" t="str">
            <v/>
          </cell>
          <cell r="P133" t="str">
            <v/>
          </cell>
          <cell r="Q133" t="str">
            <v/>
          </cell>
          <cell r="R133" t="str">
            <v/>
          </cell>
          <cell r="S133" t="str">
            <v/>
          </cell>
          <cell r="AE133">
            <v>9</v>
          </cell>
          <cell r="AF133" t="str">
            <v/>
          </cell>
          <cell r="AG133">
            <v>2</v>
          </cell>
          <cell r="AH133">
            <v>2</v>
          </cell>
          <cell r="AI133">
            <v>1</v>
          </cell>
          <cell r="AJ133">
            <v>1</v>
          </cell>
        </row>
        <row r="134">
          <cell r="A134">
            <v>16</v>
          </cell>
          <cell r="B134" t="str">
            <v/>
          </cell>
          <cell r="C134">
            <v>2</v>
          </cell>
          <cell r="D134">
            <v>2</v>
          </cell>
          <cell r="E134">
            <v>1</v>
          </cell>
          <cell r="F134">
            <v>1</v>
          </cell>
          <cell r="G134" t="str">
            <v/>
          </cell>
          <cell r="H134" t="str">
            <v/>
          </cell>
          <cell r="I134">
            <v>3</v>
          </cell>
          <cell r="J134">
            <v>5</v>
          </cell>
          <cell r="K134">
            <v>4</v>
          </cell>
          <cell r="L134">
            <v>3</v>
          </cell>
          <cell r="M134" t="str">
            <v/>
          </cell>
          <cell r="N134" t="str">
            <v/>
          </cell>
          <cell r="O134" t="str">
            <v/>
          </cell>
          <cell r="P134" t="str">
            <v/>
          </cell>
          <cell r="Q134" t="str">
            <v/>
          </cell>
          <cell r="R134" t="str">
            <v/>
          </cell>
          <cell r="S134" t="str">
            <v/>
          </cell>
          <cell r="AE134">
            <v>10</v>
          </cell>
          <cell r="AF134" t="str">
            <v/>
          </cell>
          <cell r="AG134">
            <v>2</v>
          </cell>
          <cell r="AH134">
            <v>2</v>
          </cell>
          <cell r="AI134">
            <v>2</v>
          </cell>
          <cell r="AJ134">
            <v>1</v>
          </cell>
        </row>
        <row r="135">
          <cell r="A135">
            <v>17</v>
          </cell>
          <cell r="B135" t="str">
            <v/>
          </cell>
          <cell r="C135">
            <v>2</v>
          </cell>
          <cell r="D135">
            <v>2</v>
          </cell>
          <cell r="E135">
            <v>2</v>
          </cell>
          <cell r="F135">
            <v>1</v>
          </cell>
          <cell r="G135" t="str">
            <v/>
          </cell>
          <cell r="H135" t="str">
            <v/>
          </cell>
          <cell r="I135">
            <v>4</v>
          </cell>
          <cell r="J135">
            <v>5</v>
          </cell>
          <cell r="K135">
            <v>4</v>
          </cell>
          <cell r="L135">
            <v>4</v>
          </cell>
          <cell r="M135" t="str">
            <v/>
          </cell>
          <cell r="N135" t="str">
            <v/>
          </cell>
          <cell r="O135" t="str">
            <v/>
          </cell>
          <cell r="P135" t="str">
            <v/>
          </cell>
          <cell r="Q135" t="str">
            <v/>
          </cell>
          <cell r="R135" t="str">
            <v/>
          </cell>
          <cell r="S135" t="str">
            <v/>
          </cell>
        </row>
        <row r="136">
          <cell r="A136">
            <v>18</v>
          </cell>
          <cell r="B136" t="str">
            <v/>
          </cell>
          <cell r="C136">
            <v>3</v>
          </cell>
          <cell r="D136">
            <v>2</v>
          </cell>
          <cell r="E136">
            <v>2</v>
          </cell>
          <cell r="F136">
            <v>1</v>
          </cell>
          <cell r="G136" t="str">
            <v/>
          </cell>
          <cell r="H136" t="str">
            <v/>
          </cell>
          <cell r="I136">
            <v>5</v>
          </cell>
          <cell r="J136">
            <v>5</v>
          </cell>
          <cell r="K136">
            <v>5</v>
          </cell>
          <cell r="L136">
            <v>4</v>
          </cell>
          <cell r="M136">
            <v>3</v>
          </cell>
          <cell r="N136" t="str">
            <v/>
          </cell>
          <cell r="O136" t="str">
            <v/>
          </cell>
          <cell r="P136" t="str">
            <v/>
          </cell>
          <cell r="Q136" t="str">
            <v/>
          </cell>
          <cell r="R136" t="str">
            <v/>
          </cell>
          <cell r="S136" t="str">
            <v/>
          </cell>
        </row>
        <row r="137">
          <cell r="A137">
            <v>19</v>
          </cell>
          <cell r="B137" t="str">
            <v/>
          </cell>
          <cell r="C137">
            <v>3</v>
          </cell>
          <cell r="D137">
            <v>3</v>
          </cell>
          <cell r="E137">
            <v>3</v>
          </cell>
          <cell r="F137">
            <v>2</v>
          </cell>
          <cell r="G137" t="str">
            <v/>
          </cell>
          <cell r="H137" t="str">
            <v/>
          </cell>
          <cell r="I137">
            <v>6</v>
          </cell>
          <cell r="J137">
            <v>5</v>
          </cell>
          <cell r="K137">
            <v>5</v>
          </cell>
          <cell r="L137">
            <v>4</v>
          </cell>
          <cell r="M137">
            <v>4</v>
          </cell>
          <cell r="N137" t="str">
            <v/>
          </cell>
          <cell r="O137" t="str">
            <v/>
          </cell>
          <cell r="P137" t="str">
            <v/>
          </cell>
          <cell r="Q137" t="str">
            <v/>
          </cell>
          <cell r="R137" t="str">
            <v/>
          </cell>
          <cell r="S137" t="str">
            <v/>
          </cell>
          <cell r="AE137">
            <v>0</v>
          </cell>
          <cell r="AF137" t="str">
            <v/>
          </cell>
          <cell r="AG137" t="str">
            <v/>
          </cell>
          <cell r="AH137" t="str">
            <v/>
          </cell>
          <cell r="AI137" t="str">
            <v/>
          </cell>
          <cell r="AJ137" t="str">
            <v/>
          </cell>
        </row>
        <row r="138">
          <cell r="A138">
            <v>20</v>
          </cell>
          <cell r="B138" t="str">
            <v/>
          </cell>
          <cell r="C138">
            <v>3</v>
          </cell>
          <cell r="D138">
            <v>3</v>
          </cell>
          <cell r="E138">
            <v>3</v>
          </cell>
          <cell r="F138">
            <v>3</v>
          </cell>
          <cell r="G138" t="str">
            <v/>
          </cell>
          <cell r="H138" t="str">
            <v/>
          </cell>
          <cell r="I138">
            <v>7</v>
          </cell>
          <cell r="J138">
            <v>6</v>
          </cell>
          <cell r="K138">
            <v>5</v>
          </cell>
          <cell r="L138">
            <v>5</v>
          </cell>
          <cell r="M138">
            <v>4</v>
          </cell>
          <cell r="N138">
            <v>3</v>
          </cell>
          <cell r="O138" t="str">
            <v/>
          </cell>
          <cell r="P138" t="str">
            <v/>
          </cell>
          <cell r="Q138" t="str">
            <v/>
          </cell>
          <cell r="R138" t="str">
            <v/>
          </cell>
          <cell r="S138" t="str">
            <v/>
          </cell>
          <cell r="AE138">
            <v>1</v>
          </cell>
          <cell r="AF138" t="str">
            <v/>
          </cell>
          <cell r="AG138">
            <v>0</v>
          </cell>
          <cell r="AH138" t="str">
            <v/>
          </cell>
          <cell r="AI138" t="str">
            <v/>
          </cell>
          <cell r="AJ138" t="str">
            <v/>
          </cell>
        </row>
        <row r="139">
          <cell r="I139">
            <v>8</v>
          </cell>
          <cell r="J139">
            <v>6</v>
          </cell>
          <cell r="K139">
            <v>5</v>
          </cell>
          <cell r="L139">
            <v>5</v>
          </cell>
          <cell r="M139">
            <v>4</v>
          </cell>
          <cell r="N139">
            <v>4</v>
          </cell>
          <cell r="O139" t="str">
            <v/>
          </cell>
          <cell r="P139" t="str">
            <v/>
          </cell>
          <cell r="Q139" t="str">
            <v/>
          </cell>
          <cell r="R139" t="str">
            <v/>
          </cell>
          <cell r="S139" t="str">
            <v/>
          </cell>
          <cell r="AE139">
            <v>2</v>
          </cell>
          <cell r="AF139" t="str">
            <v/>
          </cell>
          <cell r="AG139">
            <v>1</v>
          </cell>
          <cell r="AH139" t="str">
            <v/>
          </cell>
          <cell r="AI139" t="str">
            <v/>
          </cell>
          <cell r="AJ139" t="str">
            <v/>
          </cell>
        </row>
        <row r="140">
          <cell r="I140">
            <v>9</v>
          </cell>
          <cell r="J140">
            <v>6</v>
          </cell>
          <cell r="K140">
            <v>6</v>
          </cell>
          <cell r="L140">
            <v>5</v>
          </cell>
          <cell r="M140">
            <v>5</v>
          </cell>
          <cell r="N140">
            <v>4</v>
          </cell>
          <cell r="O140">
            <v>3</v>
          </cell>
          <cell r="P140" t="str">
            <v/>
          </cell>
          <cell r="Q140" t="str">
            <v/>
          </cell>
          <cell r="R140" t="str">
            <v/>
          </cell>
          <cell r="S140" t="str">
            <v/>
          </cell>
          <cell r="AE140">
            <v>3</v>
          </cell>
          <cell r="AF140" t="str">
            <v/>
          </cell>
          <cell r="AG140">
            <v>1</v>
          </cell>
          <cell r="AI140" t="str">
            <v/>
          </cell>
          <cell r="AJ140" t="str">
            <v/>
          </cell>
        </row>
        <row r="141">
          <cell r="A141">
            <v>0</v>
          </cell>
          <cell r="B141" t="str">
            <v/>
          </cell>
          <cell r="C141" t="str">
            <v/>
          </cell>
          <cell r="D141" t="str">
            <v/>
          </cell>
          <cell r="E141" t="str">
            <v/>
          </cell>
          <cell r="F141" t="str">
            <v/>
          </cell>
          <cell r="G141" t="str">
            <v/>
          </cell>
          <cell r="H141" t="str">
            <v/>
          </cell>
          <cell r="I141">
            <v>10</v>
          </cell>
          <cell r="J141">
            <v>6</v>
          </cell>
          <cell r="K141">
            <v>6</v>
          </cell>
          <cell r="L141">
            <v>5</v>
          </cell>
          <cell r="M141">
            <v>5</v>
          </cell>
          <cell r="N141">
            <v>4</v>
          </cell>
          <cell r="O141">
            <v>4</v>
          </cell>
          <cell r="P141" t="str">
            <v/>
          </cell>
          <cell r="Q141" t="str">
            <v/>
          </cell>
          <cell r="R141" t="str">
            <v/>
          </cell>
          <cell r="S141" t="str">
            <v/>
          </cell>
          <cell r="AE141">
            <v>4</v>
          </cell>
          <cell r="AF141" t="str">
            <v/>
          </cell>
          <cell r="AG141">
            <v>2</v>
          </cell>
          <cell r="AH141">
            <v>0</v>
          </cell>
          <cell r="AI141" t="str">
            <v/>
          </cell>
          <cell r="AJ141" t="str">
            <v/>
          </cell>
        </row>
        <row r="142">
          <cell r="A142">
            <v>1</v>
          </cell>
          <cell r="B142" t="str">
            <v/>
          </cell>
          <cell r="C142">
            <v>2</v>
          </cell>
          <cell r="D142" t="str">
            <v/>
          </cell>
          <cell r="E142" t="str">
            <v/>
          </cell>
          <cell r="F142" t="str">
            <v/>
          </cell>
          <cell r="G142" t="str">
            <v/>
          </cell>
          <cell r="H142" t="str">
            <v/>
          </cell>
          <cell r="I142">
            <v>11</v>
          </cell>
          <cell r="J142">
            <v>6</v>
          </cell>
          <cell r="K142">
            <v>6</v>
          </cell>
          <cell r="L142">
            <v>6</v>
          </cell>
          <cell r="M142">
            <v>5</v>
          </cell>
          <cell r="N142">
            <v>5</v>
          </cell>
          <cell r="O142">
            <v>4</v>
          </cell>
          <cell r="P142">
            <v>3</v>
          </cell>
          <cell r="Q142" t="str">
            <v/>
          </cell>
          <cell r="R142" t="str">
            <v/>
          </cell>
          <cell r="S142" t="str">
            <v/>
          </cell>
          <cell r="AE142">
            <v>5</v>
          </cell>
          <cell r="AF142" t="str">
            <v/>
          </cell>
          <cell r="AG142">
            <v>2</v>
          </cell>
          <cell r="AH142">
            <v>1</v>
          </cell>
          <cell r="AI142" t="str">
            <v/>
          </cell>
          <cell r="AJ142" t="str">
            <v/>
          </cell>
        </row>
        <row r="143">
          <cell r="A143">
            <v>2</v>
          </cell>
          <cell r="B143" t="str">
            <v/>
          </cell>
          <cell r="C143">
            <v>3</v>
          </cell>
          <cell r="D143" t="str">
            <v/>
          </cell>
          <cell r="E143" t="str">
            <v/>
          </cell>
          <cell r="F143" t="str">
            <v/>
          </cell>
          <cell r="G143" t="str">
            <v/>
          </cell>
          <cell r="H143" t="str">
            <v/>
          </cell>
          <cell r="I143">
            <v>12</v>
          </cell>
          <cell r="J143">
            <v>6</v>
          </cell>
          <cell r="K143">
            <v>6</v>
          </cell>
          <cell r="L143">
            <v>6</v>
          </cell>
          <cell r="M143">
            <v>5</v>
          </cell>
          <cell r="N143">
            <v>5</v>
          </cell>
          <cell r="O143">
            <v>4</v>
          </cell>
          <cell r="P143">
            <v>4</v>
          </cell>
          <cell r="Q143" t="str">
            <v/>
          </cell>
          <cell r="R143" t="str">
            <v/>
          </cell>
          <cell r="S143" t="str">
            <v/>
          </cell>
          <cell r="AE143">
            <v>6</v>
          </cell>
          <cell r="AF143" t="str">
            <v/>
          </cell>
          <cell r="AG143">
            <v>2</v>
          </cell>
          <cell r="AH143">
            <v>1</v>
          </cell>
          <cell r="AI143">
            <v>0</v>
          </cell>
          <cell r="AJ143" t="str">
            <v/>
          </cell>
        </row>
        <row r="144">
          <cell r="A144">
            <v>3</v>
          </cell>
          <cell r="B144" t="str">
            <v/>
          </cell>
          <cell r="C144">
            <v>3</v>
          </cell>
          <cell r="D144">
            <v>1</v>
          </cell>
          <cell r="E144" t="str">
            <v/>
          </cell>
          <cell r="F144" t="str">
            <v/>
          </cell>
          <cell r="G144" t="str">
            <v/>
          </cell>
          <cell r="H144" t="str">
            <v/>
          </cell>
          <cell r="I144">
            <v>13</v>
          </cell>
          <cell r="J144">
            <v>6</v>
          </cell>
          <cell r="K144">
            <v>6</v>
          </cell>
          <cell r="L144">
            <v>6</v>
          </cell>
          <cell r="M144">
            <v>6</v>
          </cell>
          <cell r="N144">
            <v>5</v>
          </cell>
          <cell r="O144">
            <v>5</v>
          </cell>
          <cell r="P144">
            <v>4</v>
          </cell>
          <cell r="Q144">
            <v>3</v>
          </cell>
          <cell r="R144" t="str">
            <v/>
          </cell>
          <cell r="S144" t="str">
            <v/>
          </cell>
          <cell r="AE144">
            <v>7</v>
          </cell>
          <cell r="AF144" t="str">
            <v/>
          </cell>
          <cell r="AG144">
            <v>3</v>
          </cell>
          <cell r="AH144">
            <v>2</v>
          </cell>
          <cell r="AI144">
            <v>1</v>
          </cell>
          <cell r="AJ144" t="str">
            <v/>
          </cell>
        </row>
        <row r="145">
          <cell r="A145">
            <v>4</v>
          </cell>
          <cell r="B145" t="str">
            <v/>
          </cell>
          <cell r="C145">
            <v>3</v>
          </cell>
          <cell r="D145">
            <v>2</v>
          </cell>
          <cell r="E145" t="str">
            <v/>
          </cell>
          <cell r="F145" t="str">
            <v/>
          </cell>
          <cell r="G145" t="str">
            <v/>
          </cell>
          <cell r="H145" t="str">
            <v/>
          </cell>
          <cell r="I145">
            <v>14</v>
          </cell>
          <cell r="J145">
            <v>6</v>
          </cell>
          <cell r="K145">
            <v>6</v>
          </cell>
          <cell r="L145">
            <v>6</v>
          </cell>
          <cell r="M145">
            <v>6</v>
          </cell>
          <cell r="N145">
            <v>5</v>
          </cell>
          <cell r="O145">
            <v>5</v>
          </cell>
          <cell r="P145">
            <v>4</v>
          </cell>
          <cell r="Q145">
            <v>4</v>
          </cell>
          <cell r="R145" t="str">
            <v/>
          </cell>
          <cell r="S145" t="str">
            <v/>
          </cell>
          <cell r="AE145">
            <v>8</v>
          </cell>
          <cell r="AF145" t="str">
            <v/>
          </cell>
          <cell r="AG145">
            <v>3</v>
          </cell>
          <cell r="AH145">
            <v>2</v>
          </cell>
          <cell r="AI145">
            <v>1</v>
          </cell>
          <cell r="AJ145">
            <v>0</v>
          </cell>
        </row>
        <row r="146">
          <cell r="A146">
            <v>5</v>
          </cell>
          <cell r="B146" t="str">
            <v/>
          </cell>
          <cell r="C146">
            <v>3</v>
          </cell>
          <cell r="D146">
            <v>3</v>
          </cell>
          <cell r="E146">
            <v>1</v>
          </cell>
          <cell r="F146" t="str">
            <v/>
          </cell>
          <cell r="G146" t="str">
            <v/>
          </cell>
          <cell r="H146" t="str">
            <v/>
          </cell>
          <cell r="I146">
            <v>15</v>
          </cell>
          <cell r="J146">
            <v>6</v>
          </cell>
          <cell r="K146">
            <v>6</v>
          </cell>
          <cell r="L146">
            <v>6</v>
          </cell>
          <cell r="M146">
            <v>6</v>
          </cell>
          <cell r="N146">
            <v>6</v>
          </cell>
          <cell r="O146">
            <v>5</v>
          </cell>
          <cell r="P146">
            <v>5</v>
          </cell>
          <cell r="Q146">
            <v>4</v>
          </cell>
          <cell r="R146">
            <v>3</v>
          </cell>
          <cell r="S146" t="str">
            <v/>
          </cell>
          <cell r="AE146">
            <v>9</v>
          </cell>
          <cell r="AF146" t="str">
            <v/>
          </cell>
          <cell r="AG146">
            <v>3</v>
          </cell>
          <cell r="AH146">
            <v>2</v>
          </cell>
          <cell r="AI146">
            <v>2</v>
          </cell>
          <cell r="AJ146">
            <v>1</v>
          </cell>
        </row>
        <row r="147">
          <cell r="A147">
            <v>6</v>
          </cell>
          <cell r="B147" t="str">
            <v/>
          </cell>
          <cell r="C147">
            <v>3</v>
          </cell>
          <cell r="D147">
            <v>3</v>
          </cell>
          <cell r="E147">
            <v>2</v>
          </cell>
          <cell r="F147" t="str">
            <v/>
          </cell>
          <cell r="G147" t="str">
            <v/>
          </cell>
          <cell r="H147" t="str">
            <v/>
          </cell>
          <cell r="I147">
            <v>16</v>
          </cell>
          <cell r="J147">
            <v>6</v>
          </cell>
          <cell r="K147">
            <v>6</v>
          </cell>
          <cell r="L147">
            <v>6</v>
          </cell>
          <cell r="M147">
            <v>6</v>
          </cell>
          <cell r="N147">
            <v>6</v>
          </cell>
          <cell r="O147">
            <v>5</v>
          </cell>
          <cell r="P147">
            <v>5</v>
          </cell>
          <cell r="Q147">
            <v>4</v>
          </cell>
          <cell r="R147">
            <v>4</v>
          </cell>
          <cell r="S147" t="str">
            <v/>
          </cell>
          <cell r="AE147">
            <v>10</v>
          </cell>
          <cell r="AF147" t="str">
            <v/>
          </cell>
          <cell r="AG147">
            <v>3</v>
          </cell>
          <cell r="AH147">
            <v>3</v>
          </cell>
          <cell r="AI147">
            <v>2</v>
          </cell>
          <cell r="AJ147">
            <v>1</v>
          </cell>
        </row>
        <row r="148">
          <cell r="A148">
            <v>7</v>
          </cell>
          <cell r="B148" t="str">
            <v/>
          </cell>
          <cell r="C148">
            <v>3</v>
          </cell>
          <cell r="D148">
            <v>3</v>
          </cell>
          <cell r="E148">
            <v>2</v>
          </cell>
          <cell r="F148" t="str">
            <v/>
          </cell>
          <cell r="G148" t="str">
            <v/>
          </cell>
          <cell r="H148" t="str">
            <v/>
          </cell>
          <cell r="I148">
            <v>17</v>
          </cell>
          <cell r="J148">
            <v>6</v>
          </cell>
          <cell r="K148">
            <v>6</v>
          </cell>
          <cell r="L148">
            <v>6</v>
          </cell>
          <cell r="M148">
            <v>6</v>
          </cell>
          <cell r="N148">
            <v>6</v>
          </cell>
          <cell r="O148">
            <v>6</v>
          </cell>
          <cell r="P148">
            <v>5</v>
          </cell>
          <cell r="Q148">
            <v>5</v>
          </cell>
          <cell r="R148">
            <v>4</v>
          </cell>
          <cell r="S148">
            <v>3</v>
          </cell>
        </row>
        <row r="149">
          <cell r="A149">
            <v>8</v>
          </cell>
          <cell r="B149" t="str">
            <v/>
          </cell>
          <cell r="C149">
            <v>3</v>
          </cell>
          <cell r="D149">
            <v>3</v>
          </cell>
          <cell r="E149">
            <v>3</v>
          </cell>
          <cell r="F149">
            <v>1</v>
          </cell>
          <cell r="G149" t="str">
            <v/>
          </cell>
          <cell r="H149" t="str">
            <v/>
          </cell>
          <cell r="I149">
            <v>18</v>
          </cell>
          <cell r="J149">
            <v>6</v>
          </cell>
          <cell r="K149">
            <v>6</v>
          </cell>
          <cell r="L149">
            <v>6</v>
          </cell>
          <cell r="M149">
            <v>6</v>
          </cell>
          <cell r="N149">
            <v>6</v>
          </cell>
          <cell r="O149">
            <v>6</v>
          </cell>
          <cell r="P149">
            <v>5</v>
          </cell>
          <cell r="Q149">
            <v>5</v>
          </cell>
          <cell r="R149">
            <v>4</v>
          </cell>
          <cell r="S149">
            <v>4</v>
          </cell>
        </row>
        <row r="150">
          <cell r="A150">
            <v>9</v>
          </cell>
          <cell r="B150" t="str">
            <v/>
          </cell>
          <cell r="C150">
            <v>3</v>
          </cell>
          <cell r="D150">
            <v>3</v>
          </cell>
          <cell r="E150">
            <v>3</v>
          </cell>
          <cell r="F150">
            <v>2</v>
          </cell>
          <cell r="G150" t="str">
            <v/>
          </cell>
          <cell r="H150" t="str">
            <v/>
          </cell>
          <cell r="I150">
            <v>19</v>
          </cell>
          <cell r="J150">
            <v>6</v>
          </cell>
          <cell r="K150">
            <v>6</v>
          </cell>
          <cell r="L150">
            <v>6</v>
          </cell>
          <cell r="M150">
            <v>6</v>
          </cell>
          <cell r="N150">
            <v>6</v>
          </cell>
          <cell r="O150">
            <v>6</v>
          </cell>
          <cell r="P150">
            <v>6</v>
          </cell>
          <cell r="Q150">
            <v>5</v>
          </cell>
          <cell r="R150">
            <v>5</v>
          </cell>
          <cell r="S150">
            <v>4</v>
          </cell>
        </row>
        <row r="151">
          <cell r="A151">
            <v>10</v>
          </cell>
          <cell r="B151" t="str">
            <v/>
          </cell>
          <cell r="C151">
            <v>3</v>
          </cell>
          <cell r="D151">
            <v>3</v>
          </cell>
          <cell r="E151">
            <v>3</v>
          </cell>
          <cell r="F151">
            <v>2</v>
          </cell>
          <cell r="G151" t="str">
            <v/>
          </cell>
          <cell r="H151" t="str">
            <v/>
          </cell>
          <cell r="I151">
            <v>20</v>
          </cell>
          <cell r="J151">
            <v>6</v>
          </cell>
          <cell r="K151">
            <v>6</v>
          </cell>
          <cell r="L151">
            <v>6</v>
          </cell>
          <cell r="M151">
            <v>6</v>
          </cell>
          <cell r="N151">
            <v>6</v>
          </cell>
          <cell r="O151">
            <v>6</v>
          </cell>
          <cell r="P151">
            <v>6</v>
          </cell>
          <cell r="Q151">
            <v>5</v>
          </cell>
          <cell r="R151">
            <v>5</v>
          </cell>
          <cell r="S151">
            <v>4</v>
          </cell>
        </row>
        <row r="152">
          <cell r="A152">
            <v>11</v>
          </cell>
          <cell r="B152" t="str">
            <v/>
          </cell>
          <cell r="C152">
            <v>3</v>
          </cell>
          <cell r="D152">
            <v>3</v>
          </cell>
          <cell r="E152">
            <v>3</v>
          </cell>
          <cell r="F152">
            <v>2</v>
          </cell>
          <cell r="G152">
            <v>1</v>
          </cell>
          <cell r="H152" t="str">
            <v/>
          </cell>
        </row>
        <row r="153">
          <cell r="A153">
            <v>12</v>
          </cell>
          <cell r="B153" t="str">
            <v/>
          </cell>
          <cell r="C153">
            <v>3</v>
          </cell>
          <cell r="D153">
            <v>3</v>
          </cell>
          <cell r="E153">
            <v>3</v>
          </cell>
          <cell r="F153">
            <v>2</v>
          </cell>
          <cell r="G153">
            <v>2</v>
          </cell>
          <cell r="H153" t="str">
            <v/>
          </cell>
        </row>
        <row r="154">
          <cell r="A154">
            <v>13</v>
          </cell>
          <cell r="B154" t="str">
            <v/>
          </cell>
          <cell r="C154">
            <v>3</v>
          </cell>
          <cell r="D154">
            <v>3</v>
          </cell>
          <cell r="E154">
            <v>3</v>
          </cell>
          <cell r="F154">
            <v>3</v>
          </cell>
          <cell r="G154">
            <v>2</v>
          </cell>
          <cell r="H154" t="str">
            <v/>
          </cell>
          <cell r="I154">
            <v>0</v>
          </cell>
          <cell r="J154" t="str">
            <v/>
          </cell>
          <cell r="K154" t="str">
            <v/>
          </cell>
          <cell r="L154" t="str">
            <v/>
          </cell>
          <cell r="M154" t="str">
            <v/>
          </cell>
          <cell r="N154" t="str">
            <v/>
          </cell>
          <cell r="O154" t="str">
            <v/>
          </cell>
          <cell r="P154" t="str">
            <v/>
          </cell>
          <cell r="Q154" t="str">
            <v/>
          </cell>
          <cell r="R154" t="str">
            <v/>
          </cell>
          <cell r="S154" t="str">
            <v/>
          </cell>
        </row>
        <row r="155">
          <cell r="A155">
            <v>14</v>
          </cell>
          <cell r="B155" t="str">
            <v/>
          </cell>
          <cell r="C155">
            <v>4</v>
          </cell>
          <cell r="D155">
            <v>3</v>
          </cell>
          <cell r="E155">
            <v>3</v>
          </cell>
          <cell r="F155">
            <v>3</v>
          </cell>
          <cell r="G155">
            <v>3</v>
          </cell>
          <cell r="H155">
            <v>1</v>
          </cell>
          <cell r="I155">
            <v>1</v>
          </cell>
          <cell r="J155">
            <v>5</v>
          </cell>
          <cell r="K155">
            <v>3</v>
          </cell>
          <cell r="L155" t="str">
            <v/>
          </cell>
          <cell r="M155" t="str">
            <v/>
          </cell>
          <cell r="N155" t="str">
            <v/>
          </cell>
          <cell r="O155" t="str">
            <v/>
          </cell>
          <cell r="P155" t="str">
            <v/>
          </cell>
          <cell r="Q155" t="str">
            <v/>
          </cell>
          <cell r="R155" t="str">
            <v/>
          </cell>
          <cell r="S155" t="str">
            <v/>
          </cell>
        </row>
        <row r="156">
          <cell r="A156">
            <v>15</v>
          </cell>
          <cell r="B156" t="str">
            <v/>
          </cell>
          <cell r="C156">
            <v>4</v>
          </cell>
          <cell r="D156">
            <v>4</v>
          </cell>
          <cell r="E156">
            <v>3</v>
          </cell>
          <cell r="F156">
            <v>3</v>
          </cell>
          <cell r="G156">
            <v>3</v>
          </cell>
          <cell r="H156">
            <v>2</v>
          </cell>
          <cell r="I156">
            <v>2</v>
          </cell>
          <cell r="J156">
            <v>6</v>
          </cell>
          <cell r="K156">
            <v>4</v>
          </cell>
          <cell r="L156" t="str">
            <v/>
          </cell>
          <cell r="M156" t="str">
            <v/>
          </cell>
          <cell r="N156" t="str">
            <v/>
          </cell>
          <cell r="O156" t="str">
            <v/>
          </cell>
          <cell r="P156" t="str">
            <v/>
          </cell>
          <cell r="Q156" t="str">
            <v/>
          </cell>
          <cell r="R156" t="str">
            <v/>
          </cell>
          <cell r="S156" t="str">
            <v/>
          </cell>
        </row>
        <row r="157">
          <cell r="A157">
            <v>16</v>
          </cell>
          <cell r="B157" t="str">
            <v/>
          </cell>
          <cell r="C157">
            <v>4</v>
          </cell>
          <cell r="D157">
            <v>4</v>
          </cell>
          <cell r="E157">
            <v>4</v>
          </cell>
          <cell r="F157">
            <v>3</v>
          </cell>
          <cell r="G157">
            <v>3</v>
          </cell>
          <cell r="H157">
            <v>2</v>
          </cell>
          <cell r="I157">
            <v>3</v>
          </cell>
          <cell r="J157">
            <v>6</v>
          </cell>
          <cell r="K157">
            <v>5</v>
          </cell>
          <cell r="L157" t="str">
            <v/>
          </cell>
          <cell r="M157" t="str">
            <v/>
          </cell>
          <cell r="N157" t="str">
            <v/>
          </cell>
          <cell r="O157" t="str">
            <v/>
          </cell>
          <cell r="P157" t="str">
            <v/>
          </cell>
          <cell r="Q157" t="str">
            <v/>
          </cell>
          <cell r="R157" t="str">
            <v/>
          </cell>
          <cell r="S157" t="str">
            <v/>
          </cell>
        </row>
        <row r="158">
          <cell r="A158">
            <v>17</v>
          </cell>
          <cell r="B158" t="str">
            <v/>
          </cell>
          <cell r="C158">
            <v>4</v>
          </cell>
          <cell r="D158">
            <v>4</v>
          </cell>
          <cell r="E158">
            <v>4</v>
          </cell>
          <cell r="F158">
            <v>4</v>
          </cell>
          <cell r="G158">
            <v>3</v>
          </cell>
          <cell r="H158">
            <v>3</v>
          </cell>
          <cell r="I158">
            <v>4</v>
          </cell>
          <cell r="J158">
            <v>6</v>
          </cell>
          <cell r="K158">
            <v>6</v>
          </cell>
          <cell r="L158">
            <v>3</v>
          </cell>
          <cell r="M158" t="str">
            <v/>
          </cell>
          <cell r="N158" t="str">
            <v/>
          </cell>
          <cell r="O158" t="str">
            <v/>
          </cell>
          <cell r="P158" t="str">
            <v/>
          </cell>
          <cell r="Q158" t="str">
            <v/>
          </cell>
          <cell r="R158" t="str">
            <v/>
          </cell>
          <cell r="S158" t="str">
            <v/>
          </cell>
        </row>
        <row r="159">
          <cell r="A159">
            <v>18</v>
          </cell>
          <cell r="B159" t="str">
            <v/>
          </cell>
          <cell r="C159">
            <v>4</v>
          </cell>
          <cell r="D159">
            <v>4</v>
          </cell>
          <cell r="E159">
            <v>4</v>
          </cell>
          <cell r="F159">
            <v>4</v>
          </cell>
          <cell r="G159">
            <v>4</v>
          </cell>
          <cell r="H159">
            <v>3</v>
          </cell>
          <cell r="I159">
            <v>5</v>
          </cell>
          <cell r="J159">
            <v>6</v>
          </cell>
          <cell r="K159">
            <v>6</v>
          </cell>
          <cell r="L159">
            <v>4</v>
          </cell>
          <cell r="M159" t="str">
            <v/>
          </cell>
          <cell r="N159" t="str">
            <v/>
          </cell>
          <cell r="O159" t="str">
            <v/>
          </cell>
          <cell r="P159" t="str">
            <v/>
          </cell>
          <cell r="Q159" t="str">
            <v/>
          </cell>
          <cell r="R159" t="str">
            <v/>
          </cell>
          <cell r="S159" t="str">
            <v/>
          </cell>
        </row>
        <row r="160">
          <cell r="A160">
            <v>19</v>
          </cell>
          <cell r="B160" t="str">
            <v/>
          </cell>
          <cell r="C160">
            <v>4</v>
          </cell>
          <cell r="D160">
            <v>4</v>
          </cell>
          <cell r="E160">
            <v>4</v>
          </cell>
          <cell r="F160">
            <v>4</v>
          </cell>
          <cell r="G160">
            <v>4</v>
          </cell>
          <cell r="H160">
            <v>4</v>
          </cell>
          <cell r="I160">
            <v>6</v>
          </cell>
          <cell r="J160">
            <v>6</v>
          </cell>
          <cell r="K160">
            <v>6</v>
          </cell>
          <cell r="L160">
            <v>5</v>
          </cell>
          <cell r="M160">
            <v>3</v>
          </cell>
          <cell r="N160" t="str">
            <v/>
          </cell>
          <cell r="O160" t="str">
            <v/>
          </cell>
          <cell r="P160" t="str">
            <v/>
          </cell>
          <cell r="Q160" t="str">
            <v/>
          </cell>
          <cell r="R160" t="str">
            <v/>
          </cell>
          <cell r="S160" t="str">
            <v/>
          </cell>
        </row>
        <row r="161">
          <cell r="A161">
            <v>20</v>
          </cell>
          <cell r="B161" t="str">
            <v/>
          </cell>
          <cell r="C161">
            <v>4</v>
          </cell>
          <cell r="D161">
            <v>4</v>
          </cell>
          <cell r="E161">
            <v>4</v>
          </cell>
          <cell r="F161">
            <v>4</v>
          </cell>
          <cell r="G161">
            <v>4</v>
          </cell>
          <cell r="H161">
            <v>4</v>
          </cell>
          <cell r="I161">
            <v>7</v>
          </cell>
          <cell r="J161">
            <v>6</v>
          </cell>
          <cell r="K161">
            <v>6</v>
          </cell>
          <cell r="L161">
            <v>6</v>
          </cell>
          <cell r="M161">
            <v>4</v>
          </cell>
          <cell r="N161" t="str">
            <v/>
          </cell>
          <cell r="O161" t="str">
            <v/>
          </cell>
          <cell r="P161" t="str">
            <v/>
          </cell>
          <cell r="Q161" t="str">
            <v/>
          </cell>
          <cell r="R161" t="str">
            <v/>
          </cell>
          <cell r="S161" t="str">
            <v/>
          </cell>
        </row>
        <row r="162">
          <cell r="I162">
            <v>8</v>
          </cell>
          <cell r="J162">
            <v>6</v>
          </cell>
          <cell r="K162">
            <v>6</v>
          </cell>
          <cell r="L162">
            <v>6</v>
          </cell>
          <cell r="M162">
            <v>5</v>
          </cell>
          <cell r="N162">
            <v>3</v>
          </cell>
          <cell r="O162" t="str">
            <v/>
          </cell>
          <cell r="P162" t="str">
            <v/>
          </cell>
          <cell r="Q162" t="str">
            <v/>
          </cell>
          <cell r="R162" t="str">
            <v/>
          </cell>
          <cell r="S162" t="str">
            <v/>
          </cell>
        </row>
        <row r="163">
          <cell r="I163">
            <v>9</v>
          </cell>
          <cell r="J163">
            <v>6</v>
          </cell>
          <cell r="K163">
            <v>6</v>
          </cell>
          <cell r="L163">
            <v>6</v>
          </cell>
          <cell r="M163">
            <v>6</v>
          </cell>
          <cell r="N163">
            <v>4</v>
          </cell>
          <cell r="O163" t="str">
            <v/>
          </cell>
          <cell r="P163" t="str">
            <v/>
          </cell>
          <cell r="Q163" t="str">
            <v/>
          </cell>
          <cell r="R163" t="str">
            <v/>
          </cell>
          <cell r="S163" t="str">
            <v/>
          </cell>
        </row>
        <row r="164">
          <cell r="A164">
            <v>0</v>
          </cell>
          <cell r="B164" t="str">
            <v/>
          </cell>
          <cell r="C164" t="str">
            <v/>
          </cell>
          <cell r="D164" t="str">
            <v/>
          </cell>
          <cell r="E164" t="str">
            <v/>
          </cell>
          <cell r="F164" t="str">
            <v/>
          </cell>
          <cell r="G164" t="str">
            <v/>
          </cell>
          <cell r="I164">
            <v>10</v>
          </cell>
          <cell r="J164">
            <v>6</v>
          </cell>
          <cell r="K164">
            <v>6</v>
          </cell>
          <cell r="L164">
            <v>6</v>
          </cell>
          <cell r="M164">
            <v>6</v>
          </cell>
          <cell r="N164">
            <v>5</v>
          </cell>
          <cell r="O164">
            <v>3</v>
          </cell>
          <cell r="P164" t="str">
            <v/>
          </cell>
          <cell r="Q164" t="str">
            <v/>
          </cell>
          <cell r="R164" t="str">
            <v/>
          </cell>
          <cell r="S164" t="str">
            <v/>
          </cell>
        </row>
        <row r="165">
          <cell r="A165">
            <v>1</v>
          </cell>
          <cell r="B165">
            <v>3</v>
          </cell>
          <cell r="C165">
            <v>2</v>
          </cell>
          <cell r="D165" t="str">
            <v/>
          </cell>
          <cell r="E165" t="str">
            <v/>
          </cell>
          <cell r="F165" t="str">
            <v/>
          </cell>
          <cell r="G165" t="str">
            <v/>
          </cell>
          <cell r="I165">
            <v>11</v>
          </cell>
          <cell r="J165">
            <v>6</v>
          </cell>
          <cell r="K165">
            <v>6</v>
          </cell>
          <cell r="L165">
            <v>6</v>
          </cell>
          <cell r="M165">
            <v>6</v>
          </cell>
          <cell r="N165">
            <v>6</v>
          </cell>
          <cell r="O165">
            <v>4</v>
          </cell>
          <cell r="P165" t="str">
            <v/>
          </cell>
          <cell r="Q165" t="str">
            <v/>
          </cell>
          <cell r="R165" t="str">
            <v/>
          </cell>
          <cell r="S165" t="str">
            <v/>
          </cell>
        </row>
        <row r="166">
          <cell r="A166">
            <v>2</v>
          </cell>
          <cell r="B166">
            <v>4</v>
          </cell>
          <cell r="C166">
            <v>3</v>
          </cell>
          <cell r="D166" t="str">
            <v/>
          </cell>
          <cell r="E166" t="str">
            <v/>
          </cell>
          <cell r="F166" t="str">
            <v/>
          </cell>
          <cell r="G166" t="str">
            <v/>
          </cell>
          <cell r="I166">
            <v>12</v>
          </cell>
          <cell r="J166">
            <v>6</v>
          </cell>
          <cell r="K166">
            <v>6</v>
          </cell>
          <cell r="L166">
            <v>6</v>
          </cell>
          <cell r="M166">
            <v>6</v>
          </cell>
          <cell r="N166">
            <v>6</v>
          </cell>
          <cell r="O166">
            <v>5</v>
          </cell>
          <cell r="P166">
            <v>3</v>
          </cell>
          <cell r="Q166" t="str">
            <v/>
          </cell>
          <cell r="R166" t="str">
            <v/>
          </cell>
          <cell r="S166" t="str">
            <v/>
          </cell>
        </row>
        <row r="167">
          <cell r="A167">
            <v>3</v>
          </cell>
          <cell r="B167">
            <v>5</v>
          </cell>
          <cell r="C167">
            <v>4</v>
          </cell>
          <cell r="D167" t="str">
            <v/>
          </cell>
          <cell r="E167" t="str">
            <v/>
          </cell>
          <cell r="F167" t="str">
            <v/>
          </cell>
          <cell r="G167" t="str">
            <v/>
          </cell>
          <cell r="I167">
            <v>13</v>
          </cell>
          <cell r="J167">
            <v>6</v>
          </cell>
          <cell r="K167">
            <v>6</v>
          </cell>
          <cell r="L167">
            <v>6</v>
          </cell>
          <cell r="M167">
            <v>6</v>
          </cell>
          <cell r="N167">
            <v>6</v>
          </cell>
          <cell r="O167">
            <v>6</v>
          </cell>
          <cell r="P167">
            <v>4</v>
          </cell>
          <cell r="Q167" t="str">
            <v/>
          </cell>
          <cell r="R167" t="str">
            <v/>
          </cell>
          <cell r="S167" t="str">
            <v/>
          </cell>
        </row>
        <row r="168">
          <cell r="A168">
            <v>4</v>
          </cell>
          <cell r="B168">
            <v>6</v>
          </cell>
          <cell r="C168">
            <v>5</v>
          </cell>
          <cell r="D168" t="str">
            <v/>
          </cell>
          <cell r="E168" t="str">
            <v/>
          </cell>
          <cell r="F168" t="str">
            <v/>
          </cell>
          <cell r="G168" t="str">
            <v/>
          </cell>
          <cell r="I168">
            <v>14</v>
          </cell>
          <cell r="J168">
            <v>6</v>
          </cell>
          <cell r="K168">
            <v>6</v>
          </cell>
          <cell r="L168">
            <v>6</v>
          </cell>
          <cell r="M168">
            <v>6</v>
          </cell>
          <cell r="N168">
            <v>6</v>
          </cell>
          <cell r="O168">
            <v>6</v>
          </cell>
          <cell r="P168">
            <v>5</v>
          </cell>
          <cell r="Q168">
            <v>3</v>
          </cell>
          <cell r="R168" t="str">
            <v/>
          </cell>
          <cell r="S168" t="str">
            <v/>
          </cell>
        </row>
        <row r="169">
          <cell r="A169">
            <v>5</v>
          </cell>
          <cell r="B169">
            <v>6</v>
          </cell>
          <cell r="C169">
            <v>5</v>
          </cell>
          <cell r="D169">
            <v>2</v>
          </cell>
          <cell r="E169" t="str">
            <v/>
          </cell>
          <cell r="F169" t="str">
            <v/>
          </cell>
          <cell r="G169" t="str">
            <v/>
          </cell>
          <cell r="I169">
            <v>15</v>
          </cell>
          <cell r="J169">
            <v>6</v>
          </cell>
          <cell r="K169">
            <v>6</v>
          </cell>
          <cell r="L169">
            <v>6</v>
          </cell>
          <cell r="M169">
            <v>6</v>
          </cell>
          <cell r="N169">
            <v>6</v>
          </cell>
          <cell r="O169">
            <v>6</v>
          </cell>
          <cell r="P169">
            <v>6</v>
          </cell>
          <cell r="Q169">
            <v>4</v>
          </cell>
          <cell r="R169" t="str">
            <v/>
          </cell>
          <cell r="S169" t="str">
            <v/>
          </cell>
        </row>
        <row r="170">
          <cell r="A170">
            <v>6</v>
          </cell>
          <cell r="B170">
            <v>6</v>
          </cell>
          <cell r="C170">
            <v>6</v>
          </cell>
          <cell r="D170">
            <v>3</v>
          </cell>
          <cell r="E170" t="str">
            <v/>
          </cell>
          <cell r="F170" t="str">
            <v/>
          </cell>
          <cell r="G170" t="str">
            <v/>
          </cell>
          <cell r="I170">
            <v>16</v>
          </cell>
          <cell r="J170">
            <v>6</v>
          </cell>
          <cell r="K170">
            <v>6</v>
          </cell>
          <cell r="L170">
            <v>6</v>
          </cell>
          <cell r="M170">
            <v>6</v>
          </cell>
          <cell r="N170">
            <v>6</v>
          </cell>
          <cell r="O170">
            <v>6</v>
          </cell>
          <cell r="P170">
            <v>6</v>
          </cell>
          <cell r="Q170">
            <v>5</v>
          </cell>
          <cell r="R170">
            <v>3</v>
          </cell>
          <cell r="S170" t="str">
            <v/>
          </cell>
        </row>
        <row r="171">
          <cell r="A171">
            <v>7</v>
          </cell>
          <cell r="B171">
            <v>6</v>
          </cell>
          <cell r="C171">
            <v>6</v>
          </cell>
          <cell r="D171">
            <v>5</v>
          </cell>
          <cell r="E171" t="str">
            <v/>
          </cell>
          <cell r="F171" t="str">
            <v/>
          </cell>
          <cell r="G171" t="str">
            <v/>
          </cell>
          <cell r="I171">
            <v>17</v>
          </cell>
          <cell r="J171">
            <v>6</v>
          </cell>
          <cell r="K171">
            <v>6</v>
          </cell>
          <cell r="L171">
            <v>6</v>
          </cell>
          <cell r="M171">
            <v>6</v>
          </cell>
          <cell r="N171">
            <v>6</v>
          </cell>
          <cell r="O171">
            <v>6</v>
          </cell>
          <cell r="P171">
            <v>6</v>
          </cell>
          <cell r="Q171">
            <v>6</v>
          </cell>
          <cell r="R171">
            <v>4</v>
          </cell>
          <cell r="S171" t="str">
            <v/>
          </cell>
        </row>
        <row r="172">
          <cell r="A172">
            <v>8</v>
          </cell>
          <cell r="B172">
            <v>6</v>
          </cell>
          <cell r="C172">
            <v>7</v>
          </cell>
          <cell r="D172">
            <v>6</v>
          </cell>
          <cell r="E172" t="str">
            <v/>
          </cell>
          <cell r="F172" t="str">
            <v/>
          </cell>
          <cell r="G172" t="str">
            <v/>
          </cell>
          <cell r="I172">
            <v>18</v>
          </cell>
          <cell r="J172">
            <v>6</v>
          </cell>
          <cell r="K172">
            <v>6</v>
          </cell>
          <cell r="L172">
            <v>6</v>
          </cell>
          <cell r="M172">
            <v>6</v>
          </cell>
          <cell r="N172">
            <v>6</v>
          </cell>
          <cell r="O172">
            <v>6</v>
          </cell>
          <cell r="P172">
            <v>6</v>
          </cell>
          <cell r="Q172">
            <v>6</v>
          </cell>
          <cell r="R172">
            <v>5</v>
          </cell>
          <cell r="S172">
            <v>3</v>
          </cell>
        </row>
        <row r="173">
          <cell r="A173">
            <v>9</v>
          </cell>
          <cell r="B173">
            <v>6</v>
          </cell>
          <cell r="C173">
            <v>7</v>
          </cell>
          <cell r="D173">
            <v>6</v>
          </cell>
          <cell r="E173">
            <v>2</v>
          </cell>
          <cell r="F173" t="str">
            <v/>
          </cell>
          <cell r="G173" t="str">
            <v/>
          </cell>
          <cell r="I173">
            <v>19</v>
          </cell>
          <cell r="J173">
            <v>6</v>
          </cell>
          <cell r="K173">
            <v>6</v>
          </cell>
          <cell r="L173">
            <v>6</v>
          </cell>
          <cell r="M173">
            <v>6</v>
          </cell>
          <cell r="N173">
            <v>6</v>
          </cell>
          <cell r="O173">
            <v>6</v>
          </cell>
          <cell r="P173">
            <v>6</v>
          </cell>
          <cell r="Q173">
            <v>6</v>
          </cell>
          <cell r="R173">
            <v>6</v>
          </cell>
          <cell r="S173">
            <v>4</v>
          </cell>
        </row>
        <row r="174">
          <cell r="A174">
            <v>10</v>
          </cell>
          <cell r="B174">
            <v>6</v>
          </cell>
          <cell r="C174">
            <v>8</v>
          </cell>
          <cell r="D174">
            <v>7</v>
          </cell>
          <cell r="E174">
            <v>3</v>
          </cell>
          <cell r="F174" t="str">
            <v/>
          </cell>
          <cell r="G174" t="str">
            <v/>
          </cell>
          <cell r="I174">
            <v>20</v>
          </cell>
          <cell r="J174">
            <v>6</v>
          </cell>
          <cell r="K174">
            <v>6</v>
          </cell>
          <cell r="L174">
            <v>6</v>
          </cell>
          <cell r="M174">
            <v>6</v>
          </cell>
          <cell r="N174">
            <v>6</v>
          </cell>
          <cell r="O174">
            <v>6</v>
          </cell>
          <cell r="P174">
            <v>6</v>
          </cell>
          <cell r="Q174">
            <v>6</v>
          </cell>
          <cell r="R174">
            <v>6</v>
          </cell>
          <cell r="S174">
            <v>5</v>
          </cell>
        </row>
        <row r="175">
          <cell r="A175">
            <v>11</v>
          </cell>
          <cell r="B175">
            <v>6</v>
          </cell>
          <cell r="C175">
            <v>8</v>
          </cell>
          <cell r="D175">
            <v>7</v>
          </cell>
          <cell r="E175">
            <v>5</v>
          </cell>
          <cell r="F175" t="str">
            <v/>
          </cell>
          <cell r="G175" t="str">
            <v/>
          </cell>
        </row>
        <row r="176">
          <cell r="A176">
            <v>12</v>
          </cell>
          <cell r="B176">
            <v>6</v>
          </cell>
          <cell r="C176">
            <v>8</v>
          </cell>
          <cell r="D176">
            <v>8</v>
          </cell>
          <cell r="E176">
            <v>6</v>
          </cell>
          <cell r="F176" t="str">
            <v/>
          </cell>
          <cell r="G176" t="str">
            <v/>
          </cell>
        </row>
        <row r="177">
          <cell r="A177">
            <v>13</v>
          </cell>
          <cell r="B177">
            <v>6</v>
          </cell>
          <cell r="C177">
            <v>9</v>
          </cell>
          <cell r="D177">
            <v>8</v>
          </cell>
          <cell r="E177">
            <v>6</v>
          </cell>
          <cell r="F177">
            <v>2</v>
          </cell>
          <cell r="G177" t="str">
            <v/>
          </cell>
          <cell r="I177">
            <v>0</v>
          </cell>
          <cell r="J177" t="str">
            <v/>
          </cell>
          <cell r="K177" t="str">
            <v/>
          </cell>
          <cell r="L177" t="str">
            <v/>
          </cell>
          <cell r="M177" t="str">
            <v/>
          </cell>
          <cell r="N177" t="str">
            <v/>
          </cell>
          <cell r="O177" t="str">
            <v/>
          </cell>
          <cell r="P177" t="str">
            <v/>
          </cell>
          <cell r="Q177" t="str">
            <v/>
          </cell>
          <cell r="R177" t="str">
            <v/>
          </cell>
          <cell r="S177" t="str">
            <v/>
          </cell>
        </row>
        <row r="178">
          <cell r="A178">
            <v>14</v>
          </cell>
          <cell r="B178">
            <v>6</v>
          </cell>
          <cell r="C178">
            <v>9</v>
          </cell>
          <cell r="D178">
            <v>8</v>
          </cell>
          <cell r="E178">
            <v>7</v>
          </cell>
          <cell r="F178">
            <v>3</v>
          </cell>
          <cell r="G178" t="str">
            <v/>
          </cell>
          <cell r="I178">
            <v>1</v>
          </cell>
          <cell r="J178">
            <v>4</v>
          </cell>
          <cell r="K178">
            <v>2</v>
          </cell>
          <cell r="L178" t="str">
            <v/>
          </cell>
          <cell r="M178" t="str">
            <v/>
          </cell>
          <cell r="N178" t="str">
            <v/>
          </cell>
          <cell r="O178" t="str">
            <v/>
          </cell>
          <cell r="P178" t="str">
            <v/>
          </cell>
          <cell r="Q178" t="str">
            <v/>
          </cell>
          <cell r="R178" t="str">
            <v/>
          </cell>
          <cell r="S178" t="str">
            <v/>
          </cell>
        </row>
        <row r="179">
          <cell r="A179">
            <v>15</v>
          </cell>
          <cell r="B179">
            <v>6</v>
          </cell>
          <cell r="C179">
            <v>9</v>
          </cell>
          <cell r="D179">
            <v>8</v>
          </cell>
          <cell r="E179">
            <v>7</v>
          </cell>
          <cell r="F179">
            <v>5</v>
          </cell>
          <cell r="G179" t="str">
            <v/>
          </cell>
          <cell r="I179">
            <v>2</v>
          </cell>
          <cell r="J179">
            <v>5</v>
          </cell>
          <cell r="K179">
            <v>3</v>
          </cell>
          <cell r="L179">
            <v>0</v>
          </cell>
          <cell r="M179" t="str">
            <v/>
          </cell>
          <cell r="N179" t="str">
            <v/>
          </cell>
          <cell r="O179" t="str">
            <v/>
          </cell>
          <cell r="P179" t="str">
            <v/>
          </cell>
          <cell r="Q179" t="str">
            <v/>
          </cell>
          <cell r="R179" t="str">
            <v/>
          </cell>
          <cell r="S179" t="str">
            <v/>
          </cell>
        </row>
        <row r="180">
          <cell r="A180">
            <v>16</v>
          </cell>
          <cell r="B180">
            <v>6</v>
          </cell>
          <cell r="C180">
            <v>9</v>
          </cell>
          <cell r="D180">
            <v>9</v>
          </cell>
          <cell r="E180">
            <v>8</v>
          </cell>
          <cell r="F180">
            <v>6</v>
          </cell>
          <cell r="G180" t="str">
            <v/>
          </cell>
          <cell r="I180">
            <v>3</v>
          </cell>
          <cell r="J180">
            <v>5</v>
          </cell>
          <cell r="K180">
            <v>3</v>
          </cell>
          <cell r="L180">
            <v>1</v>
          </cell>
          <cell r="M180">
            <v>0</v>
          </cell>
          <cell r="N180" t="str">
            <v/>
          </cell>
          <cell r="O180" t="str">
            <v/>
          </cell>
          <cell r="P180" t="str">
            <v/>
          </cell>
          <cell r="Q180" t="str">
            <v/>
          </cell>
          <cell r="R180" t="str">
            <v/>
          </cell>
          <cell r="S180" t="str">
            <v/>
          </cell>
        </row>
        <row r="181">
          <cell r="A181">
            <v>17</v>
          </cell>
          <cell r="B181">
            <v>6</v>
          </cell>
          <cell r="C181">
            <v>10</v>
          </cell>
          <cell r="D181">
            <v>9</v>
          </cell>
          <cell r="E181">
            <v>8</v>
          </cell>
          <cell r="F181">
            <v>6</v>
          </cell>
          <cell r="G181">
            <v>2</v>
          </cell>
          <cell r="I181">
            <v>4</v>
          </cell>
          <cell r="J181">
            <v>6</v>
          </cell>
          <cell r="K181">
            <v>3</v>
          </cell>
          <cell r="L181">
            <v>2</v>
          </cell>
          <cell r="M181">
            <v>1</v>
          </cell>
          <cell r="N181">
            <v>0</v>
          </cell>
          <cell r="O181" t="str">
            <v/>
          </cell>
          <cell r="P181" t="str">
            <v/>
          </cell>
          <cell r="Q181" t="str">
            <v/>
          </cell>
          <cell r="R181" t="str">
            <v/>
          </cell>
          <cell r="S181" t="str">
            <v/>
          </cell>
        </row>
        <row r="182">
          <cell r="A182">
            <v>18</v>
          </cell>
          <cell r="B182">
            <v>6</v>
          </cell>
          <cell r="C182">
            <v>10</v>
          </cell>
          <cell r="D182">
            <v>9</v>
          </cell>
          <cell r="E182">
            <v>8</v>
          </cell>
          <cell r="F182">
            <v>7</v>
          </cell>
          <cell r="G182">
            <v>3</v>
          </cell>
          <cell r="I182">
            <v>5</v>
          </cell>
          <cell r="J182">
            <v>6</v>
          </cell>
          <cell r="K182">
            <v>3</v>
          </cell>
          <cell r="L182">
            <v>3</v>
          </cell>
          <cell r="M182">
            <v>2</v>
          </cell>
          <cell r="N182">
            <v>1</v>
          </cell>
          <cell r="O182">
            <v>0</v>
          </cell>
          <cell r="P182" t="str">
            <v/>
          </cell>
          <cell r="Q182" t="str">
            <v/>
          </cell>
          <cell r="R182" t="str">
            <v/>
          </cell>
          <cell r="S182" t="str">
            <v/>
          </cell>
        </row>
        <row r="183">
          <cell r="A183">
            <v>19</v>
          </cell>
          <cell r="B183">
            <v>6</v>
          </cell>
          <cell r="C183">
            <v>10</v>
          </cell>
          <cell r="D183">
            <v>10</v>
          </cell>
          <cell r="E183">
            <v>9</v>
          </cell>
          <cell r="F183">
            <v>7</v>
          </cell>
          <cell r="G183">
            <v>5</v>
          </cell>
          <cell r="I183">
            <v>6</v>
          </cell>
          <cell r="J183">
            <v>6</v>
          </cell>
          <cell r="K183">
            <v>3</v>
          </cell>
          <cell r="L183">
            <v>3</v>
          </cell>
          <cell r="M183">
            <v>3</v>
          </cell>
          <cell r="N183">
            <v>2</v>
          </cell>
          <cell r="O183">
            <v>1</v>
          </cell>
          <cell r="P183">
            <v>0</v>
          </cell>
          <cell r="Q183" t="str">
            <v/>
          </cell>
          <cell r="R183" t="str">
            <v/>
          </cell>
          <cell r="S183" t="str">
            <v/>
          </cell>
        </row>
        <row r="184">
          <cell r="A184">
            <v>20</v>
          </cell>
          <cell r="B184">
            <v>6</v>
          </cell>
          <cell r="C184">
            <v>10</v>
          </cell>
          <cell r="D184">
            <v>10</v>
          </cell>
          <cell r="E184">
            <v>10</v>
          </cell>
          <cell r="F184">
            <v>8</v>
          </cell>
          <cell r="G184">
            <v>6</v>
          </cell>
          <cell r="I184">
            <v>7</v>
          </cell>
          <cell r="J184">
            <v>6</v>
          </cell>
          <cell r="K184">
            <v>4</v>
          </cell>
          <cell r="L184">
            <v>3</v>
          </cell>
          <cell r="M184">
            <v>3</v>
          </cell>
          <cell r="N184">
            <v>3</v>
          </cell>
          <cell r="O184">
            <v>2</v>
          </cell>
          <cell r="P184">
            <v>1</v>
          </cell>
          <cell r="Q184">
            <v>0</v>
          </cell>
          <cell r="R184" t="str">
            <v/>
          </cell>
          <cell r="S184" t="str">
            <v/>
          </cell>
        </row>
        <row r="185">
          <cell r="I185">
            <v>8</v>
          </cell>
          <cell r="J185">
            <v>6</v>
          </cell>
          <cell r="K185">
            <v>4</v>
          </cell>
          <cell r="L185">
            <v>4</v>
          </cell>
          <cell r="M185">
            <v>3</v>
          </cell>
          <cell r="N185">
            <v>3</v>
          </cell>
          <cell r="O185">
            <v>3</v>
          </cell>
          <cell r="P185">
            <v>2</v>
          </cell>
          <cell r="Q185">
            <v>1</v>
          </cell>
          <cell r="R185">
            <v>0</v>
          </cell>
          <cell r="S185" t="str">
            <v/>
          </cell>
        </row>
        <row r="186">
          <cell r="I186">
            <v>9</v>
          </cell>
          <cell r="J186">
            <v>6</v>
          </cell>
          <cell r="K186">
            <v>5</v>
          </cell>
          <cell r="L186">
            <v>4</v>
          </cell>
          <cell r="M186">
            <v>4</v>
          </cell>
          <cell r="N186">
            <v>4</v>
          </cell>
          <cell r="O186">
            <v>4</v>
          </cell>
          <cell r="P186">
            <v>3</v>
          </cell>
          <cell r="Q186">
            <v>2</v>
          </cell>
          <cell r="R186">
            <v>1</v>
          </cell>
          <cell r="S186">
            <v>0</v>
          </cell>
        </row>
        <row r="187">
          <cell r="A187">
            <v>0</v>
          </cell>
          <cell r="B187" t="str">
            <v/>
          </cell>
          <cell r="C187" t="str">
            <v/>
          </cell>
          <cell r="D187" t="str">
            <v/>
          </cell>
          <cell r="E187" t="str">
            <v/>
          </cell>
          <cell r="F187" t="str">
            <v/>
          </cell>
          <cell r="G187" t="str">
            <v/>
          </cell>
          <cell r="I187">
            <v>10</v>
          </cell>
          <cell r="J187">
            <v>6</v>
          </cell>
          <cell r="K187">
            <v>5</v>
          </cell>
          <cell r="L187">
            <v>5</v>
          </cell>
          <cell r="M187">
            <v>4</v>
          </cell>
          <cell r="N187">
            <v>4</v>
          </cell>
          <cell r="O187">
            <v>4</v>
          </cell>
          <cell r="P187">
            <v>4</v>
          </cell>
          <cell r="Q187">
            <v>3</v>
          </cell>
          <cell r="R187">
            <v>2</v>
          </cell>
          <cell r="S187">
            <v>1</v>
          </cell>
        </row>
        <row r="188">
          <cell r="A188">
            <v>1</v>
          </cell>
          <cell r="B188" t="str">
            <v/>
          </cell>
          <cell r="C188">
            <v>1</v>
          </cell>
          <cell r="D188" t="str">
            <v/>
          </cell>
          <cell r="E188" t="str">
            <v/>
          </cell>
          <cell r="F188" t="str">
            <v/>
          </cell>
          <cell r="G188" t="str">
            <v/>
          </cell>
        </row>
        <row r="189">
          <cell r="A189">
            <v>2</v>
          </cell>
          <cell r="B189" t="str">
            <v/>
          </cell>
          <cell r="C189">
            <v>1</v>
          </cell>
          <cell r="D189">
            <v>0</v>
          </cell>
          <cell r="E189" t="str">
            <v/>
          </cell>
          <cell r="F189" t="str">
            <v/>
          </cell>
          <cell r="G189" t="str">
            <v/>
          </cell>
        </row>
        <row r="190">
          <cell r="A190">
            <v>3</v>
          </cell>
          <cell r="B190" t="str">
            <v/>
          </cell>
          <cell r="C190">
            <v>1</v>
          </cell>
          <cell r="D190">
            <v>1</v>
          </cell>
          <cell r="E190" t="str">
            <v/>
          </cell>
          <cell r="F190" t="str">
            <v/>
          </cell>
          <cell r="G190" t="str">
            <v/>
          </cell>
          <cell r="I190">
            <v>0</v>
          </cell>
          <cell r="J190" t="str">
            <v/>
          </cell>
          <cell r="K190" t="str">
            <v/>
          </cell>
          <cell r="L190" t="str">
            <v/>
          </cell>
          <cell r="M190" t="str">
            <v/>
          </cell>
          <cell r="N190" t="str">
            <v/>
          </cell>
          <cell r="O190" t="str">
            <v/>
          </cell>
          <cell r="P190" t="str">
            <v/>
          </cell>
          <cell r="Q190" t="str">
            <v/>
          </cell>
          <cell r="R190" t="str">
            <v/>
          </cell>
          <cell r="S190" t="str">
            <v/>
          </cell>
        </row>
        <row r="191">
          <cell r="A191">
            <v>4</v>
          </cell>
          <cell r="B191" t="str">
            <v/>
          </cell>
          <cell r="C191">
            <v>2</v>
          </cell>
          <cell r="D191">
            <v>1</v>
          </cell>
          <cell r="E191">
            <v>0</v>
          </cell>
          <cell r="F191" t="str">
            <v/>
          </cell>
          <cell r="G191" t="str">
            <v/>
          </cell>
          <cell r="I191">
            <v>1</v>
          </cell>
          <cell r="J191">
            <v>5</v>
          </cell>
          <cell r="K191">
            <v>3</v>
          </cell>
          <cell r="L191" t="str">
            <v/>
          </cell>
          <cell r="M191" t="str">
            <v/>
          </cell>
          <cell r="N191" t="str">
            <v/>
          </cell>
          <cell r="O191" t="str">
            <v/>
          </cell>
          <cell r="P191" t="str">
            <v/>
          </cell>
          <cell r="Q191" t="str">
            <v/>
          </cell>
          <cell r="R191" t="str">
            <v/>
          </cell>
          <cell r="S191" t="str">
            <v/>
          </cell>
        </row>
        <row r="192">
          <cell r="A192">
            <v>5</v>
          </cell>
          <cell r="B192" t="str">
            <v/>
          </cell>
          <cell r="C192">
            <v>2</v>
          </cell>
          <cell r="D192">
            <v>1</v>
          </cell>
          <cell r="E192">
            <v>1</v>
          </cell>
          <cell r="F192" t="str">
            <v/>
          </cell>
          <cell r="G192" t="str">
            <v/>
          </cell>
          <cell r="I192">
            <v>2</v>
          </cell>
          <cell r="J192">
            <v>6</v>
          </cell>
          <cell r="K192">
            <v>4</v>
          </cell>
          <cell r="L192" t="str">
            <v/>
          </cell>
          <cell r="M192" t="str">
            <v/>
          </cell>
          <cell r="N192" t="str">
            <v/>
          </cell>
          <cell r="O192" t="str">
            <v/>
          </cell>
          <cell r="P192" t="str">
            <v/>
          </cell>
          <cell r="Q192" t="str">
            <v/>
          </cell>
          <cell r="R192" t="str">
            <v/>
          </cell>
          <cell r="S192" t="str">
            <v/>
          </cell>
        </row>
        <row r="193">
          <cell r="I193">
            <v>3</v>
          </cell>
          <cell r="J193">
            <v>6</v>
          </cell>
          <cell r="K193">
            <v>5</v>
          </cell>
          <cell r="L193" t="str">
            <v/>
          </cell>
          <cell r="M193" t="str">
            <v/>
          </cell>
          <cell r="N193" t="str">
            <v/>
          </cell>
          <cell r="O193" t="str">
            <v/>
          </cell>
          <cell r="P193" t="str">
            <v/>
          </cell>
          <cell r="Q193" t="str">
            <v/>
          </cell>
          <cell r="R193" t="str">
            <v/>
          </cell>
          <cell r="S193" t="str">
            <v/>
          </cell>
        </row>
        <row r="194">
          <cell r="I194">
            <v>4</v>
          </cell>
          <cell r="J194">
            <v>6</v>
          </cell>
          <cell r="K194">
            <v>6</v>
          </cell>
          <cell r="L194">
            <v>3</v>
          </cell>
          <cell r="M194" t="str">
            <v/>
          </cell>
          <cell r="N194" t="str">
            <v/>
          </cell>
          <cell r="O194" t="str">
            <v/>
          </cell>
          <cell r="P194" t="str">
            <v/>
          </cell>
          <cell r="Q194" t="str">
            <v/>
          </cell>
          <cell r="R194" t="str">
            <v/>
          </cell>
          <cell r="S194" t="str">
            <v/>
          </cell>
        </row>
        <row r="195">
          <cell r="A195">
            <v>0</v>
          </cell>
          <cell r="B195" t="str">
            <v/>
          </cell>
          <cell r="C195" t="str">
            <v/>
          </cell>
          <cell r="D195" t="str">
            <v/>
          </cell>
          <cell r="E195" t="str">
            <v/>
          </cell>
          <cell r="F195" t="str">
            <v/>
          </cell>
          <cell r="G195" t="str">
            <v/>
          </cell>
          <cell r="I195">
            <v>5</v>
          </cell>
          <cell r="J195">
            <v>6</v>
          </cell>
          <cell r="K195">
            <v>6</v>
          </cell>
          <cell r="L195">
            <v>4</v>
          </cell>
          <cell r="M195" t="str">
            <v/>
          </cell>
          <cell r="N195" t="str">
            <v/>
          </cell>
          <cell r="O195" t="str">
            <v/>
          </cell>
          <cell r="P195" t="str">
            <v/>
          </cell>
          <cell r="Q195" t="str">
            <v/>
          </cell>
          <cell r="R195" t="str">
            <v/>
          </cell>
          <cell r="S195" t="str">
            <v/>
          </cell>
        </row>
        <row r="196">
          <cell r="A196">
            <v>1</v>
          </cell>
          <cell r="B196" t="str">
            <v/>
          </cell>
          <cell r="C196">
            <v>0</v>
          </cell>
          <cell r="D196" t="str">
            <v/>
          </cell>
          <cell r="E196" t="str">
            <v/>
          </cell>
          <cell r="F196" t="str">
            <v/>
          </cell>
          <cell r="G196" t="str">
            <v/>
          </cell>
          <cell r="I196">
            <v>6</v>
          </cell>
          <cell r="J196">
            <v>6</v>
          </cell>
          <cell r="K196">
            <v>6</v>
          </cell>
          <cell r="L196">
            <v>5</v>
          </cell>
          <cell r="M196">
            <v>3</v>
          </cell>
          <cell r="N196" t="str">
            <v/>
          </cell>
          <cell r="O196" t="str">
            <v/>
          </cell>
          <cell r="P196" t="str">
            <v/>
          </cell>
          <cell r="Q196" t="str">
            <v/>
          </cell>
          <cell r="R196" t="str">
            <v/>
          </cell>
          <cell r="S196" t="str">
            <v/>
          </cell>
        </row>
        <row r="197">
          <cell r="A197">
            <v>2</v>
          </cell>
          <cell r="B197" t="str">
            <v/>
          </cell>
          <cell r="C197">
            <v>1</v>
          </cell>
          <cell r="D197" t="str">
            <v/>
          </cell>
          <cell r="E197" t="str">
            <v/>
          </cell>
          <cell r="F197" t="str">
            <v/>
          </cell>
          <cell r="G197" t="str">
            <v/>
          </cell>
          <cell r="I197">
            <v>7</v>
          </cell>
          <cell r="J197">
            <v>6</v>
          </cell>
          <cell r="K197">
            <v>6</v>
          </cell>
          <cell r="L197">
            <v>6</v>
          </cell>
          <cell r="M197">
            <v>4</v>
          </cell>
          <cell r="N197" t="str">
            <v/>
          </cell>
          <cell r="O197" t="str">
            <v/>
          </cell>
          <cell r="P197" t="str">
            <v/>
          </cell>
          <cell r="Q197" t="str">
            <v/>
          </cell>
          <cell r="R197" t="str">
            <v/>
          </cell>
          <cell r="S197" t="str">
            <v/>
          </cell>
        </row>
        <row r="198">
          <cell r="A198">
            <v>3</v>
          </cell>
          <cell r="B198" t="str">
            <v/>
          </cell>
          <cell r="C198">
            <v>1</v>
          </cell>
          <cell r="D198">
            <v>0</v>
          </cell>
          <cell r="E198" t="str">
            <v/>
          </cell>
          <cell r="F198" t="str">
            <v/>
          </cell>
          <cell r="G198" t="str">
            <v/>
          </cell>
          <cell r="I198">
            <v>8</v>
          </cell>
          <cell r="J198">
            <v>6</v>
          </cell>
          <cell r="K198">
            <v>6</v>
          </cell>
          <cell r="L198">
            <v>6</v>
          </cell>
          <cell r="M198">
            <v>5</v>
          </cell>
          <cell r="N198">
            <v>3</v>
          </cell>
          <cell r="O198" t="str">
            <v/>
          </cell>
          <cell r="P198" t="str">
            <v/>
          </cell>
          <cell r="Q198" t="str">
            <v/>
          </cell>
          <cell r="R198" t="str">
            <v/>
          </cell>
          <cell r="S198" t="str">
            <v/>
          </cell>
        </row>
        <row r="199">
          <cell r="A199">
            <v>4</v>
          </cell>
          <cell r="B199" t="str">
            <v/>
          </cell>
          <cell r="C199">
            <v>1</v>
          </cell>
          <cell r="D199">
            <v>1</v>
          </cell>
          <cell r="E199" t="str">
            <v/>
          </cell>
          <cell r="F199" t="str">
            <v/>
          </cell>
          <cell r="G199" t="str">
            <v/>
          </cell>
          <cell r="I199">
            <v>9</v>
          </cell>
          <cell r="J199">
            <v>6</v>
          </cell>
          <cell r="K199">
            <v>6</v>
          </cell>
          <cell r="L199">
            <v>6</v>
          </cell>
          <cell r="M199">
            <v>6</v>
          </cell>
          <cell r="N199">
            <v>4</v>
          </cell>
          <cell r="O199" t="str">
            <v/>
          </cell>
          <cell r="P199" t="str">
            <v/>
          </cell>
          <cell r="Q199" t="str">
            <v/>
          </cell>
          <cell r="R199" t="str">
            <v/>
          </cell>
          <cell r="S199" t="str">
            <v/>
          </cell>
        </row>
        <row r="200">
          <cell r="A200">
            <v>5</v>
          </cell>
          <cell r="B200" t="str">
            <v/>
          </cell>
          <cell r="C200">
            <v>2</v>
          </cell>
          <cell r="D200">
            <v>1</v>
          </cell>
          <cell r="E200">
            <v>0</v>
          </cell>
          <cell r="F200" t="str">
            <v/>
          </cell>
          <cell r="G200" t="str">
            <v/>
          </cell>
          <cell r="I200">
            <v>10</v>
          </cell>
          <cell r="J200">
            <v>6</v>
          </cell>
          <cell r="K200">
            <v>6</v>
          </cell>
          <cell r="L200">
            <v>6</v>
          </cell>
          <cell r="M200">
            <v>6</v>
          </cell>
          <cell r="N200">
            <v>5</v>
          </cell>
          <cell r="O200">
            <v>3</v>
          </cell>
          <cell r="P200" t="str">
            <v/>
          </cell>
          <cell r="Q200" t="str">
            <v/>
          </cell>
          <cell r="R200" t="str">
            <v/>
          </cell>
          <cell r="S200" t="str">
            <v/>
          </cell>
        </row>
        <row r="201">
          <cell r="I201">
            <v>11</v>
          </cell>
          <cell r="J201">
            <v>6</v>
          </cell>
          <cell r="K201">
            <v>6</v>
          </cell>
          <cell r="L201">
            <v>6</v>
          </cell>
          <cell r="M201">
            <v>6</v>
          </cell>
          <cell r="N201">
            <v>6</v>
          </cell>
          <cell r="O201">
            <v>4</v>
          </cell>
          <cell r="P201" t="str">
            <v/>
          </cell>
          <cell r="Q201" t="str">
            <v/>
          </cell>
          <cell r="R201" t="str">
            <v/>
          </cell>
          <cell r="S201" t="str">
            <v/>
          </cell>
        </row>
        <row r="202">
          <cell r="I202">
            <v>12</v>
          </cell>
          <cell r="J202">
            <v>6</v>
          </cell>
          <cell r="K202">
            <v>6</v>
          </cell>
          <cell r="L202">
            <v>6</v>
          </cell>
          <cell r="M202">
            <v>6</v>
          </cell>
          <cell r="N202">
            <v>6</v>
          </cell>
          <cell r="O202">
            <v>5</v>
          </cell>
          <cell r="P202">
            <v>3</v>
          </cell>
          <cell r="Q202" t="str">
            <v/>
          </cell>
          <cell r="R202" t="str">
            <v/>
          </cell>
          <cell r="S202" t="str">
            <v/>
          </cell>
        </row>
        <row r="203">
          <cell r="I203">
            <v>13</v>
          </cell>
          <cell r="J203">
            <v>6</v>
          </cell>
          <cell r="K203">
            <v>6</v>
          </cell>
          <cell r="L203">
            <v>6</v>
          </cell>
          <cell r="M203">
            <v>6</v>
          </cell>
          <cell r="N203">
            <v>6</v>
          </cell>
          <cell r="O203">
            <v>6</v>
          </cell>
          <cell r="P203">
            <v>4</v>
          </cell>
          <cell r="Q203" t="str">
            <v/>
          </cell>
          <cell r="R203" t="str">
            <v/>
          </cell>
          <cell r="S203" t="str">
            <v/>
          </cell>
        </row>
        <row r="204">
          <cell r="I204">
            <v>14</v>
          </cell>
          <cell r="J204">
            <v>6</v>
          </cell>
          <cell r="K204">
            <v>6</v>
          </cell>
          <cell r="L204">
            <v>6</v>
          </cell>
          <cell r="M204">
            <v>6</v>
          </cell>
          <cell r="N204">
            <v>6</v>
          </cell>
          <cell r="O204">
            <v>6</v>
          </cell>
          <cell r="P204">
            <v>5</v>
          </cell>
          <cell r="Q204">
            <v>3</v>
          </cell>
          <cell r="R204" t="str">
            <v/>
          </cell>
          <cell r="S204" t="str">
            <v/>
          </cell>
        </row>
        <row r="205">
          <cell r="I205">
            <v>15</v>
          </cell>
          <cell r="J205">
            <v>6</v>
          </cell>
          <cell r="K205">
            <v>6</v>
          </cell>
          <cell r="L205">
            <v>6</v>
          </cell>
          <cell r="M205">
            <v>6</v>
          </cell>
          <cell r="N205">
            <v>6</v>
          </cell>
          <cell r="O205">
            <v>6</v>
          </cell>
          <cell r="P205">
            <v>6</v>
          </cell>
          <cell r="Q205">
            <v>4</v>
          </cell>
          <cell r="R205" t="str">
            <v/>
          </cell>
          <cell r="S205" t="str">
            <v/>
          </cell>
        </row>
        <row r="206">
          <cell r="I206">
            <v>16</v>
          </cell>
          <cell r="J206">
            <v>6</v>
          </cell>
          <cell r="K206">
            <v>6</v>
          </cell>
          <cell r="L206">
            <v>6</v>
          </cell>
          <cell r="M206">
            <v>6</v>
          </cell>
          <cell r="N206">
            <v>6</v>
          </cell>
          <cell r="O206">
            <v>6</v>
          </cell>
          <cell r="P206">
            <v>6</v>
          </cell>
          <cell r="Q206">
            <v>5</v>
          </cell>
          <cell r="R206">
            <v>3</v>
          </cell>
          <cell r="S206" t="str">
            <v/>
          </cell>
        </row>
        <row r="207">
          <cell r="I207">
            <v>17</v>
          </cell>
          <cell r="J207">
            <v>6</v>
          </cell>
          <cell r="K207">
            <v>6</v>
          </cell>
          <cell r="L207">
            <v>6</v>
          </cell>
          <cell r="M207">
            <v>6</v>
          </cell>
          <cell r="N207">
            <v>6</v>
          </cell>
          <cell r="O207">
            <v>6</v>
          </cell>
          <cell r="P207">
            <v>6</v>
          </cell>
          <cell r="Q207">
            <v>6</v>
          </cell>
          <cell r="R207">
            <v>4</v>
          </cell>
          <cell r="S207" t="str">
            <v/>
          </cell>
        </row>
        <row r="208">
          <cell r="I208">
            <v>18</v>
          </cell>
          <cell r="J208">
            <v>6</v>
          </cell>
          <cell r="K208">
            <v>6</v>
          </cell>
          <cell r="L208">
            <v>6</v>
          </cell>
          <cell r="M208">
            <v>6</v>
          </cell>
          <cell r="N208">
            <v>6</v>
          </cell>
          <cell r="O208">
            <v>6</v>
          </cell>
          <cell r="P208">
            <v>6</v>
          </cell>
          <cell r="Q208">
            <v>6</v>
          </cell>
          <cell r="R208">
            <v>5</v>
          </cell>
          <cell r="S208">
            <v>3</v>
          </cell>
        </row>
        <row r="209">
          <cell r="I209">
            <v>19</v>
          </cell>
          <cell r="J209">
            <v>6</v>
          </cell>
          <cell r="K209">
            <v>6</v>
          </cell>
          <cell r="L209">
            <v>6</v>
          </cell>
          <cell r="M209">
            <v>6</v>
          </cell>
          <cell r="N209">
            <v>6</v>
          </cell>
          <cell r="O209">
            <v>6</v>
          </cell>
          <cell r="P209">
            <v>6</v>
          </cell>
          <cell r="Q209">
            <v>6</v>
          </cell>
          <cell r="R209">
            <v>6</v>
          </cell>
          <cell r="S209">
            <v>4</v>
          </cell>
        </row>
        <row r="210">
          <cell r="I210">
            <v>20</v>
          </cell>
          <cell r="J210">
            <v>6</v>
          </cell>
          <cell r="K210">
            <v>6</v>
          </cell>
          <cell r="L210">
            <v>6</v>
          </cell>
          <cell r="M210">
            <v>6</v>
          </cell>
          <cell r="N210">
            <v>6</v>
          </cell>
          <cell r="O210">
            <v>6</v>
          </cell>
          <cell r="P210">
            <v>6</v>
          </cell>
          <cell r="Q210">
            <v>6</v>
          </cell>
          <cell r="R210">
            <v>6</v>
          </cell>
          <cell r="S210">
            <v>6</v>
          </cell>
        </row>
        <row r="211">
          <cell r="A211">
            <v>0</v>
          </cell>
          <cell r="B211" t="str">
            <v/>
          </cell>
          <cell r="C211" t="str">
            <v/>
          </cell>
          <cell r="D211" t="str">
            <v/>
          </cell>
          <cell r="E211" t="str">
            <v/>
          </cell>
          <cell r="F211" t="str">
            <v/>
          </cell>
          <cell r="G211" t="str">
            <v/>
          </cell>
        </row>
        <row r="212">
          <cell r="A212">
            <v>1</v>
          </cell>
          <cell r="B212" t="str">
            <v/>
          </cell>
          <cell r="C212">
            <v>0</v>
          </cell>
          <cell r="D212" t="str">
            <v/>
          </cell>
          <cell r="E212" t="str">
            <v/>
          </cell>
          <cell r="F212" t="str">
            <v/>
          </cell>
          <cell r="G212" t="str">
            <v/>
          </cell>
        </row>
        <row r="213">
          <cell r="A213">
            <v>2</v>
          </cell>
          <cell r="B213" t="str">
            <v/>
          </cell>
          <cell r="C213">
            <v>1</v>
          </cell>
          <cell r="D213">
            <v>0</v>
          </cell>
          <cell r="E213" t="str">
            <v/>
          </cell>
          <cell r="F213" t="str">
            <v/>
          </cell>
          <cell r="G213" t="str">
            <v/>
          </cell>
          <cell r="I213">
            <v>0</v>
          </cell>
          <cell r="J213" t="str">
            <v/>
          </cell>
          <cell r="K213" t="str">
            <v/>
          </cell>
          <cell r="L213" t="str">
            <v/>
          </cell>
          <cell r="M213" t="str">
            <v/>
          </cell>
          <cell r="N213" t="str">
            <v/>
          </cell>
          <cell r="O213" t="str">
            <v/>
          </cell>
          <cell r="P213" t="str">
            <v/>
          </cell>
          <cell r="Q213" t="str">
            <v/>
          </cell>
          <cell r="R213" t="str">
            <v/>
          </cell>
          <cell r="S213" t="str">
            <v/>
          </cell>
        </row>
        <row r="214">
          <cell r="A214">
            <v>3</v>
          </cell>
          <cell r="B214" t="str">
            <v/>
          </cell>
          <cell r="C214">
            <v>1</v>
          </cell>
          <cell r="D214">
            <v>1</v>
          </cell>
          <cell r="E214">
            <v>0</v>
          </cell>
          <cell r="F214" t="str">
            <v/>
          </cell>
          <cell r="G214" t="str">
            <v/>
          </cell>
          <cell r="I214">
            <v>1</v>
          </cell>
          <cell r="J214">
            <v>3</v>
          </cell>
          <cell r="K214">
            <v>2</v>
          </cell>
          <cell r="L214" t="str">
            <v/>
          </cell>
          <cell r="M214" t="str">
            <v/>
          </cell>
          <cell r="N214" t="str">
            <v/>
          </cell>
          <cell r="O214" t="str">
            <v/>
          </cell>
          <cell r="P214" t="str">
            <v/>
          </cell>
          <cell r="Q214" t="str">
            <v/>
          </cell>
          <cell r="R214" t="str">
            <v/>
          </cell>
          <cell r="S214" t="str">
            <v/>
          </cell>
        </row>
        <row r="215">
          <cell r="A215">
            <v>4</v>
          </cell>
          <cell r="B215" t="str">
            <v/>
          </cell>
          <cell r="C215">
            <v>1</v>
          </cell>
          <cell r="D215">
            <v>1</v>
          </cell>
          <cell r="E215">
            <v>1</v>
          </cell>
          <cell r="F215">
            <v>0</v>
          </cell>
          <cell r="G215" t="str">
            <v/>
          </cell>
          <cell r="I215">
            <v>2</v>
          </cell>
          <cell r="J215">
            <v>4</v>
          </cell>
          <cell r="K215">
            <v>3</v>
          </cell>
          <cell r="L215" t="str">
            <v/>
          </cell>
          <cell r="M215" t="str">
            <v/>
          </cell>
          <cell r="N215" t="str">
            <v/>
          </cell>
          <cell r="O215" t="str">
            <v/>
          </cell>
          <cell r="P215" t="str">
            <v/>
          </cell>
          <cell r="Q215" t="str">
            <v/>
          </cell>
          <cell r="R215" t="str">
            <v/>
          </cell>
          <cell r="S215" t="str">
            <v/>
          </cell>
        </row>
        <row r="216">
          <cell r="A216">
            <v>5</v>
          </cell>
          <cell r="B216" t="str">
            <v/>
          </cell>
          <cell r="C216">
            <v>2</v>
          </cell>
          <cell r="D216">
            <v>1</v>
          </cell>
          <cell r="E216">
            <v>1</v>
          </cell>
          <cell r="F216">
            <v>1</v>
          </cell>
          <cell r="G216">
            <v>0</v>
          </cell>
          <cell r="I216">
            <v>3</v>
          </cell>
          <cell r="J216">
            <v>5</v>
          </cell>
          <cell r="K216">
            <v>4</v>
          </cell>
          <cell r="L216">
            <v>2</v>
          </cell>
          <cell r="M216" t="str">
            <v/>
          </cell>
          <cell r="N216" t="str">
            <v/>
          </cell>
          <cell r="O216" t="str">
            <v/>
          </cell>
          <cell r="P216" t="str">
            <v/>
          </cell>
          <cell r="Q216" t="str">
            <v/>
          </cell>
          <cell r="R216" t="str">
            <v/>
          </cell>
          <cell r="S216" t="str">
            <v/>
          </cell>
        </row>
        <row r="217">
          <cell r="A217">
            <v>6</v>
          </cell>
          <cell r="B217" t="str">
            <v/>
          </cell>
          <cell r="C217">
            <v>2</v>
          </cell>
          <cell r="D217">
            <v>2</v>
          </cell>
          <cell r="E217">
            <v>1</v>
          </cell>
          <cell r="F217">
            <v>1</v>
          </cell>
          <cell r="G217">
            <v>1</v>
          </cell>
          <cell r="I217">
            <v>4</v>
          </cell>
          <cell r="J217">
            <v>6</v>
          </cell>
          <cell r="K217">
            <v>5</v>
          </cell>
          <cell r="L217">
            <v>3</v>
          </cell>
          <cell r="M217" t="str">
            <v/>
          </cell>
          <cell r="N217" t="str">
            <v/>
          </cell>
          <cell r="O217" t="str">
            <v/>
          </cell>
          <cell r="P217" t="str">
            <v/>
          </cell>
          <cell r="Q217" t="str">
            <v/>
          </cell>
          <cell r="R217" t="str">
            <v/>
          </cell>
          <cell r="S217" t="str">
            <v/>
          </cell>
        </row>
        <row r="218">
          <cell r="I218">
            <v>5</v>
          </cell>
          <cell r="J218">
            <v>6</v>
          </cell>
          <cell r="K218">
            <v>6</v>
          </cell>
          <cell r="L218">
            <v>4</v>
          </cell>
          <cell r="M218">
            <v>2</v>
          </cell>
          <cell r="N218" t="str">
            <v/>
          </cell>
          <cell r="O218" t="str">
            <v/>
          </cell>
          <cell r="P218" t="str">
            <v/>
          </cell>
          <cell r="Q218" t="str">
            <v/>
          </cell>
          <cell r="R218" t="str">
            <v/>
          </cell>
          <cell r="S218" t="str">
            <v/>
          </cell>
        </row>
        <row r="219">
          <cell r="I219">
            <v>6</v>
          </cell>
          <cell r="J219">
            <v>6</v>
          </cell>
          <cell r="K219">
            <v>6</v>
          </cell>
          <cell r="L219">
            <v>5</v>
          </cell>
          <cell r="M219">
            <v>3</v>
          </cell>
          <cell r="N219" t="str">
            <v/>
          </cell>
          <cell r="O219" t="str">
            <v/>
          </cell>
          <cell r="P219" t="str">
            <v/>
          </cell>
          <cell r="Q219" t="str">
            <v/>
          </cell>
          <cell r="R219" t="str">
            <v/>
          </cell>
          <cell r="S219" t="str">
            <v/>
          </cell>
        </row>
        <row r="220">
          <cell r="I220">
            <v>7</v>
          </cell>
          <cell r="J220">
            <v>6</v>
          </cell>
          <cell r="K220">
            <v>6</v>
          </cell>
          <cell r="L220">
            <v>6</v>
          </cell>
          <cell r="M220">
            <v>4</v>
          </cell>
          <cell r="N220">
            <v>2</v>
          </cell>
          <cell r="O220" t="str">
            <v/>
          </cell>
          <cell r="P220" t="str">
            <v/>
          </cell>
          <cell r="Q220" t="str">
            <v/>
          </cell>
          <cell r="R220" t="str">
            <v/>
          </cell>
          <cell r="S220" t="str">
            <v/>
          </cell>
        </row>
        <row r="221">
          <cell r="I221">
            <v>8</v>
          </cell>
          <cell r="J221">
            <v>6</v>
          </cell>
          <cell r="K221">
            <v>6</v>
          </cell>
          <cell r="L221">
            <v>6</v>
          </cell>
          <cell r="M221">
            <v>5</v>
          </cell>
          <cell r="N221">
            <v>3</v>
          </cell>
          <cell r="O221" t="str">
            <v/>
          </cell>
          <cell r="P221" t="str">
            <v/>
          </cell>
          <cell r="Q221" t="str">
            <v/>
          </cell>
          <cell r="R221" t="str">
            <v/>
          </cell>
          <cell r="S221" t="str">
            <v/>
          </cell>
        </row>
        <row r="222">
          <cell r="I222">
            <v>9</v>
          </cell>
          <cell r="J222">
            <v>6</v>
          </cell>
          <cell r="K222">
            <v>6</v>
          </cell>
          <cell r="L222">
            <v>6</v>
          </cell>
          <cell r="M222">
            <v>6</v>
          </cell>
          <cell r="N222">
            <v>4</v>
          </cell>
          <cell r="O222">
            <v>2</v>
          </cell>
          <cell r="P222" t="str">
            <v/>
          </cell>
          <cell r="Q222" t="str">
            <v/>
          </cell>
          <cell r="R222" t="str">
            <v/>
          </cell>
          <cell r="S222" t="str">
            <v/>
          </cell>
        </row>
        <row r="223">
          <cell r="I223">
            <v>10</v>
          </cell>
          <cell r="J223">
            <v>6</v>
          </cell>
          <cell r="K223">
            <v>6</v>
          </cell>
          <cell r="L223">
            <v>6</v>
          </cell>
          <cell r="M223">
            <v>6</v>
          </cell>
          <cell r="N223">
            <v>5</v>
          </cell>
          <cell r="O223">
            <v>3</v>
          </cell>
          <cell r="P223" t="str">
            <v/>
          </cell>
          <cell r="Q223" t="str">
            <v/>
          </cell>
          <cell r="R223" t="str">
            <v/>
          </cell>
          <cell r="S223" t="str">
            <v/>
          </cell>
        </row>
        <row r="224">
          <cell r="I224">
            <v>11</v>
          </cell>
          <cell r="J224">
            <v>6</v>
          </cell>
          <cell r="K224">
            <v>6</v>
          </cell>
          <cell r="L224">
            <v>6</v>
          </cell>
          <cell r="M224">
            <v>6</v>
          </cell>
          <cell r="N224">
            <v>6</v>
          </cell>
          <cell r="O224">
            <v>4</v>
          </cell>
          <cell r="P224">
            <v>2</v>
          </cell>
          <cell r="Q224" t="str">
            <v/>
          </cell>
          <cell r="R224" t="str">
            <v/>
          </cell>
          <cell r="S224" t="str">
            <v/>
          </cell>
        </row>
        <row r="225">
          <cell r="I225">
            <v>12</v>
          </cell>
          <cell r="J225">
            <v>6</v>
          </cell>
          <cell r="K225">
            <v>6</v>
          </cell>
          <cell r="L225">
            <v>6</v>
          </cell>
          <cell r="M225">
            <v>6</v>
          </cell>
          <cell r="N225">
            <v>6</v>
          </cell>
          <cell r="O225">
            <v>5</v>
          </cell>
          <cell r="P225">
            <v>3</v>
          </cell>
          <cell r="Q225" t="str">
            <v/>
          </cell>
          <cell r="R225" t="str">
            <v/>
          </cell>
          <cell r="S225" t="str">
            <v/>
          </cell>
        </row>
        <row r="226">
          <cell r="I226">
            <v>13</v>
          </cell>
          <cell r="J226">
            <v>6</v>
          </cell>
          <cell r="K226">
            <v>6</v>
          </cell>
          <cell r="L226">
            <v>6</v>
          </cell>
          <cell r="M226">
            <v>6</v>
          </cell>
          <cell r="N226">
            <v>6</v>
          </cell>
          <cell r="O226">
            <v>6</v>
          </cell>
          <cell r="P226">
            <v>4</v>
          </cell>
          <cell r="Q226">
            <v>2</v>
          </cell>
          <cell r="R226" t="str">
            <v/>
          </cell>
          <cell r="S226" t="str">
            <v/>
          </cell>
        </row>
        <row r="227">
          <cell r="I227">
            <v>14</v>
          </cell>
          <cell r="J227">
            <v>6</v>
          </cell>
          <cell r="K227">
            <v>6</v>
          </cell>
          <cell r="L227">
            <v>6</v>
          </cell>
          <cell r="M227">
            <v>6</v>
          </cell>
          <cell r="N227">
            <v>6</v>
          </cell>
          <cell r="O227">
            <v>6</v>
          </cell>
          <cell r="P227">
            <v>5</v>
          </cell>
          <cell r="Q227">
            <v>3</v>
          </cell>
          <cell r="R227" t="str">
            <v/>
          </cell>
          <cell r="S227" t="str">
            <v/>
          </cell>
        </row>
        <row r="228">
          <cell r="I228">
            <v>15</v>
          </cell>
          <cell r="J228">
            <v>6</v>
          </cell>
          <cell r="K228">
            <v>6</v>
          </cell>
          <cell r="L228">
            <v>6</v>
          </cell>
          <cell r="M228">
            <v>6</v>
          </cell>
          <cell r="N228">
            <v>6</v>
          </cell>
          <cell r="O228">
            <v>6</v>
          </cell>
          <cell r="P228">
            <v>6</v>
          </cell>
          <cell r="Q228">
            <v>4</v>
          </cell>
          <cell r="R228">
            <v>2</v>
          </cell>
          <cell r="S228" t="str">
            <v/>
          </cell>
        </row>
        <row r="229">
          <cell r="I229">
            <v>16</v>
          </cell>
          <cell r="J229">
            <v>6</v>
          </cell>
          <cell r="K229">
            <v>6</v>
          </cell>
          <cell r="L229">
            <v>6</v>
          </cell>
          <cell r="M229">
            <v>6</v>
          </cell>
          <cell r="N229">
            <v>6</v>
          </cell>
          <cell r="O229">
            <v>6</v>
          </cell>
          <cell r="P229">
            <v>6</v>
          </cell>
          <cell r="Q229">
            <v>5</v>
          </cell>
          <cell r="R229">
            <v>3</v>
          </cell>
          <cell r="S229" t="str">
            <v/>
          </cell>
        </row>
        <row r="230">
          <cell r="I230">
            <v>17</v>
          </cell>
          <cell r="J230">
            <v>6</v>
          </cell>
          <cell r="K230">
            <v>6</v>
          </cell>
          <cell r="L230">
            <v>6</v>
          </cell>
          <cell r="M230">
            <v>6</v>
          </cell>
          <cell r="N230">
            <v>6</v>
          </cell>
          <cell r="O230">
            <v>6</v>
          </cell>
          <cell r="P230">
            <v>6</v>
          </cell>
          <cell r="Q230">
            <v>6</v>
          </cell>
          <cell r="R230">
            <v>4</v>
          </cell>
          <cell r="S230">
            <v>2</v>
          </cell>
        </row>
        <row r="231">
          <cell r="I231">
            <v>18</v>
          </cell>
          <cell r="J231">
            <v>6</v>
          </cell>
          <cell r="K231">
            <v>6</v>
          </cell>
          <cell r="L231">
            <v>6</v>
          </cell>
          <cell r="M231">
            <v>6</v>
          </cell>
          <cell r="N231">
            <v>6</v>
          </cell>
          <cell r="O231">
            <v>6</v>
          </cell>
          <cell r="P231">
            <v>6</v>
          </cell>
          <cell r="Q231">
            <v>6</v>
          </cell>
          <cell r="R231">
            <v>5</v>
          </cell>
          <cell r="S231">
            <v>3</v>
          </cell>
        </row>
        <row r="232">
          <cell r="I232">
            <v>19</v>
          </cell>
          <cell r="J232">
            <v>6</v>
          </cell>
          <cell r="K232">
            <v>6</v>
          </cell>
          <cell r="L232">
            <v>6</v>
          </cell>
          <cell r="M232">
            <v>6</v>
          </cell>
          <cell r="N232">
            <v>6</v>
          </cell>
          <cell r="O232">
            <v>6</v>
          </cell>
          <cell r="P232">
            <v>6</v>
          </cell>
          <cell r="Q232">
            <v>6</v>
          </cell>
          <cell r="R232">
            <v>6</v>
          </cell>
          <cell r="S232">
            <v>4</v>
          </cell>
        </row>
        <row r="233">
          <cell r="I233">
            <v>20</v>
          </cell>
          <cell r="J233">
            <v>6</v>
          </cell>
          <cell r="K233">
            <v>6</v>
          </cell>
          <cell r="L233">
            <v>6</v>
          </cell>
          <cell r="M233">
            <v>6</v>
          </cell>
          <cell r="N233">
            <v>6</v>
          </cell>
          <cell r="O233">
            <v>6</v>
          </cell>
          <cell r="P233">
            <v>6</v>
          </cell>
          <cell r="Q233">
            <v>6</v>
          </cell>
          <cell r="R233">
            <v>6</v>
          </cell>
          <cell r="S233">
            <v>5</v>
          </cell>
        </row>
        <row r="236">
          <cell r="I236">
            <v>0</v>
          </cell>
          <cell r="J236" t="str">
            <v/>
          </cell>
          <cell r="K236" t="str">
            <v/>
          </cell>
          <cell r="L236" t="str">
            <v/>
          </cell>
          <cell r="M236" t="str">
            <v/>
          </cell>
          <cell r="N236" t="str">
            <v/>
          </cell>
          <cell r="O236" t="str">
            <v/>
          </cell>
          <cell r="P236" t="str">
            <v/>
          </cell>
          <cell r="Q236" t="str">
            <v/>
          </cell>
          <cell r="R236" t="str">
            <v/>
          </cell>
          <cell r="S236" t="str">
            <v/>
          </cell>
        </row>
        <row r="237">
          <cell r="I237">
            <v>1</v>
          </cell>
          <cell r="J237" t="str">
            <v/>
          </cell>
          <cell r="K237">
            <v>0</v>
          </cell>
          <cell r="L237" t="str">
            <v/>
          </cell>
          <cell r="M237" t="str">
            <v/>
          </cell>
          <cell r="N237" t="str">
            <v/>
          </cell>
          <cell r="O237" t="str">
            <v/>
          </cell>
          <cell r="P237" t="str">
            <v/>
          </cell>
          <cell r="Q237" t="str">
            <v/>
          </cell>
          <cell r="R237" t="str">
            <v/>
          </cell>
          <cell r="S237" t="str">
            <v/>
          </cell>
        </row>
        <row r="238">
          <cell r="I238">
            <v>2</v>
          </cell>
          <cell r="J238" t="str">
            <v/>
          </cell>
          <cell r="K238">
            <v>1</v>
          </cell>
          <cell r="L238">
            <v>0</v>
          </cell>
          <cell r="M238" t="str">
            <v/>
          </cell>
          <cell r="N238" t="str">
            <v/>
          </cell>
          <cell r="O238" t="str">
            <v/>
          </cell>
          <cell r="P238" t="str">
            <v/>
          </cell>
          <cell r="Q238" t="str">
            <v/>
          </cell>
          <cell r="R238" t="str">
            <v/>
          </cell>
          <cell r="S238" t="str">
            <v/>
          </cell>
        </row>
        <row r="239">
          <cell r="I239">
            <v>3</v>
          </cell>
          <cell r="J239" t="str">
            <v/>
          </cell>
          <cell r="K239">
            <v>2</v>
          </cell>
          <cell r="L239">
            <v>1</v>
          </cell>
          <cell r="M239">
            <v>0</v>
          </cell>
          <cell r="N239" t="str">
            <v/>
          </cell>
          <cell r="O239" t="str">
            <v/>
          </cell>
          <cell r="P239" t="str">
            <v/>
          </cell>
          <cell r="Q239" t="str">
            <v/>
          </cell>
          <cell r="R239" t="str">
            <v/>
          </cell>
          <cell r="S239" t="str">
            <v/>
          </cell>
        </row>
        <row r="240">
          <cell r="I240">
            <v>4</v>
          </cell>
          <cell r="J240" t="str">
            <v/>
          </cell>
          <cell r="K240">
            <v>2</v>
          </cell>
          <cell r="L240">
            <v>2</v>
          </cell>
          <cell r="M240">
            <v>1</v>
          </cell>
          <cell r="N240">
            <v>0</v>
          </cell>
          <cell r="O240" t="str">
            <v/>
          </cell>
          <cell r="P240" t="str">
            <v/>
          </cell>
          <cell r="Q240" t="str">
            <v/>
          </cell>
          <cell r="R240" t="str">
            <v/>
          </cell>
          <cell r="S240" t="str">
            <v/>
          </cell>
        </row>
        <row r="241">
          <cell r="I241">
            <v>5</v>
          </cell>
          <cell r="J241" t="str">
            <v/>
          </cell>
          <cell r="K241">
            <v>3</v>
          </cell>
          <cell r="L241">
            <v>2</v>
          </cell>
          <cell r="M241">
            <v>2</v>
          </cell>
          <cell r="N241">
            <v>1</v>
          </cell>
          <cell r="O241">
            <v>0</v>
          </cell>
          <cell r="P241" t="str">
            <v/>
          </cell>
          <cell r="Q241" t="str">
            <v/>
          </cell>
          <cell r="R241" t="str">
            <v/>
          </cell>
          <cell r="S241" t="str">
            <v/>
          </cell>
        </row>
        <row r="242">
          <cell r="I242">
            <v>6</v>
          </cell>
          <cell r="J242" t="str">
            <v/>
          </cell>
          <cell r="K242">
            <v>3</v>
          </cell>
          <cell r="L242">
            <v>3</v>
          </cell>
          <cell r="M242">
            <v>2</v>
          </cell>
          <cell r="N242">
            <v>2</v>
          </cell>
          <cell r="O242">
            <v>1</v>
          </cell>
          <cell r="P242">
            <v>0</v>
          </cell>
          <cell r="Q242" t="str">
            <v/>
          </cell>
          <cell r="R242" t="str">
            <v/>
          </cell>
          <cell r="S242" t="str">
            <v/>
          </cell>
        </row>
        <row r="243">
          <cell r="I243">
            <v>7</v>
          </cell>
          <cell r="J243" t="str">
            <v/>
          </cell>
          <cell r="K243">
            <v>3</v>
          </cell>
          <cell r="L243">
            <v>3</v>
          </cell>
          <cell r="M243">
            <v>3</v>
          </cell>
          <cell r="N243">
            <v>2</v>
          </cell>
          <cell r="O243">
            <v>2</v>
          </cell>
          <cell r="P243">
            <v>1</v>
          </cell>
          <cell r="Q243">
            <v>0</v>
          </cell>
          <cell r="R243" t="str">
            <v/>
          </cell>
          <cell r="S243" t="str">
            <v/>
          </cell>
        </row>
        <row r="244">
          <cell r="I244">
            <v>8</v>
          </cell>
          <cell r="J244" t="str">
            <v/>
          </cell>
          <cell r="K244">
            <v>3</v>
          </cell>
          <cell r="L244">
            <v>3</v>
          </cell>
          <cell r="M244">
            <v>3</v>
          </cell>
          <cell r="N244">
            <v>3</v>
          </cell>
          <cell r="O244">
            <v>2</v>
          </cell>
          <cell r="P244">
            <v>2</v>
          </cell>
          <cell r="Q244">
            <v>1</v>
          </cell>
          <cell r="R244">
            <v>0</v>
          </cell>
          <cell r="S244" t="str">
            <v/>
          </cell>
        </row>
        <row r="245">
          <cell r="I245">
            <v>9</v>
          </cell>
          <cell r="J245" t="str">
            <v/>
          </cell>
          <cell r="K245">
            <v>3</v>
          </cell>
          <cell r="L245">
            <v>3</v>
          </cell>
          <cell r="M245">
            <v>3</v>
          </cell>
          <cell r="N245">
            <v>3</v>
          </cell>
          <cell r="O245">
            <v>3</v>
          </cell>
          <cell r="P245">
            <v>2</v>
          </cell>
          <cell r="Q245">
            <v>2</v>
          </cell>
          <cell r="R245">
            <v>1</v>
          </cell>
          <cell r="S245">
            <v>0</v>
          </cell>
        </row>
        <row r="246">
          <cell r="I246">
            <v>10</v>
          </cell>
          <cell r="J246" t="str">
            <v/>
          </cell>
          <cell r="K246">
            <v>3</v>
          </cell>
          <cell r="L246">
            <v>3</v>
          </cell>
          <cell r="M246">
            <v>3</v>
          </cell>
          <cell r="N246">
            <v>3</v>
          </cell>
          <cell r="O246">
            <v>3</v>
          </cell>
          <cell r="P246">
            <v>3</v>
          </cell>
          <cell r="Q246">
            <v>2</v>
          </cell>
          <cell r="R246">
            <v>2</v>
          </cell>
          <cell r="S246">
            <v>1</v>
          </cell>
        </row>
        <row r="249">
          <cell r="I249">
            <v>0</v>
          </cell>
          <cell r="J249" t="str">
            <v/>
          </cell>
          <cell r="K249" t="str">
            <v/>
          </cell>
          <cell r="L249" t="str">
            <v/>
          </cell>
          <cell r="M249" t="str">
            <v/>
          </cell>
          <cell r="N249" t="str">
            <v/>
          </cell>
          <cell r="O249" t="str">
            <v/>
          </cell>
          <cell r="P249" t="str">
            <v/>
          </cell>
          <cell r="Q249" t="str">
            <v/>
          </cell>
          <cell r="R249" t="str">
            <v/>
          </cell>
          <cell r="S249" t="str">
            <v/>
          </cell>
        </row>
        <row r="250">
          <cell r="I250">
            <v>1</v>
          </cell>
          <cell r="J250">
            <v>3</v>
          </cell>
          <cell r="K250">
            <v>1</v>
          </cell>
          <cell r="L250" t="str">
            <v/>
          </cell>
          <cell r="M250" t="str">
            <v/>
          </cell>
          <cell r="N250" t="str">
            <v/>
          </cell>
          <cell r="O250" t="str">
            <v/>
          </cell>
          <cell r="P250" t="str">
            <v/>
          </cell>
          <cell r="Q250" t="str">
            <v/>
          </cell>
          <cell r="R250" t="str">
            <v/>
          </cell>
          <cell r="S250" t="str">
            <v/>
          </cell>
        </row>
        <row r="251">
          <cell r="I251">
            <v>2</v>
          </cell>
          <cell r="J251">
            <v>4</v>
          </cell>
          <cell r="K251">
            <v>2</v>
          </cell>
          <cell r="L251" t="str">
            <v/>
          </cell>
          <cell r="M251" t="str">
            <v/>
          </cell>
          <cell r="N251" t="str">
            <v/>
          </cell>
          <cell r="O251" t="str">
            <v/>
          </cell>
          <cell r="P251" t="str">
            <v/>
          </cell>
          <cell r="Q251" t="str">
            <v/>
          </cell>
          <cell r="R251" t="str">
            <v/>
          </cell>
          <cell r="S251" t="str">
            <v/>
          </cell>
        </row>
        <row r="252">
          <cell r="I252">
            <v>3</v>
          </cell>
          <cell r="J252">
            <v>4</v>
          </cell>
          <cell r="K252">
            <v>2</v>
          </cell>
          <cell r="L252">
            <v>1</v>
          </cell>
          <cell r="M252" t="str">
            <v/>
          </cell>
          <cell r="N252" t="str">
            <v/>
          </cell>
          <cell r="O252" t="str">
            <v/>
          </cell>
          <cell r="P252" t="str">
            <v/>
          </cell>
          <cell r="Q252" t="str">
            <v/>
          </cell>
          <cell r="R252" t="str">
            <v/>
          </cell>
          <cell r="S252" t="str">
            <v/>
          </cell>
        </row>
        <row r="253">
          <cell r="I253">
            <v>4</v>
          </cell>
          <cell r="J253">
            <v>4</v>
          </cell>
          <cell r="K253">
            <v>3</v>
          </cell>
          <cell r="L253">
            <v>2</v>
          </cell>
          <cell r="M253" t="str">
            <v/>
          </cell>
          <cell r="N253" t="str">
            <v/>
          </cell>
          <cell r="O253" t="str">
            <v/>
          </cell>
          <cell r="P253" t="str">
            <v/>
          </cell>
          <cell r="Q253" t="str">
            <v/>
          </cell>
          <cell r="R253" t="str">
            <v/>
          </cell>
          <cell r="S253" t="str">
            <v/>
          </cell>
        </row>
        <row r="254">
          <cell r="I254">
            <v>5</v>
          </cell>
          <cell r="J254">
            <v>4</v>
          </cell>
          <cell r="K254">
            <v>3</v>
          </cell>
          <cell r="L254">
            <v>2</v>
          </cell>
          <cell r="M254">
            <v>1</v>
          </cell>
          <cell r="N254" t="str">
            <v/>
          </cell>
          <cell r="O254" t="str">
            <v/>
          </cell>
          <cell r="P254" t="str">
            <v/>
          </cell>
          <cell r="Q254" t="str">
            <v/>
          </cell>
          <cell r="R254" t="str">
            <v/>
          </cell>
          <cell r="S254" t="str">
            <v/>
          </cell>
        </row>
        <row r="255">
          <cell r="I255">
            <v>6</v>
          </cell>
          <cell r="J255">
            <v>4</v>
          </cell>
          <cell r="K255">
            <v>3</v>
          </cell>
          <cell r="L255">
            <v>3</v>
          </cell>
          <cell r="M255">
            <v>2</v>
          </cell>
          <cell r="N255" t="str">
            <v/>
          </cell>
          <cell r="O255" t="str">
            <v/>
          </cell>
          <cell r="P255" t="str">
            <v/>
          </cell>
          <cell r="Q255" t="str">
            <v/>
          </cell>
          <cell r="R255" t="str">
            <v/>
          </cell>
          <cell r="S255" t="str">
            <v/>
          </cell>
        </row>
        <row r="256">
          <cell r="I256">
            <v>7</v>
          </cell>
          <cell r="J256">
            <v>4</v>
          </cell>
          <cell r="K256">
            <v>4</v>
          </cell>
          <cell r="L256">
            <v>3</v>
          </cell>
          <cell r="M256">
            <v>2</v>
          </cell>
          <cell r="N256">
            <v>1</v>
          </cell>
          <cell r="O256" t="str">
            <v/>
          </cell>
          <cell r="P256" t="str">
            <v/>
          </cell>
          <cell r="Q256" t="str">
            <v/>
          </cell>
          <cell r="R256" t="str">
            <v/>
          </cell>
          <cell r="S256" t="str">
            <v/>
          </cell>
        </row>
        <row r="257">
          <cell r="I257">
            <v>8</v>
          </cell>
          <cell r="J257">
            <v>4</v>
          </cell>
          <cell r="K257">
            <v>4</v>
          </cell>
          <cell r="L257">
            <v>3</v>
          </cell>
          <cell r="M257">
            <v>3</v>
          </cell>
          <cell r="N257">
            <v>2</v>
          </cell>
          <cell r="O257" t="str">
            <v/>
          </cell>
          <cell r="P257" t="str">
            <v/>
          </cell>
          <cell r="Q257" t="str">
            <v/>
          </cell>
          <cell r="R257" t="str">
            <v/>
          </cell>
          <cell r="S257" t="str">
            <v/>
          </cell>
        </row>
        <row r="258">
          <cell r="I258">
            <v>9</v>
          </cell>
          <cell r="J258">
            <v>4</v>
          </cell>
          <cell r="K258">
            <v>4</v>
          </cell>
          <cell r="L258">
            <v>4</v>
          </cell>
          <cell r="M258">
            <v>3</v>
          </cell>
          <cell r="N258">
            <v>2</v>
          </cell>
          <cell r="O258">
            <v>1</v>
          </cell>
          <cell r="P258" t="str">
            <v/>
          </cell>
          <cell r="Q258" t="str">
            <v/>
          </cell>
          <cell r="R258" t="str">
            <v/>
          </cell>
          <cell r="S258" t="str">
            <v/>
          </cell>
        </row>
        <row r="259">
          <cell r="I259">
            <v>10</v>
          </cell>
          <cell r="J259">
            <v>4</v>
          </cell>
          <cell r="K259">
            <v>4</v>
          </cell>
          <cell r="L259">
            <v>4</v>
          </cell>
          <cell r="M259">
            <v>3</v>
          </cell>
          <cell r="N259">
            <v>3</v>
          </cell>
          <cell r="O259">
            <v>2</v>
          </cell>
          <cell r="P259" t="str">
            <v/>
          </cell>
          <cell r="Q259" t="str">
            <v/>
          </cell>
          <cell r="R259" t="str">
            <v/>
          </cell>
          <cell r="S259" t="str">
            <v/>
          </cell>
        </row>
        <row r="260">
          <cell r="I260">
            <v>11</v>
          </cell>
          <cell r="J260">
            <v>4</v>
          </cell>
          <cell r="K260">
            <v>4</v>
          </cell>
          <cell r="L260">
            <v>4</v>
          </cell>
          <cell r="M260">
            <v>4</v>
          </cell>
          <cell r="N260">
            <v>3</v>
          </cell>
          <cell r="O260">
            <v>2</v>
          </cell>
          <cell r="P260">
            <v>1</v>
          </cell>
          <cell r="Q260" t="str">
            <v/>
          </cell>
          <cell r="R260" t="str">
            <v/>
          </cell>
          <cell r="S260" t="str">
            <v/>
          </cell>
        </row>
        <row r="261">
          <cell r="I261">
            <v>12</v>
          </cell>
          <cell r="J261">
            <v>4</v>
          </cell>
          <cell r="K261">
            <v>4</v>
          </cell>
          <cell r="L261">
            <v>4</v>
          </cell>
          <cell r="M261">
            <v>4</v>
          </cell>
          <cell r="N261">
            <v>3</v>
          </cell>
          <cell r="O261">
            <v>3</v>
          </cell>
          <cell r="P261">
            <v>2</v>
          </cell>
          <cell r="Q261" t="str">
            <v/>
          </cell>
          <cell r="R261" t="str">
            <v/>
          </cell>
          <cell r="S261" t="str">
            <v/>
          </cell>
        </row>
        <row r="262">
          <cell r="I262">
            <v>13</v>
          </cell>
          <cell r="J262">
            <v>4</v>
          </cell>
          <cell r="K262">
            <v>4</v>
          </cell>
          <cell r="L262">
            <v>4</v>
          </cell>
          <cell r="M262">
            <v>4</v>
          </cell>
          <cell r="N262">
            <v>4</v>
          </cell>
          <cell r="O262">
            <v>3</v>
          </cell>
          <cell r="P262">
            <v>2</v>
          </cell>
          <cell r="Q262">
            <v>1</v>
          </cell>
          <cell r="R262" t="str">
            <v/>
          </cell>
          <cell r="S262" t="str">
            <v/>
          </cell>
        </row>
        <row r="263">
          <cell r="I263">
            <v>14</v>
          </cell>
          <cell r="J263">
            <v>4</v>
          </cell>
          <cell r="K263">
            <v>4</v>
          </cell>
          <cell r="L263">
            <v>4</v>
          </cell>
          <cell r="M263">
            <v>4</v>
          </cell>
          <cell r="N263">
            <v>4</v>
          </cell>
          <cell r="O263">
            <v>3</v>
          </cell>
          <cell r="P263">
            <v>3</v>
          </cell>
          <cell r="Q263">
            <v>2</v>
          </cell>
          <cell r="R263" t="str">
            <v/>
          </cell>
          <cell r="S263" t="str">
            <v/>
          </cell>
        </row>
        <row r="264">
          <cell r="I264">
            <v>15</v>
          </cell>
          <cell r="J264">
            <v>4</v>
          </cell>
          <cell r="K264">
            <v>4</v>
          </cell>
          <cell r="L264">
            <v>4</v>
          </cell>
          <cell r="M264">
            <v>4</v>
          </cell>
          <cell r="N264">
            <v>4</v>
          </cell>
          <cell r="O264">
            <v>4</v>
          </cell>
          <cell r="P264">
            <v>3</v>
          </cell>
          <cell r="Q264">
            <v>2</v>
          </cell>
          <cell r="R264">
            <v>1</v>
          </cell>
          <cell r="S264" t="str">
            <v/>
          </cell>
        </row>
        <row r="265">
          <cell r="I265">
            <v>16</v>
          </cell>
          <cell r="J265">
            <v>4</v>
          </cell>
          <cell r="K265">
            <v>4</v>
          </cell>
          <cell r="L265">
            <v>4</v>
          </cell>
          <cell r="M265">
            <v>4</v>
          </cell>
          <cell r="N265">
            <v>4</v>
          </cell>
          <cell r="O265">
            <v>4</v>
          </cell>
          <cell r="P265">
            <v>3</v>
          </cell>
          <cell r="Q265">
            <v>3</v>
          </cell>
          <cell r="R265">
            <v>2</v>
          </cell>
          <cell r="S265" t="str">
            <v/>
          </cell>
        </row>
        <row r="266">
          <cell r="I266">
            <v>17</v>
          </cell>
          <cell r="J266">
            <v>4</v>
          </cell>
          <cell r="K266">
            <v>4</v>
          </cell>
          <cell r="L266">
            <v>4</v>
          </cell>
          <cell r="M266">
            <v>4</v>
          </cell>
          <cell r="N266">
            <v>4</v>
          </cell>
          <cell r="O266">
            <v>4</v>
          </cell>
          <cell r="P266">
            <v>4</v>
          </cell>
          <cell r="Q266">
            <v>3</v>
          </cell>
          <cell r="R266">
            <v>2</v>
          </cell>
          <cell r="S266">
            <v>1</v>
          </cell>
        </row>
        <row r="267">
          <cell r="I267">
            <v>18</v>
          </cell>
          <cell r="J267">
            <v>4</v>
          </cell>
          <cell r="K267">
            <v>4</v>
          </cell>
          <cell r="L267">
            <v>4</v>
          </cell>
          <cell r="M267">
            <v>4</v>
          </cell>
          <cell r="N267">
            <v>4</v>
          </cell>
          <cell r="O267">
            <v>4</v>
          </cell>
          <cell r="P267">
            <v>4</v>
          </cell>
          <cell r="Q267">
            <v>3</v>
          </cell>
          <cell r="R267">
            <v>3</v>
          </cell>
          <cell r="S267">
            <v>2</v>
          </cell>
        </row>
        <row r="268">
          <cell r="I268">
            <v>19</v>
          </cell>
          <cell r="J268">
            <v>4</v>
          </cell>
          <cell r="K268">
            <v>4</v>
          </cell>
          <cell r="L268">
            <v>4</v>
          </cell>
          <cell r="M268">
            <v>4</v>
          </cell>
          <cell r="N268">
            <v>4</v>
          </cell>
          <cell r="O268">
            <v>4</v>
          </cell>
          <cell r="P268">
            <v>4</v>
          </cell>
          <cell r="Q268">
            <v>4</v>
          </cell>
          <cell r="R268">
            <v>3</v>
          </cell>
          <cell r="S268">
            <v>3</v>
          </cell>
        </row>
        <row r="269">
          <cell r="I269">
            <v>20</v>
          </cell>
          <cell r="J269">
            <v>4</v>
          </cell>
          <cell r="K269">
            <v>4</v>
          </cell>
          <cell r="L269">
            <v>4</v>
          </cell>
          <cell r="M269">
            <v>4</v>
          </cell>
          <cell r="N269">
            <v>4</v>
          </cell>
          <cell r="O269">
            <v>4</v>
          </cell>
          <cell r="P269">
            <v>4</v>
          </cell>
          <cell r="Q269">
            <v>4</v>
          </cell>
          <cell r="R269">
            <v>4</v>
          </cell>
          <cell r="S269">
            <v>4</v>
          </cell>
        </row>
        <row r="272">
          <cell r="I272">
            <v>0</v>
          </cell>
          <cell r="J272" t="str">
            <v/>
          </cell>
          <cell r="K272" t="str">
            <v/>
          </cell>
          <cell r="L272" t="str">
            <v/>
          </cell>
          <cell r="M272" t="str">
            <v/>
          </cell>
          <cell r="N272" t="str">
            <v/>
          </cell>
          <cell r="O272" t="str">
            <v/>
          </cell>
          <cell r="P272" t="str">
            <v/>
          </cell>
          <cell r="Q272" t="str">
            <v/>
          </cell>
          <cell r="R272" t="str">
            <v/>
          </cell>
          <cell r="S272" t="str">
            <v/>
          </cell>
        </row>
        <row r="273">
          <cell r="I273">
            <v>1</v>
          </cell>
          <cell r="J273" t="str">
            <v/>
          </cell>
          <cell r="K273" t="str">
            <v/>
          </cell>
          <cell r="L273" t="str">
            <v/>
          </cell>
          <cell r="M273" t="str">
            <v/>
          </cell>
          <cell r="N273">
            <v>2</v>
          </cell>
          <cell r="O273">
            <v>1</v>
          </cell>
          <cell r="P273" t="str">
            <v/>
          </cell>
          <cell r="Q273" t="str">
            <v/>
          </cell>
          <cell r="R273" t="str">
            <v/>
          </cell>
          <cell r="S273" t="str">
            <v/>
          </cell>
        </row>
        <row r="274">
          <cell r="I274">
            <v>2</v>
          </cell>
          <cell r="J274" t="str">
            <v/>
          </cell>
          <cell r="K274" t="str">
            <v/>
          </cell>
          <cell r="L274" t="str">
            <v/>
          </cell>
          <cell r="M274" t="str">
            <v/>
          </cell>
          <cell r="N274">
            <v>2</v>
          </cell>
          <cell r="O274">
            <v>2</v>
          </cell>
          <cell r="P274" t="str">
            <v/>
          </cell>
          <cell r="Q274" t="str">
            <v/>
          </cell>
          <cell r="R274" t="str">
            <v/>
          </cell>
          <cell r="S274" t="str">
            <v/>
          </cell>
        </row>
        <row r="275">
          <cell r="I275">
            <v>3</v>
          </cell>
          <cell r="J275" t="str">
            <v/>
          </cell>
          <cell r="K275" t="str">
            <v/>
          </cell>
          <cell r="L275" t="str">
            <v/>
          </cell>
          <cell r="M275" t="str">
            <v/>
          </cell>
          <cell r="N275">
            <v>3</v>
          </cell>
          <cell r="O275">
            <v>2</v>
          </cell>
          <cell r="P275">
            <v>1</v>
          </cell>
          <cell r="Q275" t="str">
            <v/>
          </cell>
          <cell r="R275" t="str">
            <v/>
          </cell>
          <cell r="S275" t="str">
            <v/>
          </cell>
        </row>
        <row r="276">
          <cell r="I276">
            <v>4</v>
          </cell>
          <cell r="J276" t="str">
            <v/>
          </cell>
          <cell r="K276" t="str">
            <v/>
          </cell>
          <cell r="L276" t="str">
            <v/>
          </cell>
          <cell r="M276" t="str">
            <v/>
          </cell>
          <cell r="N276">
            <v>3</v>
          </cell>
          <cell r="O276">
            <v>3</v>
          </cell>
          <cell r="P276">
            <v>2</v>
          </cell>
          <cell r="Q276" t="str">
            <v/>
          </cell>
          <cell r="R276" t="str">
            <v/>
          </cell>
          <cell r="S276" t="str">
            <v/>
          </cell>
        </row>
        <row r="277">
          <cell r="I277">
            <v>5</v>
          </cell>
          <cell r="J277" t="str">
            <v/>
          </cell>
          <cell r="K277" t="str">
            <v/>
          </cell>
          <cell r="L277" t="str">
            <v/>
          </cell>
          <cell r="M277" t="str">
            <v/>
          </cell>
          <cell r="N277">
            <v>3</v>
          </cell>
          <cell r="O277">
            <v>3</v>
          </cell>
          <cell r="P277">
            <v>2</v>
          </cell>
          <cell r="Q277">
            <v>1</v>
          </cell>
          <cell r="R277" t="str">
            <v/>
          </cell>
          <cell r="S277" t="str">
            <v/>
          </cell>
        </row>
        <row r="278">
          <cell r="I278">
            <v>6</v>
          </cell>
          <cell r="J278" t="str">
            <v/>
          </cell>
          <cell r="K278" t="str">
            <v/>
          </cell>
          <cell r="L278" t="str">
            <v/>
          </cell>
          <cell r="M278" t="str">
            <v/>
          </cell>
          <cell r="N278">
            <v>4</v>
          </cell>
          <cell r="O278">
            <v>3</v>
          </cell>
          <cell r="P278">
            <v>3</v>
          </cell>
          <cell r="Q278">
            <v>2</v>
          </cell>
          <cell r="R278" t="str">
            <v/>
          </cell>
          <cell r="S278" t="str">
            <v/>
          </cell>
        </row>
        <row r="279">
          <cell r="I279">
            <v>7</v>
          </cell>
          <cell r="J279" t="str">
            <v/>
          </cell>
          <cell r="K279" t="str">
            <v/>
          </cell>
          <cell r="L279" t="str">
            <v/>
          </cell>
          <cell r="M279" t="str">
            <v/>
          </cell>
          <cell r="N279">
            <v>4</v>
          </cell>
          <cell r="O279">
            <v>4</v>
          </cell>
          <cell r="P279">
            <v>3</v>
          </cell>
          <cell r="Q279">
            <v>2</v>
          </cell>
          <cell r="R279">
            <v>1</v>
          </cell>
          <cell r="S279" t="str">
            <v/>
          </cell>
        </row>
        <row r="280">
          <cell r="I280">
            <v>8</v>
          </cell>
          <cell r="J280" t="str">
            <v/>
          </cell>
          <cell r="K280" t="str">
            <v/>
          </cell>
          <cell r="L280" t="str">
            <v/>
          </cell>
          <cell r="M280" t="str">
            <v/>
          </cell>
          <cell r="N280">
            <v>4</v>
          </cell>
          <cell r="O280">
            <v>4</v>
          </cell>
          <cell r="P280">
            <v>3</v>
          </cell>
          <cell r="Q280">
            <v>3</v>
          </cell>
          <cell r="R280">
            <v>2</v>
          </cell>
          <cell r="S280" t="str">
            <v/>
          </cell>
        </row>
        <row r="281">
          <cell r="I281">
            <v>9</v>
          </cell>
          <cell r="J281" t="str">
            <v/>
          </cell>
          <cell r="K281" t="str">
            <v/>
          </cell>
          <cell r="L281" t="str">
            <v/>
          </cell>
          <cell r="M281" t="str">
            <v/>
          </cell>
          <cell r="N281">
            <v>4</v>
          </cell>
          <cell r="O281">
            <v>4</v>
          </cell>
          <cell r="P281">
            <v>4</v>
          </cell>
          <cell r="Q281">
            <v>3</v>
          </cell>
          <cell r="R281">
            <v>2</v>
          </cell>
          <cell r="S281">
            <v>1</v>
          </cell>
        </row>
        <row r="282">
          <cell r="I282">
            <v>10</v>
          </cell>
          <cell r="J282" t="str">
            <v/>
          </cell>
          <cell r="K282" t="str">
            <v/>
          </cell>
          <cell r="L282" t="str">
            <v/>
          </cell>
          <cell r="M282" t="str">
            <v/>
          </cell>
          <cell r="N282">
            <v>5</v>
          </cell>
          <cell r="O282">
            <v>4</v>
          </cell>
          <cell r="P282">
            <v>4</v>
          </cell>
          <cell r="Q282">
            <v>3</v>
          </cell>
          <cell r="R282">
            <v>3</v>
          </cell>
          <cell r="S282">
            <v>2</v>
          </cell>
        </row>
        <row r="285">
          <cell r="I285">
            <v>0</v>
          </cell>
          <cell r="J285" t="str">
            <v/>
          </cell>
          <cell r="K285" t="str">
            <v/>
          </cell>
          <cell r="L285" t="str">
            <v/>
          </cell>
          <cell r="M285" t="str">
            <v/>
          </cell>
          <cell r="N285" t="str">
            <v/>
          </cell>
          <cell r="O285" t="str">
            <v/>
          </cell>
          <cell r="P285" t="str">
            <v/>
          </cell>
          <cell r="Q285" t="str">
            <v/>
          </cell>
          <cell r="R285" t="str">
            <v/>
          </cell>
          <cell r="S285" t="str">
            <v/>
          </cell>
        </row>
        <row r="286">
          <cell r="I286">
            <v>1</v>
          </cell>
          <cell r="J286">
            <v>3</v>
          </cell>
          <cell r="K286">
            <v>2</v>
          </cell>
          <cell r="L286" t="str">
            <v/>
          </cell>
          <cell r="M286" t="str">
            <v/>
          </cell>
          <cell r="N286" t="str">
            <v/>
          </cell>
          <cell r="O286" t="str">
            <v/>
          </cell>
          <cell r="P286" t="str">
            <v/>
          </cell>
          <cell r="Q286" t="str">
            <v/>
          </cell>
          <cell r="R286" t="str">
            <v/>
          </cell>
          <cell r="S286" t="str">
            <v/>
          </cell>
        </row>
        <row r="287">
          <cell r="I287">
            <v>2</v>
          </cell>
          <cell r="J287">
            <v>4</v>
          </cell>
          <cell r="K287">
            <v>3</v>
          </cell>
          <cell r="L287" t="str">
            <v/>
          </cell>
          <cell r="M287" t="str">
            <v/>
          </cell>
          <cell r="N287" t="str">
            <v/>
          </cell>
          <cell r="O287" t="str">
            <v/>
          </cell>
          <cell r="P287" t="str">
            <v/>
          </cell>
          <cell r="Q287" t="str">
            <v/>
          </cell>
          <cell r="R287" t="str">
            <v/>
          </cell>
          <cell r="S287" t="str">
            <v/>
          </cell>
        </row>
        <row r="288">
          <cell r="I288">
            <v>3</v>
          </cell>
          <cell r="J288">
            <v>4</v>
          </cell>
          <cell r="K288">
            <v>3</v>
          </cell>
          <cell r="L288">
            <v>2</v>
          </cell>
          <cell r="M288" t="str">
            <v/>
          </cell>
          <cell r="N288" t="str">
            <v/>
          </cell>
          <cell r="O288" t="str">
            <v/>
          </cell>
          <cell r="P288" t="str">
            <v/>
          </cell>
          <cell r="Q288" t="str">
            <v/>
          </cell>
          <cell r="R288" t="str">
            <v/>
          </cell>
          <cell r="S288" t="str">
            <v/>
          </cell>
        </row>
        <row r="289">
          <cell r="I289">
            <v>4</v>
          </cell>
          <cell r="J289">
            <v>4</v>
          </cell>
          <cell r="K289">
            <v>4</v>
          </cell>
          <cell r="L289">
            <v>3</v>
          </cell>
          <cell r="M289" t="str">
            <v/>
          </cell>
          <cell r="N289" t="str">
            <v/>
          </cell>
          <cell r="O289" t="str">
            <v/>
          </cell>
          <cell r="P289" t="str">
            <v/>
          </cell>
          <cell r="Q289" t="str">
            <v/>
          </cell>
          <cell r="R289" t="str">
            <v/>
          </cell>
          <cell r="S289" t="str">
            <v/>
          </cell>
        </row>
        <row r="290">
          <cell r="I290">
            <v>5</v>
          </cell>
          <cell r="J290">
            <v>4</v>
          </cell>
          <cell r="K290">
            <v>4</v>
          </cell>
          <cell r="L290">
            <v>3</v>
          </cell>
          <cell r="M290">
            <v>2</v>
          </cell>
          <cell r="N290" t="str">
            <v/>
          </cell>
          <cell r="O290" t="str">
            <v/>
          </cell>
          <cell r="P290" t="str">
            <v/>
          </cell>
          <cell r="Q290" t="str">
            <v/>
          </cell>
          <cell r="R290" t="str">
            <v/>
          </cell>
          <cell r="S290" t="str">
            <v/>
          </cell>
        </row>
        <row r="291">
          <cell r="I291">
            <v>6</v>
          </cell>
          <cell r="J291">
            <v>4</v>
          </cell>
          <cell r="K291">
            <v>4</v>
          </cell>
          <cell r="L291">
            <v>4</v>
          </cell>
          <cell r="M291">
            <v>3</v>
          </cell>
          <cell r="N291" t="str">
            <v/>
          </cell>
          <cell r="O291" t="str">
            <v/>
          </cell>
          <cell r="P291" t="str">
            <v/>
          </cell>
          <cell r="Q291" t="str">
            <v/>
          </cell>
          <cell r="R291" t="str">
            <v/>
          </cell>
          <cell r="S291" t="str">
            <v/>
          </cell>
        </row>
        <row r="292">
          <cell r="I292">
            <v>7</v>
          </cell>
          <cell r="J292">
            <v>4</v>
          </cell>
          <cell r="K292">
            <v>5</v>
          </cell>
          <cell r="L292">
            <v>4</v>
          </cell>
          <cell r="M292">
            <v>3</v>
          </cell>
          <cell r="N292">
            <v>2</v>
          </cell>
          <cell r="O292" t="str">
            <v/>
          </cell>
          <cell r="P292" t="str">
            <v/>
          </cell>
          <cell r="Q292" t="str">
            <v/>
          </cell>
          <cell r="R292" t="str">
            <v/>
          </cell>
          <cell r="S292" t="str">
            <v/>
          </cell>
        </row>
        <row r="293">
          <cell r="I293">
            <v>8</v>
          </cell>
          <cell r="J293">
            <v>4</v>
          </cell>
          <cell r="K293">
            <v>5</v>
          </cell>
          <cell r="L293">
            <v>4</v>
          </cell>
          <cell r="M293">
            <v>4</v>
          </cell>
          <cell r="N293">
            <v>3</v>
          </cell>
          <cell r="O293" t="str">
            <v/>
          </cell>
          <cell r="P293" t="str">
            <v/>
          </cell>
          <cell r="Q293" t="str">
            <v/>
          </cell>
          <cell r="R293" t="str">
            <v/>
          </cell>
          <cell r="S293" t="str">
            <v/>
          </cell>
        </row>
        <row r="294">
          <cell r="I294">
            <v>9</v>
          </cell>
          <cell r="J294">
            <v>4</v>
          </cell>
          <cell r="K294">
            <v>5</v>
          </cell>
          <cell r="L294">
            <v>5</v>
          </cell>
          <cell r="M294">
            <v>4</v>
          </cell>
          <cell r="N294">
            <v>3</v>
          </cell>
          <cell r="O294">
            <v>2</v>
          </cell>
          <cell r="P294" t="str">
            <v/>
          </cell>
          <cell r="Q294" t="str">
            <v/>
          </cell>
          <cell r="R294" t="str">
            <v/>
          </cell>
          <cell r="S294" t="str">
            <v/>
          </cell>
        </row>
        <row r="295">
          <cell r="I295">
            <v>10</v>
          </cell>
          <cell r="J295">
            <v>4</v>
          </cell>
          <cell r="K295">
            <v>5</v>
          </cell>
          <cell r="L295">
            <v>5</v>
          </cell>
          <cell r="M295">
            <v>4</v>
          </cell>
          <cell r="N295">
            <v>4</v>
          </cell>
          <cell r="O295">
            <v>3</v>
          </cell>
          <cell r="P295" t="str">
            <v/>
          </cell>
          <cell r="Q295" t="str">
            <v/>
          </cell>
          <cell r="R295" t="str">
            <v/>
          </cell>
          <cell r="S295" t="str">
            <v/>
          </cell>
        </row>
        <row r="296">
          <cell r="I296">
            <v>11</v>
          </cell>
          <cell r="J296">
            <v>4</v>
          </cell>
          <cell r="K296">
            <v>5</v>
          </cell>
          <cell r="L296">
            <v>5</v>
          </cell>
          <cell r="M296">
            <v>5</v>
          </cell>
          <cell r="N296">
            <v>4</v>
          </cell>
          <cell r="O296">
            <v>3</v>
          </cell>
          <cell r="P296">
            <v>2</v>
          </cell>
          <cell r="Q296" t="str">
            <v/>
          </cell>
          <cell r="R296" t="str">
            <v/>
          </cell>
          <cell r="S296" t="str">
            <v/>
          </cell>
        </row>
        <row r="297">
          <cell r="I297">
            <v>12</v>
          </cell>
          <cell r="J297">
            <v>4</v>
          </cell>
          <cell r="K297">
            <v>5</v>
          </cell>
          <cell r="L297">
            <v>5</v>
          </cell>
          <cell r="M297">
            <v>5</v>
          </cell>
          <cell r="N297">
            <v>4</v>
          </cell>
          <cell r="O297">
            <v>4</v>
          </cell>
          <cell r="P297">
            <v>3</v>
          </cell>
          <cell r="Q297" t="str">
            <v/>
          </cell>
          <cell r="R297" t="str">
            <v/>
          </cell>
          <cell r="S297" t="str">
            <v/>
          </cell>
        </row>
        <row r="298">
          <cell r="I298">
            <v>13</v>
          </cell>
          <cell r="J298">
            <v>4</v>
          </cell>
          <cell r="K298">
            <v>5</v>
          </cell>
          <cell r="L298">
            <v>5</v>
          </cell>
          <cell r="M298">
            <v>5</v>
          </cell>
          <cell r="N298">
            <v>5</v>
          </cell>
          <cell r="O298">
            <v>4</v>
          </cell>
          <cell r="P298">
            <v>3</v>
          </cell>
          <cell r="Q298">
            <v>2</v>
          </cell>
          <cell r="R298" t="str">
            <v/>
          </cell>
          <cell r="S298" t="str">
            <v/>
          </cell>
        </row>
        <row r="299">
          <cell r="I299">
            <v>14</v>
          </cell>
          <cell r="J299">
            <v>4</v>
          </cell>
          <cell r="K299">
            <v>5</v>
          </cell>
          <cell r="L299">
            <v>5</v>
          </cell>
          <cell r="M299">
            <v>5</v>
          </cell>
          <cell r="N299">
            <v>5</v>
          </cell>
          <cell r="O299">
            <v>4</v>
          </cell>
          <cell r="P299">
            <v>4</v>
          </cell>
          <cell r="Q299">
            <v>3</v>
          </cell>
          <cell r="R299" t="str">
            <v/>
          </cell>
          <cell r="S299" t="str">
            <v/>
          </cell>
        </row>
        <row r="300">
          <cell r="I300">
            <v>15</v>
          </cell>
          <cell r="J300">
            <v>4</v>
          </cell>
          <cell r="K300">
            <v>5</v>
          </cell>
          <cell r="L300">
            <v>5</v>
          </cell>
          <cell r="M300">
            <v>5</v>
          </cell>
          <cell r="N300">
            <v>5</v>
          </cell>
          <cell r="O300">
            <v>5</v>
          </cell>
          <cell r="P300">
            <v>4</v>
          </cell>
          <cell r="Q300">
            <v>3</v>
          </cell>
          <cell r="R300">
            <v>2</v>
          </cell>
          <cell r="S300" t="str">
            <v/>
          </cell>
        </row>
        <row r="301">
          <cell r="I301">
            <v>16</v>
          </cell>
          <cell r="J301">
            <v>4</v>
          </cell>
          <cell r="K301">
            <v>5</v>
          </cell>
          <cell r="L301">
            <v>5</v>
          </cell>
          <cell r="M301">
            <v>5</v>
          </cell>
          <cell r="N301">
            <v>5</v>
          </cell>
          <cell r="O301">
            <v>5</v>
          </cell>
          <cell r="P301">
            <v>4</v>
          </cell>
          <cell r="Q301">
            <v>4</v>
          </cell>
          <cell r="R301">
            <v>3</v>
          </cell>
          <cell r="S301" t="str">
            <v/>
          </cell>
        </row>
        <row r="302">
          <cell r="I302">
            <v>17</v>
          </cell>
          <cell r="J302">
            <v>4</v>
          </cell>
          <cell r="K302">
            <v>5</v>
          </cell>
          <cell r="L302">
            <v>5</v>
          </cell>
          <cell r="M302">
            <v>5</v>
          </cell>
          <cell r="N302">
            <v>5</v>
          </cell>
          <cell r="O302">
            <v>5</v>
          </cell>
          <cell r="P302">
            <v>5</v>
          </cell>
          <cell r="Q302">
            <v>4</v>
          </cell>
          <cell r="R302">
            <v>3</v>
          </cell>
          <cell r="S302">
            <v>2</v>
          </cell>
        </row>
        <row r="303">
          <cell r="I303">
            <v>18</v>
          </cell>
          <cell r="J303">
            <v>4</v>
          </cell>
          <cell r="K303">
            <v>5</v>
          </cell>
          <cell r="L303">
            <v>5</v>
          </cell>
          <cell r="M303">
            <v>5</v>
          </cell>
          <cell r="N303">
            <v>5</v>
          </cell>
          <cell r="O303">
            <v>5</v>
          </cell>
          <cell r="P303">
            <v>5</v>
          </cell>
          <cell r="Q303">
            <v>4</v>
          </cell>
          <cell r="R303">
            <v>4</v>
          </cell>
          <cell r="S303">
            <v>3</v>
          </cell>
        </row>
        <row r="304">
          <cell r="I304">
            <v>19</v>
          </cell>
          <cell r="J304">
            <v>4</v>
          </cell>
          <cell r="K304">
            <v>5</v>
          </cell>
          <cell r="L304">
            <v>5</v>
          </cell>
          <cell r="M304">
            <v>5</v>
          </cell>
          <cell r="N304">
            <v>5</v>
          </cell>
          <cell r="O304">
            <v>5</v>
          </cell>
          <cell r="P304">
            <v>5</v>
          </cell>
          <cell r="Q304">
            <v>5</v>
          </cell>
          <cell r="R304">
            <v>4</v>
          </cell>
          <cell r="S304">
            <v>4</v>
          </cell>
        </row>
        <row r="305">
          <cell r="I305">
            <v>20</v>
          </cell>
          <cell r="J305">
            <v>4</v>
          </cell>
          <cell r="K305">
            <v>5</v>
          </cell>
          <cell r="L305">
            <v>5</v>
          </cell>
          <cell r="M305">
            <v>5</v>
          </cell>
          <cell r="N305">
            <v>5</v>
          </cell>
          <cell r="O305">
            <v>5</v>
          </cell>
          <cell r="P305">
            <v>5</v>
          </cell>
          <cell r="Q305">
            <v>5</v>
          </cell>
          <cell r="R305">
            <v>5</v>
          </cell>
          <cell r="S305">
            <v>5</v>
          </cell>
        </row>
        <row r="308">
          <cell r="I308">
            <v>0</v>
          </cell>
          <cell r="J308" t="str">
            <v/>
          </cell>
          <cell r="K308" t="str">
            <v/>
          </cell>
          <cell r="L308" t="str">
            <v/>
          </cell>
          <cell r="M308" t="str">
            <v/>
          </cell>
          <cell r="N308" t="str">
            <v/>
          </cell>
          <cell r="O308" t="str">
            <v/>
          </cell>
          <cell r="P308" t="str">
            <v/>
          </cell>
          <cell r="Q308" t="str">
            <v/>
          </cell>
          <cell r="R308" t="str">
            <v/>
          </cell>
          <cell r="S308" t="str">
            <v/>
          </cell>
        </row>
        <row r="309">
          <cell r="I309">
            <v>1</v>
          </cell>
          <cell r="J309" t="str">
            <v/>
          </cell>
          <cell r="K309">
            <v>3</v>
          </cell>
          <cell r="L309" t="str">
            <v/>
          </cell>
          <cell r="M309" t="str">
            <v/>
          </cell>
          <cell r="N309" t="str">
            <v/>
          </cell>
          <cell r="O309" t="str">
            <v/>
          </cell>
          <cell r="P309" t="str">
            <v/>
          </cell>
          <cell r="Q309" t="str">
            <v/>
          </cell>
          <cell r="R309" t="str">
            <v/>
          </cell>
          <cell r="S309" t="str">
            <v/>
          </cell>
        </row>
        <row r="310">
          <cell r="I310">
            <v>2</v>
          </cell>
          <cell r="J310" t="str">
            <v/>
          </cell>
          <cell r="K310">
            <v>4</v>
          </cell>
          <cell r="L310" t="str">
            <v/>
          </cell>
          <cell r="M310" t="str">
            <v/>
          </cell>
          <cell r="N310" t="str">
            <v/>
          </cell>
          <cell r="O310" t="str">
            <v/>
          </cell>
          <cell r="P310" t="str">
            <v/>
          </cell>
          <cell r="Q310" t="str">
            <v/>
          </cell>
          <cell r="R310" t="str">
            <v/>
          </cell>
          <cell r="S310" t="str">
            <v/>
          </cell>
        </row>
        <row r="311">
          <cell r="I311">
            <v>3</v>
          </cell>
          <cell r="J311" t="str">
            <v/>
          </cell>
          <cell r="K311">
            <v>5</v>
          </cell>
          <cell r="L311" t="str">
            <v/>
          </cell>
          <cell r="M311" t="str">
            <v/>
          </cell>
          <cell r="N311" t="str">
            <v/>
          </cell>
          <cell r="O311" t="str">
            <v/>
          </cell>
          <cell r="P311" t="str">
            <v/>
          </cell>
          <cell r="Q311" t="str">
            <v/>
          </cell>
          <cell r="R311" t="str">
            <v/>
          </cell>
          <cell r="S311" t="str">
            <v/>
          </cell>
        </row>
        <row r="312">
          <cell r="I312">
            <v>4</v>
          </cell>
          <cell r="J312" t="str">
            <v/>
          </cell>
          <cell r="K312">
            <v>6</v>
          </cell>
          <cell r="L312">
            <v>3</v>
          </cell>
          <cell r="M312" t="str">
            <v/>
          </cell>
          <cell r="N312" t="str">
            <v/>
          </cell>
          <cell r="O312" t="str">
            <v/>
          </cell>
          <cell r="P312" t="str">
            <v/>
          </cell>
          <cell r="Q312" t="str">
            <v/>
          </cell>
          <cell r="R312" t="str">
            <v/>
          </cell>
          <cell r="S312" t="str">
            <v/>
          </cell>
        </row>
        <row r="313">
          <cell r="I313">
            <v>5</v>
          </cell>
          <cell r="J313" t="str">
            <v/>
          </cell>
          <cell r="K313">
            <v>6</v>
          </cell>
          <cell r="L313">
            <v>4</v>
          </cell>
          <cell r="M313" t="str">
            <v/>
          </cell>
          <cell r="N313" t="str">
            <v/>
          </cell>
          <cell r="O313" t="str">
            <v/>
          </cell>
          <cell r="P313" t="str">
            <v/>
          </cell>
          <cell r="Q313" t="str">
            <v/>
          </cell>
          <cell r="R313" t="str">
            <v/>
          </cell>
          <cell r="S313" t="str">
            <v/>
          </cell>
        </row>
        <row r="314">
          <cell r="I314">
            <v>6</v>
          </cell>
          <cell r="J314" t="str">
            <v/>
          </cell>
          <cell r="K314">
            <v>6</v>
          </cell>
          <cell r="L314">
            <v>5</v>
          </cell>
          <cell r="M314">
            <v>3</v>
          </cell>
          <cell r="N314" t="str">
            <v/>
          </cell>
          <cell r="O314" t="str">
            <v/>
          </cell>
          <cell r="P314" t="str">
            <v/>
          </cell>
          <cell r="Q314" t="str">
            <v/>
          </cell>
          <cell r="R314" t="str">
            <v/>
          </cell>
          <cell r="S314" t="str">
            <v/>
          </cell>
        </row>
        <row r="315">
          <cell r="I315">
            <v>7</v>
          </cell>
          <cell r="J315" t="str">
            <v/>
          </cell>
          <cell r="K315">
            <v>6</v>
          </cell>
          <cell r="L315">
            <v>6</v>
          </cell>
          <cell r="M315">
            <v>4</v>
          </cell>
          <cell r="N315" t="str">
            <v/>
          </cell>
          <cell r="O315" t="str">
            <v/>
          </cell>
          <cell r="P315" t="str">
            <v/>
          </cell>
          <cell r="Q315" t="str">
            <v/>
          </cell>
          <cell r="R315" t="str">
            <v/>
          </cell>
          <cell r="S315" t="str">
            <v/>
          </cell>
        </row>
        <row r="316">
          <cell r="I316">
            <v>8</v>
          </cell>
          <cell r="J316" t="str">
            <v/>
          </cell>
          <cell r="K316">
            <v>6</v>
          </cell>
          <cell r="L316">
            <v>6</v>
          </cell>
          <cell r="M316">
            <v>5</v>
          </cell>
          <cell r="N316">
            <v>3</v>
          </cell>
          <cell r="O316" t="str">
            <v/>
          </cell>
          <cell r="P316" t="str">
            <v/>
          </cell>
          <cell r="Q316" t="str">
            <v/>
          </cell>
          <cell r="R316" t="str">
            <v/>
          </cell>
          <cell r="S316" t="str">
            <v/>
          </cell>
        </row>
        <row r="317">
          <cell r="I317">
            <v>9</v>
          </cell>
          <cell r="J317" t="str">
            <v/>
          </cell>
          <cell r="K317">
            <v>6</v>
          </cell>
          <cell r="L317">
            <v>6</v>
          </cell>
          <cell r="M317">
            <v>6</v>
          </cell>
          <cell r="N317">
            <v>4</v>
          </cell>
          <cell r="O317" t="str">
            <v/>
          </cell>
          <cell r="P317" t="str">
            <v/>
          </cell>
          <cell r="Q317" t="str">
            <v/>
          </cell>
          <cell r="R317" t="str">
            <v/>
          </cell>
          <cell r="S317" t="str">
            <v/>
          </cell>
        </row>
        <row r="318">
          <cell r="I318">
            <v>10</v>
          </cell>
          <cell r="J318" t="str">
            <v/>
          </cell>
          <cell r="K318">
            <v>6</v>
          </cell>
          <cell r="L318">
            <v>6</v>
          </cell>
          <cell r="M318">
            <v>6</v>
          </cell>
          <cell r="N318">
            <v>5</v>
          </cell>
          <cell r="O318">
            <v>3</v>
          </cell>
          <cell r="P318" t="str">
            <v/>
          </cell>
          <cell r="Q318" t="str">
            <v/>
          </cell>
          <cell r="R318" t="str">
            <v/>
          </cell>
          <cell r="S318" t="str">
            <v/>
          </cell>
        </row>
        <row r="319">
          <cell r="I319">
            <v>11</v>
          </cell>
          <cell r="J319" t="str">
            <v/>
          </cell>
          <cell r="K319">
            <v>6</v>
          </cell>
          <cell r="L319">
            <v>6</v>
          </cell>
          <cell r="M319">
            <v>6</v>
          </cell>
          <cell r="N319">
            <v>6</v>
          </cell>
          <cell r="O319">
            <v>4</v>
          </cell>
          <cell r="P319" t="str">
            <v/>
          </cell>
          <cell r="Q319" t="str">
            <v/>
          </cell>
          <cell r="R319" t="str">
            <v/>
          </cell>
          <cell r="S319" t="str">
            <v/>
          </cell>
        </row>
        <row r="320">
          <cell r="I320">
            <v>12</v>
          </cell>
          <cell r="J320" t="str">
            <v/>
          </cell>
          <cell r="K320">
            <v>6</v>
          </cell>
          <cell r="L320">
            <v>6</v>
          </cell>
          <cell r="M320">
            <v>6</v>
          </cell>
          <cell r="N320">
            <v>6</v>
          </cell>
          <cell r="O320">
            <v>5</v>
          </cell>
          <cell r="P320">
            <v>3</v>
          </cell>
          <cell r="Q320" t="str">
            <v/>
          </cell>
          <cell r="R320" t="str">
            <v/>
          </cell>
          <cell r="S320" t="str">
            <v/>
          </cell>
        </row>
        <row r="321">
          <cell r="I321">
            <v>13</v>
          </cell>
          <cell r="J321" t="str">
            <v/>
          </cell>
          <cell r="K321">
            <v>6</v>
          </cell>
          <cell r="L321">
            <v>6</v>
          </cell>
          <cell r="M321">
            <v>6</v>
          </cell>
          <cell r="N321">
            <v>6</v>
          </cell>
          <cell r="O321">
            <v>6</v>
          </cell>
          <cell r="P321">
            <v>4</v>
          </cell>
          <cell r="Q321" t="str">
            <v/>
          </cell>
          <cell r="R321" t="str">
            <v/>
          </cell>
          <cell r="S321" t="str">
            <v/>
          </cell>
        </row>
        <row r="322">
          <cell r="I322">
            <v>14</v>
          </cell>
          <cell r="J322" t="str">
            <v/>
          </cell>
          <cell r="K322">
            <v>6</v>
          </cell>
          <cell r="L322">
            <v>6</v>
          </cell>
          <cell r="M322">
            <v>6</v>
          </cell>
          <cell r="N322">
            <v>6</v>
          </cell>
          <cell r="O322">
            <v>6</v>
          </cell>
          <cell r="P322">
            <v>5</v>
          </cell>
          <cell r="Q322">
            <v>3</v>
          </cell>
          <cell r="R322" t="str">
            <v/>
          </cell>
          <cell r="S322" t="str">
            <v/>
          </cell>
        </row>
        <row r="323">
          <cell r="I323">
            <v>15</v>
          </cell>
          <cell r="J323" t="str">
            <v/>
          </cell>
          <cell r="K323">
            <v>6</v>
          </cell>
          <cell r="L323">
            <v>6</v>
          </cell>
          <cell r="M323">
            <v>6</v>
          </cell>
          <cell r="N323">
            <v>6</v>
          </cell>
          <cell r="O323">
            <v>6</v>
          </cell>
          <cell r="P323">
            <v>6</v>
          </cell>
          <cell r="Q323">
            <v>4</v>
          </cell>
          <cell r="R323" t="str">
            <v/>
          </cell>
          <cell r="S323" t="str">
            <v/>
          </cell>
        </row>
        <row r="324">
          <cell r="I324">
            <v>16</v>
          </cell>
          <cell r="J324" t="str">
            <v/>
          </cell>
          <cell r="K324">
            <v>6</v>
          </cell>
          <cell r="L324">
            <v>6</v>
          </cell>
          <cell r="M324">
            <v>6</v>
          </cell>
          <cell r="N324">
            <v>6</v>
          </cell>
          <cell r="O324">
            <v>6</v>
          </cell>
          <cell r="P324">
            <v>6</v>
          </cell>
          <cell r="Q324">
            <v>5</v>
          </cell>
          <cell r="R324">
            <v>3</v>
          </cell>
          <cell r="S324" t="str">
            <v/>
          </cell>
        </row>
        <row r="325">
          <cell r="I325">
            <v>17</v>
          </cell>
          <cell r="J325" t="str">
            <v/>
          </cell>
          <cell r="K325">
            <v>6</v>
          </cell>
          <cell r="L325">
            <v>6</v>
          </cell>
          <cell r="M325">
            <v>6</v>
          </cell>
          <cell r="N325">
            <v>6</v>
          </cell>
          <cell r="O325">
            <v>6</v>
          </cell>
          <cell r="P325">
            <v>6</v>
          </cell>
          <cell r="Q325">
            <v>6</v>
          </cell>
          <cell r="R325">
            <v>4</v>
          </cell>
          <cell r="S325" t="str">
            <v/>
          </cell>
        </row>
        <row r="326">
          <cell r="I326">
            <v>18</v>
          </cell>
          <cell r="J326" t="str">
            <v/>
          </cell>
          <cell r="K326">
            <v>6</v>
          </cell>
          <cell r="L326">
            <v>6</v>
          </cell>
          <cell r="M326">
            <v>6</v>
          </cell>
          <cell r="N326">
            <v>6</v>
          </cell>
          <cell r="O326">
            <v>6</v>
          </cell>
          <cell r="P326">
            <v>6</v>
          </cell>
          <cell r="Q326">
            <v>6</v>
          </cell>
          <cell r="R326">
            <v>5</v>
          </cell>
          <cell r="S326">
            <v>3</v>
          </cell>
        </row>
        <row r="327">
          <cell r="I327">
            <v>19</v>
          </cell>
          <cell r="J327" t="str">
            <v/>
          </cell>
          <cell r="K327">
            <v>6</v>
          </cell>
          <cell r="L327">
            <v>6</v>
          </cell>
          <cell r="M327">
            <v>6</v>
          </cell>
          <cell r="N327">
            <v>6</v>
          </cell>
          <cell r="O327">
            <v>6</v>
          </cell>
          <cell r="P327">
            <v>6</v>
          </cell>
          <cell r="Q327">
            <v>6</v>
          </cell>
          <cell r="R327">
            <v>6</v>
          </cell>
          <cell r="S327">
            <v>4</v>
          </cell>
        </row>
        <row r="328">
          <cell r="I328">
            <v>20</v>
          </cell>
          <cell r="J328" t="str">
            <v/>
          </cell>
          <cell r="K328">
            <v>6</v>
          </cell>
          <cell r="L328">
            <v>6</v>
          </cell>
          <cell r="M328">
            <v>6</v>
          </cell>
          <cell r="N328">
            <v>6</v>
          </cell>
          <cell r="O328">
            <v>6</v>
          </cell>
          <cell r="P328">
            <v>6</v>
          </cell>
          <cell r="Q328">
            <v>6</v>
          </cell>
          <cell r="R328">
            <v>6</v>
          </cell>
          <cell r="S328">
            <v>5</v>
          </cell>
        </row>
        <row r="331">
          <cell r="I331">
            <v>0</v>
          </cell>
          <cell r="J331" t="str">
            <v/>
          </cell>
          <cell r="K331" t="str">
            <v/>
          </cell>
          <cell r="L331" t="str">
            <v/>
          </cell>
          <cell r="M331" t="str">
            <v/>
          </cell>
          <cell r="N331" t="str">
            <v/>
          </cell>
          <cell r="O331" t="str">
            <v/>
          </cell>
          <cell r="P331" t="str">
            <v/>
          </cell>
          <cell r="Q331" t="str">
            <v/>
          </cell>
          <cell r="R331" t="str">
            <v/>
          </cell>
          <cell r="S331" t="str">
            <v/>
          </cell>
        </row>
        <row r="332">
          <cell r="I332">
            <v>1</v>
          </cell>
          <cell r="J332">
            <v>5</v>
          </cell>
          <cell r="K332">
            <v>3</v>
          </cell>
          <cell r="L332" t="str">
            <v/>
          </cell>
          <cell r="M332" t="str">
            <v/>
          </cell>
          <cell r="N332" t="str">
            <v/>
          </cell>
          <cell r="O332" t="str">
            <v/>
          </cell>
          <cell r="P332" t="str">
            <v/>
          </cell>
          <cell r="Q332" t="str">
            <v/>
          </cell>
          <cell r="R332" t="str">
            <v/>
          </cell>
          <cell r="S332" t="str">
            <v/>
          </cell>
        </row>
        <row r="333">
          <cell r="I333">
            <v>2</v>
          </cell>
          <cell r="J333">
            <v>6</v>
          </cell>
          <cell r="K333">
            <v>4</v>
          </cell>
          <cell r="L333" t="str">
            <v/>
          </cell>
          <cell r="M333" t="str">
            <v/>
          </cell>
          <cell r="N333" t="str">
            <v/>
          </cell>
          <cell r="O333" t="str">
            <v/>
          </cell>
          <cell r="P333" t="str">
            <v/>
          </cell>
          <cell r="Q333" t="str">
            <v/>
          </cell>
          <cell r="R333" t="str">
            <v/>
          </cell>
          <cell r="S333" t="str">
            <v/>
          </cell>
        </row>
        <row r="334">
          <cell r="I334">
            <v>3</v>
          </cell>
          <cell r="J334">
            <v>6</v>
          </cell>
          <cell r="K334">
            <v>5</v>
          </cell>
          <cell r="L334" t="str">
            <v/>
          </cell>
          <cell r="M334" t="str">
            <v/>
          </cell>
          <cell r="N334" t="str">
            <v/>
          </cell>
          <cell r="O334" t="str">
            <v/>
          </cell>
          <cell r="P334" t="str">
            <v/>
          </cell>
          <cell r="Q334" t="str">
            <v/>
          </cell>
          <cell r="R334" t="str">
            <v/>
          </cell>
          <cell r="S334" t="str">
            <v/>
          </cell>
        </row>
        <row r="335">
          <cell r="I335">
            <v>4</v>
          </cell>
          <cell r="J335">
            <v>6</v>
          </cell>
          <cell r="K335">
            <v>6</v>
          </cell>
          <cell r="L335">
            <v>3</v>
          </cell>
          <cell r="M335" t="str">
            <v/>
          </cell>
          <cell r="N335" t="str">
            <v/>
          </cell>
          <cell r="O335" t="str">
            <v/>
          </cell>
          <cell r="P335" t="str">
            <v/>
          </cell>
          <cell r="Q335" t="str">
            <v/>
          </cell>
          <cell r="R335" t="str">
            <v/>
          </cell>
          <cell r="S335" t="str">
            <v/>
          </cell>
        </row>
        <row r="336">
          <cell r="I336">
            <v>5</v>
          </cell>
          <cell r="J336">
            <v>6</v>
          </cell>
          <cell r="K336">
            <v>6</v>
          </cell>
          <cell r="L336">
            <v>4</v>
          </cell>
          <cell r="M336" t="str">
            <v/>
          </cell>
          <cell r="N336" t="str">
            <v/>
          </cell>
          <cell r="O336" t="str">
            <v/>
          </cell>
          <cell r="P336" t="str">
            <v/>
          </cell>
          <cell r="Q336" t="str">
            <v/>
          </cell>
          <cell r="R336" t="str">
            <v/>
          </cell>
          <cell r="S336" t="str">
            <v/>
          </cell>
        </row>
        <row r="337">
          <cell r="I337">
            <v>6</v>
          </cell>
          <cell r="J337">
            <v>6</v>
          </cell>
          <cell r="K337">
            <v>6</v>
          </cell>
          <cell r="L337">
            <v>5</v>
          </cell>
          <cell r="M337">
            <v>3</v>
          </cell>
          <cell r="N337" t="str">
            <v/>
          </cell>
          <cell r="O337" t="str">
            <v/>
          </cell>
          <cell r="P337" t="str">
            <v/>
          </cell>
          <cell r="Q337" t="str">
            <v/>
          </cell>
          <cell r="R337" t="str">
            <v/>
          </cell>
          <cell r="S337" t="str">
            <v/>
          </cell>
        </row>
        <row r="338">
          <cell r="I338">
            <v>7</v>
          </cell>
          <cell r="J338">
            <v>6</v>
          </cell>
          <cell r="K338">
            <v>6</v>
          </cell>
          <cell r="L338">
            <v>6</v>
          </cell>
          <cell r="M338">
            <v>4</v>
          </cell>
          <cell r="N338" t="str">
            <v/>
          </cell>
          <cell r="O338" t="str">
            <v/>
          </cell>
          <cell r="P338" t="str">
            <v/>
          </cell>
          <cell r="Q338" t="str">
            <v/>
          </cell>
          <cell r="R338" t="str">
            <v/>
          </cell>
          <cell r="S338" t="str">
            <v/>
          </cell>
        </row>
        <row r="339">
          <cell r="I339">
            <v>8</v>
          </cell>
          <cell r="J339">
            <v>6</v>
          </cell>
          <cell r="K339">
            <v>6</v>
          </cell>
          <cell r="L339">
            <v>6</v>
          </cell>
          <cell r="M339">
            <v>5</v>
          </cell>
          <cell r="N339">
            <v>3</v>
          </cell>
          <cell r="O339" t="str">
            <v/>
          </cell>
          <cell r="P339" t="str">
            <v/>
          </cell>
          <cell r="Q339" t="str">
            <v/>
          </cell>
          <cell r="R339" t="str">
            <v/>
          </cell>
          <cell r="S339" t="str">
            <v/>
          </cell>
        </row>
        <row r="340">
          <cell r="I340">
            <v>9</v>
          </cell>
          <cell r="J340">
            <v>6</v>
          </cell>
          <cell r="K340">
            <v>6</v>
          </cell>
          <cell r="L340">
            <v>6</v>
          </cell>
          <cell r="M340">
            <v>6</v>
          </cell>
          <cell r="N340">
            <v>4</v>
          </cell>
          <cell r="O340" t="str">
            <v/>
          </cell>
          <cell r="P340" t="str">
            <v/>
          </cell>
          <cell r="Q340" t="str">
            <v/>
          </cell>
          <cell r="R340" t="str">
            <v/>
          </cell>
          <cell r="S340" t="str">
            <v/>
          </cell>
        </row>
        <row r="341">
          <cell r="I341">
            <v>10</v>
          </cell>
          <cell r="J341">
            <v>6</v>
          </cell>
          <cell r="K341">
            <v>6</v>
          </cell>
          <cell r="L341">
            <v>6</v>
          </cell>
          <cell r="M341">
            <v>6</v>
          </cell>
          <cell r="N341">
            <v>5</v>
          </cell>
          <cell r="O341">
            <v>3</v>
          </cell>
          <cell r="P341" t="str">
            <v/>
          </cell>
          <cell r="Q341" t="str">
            <v/>
          </cell>
          <cell r="R341" t="str">
            <v/>
          </cell>
          <cell r="S341" t="str">
            <v/>
          </cell>
        </row>
        <row r="342">
          <cell r="I342">
            <v>11</v>
          </cell>
          <cell r="J342">
            <v>6</v>
          </cell>
          <cell r="K342">
            <v>6</v>
          </cell>
          <cell r="L342">
            <v>6</v>
          </cell>
          <cell r="M342">
            <v>6</v>
          </cell>
          <cell r="N342">
            <v>6</v>
          </cell>
          <cell r="O342">
            <v>4</v>
          </cell>
          <cell r="P342" t="str">
            <v/>
          </cell>
          <cell r="Q342" t="str">
            <v/>
          </cell>
          <cell r="R342" t="str">
            <v/>
          </cell>
          <cell r="S342" t="str">
            <v/>
          </cell>
        </row>
        <row r="343">
          <cell r="I343">
            <v>12</v>
          </cell>
          <cell r="J343">
            <v>6</v>
          </cell>
          <cell r="K343">
            <v>6</v>
          </cell>
          <cell r="L343">
            <v>6</v>
          </cell>
          <cell r="M343">
            <v>6</v>
          </cell>
          <cell r="N343">
            <v>6</v>
          </cell>
          <cell r="O343">
            <v>5</v>
          </cell>
          <cell r="P343">
            <v>3</v>
          </cell>
          <cell r="Q343" t="str">
            <v/>
          </cell>
          <cell r="R343" t="str">
            <v/>
          </cell>
          <cell r="S343" t="str">
            <v/>
          </cell>
        </row>
        <row r="344">
          <cell r="I344">
            <v>13</v>
          </cell>
          <cell r="J344">
            <v>6</v>
          </cell>
          <cell r="K344">
            <v>6</v>
          </cell>
          <cell r="L344">
            <v>6</v>
          </cell>
          <cell r="M344">
            <v>6</v>
          </cell>
          <cell r="N344">
            <v>6</v>
          </cell>
          <cell r="O344">
            <v>6</v>
          </cell>
          <cell r="P344">
            <v>4</v>
          </cell>
          <cell r="Q344" t="str">
            <v/>
          </cell>
          <cell r="R344" t="str">
            <v/>
          </cell>
          <cell r="S344" t="str">
            <v/>
          </cell>
        </row>
        <row r="345">
          <cell r="I345">
            <v>14</v>
          </cell>
          <cell r="J345">
            <v>6</v>
          </cell>
          <cell r="K345">
            <v>6</v>
          </cell>
          <cell r="L345">
            <v>6</v>
          </cell>
          <cell r="M345">
            <v>6</v>
          </cell>
          <cell r="N345">
            <v>6</v>
          </cell>
          <cell r="O345">
            <v>6</v>
          </cell>
          <cell r="P345">
            <v>5</v>
          </cell>
          <cell r="Q345">
            <v>3</v>
          </cell>
          <cell r="R345" t="str">
            <v/>
          </cell>
          <cell r="S345" t="str">
            <v/>
          </cell>
        </row>
        <row r="346">
          <cell r="I346">
            <v>15</v>
          </cell>
          <cell r="J346">
            <v>6</v>
          </cell>
          <cell r="K346">
            <v>6</v>
          </cell>
          <cell r="L346">
            <v>6</v>
          </cell>
          <cell r="M346">
            <v>6</v>
          </cell>
          <cell r="N346">
            <v>6</v>
          </cell>
          <cell r="O346">
            <v>6</v>
          </cell>
          <cell r="P346">
            <v>6</v>
          </cell>
          <cell r="Q346">
            <v>4</v>
          </cell>
          <cell r="R346" t="str">
            <v/>
          </cell>
          <cell r="S346" t="str">
            <v/>
          </cell>
        </row>
        <row r="347">
          <cell r="I347">
            <v>16</v>
          </cell>
          <cell r="J347">
            <v>6</v>
          </cell>
          <cell r="K347">
            <v>6</v>
          </cell>
          <cell r="L347">
            <v>6</v>
          </cell>
          <cell r="M347">
            <v>6</v>
          </cell>
          <cell r="N347">
            <v>6</v>
          </cell>
          <cell r="O347">
            <v>6</v>
          </cell>
          <cell r="P347">
            <v>6</v>
          </cell>
          <cell r="Q347">
            <v>5</v>
          </cell>
          <cell r="R347">
            <v>3</v>
          </cell>
          <cell r="S347" t="str">
            <v/>
          </cell>
        </row>
        <row r="348">
          <cell r="I348">
            <v>17</v>
          </cell>
          <cell r="J348">
            <v>6</v>
          </cell>
          <cell r="K348">
            <v>6</v>
          </cell>
          <cell r="L348">
            <v>6</v>
          </cell>
          <cell r="M348">
            <v>6</v>
          </cell>
          <cell r="N348">
            <v>6</v>
          </cell>
          <cell r="O348">
            <v>6</v>
          </cell>
          <cell r="P348">
            <v>6</v>
          </cell>
          <cell r="Q348">
            <v>6</v>
          </cell>
          <cell r="R348">
            <v>4</v>
          </cell>
          <cell r="S348" t="str">
            <v/>
          </cell>
        </row>
        <row r="349">
          <cell r="I349">
            <v>18</v>
          </cell>
          <cell r="J349">
            <v>6</v>
          </cell>
          <cell r="K349">
            <v>6</v>
          </cell>
          <cell r="L349">
            <v>6</v>
          </cell>
          <cell r="M349">
            <v>6</v>
          </cell>
          <cell r="N349">
            <v>6</v>
          </cell>
          <cell r="O349">
            <v>6</v>
          </cell>
          <cell r="P349">
            <v>6</v>
          </cell>
          <cell r="Q349">
            <v>6</v>
          </cell>
          <cell r="R349">
            <v>5</v>
          </cell>
          <cell r="S349">
            <v>3</v>
          </cell>
        </row>
        <row r="350">
          <cell r="I350">
            <v>19</v>
          </cell>
          <cell r="J350">
            <v>6</v>
          </cell>
          <cell r="K350">
            <v>6</v>
          </cell>
          <cell r="L350">
            <v>6</v>
          </cell>
          <cell r="M350">
            <v>6</v>
          </cell>
          <cell r="N350">
            <v>6</v>
          </cell>
          <cell r="O350">
            <v>6</v>
          </cell>
          <cell r="P350">
            <v>6</v>
          </cell>
          <cell r="Q350">
            <v>6</v>
          </cell>
          <cell r="R350">
            <v>6</v>
          </cell>
          <cell r="S350">
            <v>4</v>
          </cell>
        </row>
        <row r="351">
          <cell r="I351">
            <v>20</v>
          </cell>
          <cell r="J351">
            <v>6</v>
          </cell>
          <cell r="K351">
            <v>6</v>
          </cell>
          <cell r="L351">
            <v>6</v>
          </cell>
          <cell r="M351">
            <v>6</v>
          </cell>
          <cell r="N351">
            <v>6</v>
          </cell>
          <cell r="O351">
            <v>6</v>
          </cell>
          <cell r="P351">
            <v>6</v>
          </cell>
          <cell r="Q351">
            <v>6</v>
          </cell>
          <cell r="R351">
            <v>6</v>
          </cell>
          <cell r="S351">
            <v>5</v>
          </cell>
        </row>
        <row r="354">
          <cell r="I354">
            <v>0</v>
          </cell>
          <cell r="J354" t="str">
            <v/>
          </cell>
          <cell r="K354" t="str">
            <v/>
          </cell>
          <cell r="L354" t="str">
            <v/>
          </cell>
          <cell r="M354" t="str">
            <v/>
          </cell>
          <cell r="N354" t="str">
            <v/>
          </cell>
          <cell r="O354" t="str">
            <v/>
          </cell>
          <cell r="P354" t="str">
            <v/>
          </cell>
          <cell r="Q354" t="str">
            <v/>
          </cell>
          <cell r="R354" t="str">
            <v/>
          </cell>
          <cell r="S354" t="str">
            <v/>
          </cell>
        </row>
        <row r="355">
          <cell r="I355">
            <v>1</v>
          </cell>
          <cell r="J355">
            <v>5</v>
          </cell>
          <cell r="K355">
            <v>3</v>
          </cell>
          <cell r="L355" t="str">
            <v/>
          </cell>
          <cell r="M355" t="str">
            <v/>
          </cell>
          <cell r="N355" t="str">
            <v/>
          </cell>
          <cell r="O355" t="str">
            <v/>
          </cell>
          <cell r="P355" t="str">
            <v/>
          </cell>
          <cell r="Q355" t="str">
            <v/>
          </cell>
          <cell r="R355" t="str">
            <v/>
          </cell>
          <cell r="S355" t="str">
            <v/>
          </cell>
        </row>
        <row r="356">
          <cell r="I356">
            <v>2</v>
          </cell>
          <cell r="J356">
            <v>6</v>
          </cell>
          <cell r="K356">
            <v>4</v>
          </cell>
          <cell r="L356" t="str">
            <v/>
          </cell>
          <cell r="M356" t="str">
            <v/>
          </cell>
          <cell r="N356" t="str">
            <v/>
          </cell>
          <cell r="O356" t="str">
            <v/>
          </cell>
          <cell r="P356" t="str">
            <v/>
          </cell>
          <cell r="Q356" t="str">
            <v/>
          </cell>
          <cell r="R356" t="str">
            <v/>
          </cell>
          <cell r="S356" t="str">
            <v/>
          </cell>
        </row>
        <row r="357">
          <cell r="I357">
            <v>3</v>
          </cell>
          <cell r="J357">
            <v>6</v>
          </cell>
          <cell r="K357">
            <v>5</v>
          </cell>
          <cell r="L357" t="str">
            <v/>
          </cell>
          <cell r="M357" t="str">
            <v/>
          </cell>
          <cell r="N357" t="str">
            <v/>
          </cell>
          <cell r="O357" t="str">
            <v/>
          </cell>
          <cell r="P357" t="str">
            <v/>
          </cell>
          <cell r="Q357" t="str">
            <v/>
          </cell>
          <cell r="R357" t="str">
            <v/>
          </cell>
          <cell r="S357" t="str">
            <v/>
          </cell>
        </row>
        <row r="358">
          <cell r="I358">
            <v>4</v>
          </cell>
          <cell r="J358">
            <v>6</v>
          </cell>
          <cell r="K358">
            <v>6</v>
          </cell>
          <cell r="L358">
            <v>3</v>
          </cell>
          <cell r="M358" t="str">
            <v/>
          </cell>
          <cell r="N358" t="str">
            <v/>
          </cell>
          <cell r="O358" t="str">
            <v/>
          </cell>
          <cell r="P358" t="str">
            <v/>
          </cell>
          <cell r="Q358" t="str">
            <v/>
          </cell>
          <cell r="R358" t="str">
            <v/>
          </cell>
          <cell r="S358" t="str">
            <v/>
          </cell>
        </row>
        <row r="359">
          <cell r="I359">
            <v>5</v>
          </cell>
          <cell r="J359">
            <v>6</v>
          </cell>
          <cell r="K359">
            <v>6</v>
          </cell>
          <cell r="L359">
            <v>4</v>
          </cell>
          <cell r="M359" t="str">
            <v/>
          </cell>
          <cell r="N359" t="str">
            <v/>
          </cell>
          <cell r="O359" t="str">
            <v/>
          </cell>
          <cell r="P359" t="str">
            <v/>
          </cell>
          <cell r="Q359" t="str">
            <v/>
          </cell>
          <cell r="R359" t="str">
            <v/>
          </cell>
          <cell r="S359" t="str">
            <v/>
          </cell>
        </row>
        <row r="360">
          <cell r="I360">
            <v>6</v>
          </cell>
          <cell r="J360">
            <v>6</v>
          </cell>
          <cell r="K360">
            <v>6</v>
          </cell>
          <cell r="L360">
            <v>5</v>
          </cell>
          <cell r="M360">
            <v>3</v>
          </cell>
          <cell r="N360" t="str">
            <v/>
          </cell>
          <cell r="O360" t="str">
            <v/>
          </cell>
          <cell r="P360" t="str">
            <v/>
          </cell>
          <cell r="Q360" t="str">
            <v/>
          </cell>
          <cell r="R360" t="str">
            <v/>
          </cell>
          <cell r="S360" t="str">
            <v/>
          </cell>
        </row>
        <row r="361">
          <cell r="I361">
            <v>7</v>
          </cell>
          <cell r="J361">
            <v>6</v>
          </cell>
          <cell r="K361">
            <v>6</v>
          </cell>
          <cell r="L361">
            <v>6</v>
          </cell>
          <cell r="M361">
            <v>4</v>
          </cell>
          <cell r="N361" t="str">
            <v/>
          </cell>
          <cell r="O361" t="str">
            <v/>
          </cell>
          <cell r="P361" t="str">
            <v/>
          </cell>
          <cell r="Q361" t="str">
            <v/>
          </cell>
          <cell r="R361" t="str">
            <v/>
          </cell>
          <cell r="S361" t="str">
            <v/>
          </cell>
        </row>
        <row r="362">
          <cell r="I362">
            <v>8</v>
          </cell>
          <cell r="J362">
            <v>6</v>
          </cell>
          <cell r="K362">
            <v>6</v>
          </cell>
          <cell r="L362">
            <v>6</v>
          </cell>
          <cell r="M362">
            <v>5</v>
          </cell>
          <cell r="N362">
            <v>3</v>
          </cell>
          <cell r="O362" t="str">
            <v/>
          </cell>
          <cell r="P362" t="str">
            <v/>
          </cell>
          <cell r="Q362" t="str">
            <v/>
          </cell>
          <cell r="R362" t="str">
            <v/>
          </cell>
          <cell r="S362" t="str">
            <v/>
          </cell>
        </row>
        <row r="363">
          <cell r="I363">
            <v>9</v>
          </cell>
          <cell r="J363">
            <v>6</v>
          </cell>
          <cell r="K363">
            <v>6</v>
          </cell>
          <cell r="L363">
            <v>6</v>
          </cell>
          <cell r="M363">
            <v>6</v>
          </cell>
          <cell r="N363">
            <v>4</v>
          </cell>
          <cell r="O363" t="str">
            <v/>
          </cell>
          <cell r="P363" t="str">
            <v/>
          </cell>
          <cell r="Q363" t="str">
            <v/>
          </cell>
          <cell r="R363" t="str">
            <v/>
          </cell>
          <cell r="S363" t="str">
            <v/>
          </cell>
        </row>
        <row r="364">
          <cell r="I364">
            <v>10</v>
          </cell>
          <cell r="J364">
            <v>6</v>
          </cell>
          <cell r="K364">
            <v>6</v>
          </cell>
          <cell r="L364">
            <v>6</v>
          </cell>
          <cell r="M364">
            <v>6</v>
          </cell>
          <cell r="N364">
            <v>5</v>
          </cell>
          <cell r="O364">
            <v>3</v>
          </cell>
          <cell r="P364" t="str">
            <v/>
          </cell>
          <cell r="Q364" t="str">
            <v/>
          </cell>
          <cell r="R364" t="str">
            <v/>
          </cell>
          <cell r="S364" t="str">
            <v/>
          </cell>
        </row>
        <row r="365">
          <cell r="I365">
            <v>11</v>
          </cell>
          <cell r="J365">
            <v>6</v>
          </cell>
          <cell r="K365">
            <v>6</v>
          </cell>
          <cell r="L365">
            <v>6</v>
          </cell>
          <cell r="M365">
            <v>6</v>
          </cell>
          <cell r="N365">
            <v>6</v>
          </cell>
          <cell r="O365">
            <v>4</v>
          </cell>
          <cell r="P365" t="str">
            <v/>
          </cell>
          <cell r="Q365" t="str">
            <v/>
          </cell>
          <cell r="R365" t="str">
            <v/>
          </cell>
          <cell r="S365" t="str">
            <v/>
          </cell>
        </row>
        <row r="366">
          <cell r="I366">
            <v>12</v>
          </cell>
          <cell r="J366">
            <v>6</v>
          </cell>
          <cell r="K366">
            <v>6</v>
          </cell>
          <cell r="L366">
            <v>6</v>
          </cell>
          <cell r="M366">
            <v>6</v>
          </cell>
          <cell r="N366">
            <v>6</v>
          </cell>
          <cell r="O366">
            <v>5</v>
          </cell>
          <cell r="P366">
            <v>3</v>
          </cell>
          <cell r="Q366" t="str">
            <v/>
          </cell>
          <cell r="R366" t="str">
            <v/>
          </cell>
          <cell r="S366" t="str">
            <v/>
          </cell>
        </row>
        <row r="367">
          <cell r="I367">
            <v>13</v>
          </cell>
          <cell r="J367">
            <v>6</v>
          </cell>
          <cell r="K367">
            <v>6</v>
          </cell>
          <cell r="L367">
            <v>6</v>
          </cell>
          <cell r="M367">
            <v>6</v>
          </cell>
          <cell r="N367">
            <v>6</v>
          </cell>
          <cell r="O367">
            <v>6</v>
          </cell>
          <cell r="P367">
            <v>4</v>
          </cell>
          <cell r="Q367" t="str">
            <v/>
          </cell>
          <cell r="R367" t="str">
            <v/>
          </cell>
          <cell r="S367" t="str">
            <v/>
          </cell>
        </row>
        <row r="368">
          <cell r="I368">
            <v>14</v>
          </cell>
          <cell r="J368">
            <v>6</v>
          </cell>
          <cell r="K368">
            <v>6</v>
          </cell>
          <cell r="L368">
            <v>6</v>
          </cell>
          <cell r="M368">
            <v>6</v>
          </cell>
          <cell r="N368">
            <v>6</v>
          </cell>
          <cell r="O368">
            <v>6</v>
          </cell>
          <cell r="P368">
            <v>5</v>
          </cell>
          <cell r="Q368">
            <v>3</v>
          </cell>
          <cell r="R368" t="str">
            <v/>
          </cell>
          <cell r="S368" t="str">
            <v/>
          </cell>
        </row>
        <row r="369">
          <cell r="I369">
            <v>15</v>
          </cell>
          <cell r="J369">
            <v>6</v>
          </cell>
          <cell r="K369">
            <v>6</v>
          </cell>
          <cell r="L369">
            <v>6</v>
          </cell>
          <cell r="M369">
            <v>6</v>
          </cell>
          <cell r="N369">
            <v>6</v>
          </cell>
          <cell r="O369">
            <v>6</v>
          </cell>
          <cell r="P369">
            <v>6</v>
          </cell>
          <cell r="Q369">
            <v>4</v>
          </cell>
          <cell r="R369" t="str">
            <v/>
          </cell>
          <cell r="S369" t="str">
            <v/>
          </cell>
        </row>
        <row r="370">
          <cell r="I370">
            <v>16</v>
          </cell>
          <cell r="J370">
            <v>6</v>
          </cell>
          <cell r="K370">
            <v>6</v>
          </cell>
          <cell r="L370">
            <v>6</v>
          </cell>
          <cell r="M370">
            <v>6</v>
          </cell>
          <cell r="N370">
            <v>6</v>
          </cell>
          <cell r="O370">
            <v>6</v>
          </cell>
          <cell r="P370">
            <v>6</v>
          </cell>
          <cell r="Q370">
            <v>5</v>
          </cell>
          <cell r="R370">
            <v>3</v>
          </cell>
          <cell r="S370" t="str">
            <v/>
          </cell>
        </row>
        <row r="371">
          <cell r="I371">
            <v>17</v>
          </cell>
          <cell r="J371">
            <v>6</v>
          </cell>
          <cell r="K371">
            <v>6</v>
          </cell>
          <cell r="L371">
            <v>6</v>
          </cell>
          <cell r="M371">
            <v>6</v>
          </cell>
          <cell r="N371">
            <v>6</v>
          </cell>
          <cell r="O371">
            <v>6</v>
          </cell>
          <cell r="P371">
            <v>6</v>
          </cell>
          <cell r="Q371">
            <v>6</v>
          </cell>
          <cell r="R371">
            <v>4</v>
          </cell>
          <cell r="S371" t="str">
            <v/>
          </cell>
        </row>
        <row r="372">
          <cell r="I372">
            <v>18</v>
          </cell>
          <cell r="J372">
            <v>6</v>
          </cell>
          <cell r="K372">
            <v>6</v>
          </cell>
          <cell r="L372">
            <v>6</v>
          </cell>
          <cell r="M372">
            <v>6</v>
          </cell>
          <cell r="N372">
            <v>6</v>
          </cell>
          <cell r="O372">
            <v>6</v>
          </cell>
          <cell r="P372">
            <v>6</v>
          </cell>
          <cell r="Q372">
            <v>6</v>
          </cell>
          <cell r="R372">
            <v>5</v>
          </cell>
          <cell r="S372">
            <v>3</v>
          </cell>
        </row>
        <row r="373">
          <cell r="I373">
            <v>19</v>
          </cell>
          <cell r="J373">
            <v>6</v>
          </cell>
          <cell r="K373">
            <v>6</v>
          </cell>
          <cell r="L373">
            <v>6</v>
          </cell>
          <cell r="M373">
            <v>6</v>
          </cell>
          <cell r="N373">
            <v>6</v>
          </cell>
          <cell r="O373">
            <v>6</v>
          </cell>
          <cell r="P373">
            <v>6</v>
          </cell>
          <cell r="Q373">
            <v>6</v>
          </cell>
          <cell r="R373">
            <v>6</v>
          </cell>
          <cell r="S373">
            <v>4</v>
          </cell>
        </row>
        <row r="374">
          <cell r="I374">
            <v>20</v>
          </cell>
          <cell r="J374">
            <v>6</v>
          </cell>
          <cell r="K374">
            <v>6</v>
          </cell>
          <cell r="L374">
            <v>6</v>
          </cell>
          <cell r="M374">
            <v>6</v>
          </cell>
          <cell r="N374">
            <v>6</v>
          </cell>
          <cell r="O374">
            <v>6</v>
          </cell>
          <cell r="P374">
            <v>6</v>
          </cell>
          <cell r="Q374">
            <v>6</v>
          </cell>
          <cell r="R374">
            <v>6</v>
          </cell>
          <cell r="S374">
            <v>6</v>
          </cell>
        </row>
        <row r="377">
          <cell r="I377">
            <v>0</v>
          </cell>
          <cell r="J377" t="str">
            <v/>
          </cell>
          <cell r="K377" t="str">
            <v/>
          </cell>
          <cell r="L377" t="str">
            <v/>
          </cell>
          <cell r="M377" t="str">
            <v/>
          </cell>
          <cell r="N377" t="str">
            <v/>
          </cell>
          <cell r="O377" t="str">
            <v/>
          </cell>
          <cell r="P377" t="str">
            <v/>
          </cell>
          <cell r="Q377" t="str">
            <v/>
          </cell>
          <cell r="R377" t="str">
            <v/>
          </cell>
          <cell r="S377" t="str">
            <v/>
          </cell>
        </row>
        <row r="378">
          <cell r="I378">
            <v>1</v>
          </cell>
          <cell r="J378">
            <v>3</v>
          </cell>
          <cell r="K378">
            <v>1</v>
          </cell>
          <cell r="L378" t="str">
            <v/>
          </cell>
          <cell r="M378" t="str">
            <v/>
          </cell>
          <cell r="N378" t="str">
            <v/>
          </cell>
          <cell r="O378" t="str">
            <v/>
          </cell>
          <cell r="P378" t="str">
            <v/>
          </cell>
          <cell r="Q378" t="str">
            <v/>
          </cell>
          <cell r="R378" t="str">
            <v/>
          </cell>
          <cell r="S378" t="str">
            <v/>
          </cell>
        </row>
        <row r="379">
          <cell r="I379">
            <v>2</v>
          </cell>
          <cell r="J379">
            <v>4</v>
          </cell>
          <cell r="K379">
            <v>2</v>
          </cell>
          <cell r="L379" t="str">
            <v/>
          </cell>
          <cell r="M379" t="str">
            <v/>
          </cell>
          <cell r="N379" t="str">
            <v/>
          </cell>
          <cell r="O379" t="str">
            <v/>
          </cell>
          <cell r="P379" t="str">
            <v/>
          </cell>
          <cell r="Q379" t="str">
            <v/>
          </cell>
          <cell r="R379" t="str">
            <v/>
          </cell>
          <cell r="S379" t="str">
            <v/>
          </cell>
        </row>
        <row r="380">
          <cell r="I380">
            <v>3</v>
          </cell>
          <cell r="J380">
            <v>4</v>
          </cell>
          <cell r="K380">
            <v>2</v>
          </cell>
          <cell r="L380">
            <v>1</v>
          </cell>
          <cell r="M380" t="str">
            <v/>
          </cell>
          <cell r="N380" t="str">
            <v/>
          </cell>
          <cell r="O380" t="str">
            <v/>
          </cell>
          <cell r="P380" t="str">
            <v/>
          </cell>
          <cell r="Q380" t="str">
            <v/>
          </cell>
          <cell r="R380" t="str">
            <v/>
          </cell>
          <cell r="S380" t="str">
            <v/>
          </cell>
        </row>
        <row r="381">
          <cell r="I381">
            <v>4</v>
          </cell>
          <cell r="J381">
            <v>5</v>
          </cell>
          <cell r="K381">
            <v>3</v>
          </cell>
          <cell r="L381">
            <v>2</v>
          </cell>
          <cell r="M381" t="str">
            <v/>
          </cell>
          <cell r="N381" t="str">
            <v/>
          </cell>
          <cell r="O381" t="str">
            <v/>
          </cell>
          <cell r="P381" t="str">
            <v/>
          </cell>
          <cell r="Q381" t="str">
            <v/>
          </cell>
          <cell r="R381" t="str">
            <v/>
          </cell>
          <cell r="S381" t="str">
            <v/>
          </cell>
        </row>
        <row r="382">
          <cell r="I382">
            <v>5</v>
          </cell>
          <cell r="J382">
            <v>5</v>
          </cell>
          <cell r="K382">
            <v>3</v>
          </cell>
          <cell r="L382">
            <v>2</v>
          </cell>
          <cell r="M382">
            <v>1</v>
          </cell>
          <cell r="N382" t="str">
            <v/>
          </cell>
          <cell r="O382" t="str">
            <v/>
          </cell>
          <cell r="P382" t="str">
            <v/>
          </cell>
          <cell r="Q382" t="str">
            <v/>
          </cell>
          <cell r="R382" t="str">
            <v/>
          </cell>
          <cell r="S382" t="str">
            <v/>
          </cell>
        </row>
        <row r="383">
          <cell r="I383">
            <v>6</v>
          </cell>
          <cell r="J383">
            <v>5</v>
          </cell>
          <cell r="K383">
            <v>3</v>
          </cell>
          <cell r="L383">
            <v>3</v>
          </cell>
          <cell r="M383">
            <v>2</v>
          </cell>
          <cell r="N383" t="str">
            <v/>
          </cell>
          <cell r="O383" t="str">
            <v/>
          </cell>
          <cell r="P383" t="str">
            <v/>
          </cell>
          <cell r="Q383" t="str">
            <v/>
          </cell>
          <cell r="R383" t="str">
            <v/>
          </cell>
          <cell r="S383" t="str">
            <v/>
          </cell>
        </row>
        <row r="384">
          <cell r="I384">
            <v>7</v>
          </cell>
          <cell r="J384">
            <v>6</v>
          </cell>
          <cell r="K384">
            <v>4</v>
          </cell>
          <cell r="L384">
            <v>3</v>
          </cell>
          <cell r="M384">
            <v>2</v>
          </cell>
          <cell r="N384">
            <v>1</v>
          </cell>
          <cell r="O384" t="str">
            <v/>
          </cell>
          <cell r="P384" t="str">
            <v/>
          </cell>
          <cell r="Q384" t="str">
            <v/>
          </cell>
          <cell r="R384" t="str">
            <v/>
          </cell>
          <cell r="S384" t="str">
            <v/>
          </cell>
        </row>
        <row r="385">
          <cell r="I385">
            <v>8</v>
          </cell>
          <cell r="J385">
            <v>6</v>
          </cell>
          <cell r="K385">
            <v>4</v>
          </cell>
          <cell r="L385">
            <v>3</v>
          </cell>
          <cell r="M385">
            <v>3</v>
          </cell>
          <cell r="N385">
            <v>2</v>
          </cell>
          <cell r="O385" t="str">
            <v/>
          </cell>
          <cell r="P385" t="str">
            <v/>
          </cell>
          <cell r="Q385" t="str">
            <v/>
          </cell>
          <cell r="R385" t="str">
            <v/>
          </cell>
          <cell r="S385" t="str">
            <v/>
          </cell>
        </row>
        <row r="386">
          <cell r="I386">
            <v>9</v>
          </cell>
          <cell r="J386">
            <v>6</v>
          </cell>
          <cell r="K386">
            <v>4</v>
          </cell>
          <cell r="L386">
            <v>4</v>
          </cell>
          <cell r="M386">
            <v>3</v>
          </cell>
          <cell r="N386">
            <v>2</v>
          </cell>
          <cell r="O386">
            <v>1</v>
          </cell>
          <cell r="P386" t="str">
            <v/>
          </cell>
          <cell r="Q386" t="str">
            <v/>
          </cell>
          <cell r="R386" t="str">
            <v/>
          </cell>
          <cell r="S386" t="str">
            <v/>
          </cell>
        </row>
        <row r="387">
          <cell r="I387">
            <v>10</v>
          </cell>
          <cell r="J387">
            <v>6</v>
          </cell>
          <cell r="K387">
            <v>4</v>
          </cell>
          <cell r="L387">
            <v>4</v>
          </cell>
          <cell r="M387">
            <v>3</v>
          </cell>
          <cell r="N387">
            <v>3</v>
          </cell>
          <cell r="O387">
            <v>2</v>
          </cell>
          <cell r="P387" t="str">
            <v/>
          </cell>
          <cell r="Q387" t="str">
            <v/>
          </cell>
          <cell r="R387" t="str">
            <v/>
          </cell>
          <cell r="S387" t="str">
            <v/>
          </cell>
        </row>
        <row r="388">
          <cell r="I388">
            <v>11</v>
          </cell>
          <cell r="J388">
            <v>6</v>
          </cell>
          <cell r="K388">
            <v>4</v>
          </cell>
          <cell r="L388">
            <v>4</v>
          </cell>
          <cell r="M388">
            <v>4</v>
          </cell>
          <cell r="N388">
            <v>3</v>
          </cell>
          <cell r="O388">
            <v>2</v>
          </cell>
          <cell r="P388">
            <v>1</v>
          </cell>
          <cell r="Q388" t="str">
            <v/>
          </cell>
          <cell r="R388" t="str">
            <v/>
          </cell>
          <cell r="S388" t="str">
            <v/>
          </cell>
        </row>
        <row r="389">
          <cell r="I389">
            <v>12</v>
          </cell>
          <cell r="J389">
            <v>6</v>
          </cell>
          <cell r="K389">
            <v>4</v>
          </cell>
          <cell r="L389">
            <v>4</v>
          </cell>
          <cell r="M389">
            <v>4</v>
          </cell>
          <cell r="N389">
            <v>3</v>
          </cell>
          <cell r="O389">
            <v>3</v>
          </cell>
          <cell r="P389">
            <v>2</v>
          </cell>
          <cell r="Q389" t="str">
            <v/>
          </cell>
          <cell r="R389" t="str">
            <v/>
          </cell>
          <cell r="S389" t="str">
            <v/>
          </cell>
        </row>
        <row r="390">
          <cell r="I390">
            <v>13</v>
          </cell>
          <cell r="J390">
            <v>6</v>
          </cell>
          <cell r="K390">
            <v>4</v>
          </cell>
          <cell r="L390">
            <v>4</v>
          </cell>
          <cell r="M390">
            <v>4</v>
          </cell>
          <cell r="N390">
            <v>4</v>
          </cell>
          <cell r="O390">
            <v>3</v>
          </cell>
          <cell r="P390">
            <v>2</v>
          </cell>
          <cell r="Q390">
            <v>1</v>
          </cell>
          <cell r="R390" t="str">
            <v/>
          </cell>
          <cell r="S390" t="str">
            <v/>
          </cell>
        </row>
        <row r="391">
          <cell r="I391">
            <v>14</v>
          </cell>
          <cell r="J391">
            <v>6</v>
          </cell>
          <cell r="K391">
            <v>4</v>
          </cell>
          <cell r="L391">
            <v>4</v>
          </cell>
          <cell r="M391">
            <v>4</v>
          </cell>
          <cell r="N391">
            <v>4</v>
          </cell>
          <cell r="O391">
            <v>3</v>
          </cell>
          <cell r="P391">
            <v>3</v>
          </cell>
          <cell r="Q391">
            <v>2</v>
          </cell>
          <cell r="R391" t="str">
            <v/>
          </cell>
          <cell r="S391" t="str">
            <v/>
          </cell>
        </row>
        <row r="392">
          <cell r="I392">
            <v>15</v>
          </cell>
          <cell r="J392">
            <v>6</v>
          </cell>
          <cell r="K392">
            <v>4</v>
          </cell>
          <cell r="L392">
            <v>4</v>
          </cell>
          <cell r="M392">
            <v>4</v>
          </cell>
          <cell r="N392">
            <v>4</v>
          </cell>
          <cell r="O392">
            <v>4</v>
          </cell>
          <cell r="P392">
            <v>3</v>
          </cell>
          <cell r="Q392">
            <v>2</v>
          </cell>
          <cell r="R392">
            <v>1</v>
          </cell>
          <cell r="S392" t="str">
            <v/>
          </cell>
        </row>
        <row r="393">
          <cell r="I393">
            <v>16</v>
          </cell>
          <cell r="J393">
            <v>6</v>
          </cell>
          <cell r="K393">
            <v>4</v>
          </cell>
          <cell r="L393">
            <v>4</v>
          </cell>
          <cell r="M393">
            <v>4</v>
          </cell>
          <cell r="N393">
            <v>4</v>
          </cell>
          <cell r="O393">
            <v>4</v>
          </cell>
          <cell r="P393">
            <v>3</v>
          </cell>
          <cell r="Q393">
            <v>3</v>
          </cell>
          <cell r="R393">
            <v>2</v>
          </cell>
          <cell r="S393" t="str">
            <v/>
          </cell>
        </row>
        <row r="394">
          <cell r="I394">
            <v>17</v>
          </cell>
          <cell r="J394">
            <v>6</v>
          </cell>
          <cell r="K394">
            <v>4</v>
          </cell>
          <cell r="L394">
            <v>4</v>
          </cell>
          <cell r="M394">
            <v>4</v>
          </cell>
          <cell r="N394">
            <v>4</v>
          </cell>
          <cell r="O394">
            <v>4</v>
          </cell>
          <cell r="P394">
            <v>4</v>
          </cell>
          <cell r="Q394">
            <v>3</v>
          </cell>
          <cell r="R394">
            <v>2</v>
          </cell>
          <cell r="S394">
            <v>1</v>
          </cell>
        </row>
        <row r="395">
          <cell r="I395">
            <v>18</v>
          </cell>
          <cell r="J395">
            <v>6</v>
          </cell>
          <cell r="K395">
            <v>4</v>
          </cell>
          <cell r="L395">
            <v>4</v>
          </cell>
          <cell r="M395">
            <v>4</v>
          </cell>
          <cell r="N395">
            <v>4</v>
          </cell>
          <cell r="O395">
            <v>4</v>
          </cell>
          <cell r="P395">
            <v>4</v>
          </cell>
          <cell r="Q395">
            <v>3</v>
          </cell>
          <cell r="R395">
            <v>3</v>
          </cell>
          <cell r="S395">
            <v>2</v>
          </cell>
        </row>
        <row r="396">
          <cell r="I396">
            <v>19</v>
          </cell>
          <cell r="J396">
            <v>6</v>
          </cell>
          <cell r="K396">
            <v>4</v>
          </cell>
          <cell r="L396">
            <v>4</v>
          </cell>
          <cell r="M396">
            <v>4</v>
          </cell>
          <cell r="N396">
            <v>4</v>
          </cell>
          <cell r="O396">
            <v>4</v>
          </cell>
          <cell r="P396">
            <v>4</v>
          </cell>
          <cell r="Q396">
            <v>4</v>
          </cell>
          <cell r="R396">
            <v>3</v>
          </cell>
          <cell r="S396">
            <v>3</v>
          </cell>
        </row>
        <row r="397">
          <cell r="I397">
            <v>20</v>
          </cell>
          <cell r="J397">
            <v>6</v>
          </cell>
          <cell r="K397">
            <v>4</v>
          </cell>
          <cell r="L397">
            <v>4</v>
          </cell>
          <cell r="M397">
            <v>4</v>
          </cell>
          <cell r="N397">
            <v>4</v>
          </cell>
          <cell r="O397">
            <v>4</v>
          </cell>
          <cell r="P397">
            <v>4</v>
          </cell>
          <cell r="Q397">
            <v>4</v>
          </cell>
          <cell r="R397">
            <v>4</v>
          </cell>
          <cell r="S397">
            <v>4</v>
          </cell>
        </row>
      </sheetData>
      <sheetData sheetId="56">
        <row r="3">
          <cell r="A3">
            <v>0</v>
          </cell>
          <cell r="I3">
            <v>0</v>
          </cell>
          <cell r="T3">
            <v>0</v>
          </cell>
          <cell r="AB3">
            <v>0</v>
          </cell>
          <cell r="AM3">
            <v>0</v>
          </cell>
          <cell r="AS3">
            <v>0</v>
          </cell>
        </row>
        <row r="4">
          <cell r="A4">
            <v>1</v>
          </cell>
          <cell r="B4">
            <v>4</v>
          </cell>
          <cell r="I4">
            <v>1</v>
          </cell>
          <cell r="J4">
            <v>4</v>
          </cell>
          <cell r="K4">
            <v>2</v>
          </cell>
          <cell r="T4">
            <v>1</v>
          </cell>
          <cell r="V4">
            <v>2</v>
          </cell>
          <cell r="AB4">
            <v>1</v>
          </cell>
          <cell r="AC4">
            <v>4</v>
          </cell>
          <cell r="AD4">
            <v>2</v>
          </cell>
          <cell r="AM4">
            <v>1</v>
          </cell>
          <cell r="AO4">
            <v>2</v>
          </cell>
          <cell r="AS4">
            <v>1</v>
          </cell>
          <cell r="AT4">
            <v>3</v>
          </cell>
          <cell r="AU4">
            <v>1</v>
          </cell>
        </row>
        <row r="5">
          <cell r="A5">
            <v>2</v>
          </cell>
          <cell r="B5">
            <v>5</v>
          </cell>
          <cell r="C5">
            <v>2</v>
          </cell>
          <cell r="I5">
            <v>2</v>
          </cell>
          <cell r="J5">
            <v>5</v>
          </cell>
          <cell r="K5">
            <v>2</v>
          </cell>
          <cell r="T5">
            <v>2</v>
          </cell>
          <cell r="V5">
            <v>3</v>
          </cell>
          <cell r="W5" t="str">
            <v/>
          </cell>
          <cell r="AB5">
            <v>2</v>
          </cell>
          <cell r="AC5">
            <v>5</v>
          </cell>
          <cell r="AD5">
            <v>2</v>
          </cell>
          <cell r="AM5">
            <v>2</v>
          </cell>
          <cell r="AO5">
            <v>3</v>
          </cell>
          <cell r="AP5" t="str">
            <v/>
          </cell>
          <cell r="AS5">
            <v>2</v>
          </cell>
          <cell r="AT5">
            <v>3</v>
          </cell>
          <cell r="AU5">
            <v>2</v>
          </cell>
        </row>
        <row r="6">
          <cell r="A6">
            <v>3</v>
          </cell>
          <cell r="B6">
            <v>6</v>
          </cell>
          <cell r="C6">
            <v>3</v>
          </cell>
          <cell r="I6">
            <v>3</v>
          </cell>
          <cell r="J6">
            <v>5</v>
          </cell>
          <cell r="K6">
            <v>3</v>
          </cell>
          <cell r="T6">
            <v>3</v>
          </cell>
          <cell r="V6">
            <v>3</v>
          </cell>
          <cell r="W6">
            <v>2</v>
          </cell>
          <cell r="AB6">
            <v>3</v>
          </cell>
          <cell r="AC6">
            <v>5</v>
          </cell>
          <cell r="AD6">
            <v>3</v>
          </cell>
          <cell r="AM6">
            <v>3</v>
          </cell>
          <cell r="AO6">
            <v>3</v>
          </cell>
          <cell r="AP6">
            <v>2</v>
          </cell>
          <cell r="AS6">
            <v>3</v>
          </cell>
          <cell r="AT6">
            <v>3</v>
          </cell>
          <cell r="AU6">
            <v>2</v>
          </cell>
          <cell r="AV6">
            <v>1</v>
          </cell>
        </row>
        <row r="7">
          <cell r="A7">
            <v>4</v>
          </cell>
          <cell r="B7">
            <v>6</v>
          </cell>
          <cell r="C7">
            <v>3</v>
          </cell>
          <cell r="D7">
            <v>2</v>
          </cell>
          <cell r="I7">
            <v>4</v>
          </cell>
          <cell r="J7">
            <v>6</v>
          </cell>
          <cell r="K7">
            <v>3</v>
          </cell>
          <cell r="L7">
            <v>1</v>
          </cell>
          <cell r="T7">
            <v>4</v>
          </cell>
          <cell r="V7">
            <v>4</v>
          </cell>
          <cell r="W7">
            <v>3</v>
          </cell>
          <cell r="X7" t="str">
            <v/>
          </cell>
          <cell r="AB7">
            <v>4</v>
          </cell>
          <cell r="AC7">
            <v>6</v>
          </cell>
          <cell r="AD7">
            <v>3</v>
          </cell>
          <cell r="AE7">
            <v>1</v>
          </cell>
          <cell r="AM7">
            <v>4</v>
          </cell>
          <cell r="AO7">
            <v>4</v>
          </cell>
          <cell r="AP7">
            <v>3</v>
          </cell>
          <cell r="AQ7" t="str">
            <v/>
          </cell>
          <cell r="AS7">
            <v>4</v>
          </cell>
          <cell r="AT7">
            <v>3</v>
          </cell>
          <cell r="AU7">
            <v>3</v>
          </cell>
          <cell r="AV7">
            <v>1</v>
          </cell>
        </row>
        <row r="8">
          <cell r="A8">
            <v>5</v>
          </cell>
          <cell r="B8">
            <v>6</v>
          </cell>
          <cell r="C8">
            <v>4</v>
          </cell>
          <cell r="D8">
            <v>3</v>
          </cell>
          <cell r="I8">
            <v>5</v>
          </cell>
          <cell r="J8">
            <v>6</v>
          </cell>
          <cell r="K8">
            <v>4</v>
          </cell>
          <cell r="L8">
            <v>2</v>
          </cell>
          <cell r="T8">
            <v>5</v>
          </cell>
          <cell r="V8">
            <v>4</v>
          </cell>
          <cell r="W8">
            <v>3</v>
          </cell>
          <cell r="X8">
            <v>2</v>
          </cell>
          <cell r="AB8">
            <v>5</v>
          </cell>
          <cell r="AC8">
            <v>7</v>
          </cell>
          <cell r="AD8">
            <v>4</v>
          </cell>
          <cell r="AE8">
            <v>2</v>
          </cell>
          <cell r="AM8">
            <v>5</v>
          </cell>
          <cell r="AO8">
            <v>4</v>
          </cell>
          <cell r="AP8">
            <v>3</v>
          </cell>
          <cell r="AQ8">
            <v>2</v>
          </cell>
          <cell r="AS8">
            <v>5</v>
          </cell>
          <cell r="AT8">
            <v>3</v>
          </cell>
          <cell r="AU8">
            <v>3</v>
          </cell>
          <cell r="AV8">
            <v>1</v>
          </cell>
          <cell r="AW8">
            <v>1</v>
          </cell>
        </row>
        <row r="9">
          <cell r="A9">
            <v>6</v>
          </cell>
          <cell r="B9">
            <v>6</v>
          </cell>
          <cell r="C9">
            <v>4</v>
          </cell>
          <cell r="D9">
            <v>3</v>
          </cell>
          <cell r="I9">
            <v>6</v>
          </cell>
          <cell r="J9">
            <v>7</v>
          </cell>
          <cell r="K9">
            <v>4</v>
          </cell>
          <cell r="L9">
            <v>2</v>
          </cell>
          <cell r="M9">
            <v>1</v>
          </cell>
          <cell r="T9">
            <v>6</v>
          </cell>
          <cell r="V9">
            <v>4</v>
          </cell>
          <cell r="W9">
            <v>4</v>
          </cell>
          <cell r="X9">
            <v>3</v>
          </cell>
          <cell r="AB9">
            <v>6</v>
          </cell>
          <cell r="AC9">
            <v>7</v>
          </cell>
          <cell r="AD9">
            <v>4</v>
          </cell>
          <cell r="AE9">
            <v>2</v>
          </cell>
          <cell r="AF9">
            <v>1</v>
          </cell>
          <cell r="AM9">
            <v>6</v>
          </cell>
          <cell r="AO9">
            <v>4</v>
          </cell>
          <cell r="AP9">
            <v>4</v>
          </cell>
          <cell r="AQ9">
            <v>3</v>
          </cell>
          <cell r="AS9">
            <v>6</v>
          </cell>
          <cell r="AT9">
            <v>3</v>
          </cell>
          <cell r="AU9">
            <v>3</v>
          </cell>
          <cell r="AV9">
            <v>2</v>
          </cell>
          <cell r="AW9">
            <v>1</v>
          </cell>
        </row>
        <row r="10">
          <cell r="A10">
            <v>7</v>
          </cell>
          <cell r="B10">
            <v>6</v>
          </cell>
          <cell r="C10">
            <v>4</v>
          </cell>
          <cell r="D10">
            <v>4</v>
          </cell>
          <cell r="E10">
            <v>2</v>
          </cell>
          <cell r="I10">
            <v>7</v>
          </cell>
          <cell r="J10">
            <v>7</v>
          </cell>
          <cell r="K10">
            <v>5</v>
          </cell>
          <cell r="L10">
            <v>3</v>
          </cell>
          <cell r="M10">
            <v>2</v>
          </cell>
          <cell r="T10">
            <v>7</v>
          </cell>
          <cell r="V10">
            <v>4</v>
          </cell>
          <cell r="W10">
            <v>4</v>
          </cell>
          <cell r="X10">
            <v>3</v>
          </cell>
          <cell r="Y10">
            <v>2</v>
          </cell>
          <cell r="AB10">
            <v>7</v>
          </cell>
          <cell r="AC10">
            <v>8</v>
          </cell>
          <cell r="AD10">
            <v>5</v>
          </cell>
          <cell r="AE10">
            <v>3</v>
          </cell>
          <cell r="AF10">
            <v>2</v>
          </cell>
          <cell r="AM10">
            <v>7</v>
          </cell>
          <cell r="AO10">
            <v>4</v>
          </cell>
          <cell r="AP10">
            <v>4</v>
          </cell>
          <cell r="AQ10">
            <v>3</v>
          </cell>
          <cell r="AR10">
            <v>2</v>
          </cell>
          <cell r="AS10">
            <v>7</v>
          </cell>
          <cell r="AT10">
            <v>3</v>
          </cell>
          <cell r="AU10">
            <v>3</v>
          </cell>
          <cell r="AV10">
            <v>2</v>
          </cell>
          <cell r="AW10">
            <v>1</v>
          </cell>
          <cell r="AX10">
            <v>1</v>
          </cell>
        </row>
        <row r="11">
          <cell r="A11">
            <v>8</v>
          </cell>
          <cell r="B11">
            <v>6</v>
          </cell>
          <cell r="C11">
            <v>4</v>
          </cell>
          <cell r="D11">
            <v>4</v>
          </cell>
          <cell r="E11">
            <v>3</v>
          </cell>
          <cell r="I11">
            <v>8</v>
          </cell>
          <cell r="J11">
            <v>8</v>
          </cell>
          <cell r="K11">
            <v>5</v>
          </cell>
          <cell r="L11">
            <v>3</v>
          </cell>
          <cell r="M11">
            <v>2</v>
          </cell>
          <cell r="N11">
            <v>1</v>
          </cell>
          <cell r="T11">
            <v>8</v>
          </cell>
          <cell r="V11">
            <v>4</v>
          </cell>
          <cell r="W11">
            <v>4</v>
          </cell>
          <cell r="X11">
            <v>4</v>
          </cell>
          <cell r="Y11">
            <v>3</v>
          </cell>
          <cell r="AB11">
            <v>8</v>
          </cell>
          <cell r="AC11">
            <v>8</v>
          </cell>
          <cell r="AD11">
            <v>5</v>
          </cell>
          <cell r="AE11">
            <v>3</v>
          </cell>
          <cell r="AF11">
            <v>2</v>
          </cell>
          <cell r="AG11">
            <v>1</v>
          </cell>
          <cell r="AM11">
            <v>8</v>
          </cell>
          <cell r="AO11">
            <v>4</v>
          </cell>
          <cell r="AP11">
            <v>4</v>
          </cell>
          <cell r="AQ11">
            <v>4</v>
          </cell>
          <cell r="AR11">
            <v>3</v>
          </cell>
          <cell r="AS11">
            <v>8</v>
          </cell>
          <cell r="AT11">
            <v>3</v>
          </cell>
          <cell r="AU11">
            <v>3</v>
          </cell>
          <cell r="AV11">
            <v>2</v>
          </cell>
          <cell r="AW11">
            <v>2</v>
          </cell>
          <cell r="AX11">
            <v>1</v>
          </cell>
        </row>
        <row r="12">
          <cell r="A12">
            <v>9</v>
          </cell>
          <cell r="B12">
            <v>6</v>
          </cell>
          <cell r="C12">
            <v>4</v>
          </cell>
          <cell r="D12">
            <v>4</v>
          </cell>
          <cell r="E12">
            <v>3</v>
          </cell>
          <cell r="I12">
            <v>9</v>
          </cell>
          <cell r="J12">
            <v>8</v>
          </cell>
          <cell r="K12">
            <v>5</v>
          </cell>
          <cell r="L12">
            <v>4</v>
          </cell>
          <cell r="M12">
            <v>3</v>
          </cell>
          <cell r="N12">
            <v>2</v>
          </cell>
          <cell r="T12">
            <v>9</v>
          </cell>
          <cell r="V12">
            <v>4</v>
          </cell>
          <cell r="W12">
            <v>4</v>
          </cell>
          <cell r="X12">
            <v>4</v>
          </cell>
          <cell r="Y12">
            <v>3</v>
          </cell>
          <cell r="AB12">
            <v>9</v>
          </cell>
          <cell r="AC12">
            <v>9</v>
          </cell>
          <cell r="AD12">
            <v>5</v>
          </cell>
          <cell r="AE12">
            <v>4</v>
          </cell>
          <cell r="AF12">
            <v>3</v>
          </cell>
          <cell r="AG12">
            <v>2</v>
          </cell>
          <cell r="AM12">
            <v>9</v>
          </cell>
          <cell r="AO12">
            <v>4</v>
          </cell>
          <cell r="AP12">
            <v>4</v>
          </cell>
          <cell r="AQ12">
            <v>4</v>
          </cell>
          <cell r="AR12">
            <v>3</v>
          </cell>
          <cell r="AS12">
            <v>9</v>
          </cell>
          <cell r="AT12">
            <v>3</v>
          </cell>
          <cell r="AU12">
            <v>3</v>
          </cell>
          <cell r="AV12">
            <v>3</v>
          </cell>
          <cell r="AW12">
            <v>2</v>
          </cell>
          <cell r="AX12">
            <v>1</v>
          </cell>
          <cell r="AY12">
            <v>1</v>
          </cell>
        </row>
        <row r="13">
          <cell r="A13">
            <v>10</v>
          </cell>
          <cell r="B13">
            <v>6</v>
          </cell>
          <cell r="C13">
            <v>4</v>
          </cell>
          <cell r="D13">
            <v>4</v>
          </cell>
          <cell r="E13">
            <v>4</v>
          </cell>
          <cell r="F13">
            <v>2</v>
          </cell>
          <cell r="I13">
            <v>10</v>
          </cell>
          <cell r="J13">
            <v>9</v>
          </cell>
          <cell r="K13">
            <v>5</v>
          </cell>
          <cell r="L13">
            <v>4</v>
          </cell>
          <cell r="M13">
            <v>3</v>
          </cell>
          <cell r="N13">
            <v>2</v>
          </cell>
          <cell r="O13">
            <v>1</v>
          </cell>
          <cell r="T13">
            <v>10</v>
          </cell>
          <cell r="V13">
            <v>4</v>
          </cell>
          <cell r="W13">
            <v>4</v>
          </cell>
          <cell r="X13">
            <v>4</v>
          </cell>
          <cell r="Y13">
            <v>4</v>
          </cell>
          <cell r="AB13">
            <v>10</v>
          </cell>
          <cell r="AC13">
            <v>9</v>
          </cell>
          <cell r="AD13">
            <v>5</v>
          </cell>
          <cell r="AE13">
            <v>4</v>
          </cell>
          <cell r="AF13">
            <v>3</v>
          </cell>
          <cell r="AG13">
            <v>2</v>
          </cell>
          <cell r="AH13">
            <v>1</v>
          </cell>
          <cell r="AM13">
            <v>10</v>
          </cell>
          <cell r="AO13">
            <v>4</v>
          </cell>
          <cell r="AP13">
            <v>4</v>
          </cell>
          <cell r="AQ13">
            <v>4</v>
          </cell>
          <cell r="AR13">
            <v>4</v>
          </cell>
          <cell r="AS13">
            <v>10</v>
          </cell>
          <cell r="AT13">
            <v>3</v>
          </cell>
          <cell r="AU13">
            <v>3</v>
          </cell>
          <cell r="AV13">
            <v>3</v>
          </cell>
          <cell r="AW13">
            <v>2</v>
          </cell>
          <cell r="AX13">
            <v>2</v>
          </cell>
          <cell r="AY13">
            <v>1</v>
          </cell>
        </row>
        <row r="14">
          <cell r="A14">
            <v>11</v>
          </cell>
          <cell r="B14">
            <v>6</v>
          </cell>
          <cell r="C14">
            <v>4</v>
          </cell>
          <cell r="D14">
            <v>4</v>
          </cell>
          <cell r="E14">
            <v>4</v>
          </cell>
          <cell r="F14">
            <v>3</v>
          </cell>
          <cell r="I14">
            <v>11</v>
          </cell>
          <cell r="J14">
            <v>9</v>
          </cell>
          <cell r="K14">
            <v>5</v>
          </cell>
          <cell r="L14">
            <v>5</v>
          </cell>
          <cell r="M14">
            <v>4</v>
          </cell>
          <cell r="N14">
            <v>3</v>
          </cell>
          <cell r="O14">
            <v>2</v>
          </cell>
          <cell r="AB14">
            <v>11</v>
          </cell>
          <cell r="AC14">
            <v>9</v>
          </cell>
          <cell r="AD14">
            <v>5</v>
          </cell>
          <cell r="AE14">
            <v>5</v>
          </cell>
          <cell r="AF14">
            <v>4</v>
          </cell>
          <cell r="AG14">
            <v>3</v>
          </cell>
          <cell r="AH14">
            <v>2</v>
          </cell>
          <cell r="AS14">
            <v>11</v>
          </cell>
          <cell r="AT14">
            <v>3</v>
          </cell>
          <cell r="AU14">
            <v>3</v>
          </cell>
          <cell r="AV14">
            <v>3</v>
          </cell>
          <cell r="AW14">
            <v>3</v>
          </cell>
          <cell r="AX14">
            <v>2</v>
          </cell>
          <cell r="AY14">
            <v>1</v>
          </cell>
          <cell r="AZ14">
            <v>1</v>
          </cell>
        </row>
        <row r="15">
          <cell r="A15">
            <v>12</v>
          </cell>
          <cell r="B15">
            <v>6</v>
          </cell>
          <cell r="C15">
            <v>4</v>
          </cell>
          <cell r="D15">
            <v>4</v>
          </cell>
          <cell r="E15">
            <v>4</v>
          </cell>
          <cell r="F15">
            <v>3</v>
          </cell>
          <cell r="I15">
            <v>12</v>
          </cell>
          <cell r="J15">
            <v>9</v>
          </cell>
          <cell r="K15">
            <v>5</v>
          </cell>
          <cell r="L15">
            <v>5</v>
          </cell>
          <cell r="M15">
            <v>4</v>
          </cell>
          <cell r="N15">
            <v>3</v>
          </cell>
          <cell r="O15">
            <v>2</v>
          </cell>
          <cell r="P15">
            <v>1</v>
          </cell>
          <cell r="AB15">
            <v>12</v>
          </cell>
          <cell r="AC15">
            <v>9</v>
          </cell>
          <cell r="AD15">
            <v>5</v>
          </cell>
          <cell r="AE15">
            <v>5</v>
          </cell>
          <cell r="AF15">
            <v>4</v>
          </cell>
          <cell r="AG15">
            <v>3</v>
          </cell>
          <cell r="AH15">
            <v>2</v>
          </cell>
          <cell r="AI15">
            <v>1</v>
          </cell>
          <cell r="AS15">
            <v>12</v>
          </cell>
          <cell r="AT15">
            <v>3</v>
          </cell>
          <cell r="AU15">
            <v>3</v>
          </cell>
          <cell r="AV15">
            <v>3</v>
          </cell>
          <cell r="AW15">
            <v>3</v>
          </cell>
          <cell r="AX15">
            <v>2</v>
          </cell>
          <cell r="AY15">
            <v>2</v>
          </cell>
          <cell r="AZ15">
            <v>1</v>
          </cell>
        </row>
        <row r="16">
          <cell r="A16">
            <v>13</v>
          </cell>
          <cell r="B16">
            <v>6</v>
          </cell>
          <cell r="C16">
            <v>4</v>
          </cell>
          <cell r="D16">
            <v>4</v>
          </cell>
          <cell r="E16">
            <v>4</v>
          </cell>
          <cell r="F16">
            <v>4</v>
          </cell>
          <cell r="G16">
            <v>2</v>
          </cell>
          <cell r="I16">
            <v>13</v>
          </cell>
          <cell r="J16">
            <v>9</v>
          </cell>
          <cell r="K16">
            <v>5</v>
          </cell>
          <cell r="L16">
            <v>5</v>
          </cell>
          <cell r="M16">
            <v>4</v>
          </cell>
          <cell r="N16">
            <v>4</v>
          </cell>
          <cell r="O16">
            <v>3</v>
          </cell>
          <cell r="P16">
            <v>2</v>
          </cell>
          <cell r="U16">
            <v>0</v>
          </cell>
          <cell r="V16">
            <v>1</v>
          </cell>
          <cell r="W16">
            <v>2</v>
          </cell>
          <cell r="X16">
            <v>3</v>
          </cell>
          <cell r="Y16">
            <v>4</v>
          </cell>
          <cell r="AB16">
            <v>13</v>
          </cell>
          <cell r="AC16">
            <v>9</v>
          </cell>
          <cell r="AD16">
            <v>5</v>
          </cell>
          <cell r="AE16">
            <v>5</v>
          </cell>
          <cell r="AF16">
            <v>4</v>
          </cell>
          <cell r="AG16">
            <v>4</v>
          </cell>
          <cell r="AH16">
            <v>3</v>
          </cell>
          <cell r="AI16">
            <v>2</v>
          </cell>
          <cell r="AM16">
            <v>0</v>
          </cell>
          <cell r="AS16">
            <v>13</v>
          </cell>
          <cell r="AT16">
            <v>3</v>
          </cell>
          <cell r="AU16">
            <v>3</v>
          </cell>
          <cell r="AV16">
            <v>3</v>
          </cell>
          <cell r="AW16">
            <v>3</v>
          </cell>
          <cell r="AX16">
            <v>3</v>
          </cell>
          <cell r="AY16">
            <v>2</v>
          </cell>
          <cell r="AZ16">
            <v>1</v>
          </cell>
          <cell r="BA16">
            <v>1</v>
          </cell>
        </row>
        <row r="17">
          <cell r="A17">
            <v>14</v>
          </cell>
          <cell r="B17">
            <v>6</v>
          </cell>
          <cell r="C17">
            <v>4</v>
          </cell>
          <cell r="D17">
            <v>4</v>
          </cell>
          <cell r="E17">
            <v>4</v>
          </cell>
          <cell r="F17">
            <v>4</v>
          </cell>
          <cell r="G17">
            <v>3</v>
          </cell>
          <cell r="I17">
            <v>14</v>
          </cell>
          <cell r="J17">
            <v>9</v>
          </cell>
          <cell r="K17">
            <v>5</v>
          </cell>
          <cell r="L17">
            <v>5</v>
          </cell>
          <cell r="M17">
            <v>4</v>
          </cell>
          <cell r="N17">
            <v>4</v>
          </cell>
          <cell r="O17">
            <v>3</v>
          </cell>
          <cell r="P17">
            <v>2</v>
          </cell>
          <cell r="Q17">
            <v>1</v>
          </cell>
          <cell r="T17">
            <v>0</v>
          </cell>
          <cell r="AB17">
            <v>14</v>
          </cell>
          <cell r="AC17">
            <v>9</v>
          </cell>
          <cell r="AD17">
            <v>5</v>
          </cell>
          <cell r="AE17">
            <v>5</v>
          </cell>
          <cell r="AF17">
            <v>4</v>
          </cell>
          <cell r="AG17">
            <v>4</v>
          </cell>
          <cell r="AH17">
            <v>3</v>
          </cell>
          <cell r="AI17">
            <v>2</v>
          </cell>
          <cell r="AJ17">
            <v>1</v>
          </cell>
          <cell r="AM17">
            <v>1</v>
          </cell>
          <cell r="AN17">
            <v>4</v>
          </cell>
          <cell r="AO17">
            <v>2</v>
          </cell>
          <cell r="AS17">
            <v>14</v>
          </cell>
          <cell r="AT17">
            <v>3</v>
          </cell>
          <cell r="AU17">
            <v>3</v>
          </cell>
          <cell r="AV17">
            <v>3</v>
          </cell>
          <cell r="AW17">
            <v>3</v>
          </cell>
          <cell r="AX17">
            <v>3</v>
          </cell>
          <cell r="AY17">
            <v>2</v>
          </cell>
          <cell r="AZ17">
            <v>2</v>
          </cell>
          <cell r="BA17">
            <v>1</v>
          </cell>
        </row>
        <row r="18">
          <cell r="A18">
            <v>15</v>
          </cell>
          <cell r="B18">
            <v>6</v>
          </cell>
          <cell r="C18">
            <v>4</v>
          </cell>
          <cell r="D18">
            <v>4</v>
          </cell>
          <cell r="E18">
            <v>4</v>
          </cell>
          <cell r="F18">
            <v>4</v>
          </cell>
          <cell r="G18">
            <v>3</v>
          </cell>
          <cell r="I18">
            <v>15</v>
          </cell>
          <cell r="J18">
            <v>9</v>
          </cell>
          <cell r="K18">
            <v>5</v>
          </cell>
          <cell r="L18">
            <v>5</v>
          </cell>
          <cell r="M18">
            <v>4</v>
          </cell>
          <cell r="N18">
            <v>4</v>
          </cell>
          <cell r="O18">
            <v>4</v>
          </cell>
          <cell r="P18">
            <v>3</v>
          </cell>
          <cell r="Q18">
            <v>2</v>
          </cell>
          <cell r="T18">
            <v>1</v>
          </cell>
          <cell r="V18">
            <v>2</v>
          </cell>
          <cell r="AB18">
            <v>15</v>
          </cell>
          <cell r="AC18">
            <v>9</v>
          </cell>
          <cell r="AD18">
            <v>5</v>
          </cell>
          <cell r="AE18">
            <v>5</v>
          </cell>
          <cell r="AF18">
            <v>4</v>
          </cell>
          <cell r="AG18">
            <v>4</v>
          </cell>
          <cell r="AH18">
            <v>4</v>
          </cell>
          <cell r="AI18">
            <v>3</v>
          </cell>
          <cell r="AJ18">
            <v>2</v>
          </cell>
          <cell r="AM18">
            <v>2</v>
          </cell>
          <cell r="AN18">
            <v>5</v>
          </cell>
          <cell r="AO18">
            <v>2</v>
          </cell>
          <cell r="AS18">
            <v>15</v>
          </cell>
          <cell r="AT18">
            <v>3</v>
          </cell>
          <cell r="AU18">
            <v>3</v>
          </cell>
          <cell r="AV18">
            <v>3</v>
          </cell>
          <cell r="AW18">
            <v>3</v>
          </cell>
          <cell r="AX18">
            <v>3</v>
          </cell>
          <cell r="AY18">
            <v>3</v>
          </cell>
          <cell r="AZ18">
            <v>2</v>
          </cell>
          <cell r="BA18">
            <v>1</v>
          </cell>
          <cell r="BB18">
            <v>1</v>
          </cell>
        </row>
        <row r="19">
          <cell r="A19">
            <v>16</v>
          </cell>
          <cell r="B19">
            <v>6</v>
          </cell>
          <cell r="C19">
            <v>5</v>
          </cell>
          <cell r="D19">
            <v>4</v>
          </cell>
          <cell r="E19">
            <v>4</v>
          </cell>
          <cell r="F19">
            <v>4</v>
          </cell>
          <cell r="G19">
            <v>4</v>
          </cell>
          <cell r="H19">
            <v>2</v>
          </cell>
          <cell r="I19">
            <v>16</v>
          </cell>
          <cell r="J19">
            <v>9</v>
          </cell>
          <cell r="K19">
            <v>5</v>
          </cell>
          <cell r="L19">
            <v>5</v>
          </cell>
          <cell r="M19">
            <v>4</v>
          </cell>
          <cell r="N19">
            <v>4</v>
          </cell>
          <cell r="O19">
            <v>4</v>
          </cell>
          <cell r="P19">
            <v>3</v>
          </cell>
          <cell r="Q19">
            <v>2</v>
          </cell>
          <cell r="R19">
            <v>1</v>
          </cell>
          <cell r="T19">
            <v>2</v>
          </cell>
          <cell r="V19">
            <v>2</v>
          </cell>
          <cell r="W19" t="str">
            <v/>
          </cell>
          <cell r="AB19">
            <v>16</v>
          </cell>
          <cell r="AC19">
            <v>9</v>
          </cell>
          <cell r="AD19">
            <v>5</v>
          </cell>
          <cell r="AE19">
            <v>5</v>
          </cell>
          <cell r="AF19">
            <v>4</v>
          </cell>
          <cell r="AG19">
            <v>4</v>
          </cell>
          <cell r="AH19">
            <v>4</v>
          </cell>
          <cell r="AI19">
            <v>3</v>
          </cell>
          <cell r="AJ19">
            <v>2</v>
          </cell>
          <cell r="AK19">
            <v>1</v>
          </cell>
          <cell r="AM19">
            <v>3</v>
          </cell>
          <cell r="AN19">
            <v>5</v>
          </cell>
          <cell r="AO19">
            <v>3</v>
          </cell>
          <cell r="AP19">
            <v>1</v>
          </cell>
          <cell r="AS19">
            <v>16</v>
          </cell>
          <cell r="AT19">
            <v>3</v>
          </cell>
          <cell r="AU19">
            <v>3</v>
          </cell>
          <cell r="AV19">
            <v>3</v>
          </cell>
          <cell r="AW19">
            <v>3</v>
          </cell>
          <cell r="AX19">
            <v>3</v>
          </cell>
          <cell r="AY19">
            <v>3</v>
          </cell>
          <cell r="AZ19">
            <v>2</v>
          </cell>
          <cell r="BA19">
            <v>2</v>
          </cell>
          <cell r="BB19">
            <v>1</v>
          </cell>
        </row>
        <row r="20">
          <cell r="A20">
            <v>17</v>
          </cell>
          <cell r="B20">
            <v>6</v>
          </cell>
          <cell r="C20">
            <v>5</v>
          </cell>
          <cell r="D20">
            <v>5</v>
          </cell>
          <cell r="E20">
            <v>4</v>
          </cell>
          <cell r="F20">
            <v>4</v>
          </cell>
          <cell r="G20">
            <v>4</v>
          </cell>
          <cell r="H20">
            <v>3</v>
          </cell>
          <cell r="I20">
            <v>17</v>
          </cell>
          <cell r="J20">
            <v>9</v>
          </cell>
          <cell r="K20">
            <v>5</v>
          </cell>
          <cell r="L20">
            <v>5</v>
          </cell>
          <cell r="M20">
            <v>4</v>
          </cell>
          <cell r="N20">
            <v>4</v>
          </cell>
          <cell r="O20">
            <v>4</v>
          </cell>
          <cell r="P20">
            <v>3</v>
          </cell>
          <cell r="Q20">
            <v>3</v>
          </cell>
          <cell r="R20">
            <v>2</v>
          </cell>
          <cell r="T20">
            <v>3</v>
          </cell>
          <cell r="V20">
            <v>3</v>
          </cell>
          <cell r="W20">
            <v>1</v>
          </cell>
          <cell r="AB20">
            <v>17</v>
          </cell>
          <cell r="AC20">
            <v>9</v>
          </cell>
          <cell r="AD20">
            <v>5</v>
          </cell>
          <cell r="AE20">
            <v>5</v>
          </cell>
          <cell r="AF20">
            <v>4</v>
          </cell>
          <cell r="AG20">
            <v>4</v>
          </cell>
          <cell r="AH20">
            <v>4</v>
          </cell>
          <cell r="AI20">
            <v>3</v>
          </cell>
          <cell r="AJ20">
            <v>3</v>
          </cell>
          <cell r="AK20">
            <v>2</v>
          </cell>
          <cell r="AM20">
            <v>4</v>
          </cell>
          <cell r="AN20">
            <v>6</v>
          </cell>
          <cell r="AO20">
            <v>3</v>
          </cell>
          <cell r="AP20">
            <v>2</v>
          </cell>
          <cell r="AS20">
            <v>17</v>
          </cell>
          <cell r="AT20">
            <v>3</v>
          </cell>
          <cell r="AU20">
            <v>3</v>
          </cell>
          <cell r="AV20">
            <v>3</v>
          </cell>
          <cell r="AW20">
            <v>3</v>
          </cell>
          <cell r="AX20">
            <v>3</v>
          </cell>
          <cell r="AY20">
            <v>3</v>
          </cell>
          <cell r="AZ20">
            <v>3</v>
          </cell>
          <cell r="BA20">
            <v>2</v>
          </cell>
          <cell r="BB20">
            <v>1</v>
          </cell>
          <cell r="BC20">
            <v>1</v>
          </cell>
        </row>
        <row r="21">
          <cell r="A21">
            <v>18</v>
          </cell>
          <cell r="B21">
            <v>6</v>
          </cell>
          <cell r="C21">
            <v>5</v>
          </cell>
          <cell r="D21">
            <v>5</v>
          </cell>
          <cell r="E21">
            <v>5</v>
          </cell>
          <cell r="F21">
            <v>4</v>
          </cell>
          <cell r="G21">
            <v>4</v>
          </cell>
          <cell r="H21">
            <v>3</v>
          </cell>
          <cell r="I21">
            <v>18</v>
          </cell>
          <cell r="J21">
            <v>9</v>
          </cell>
          <cell r="K21">
            <v>5</v>
          </cell>
          <cell r="L21">
            <v>5</v>
          </cell>
          <cell r="M21">
            <v>4</v>
          </cell>
          <cell r="N21">
            <v>4</v>
          </cell>
          <cell r="O21">
            <v>4</v>
          </cell>
          <cell r="P21">
            <v>3</v>
          </cell>
          <cell r="Q21">
            <v>3</v>
          </cell>
          <cell r="R21">
            <v>2</v>
          </cell>
          <cell r="S21">
            <v>1</v>
          </cell>
          <cell r="T21">
            <v>4</v>
          </cell>
          <cell r="V21">
            <v>3</v>
          </cell>
          <cell r="W21">
            <v>2</v>
          </cell>
          <cell r="X21" t="str">
            <v/>
          </cell>
          <cell r="AB21">
            <v>18</v>
          </cell>
          <cell r="AC21">
            <v>9</v>
          </cell>
          <cell r="AD21">
            <v>5</v>
          </cell>
          <cell r="AE21">
            <v>5</v>
          </cell>
          <cell r="AF21">
            <v>4</v>
          </cell>
          <cell r="AG21">
            <v>4</v>
          </cell>
          <cell r="AH21">
            <v>4</v>
          </cell>
          <cell r="AI21">
            <v>3</v>
          </cell>
          <cell r="AJ21">
            <v>3</v>
          </cell>
          <cell r="AK21">
            <v>2</v>
          </cell>
          <cell r="AL21">
            <v>1</v>
          </cell>
          <cell r="AM21">
            <v>5</v>
          </cell>
          <cell r="AN21">
            <v>6</v>
          </cell>
          <cell r="AO21">
            <v>4</v>
          </cell>
          <cell r="AP21">
            <v>2</v>
          </cell>
          <cell r="AQ21">
            <v>1</v>
          </cell>
          <cell r="AS21">
            <v>18</v>
          </cell>
          <cell r="AT21">
            <v>3</v>
          </cell>
          <cell r="AU21">
            <v>3</v>
          </cell>
          <cell r="AV21">
            <v>3</v>
          </cell>
          <cell r="AW21">
            <v>3</v>
          </cell>
          <cell r="AX21">
            <v>3</v>
          </cell>
          <cell r="AY21">
            <v>3</v>
          </cell>
          <cell r="AZ21">
            <v>3</v>
          </cell>
          <cell r="BA21">
            <v>2</v>
          </cell>
          <cell r="BB21">
            <v>2</v>
          </cell>
          <cell r="BC21">
            <v>1</v>
          </cell>
        </row>
        <row r="22">
          <cell r="A22">
            <v>19</v>
          </cell>
          <cell r="B22">
            <v>6</v>
          </cell>
          <cell r="C22">
            <v>5</v>
          </cell>
          <cell r="D22">
            <v>5</v>
          </cell>
          <cell r="E22">
            <v>5</v>
          </cell>
          <cell r="F22">
            <v>5</v>
          </cell>
          <cell r="G22">
            <v>4</v>
          </cell>
          <cell r="H22">
            <v>4</v>
          </cell>
          <cell r="I22">
            <v>19</v>
          </cell>
          <cell r="J22">
            <v>9</v>
          </cell>
          <cell r="K22">
            <v>5</v>
          </cell>
          <cell r="L22">
            <v>5</v>
          </cell>
          <cell r="M22">
            <v>4</v>
          </cell>
          <cell r="N22">
            <v>4</v>
          </cell>
          <cell r="O22">
            <v>4</v>
          </cell>
          <cell r="P22">
            <v>3</v>
          </cell>
          <cell r="Q22">
            <v>3</v>
          </cell>
          <cell r="R22">
            <v>3</v>
          </cell>
          <cell r="S22">
            <v>2</v>
          </cell>
          <cell r="T22">
            <v>5</v>
          </cell>
          <cell r="V22">
            <v>4</v>
          </cell>
          <cell r="W22">
            <v>2</v>
          </cell>
          <cell r="X22">
            <v>1</v>
          </cell>
          <cell r="AB22">
            <v>19</v>
          </cell>
          <cell r="AC22">
            <v>9</v>
          </cell>
          <cell r="AD22">
            <v>5</v>
          </cell>
          <cell r="AE22">
            <v>5</v>
          </cell>
          <cell r="AF22">
            <v>4</v>
          </cell>
          <cell r="AG22">
            <v>4</v>
          </cell>
          <cell r="AH22">
            <v>4</v>
          </cell>
          <cell r="AI22">
            <v>3</v>
          </cell>
          <cell r="AJ22">
            <v>3</v>
          </cell>
          <cell r="AK22">
            <v>3</v>
          </cell>
          <cell r="AL22">
            <v>2</v>
          </cell>
          <cell r="AM22">
            <v>6</v>
          </cell>
          <cell r="AN22">
            <v>7</v>
          </cell>
          <cell r="AO22">
            <v>4</v>
          </cell>
          <cell r="AP22">
            <v>3</v>
          </cell>
          <cell r="AQ22">
            <v>2</v>
          </cell>
          <cell r="AS22">
            <v>19</v>
          </cell>
          <cell r="AT22">
            <v>3</v>
          </cell>
          <cell r="AU22">
            <v>3</v>
          </cell>
          <cell r="AV22">
            <v>3</v>
          </cell>
          <cell r="AW22">
            <v>3</v>
          </cell>
          <cell r="AX22">
            <v>3</v>
          </cell>
          <cell r="AY22">
            <v>3</v>
          </cell>
          <cell r="AZ22">
            <v>3</v>
          </cell>
          <cell r="BA22">
            <v>3</v>
          </cell>
          <cell r="BB22">
            <v>2</v>
          </cell>
          <cell r="BC22">
            <v>2</v>
          </cell>
        </row>
        <row r="23">
          <cell r="A23">
            <v>20</v>
          </cell>
          <cell r="B23">
            <v>6</v>
          </cell>
          <cell r="C23">
            <v>5</v>
          </cell>
          <cell r="D23">
            <v>5</v>
          </cell>
          <cell r="E23">
            <v>5</v>
          </cell>
          <cell r="F23">
            <v>5</v>
          </cell>
          <cell r="G23">
            <v>5</v>
          </cell>
          <cell r="H23">
            <v>4</v>
          </cell>
          <cell r="I23">
            <v>20</v>
          </cell>
          <cell r="J23">
            <v>9</v>
          </cell>
          <cell r="K23">
            <v>5</v>
          </cell>
          <cell r="L23">
            <v>5</v>
          </cell>
          <cell r="M23">
            <v>4</v>
          </cell>
          <cell r="N23">
            <v>4</v>
          </cell>
          <cell r="O23">
            <v>4</v>
          </cell>
          <cell r="P23">
            <v>3</v>
          </cell>
          <cell r="Q23">
            <v>3</v>
          </cell>
          <cell r="R23">
            <v>3</v>
          </cell>
          <cell r="S23">
            <v>3</v>
          </cell>
          <cell r="AB23">
            <v>20</v>
          </cell>
          <cell r="AC23">
            <v>9</v>
          </cell>
          <cell r="AD23">
            <v>5</v>
          </cell>
          <cell r="AE23">
            <v>5</v>
          </cell>
          <cell r="AF23">
            <v>4</v>
          </cell>
          <cell r="AG23">
            <v>4</v>
          </cell>
          <cell r="AH23">
            <v>4</v>
          </cell>
          <cell r="AI23">
            <v>3</v>
          </cell>
          <cell r="AJ23">
            <v>3</v>
          </cell>
          <cell r="AK23">
            <v>3</v>
          </cell>
          <cell r="AL23">
            <v>3</v>
          </cell>
          <cell r="AM23">
            <v>7</v>
          </cell>
          <cell r="AN23">
            <v>7</v>
          </cell>
          <cell r="AO23">
            <v>5</v>
          </cell>
          <cell r="AP23">
            <v>3</v>
          </cell>
          <cell r="AQ23">
            <v>2</v>
          </cell>
          <cell r="AR23">
            <v>1</v>
          </cell>
          <cell r="AS23">
            <v>20</v>
          </cell>
          <cell r="AT23">
            <v>3</v>
          </cell>
          <cell r="AU23">
            <v>3</v>
          </cell>
          <cell r="AV23">
            <v>3</v>
          </cell>
          <cell r="AW23">
            <v>3</v>
          </cell>
          <cell r="AX23">
            <v>3</v>
          </cell>
          <cell r="AY23">
            <v>3</v>
          </cell>
          <cell r="AZ23">
            <v>3</v>
          </cell>
          <cell r="BA23">
            <v>3</v>
          </cell>
          <cell r="BB23">
            <v>3</v>
          </cell>
          <cell r="BC23">
            <v>2</v>
          </cell>
        </row>
        <row r="24">
          <cell r="AM24">
            <v>8</v>
          </cell>
          <cell r="AN24">
            <v>8</v>
          </cell>
          <cell r="AO24">
            <v>5</v>
          </cell>
          <cell r="AP24">
            <v>4</v>
          </cell>
          <cell r="AQ24">
            <v>3</v>
          </cell>
          <cell r="AR24">
            <v>2</v>
          </cell>
        </row>
        <row r="25">
          <cell r="AC25">
            <v>0</v>
          </cell>
          <cell r="AD25">
            <v>1</v>
          </cell>
          <cell r="AE25">
            <v>2</v>
          </cell>
          <cell r="AF25">
            <v>3</v>
          </cell>
          <cell r="AG25">
            <v>4</v>
          </cell>
          <cell r="AH25">
            <v>5</v>
          </cell>
          <cell r="AI25">
            <v>6</v>
          </cell>
          <cell r="AM25">
            <v>9</v>
          </cell>
          <cell r="AN25">
            <v>8</v>
          </cell>
          <cell r="AO25">
            <v>5</v>
          </cell>
          <cell r="AP25">
            <v>4</v>
          </cell>
          <cell r="AQ25">
            <v>3</v>
          </cell>
          <cell r="AR25">
            <v>2</v>
          </cell>
          <cell r="AS25">
            <v>0</v>
          </cell>
        </row>
        <row r="26">
          <cell r="A26">
            <v>0</v>
          </cell>
          <cell r="I26">
            <v>0</v>
          </cell>
          <cell r="T26">
            <v>0</v>
          </cell>
          <cell r="AB26">
            <v>0</v>
          </cell>
          <cell r="AM26">
            <v>10</v>
          </cell>
          <cell r="AN26">
            <v>9</v>
          </cell>
          <cell r="AO26">
            <v>5</v>
          </cell>
          <cell r="AP26">
            <v>5</v>
          </cell>
          <cell r="AQ26">
            <v>4</v>
          </cell>
          <cell r="AR26">
            <v>3</v>
          </cell>
          <cell r="AS26">
            <v>1</v>
          </cell>
          <cell r="AU26">
            <v>2</v>
          </cell>
        </row>
        <row r="27">
          <cell r="A27">
            <v>1</v>
          </cell>
          <cell r="I27">
            <v>1</v>
          </cell>
          <cell r="J27">
            <v>4</v>
          </cell>
          <cell r="K27">
            <v>3</v>
          </cell>
          <cell r="T27">
            <v>1</v>
          </cell>
          <cell r="V27">
            <v>2</v>
          </cell>
          <cell r="AB27">
            <v>1</v>
          </cell>
          <cell r="AD27">
            <v>2</v>
          </cell>
          <cell r="AS27">
            <v>2</v>
          </cell>
          <cell r="AU27">
            <v>3</v>
          </cell>
        </row>
        <row r="28">
          <cell r="A28">
            <v>2</v>
          </cell>
          <cell r="I28">
            <v>2</v>
          </cell>
          <cell r="J28">
            <v>5</v>
          </cell>
          <cell r="K28">
            <v>3</v>
          </cell>
          <cell r="T28">
            <v>2</v>
          </cell>
          <cell r="V28">
            <v>3</v>
          </cell>
          <cell r="W28" t="str">
            <v/>
          </cell>
          <cell r="AB28">
            <v>2</v>
          </cell>
          <cell r="AD28">
            <v>2</v>
          </cell>
          <cell r="AS28">
            <v>3</v>
          </cell>
          <cell r="AU28">
            <v>3</v>
          </cell>
          <cell r="AV28">
            <v>2</v>
          </cell>
        </row>
        <row r="29">
          <cell r="A29">
            <v>3</v>
          </cell>
          <cell r="I29">
            <v>3</v>
          </cell>
          <cell r="J29">
            <v>5</v>
          </cell>
          <cell r="K29">
            <v>4</v>
          </cell>
          <cell r="T29">
            <v>3</v>
          </cell>
          <cell r="V29">
            <v>3</v>
          </cell>
          <cell r="W29">
            <v>2</v>
          </cell>
          <cell r="AB29">
            <v>3</v>
          </cell>
          <cell r="AD29">
            <v>3</v>
          </cell>
          <cell r="AE29">
            <v>2</v>
          </cell>
          <cell r="AM29">
            <v>0</v>
          </cell>
          <cell r="AS29">
            <v>4</v>
          </cell>
          <cell r="AU29">
            <v>4</v>
          </cell>
          <cell r="AV29">
            <v>3</v>
          </cell>
        </row>
        <row r="30">
          <cell r="A30">
            <v>4</v>
          </cell>
          <cell r="C30">
            <v>2</v>
          </cell>
          <cell r="I30">
            <v>4</v>
          </cell>
          <cell r="J30">
            <v>6</v>
          </cell>
          <cell r="K30">
            <v>4</v>
          </cell>
          <cell r="L30">
            <v>3</v>
          </cell>
          <cell r="T30">
            <v>4</v>
          </cell>
          <cell r="V30">
            <v>4</v>
          </cell>
          <cell r="W30">
            <v>3</v>
          </cell>
          <cell r="X30" t="str">
            <v/>
          </cell>
          <cell r="AB30">
            <v>4</v>
          </cell>
          <cell r="AD30">
            <v>3</v>
          </cell>
          <cell r="AE30">
            <v>2</v>
          </cell>
          <cell r="AM30">
            <v>1</v>
          </cell>
          <cell r="AS30">
            <v>5</v>
          </cell>
          <cell r="AU30">
            <v>4</v>
          </cell>
          <cell r="AV30">
            <v>3</v>
          </cell>
          <cell r="AW30">
            <v>2</v>
          </cell>
        </row>
        <row r="31">
          <cell r="A31">
            <v>5</v>
          </cell>
          <cell r="C31">
            <v>2</v>
          </cell>
          <cell r="I31">
            <v>5</v>
          </cell>
          <cell r="J31">
            <v>6</v>
          </cell>
          <cell r="K31">
            <v>5</v>
          </cell>
          <cell r="L31">
            <v>3</v>
          </cell>
          <cell r="T31">
            <v>5</v>
          </cell>
          <cell r="V31">
            <v>4</v>
          </cell>
          <cell r="W31">
            <v>3</v>
          </cell>
          <cell r="X31">
            <v>2</v>
          </cell>
          <cell r="AB31">
            <v>5</v>
          </cell>
          <cell r="AD31">
            <v>4</v>
          </cell>
          <cell r="AE31">
            <v>3</v>
          </cell>
          <cell r="AF31">
            <v>2</v>
          </cell>
          <cell r="AM31">
            <v>2</v>
          </cell>
          <cell r="AS31">
            <v>6</v>
          </cell>
          <cell r="AU31">
            <v>4</v>
          </cell>
          <cell r="AV31">
            <v>4</v>
          </cell>
          <cell r="AW31">
            <v>3</v>
          </cell>
        </row>
        <row r="32">
          <cell r="A32">
            <v>6</v>
          </cell>
          <cell r="C32">
            <v>3</v>
          </cell>
          <cell r="I32">
            <v>6</v>
          </cell>
          <cell r="J32">
            <v>7</v>
          </cell>
          <cell r="K32">
            <v>5</v>
          </cell>
          <cell r="L32">
            <v>4</v>
          </cell>
          <cell r="M32">
            <v>3</v>
          </cell>
          <cell r="T32">
            <v>6</v>
          </cell>
          <cell r="V32">
            <v>4</v>
          </cell>
          <cell r="W32">
            <v>4</v>
          </cell>
          <cell r="X32">
            <v>3</v>
          </cell>
          <cell r="AB32">
            <v>6</v>
          </cell>
          <cell r="AD32">
            <v>4</v>
          </cell>
          <cell r="AE32">
            <v>3</v>
          </cell>
          <cell r="AF32">
            <v>2</v>
          </cell>
          <cell r="AG32">
            <v>2</v>
          </cell>
          <cell r="AM32">
            <v>3</v>
          </cell>
          <cell r="AS32">
            <v>7</v>
          </cell>
          <cell r="AU32">
            <v>4</v>
          </cell>
          <cell r="AV32">
            <v>4</v>
          </cell>
          <cell r="AW32">
            <v>3</v>
          </cell>
          <cell r="AX32">
            <v>2</v>
          </cell>
        </row>
        <row r="33">
          <cell r="A33">
            <v>7</v>
          </cell>
          <cell r="C33">
            <v>3</v>
          </cell>
          <cell r="I33">
            <v>7</v>
          </cell>
          <cell r="J33">
            <v>7</v>
          </cell>
          <cell r="K33">
            <v>6</v>
          </cell>
          <cell r="L33">
            <v>4</v>
          </cell>
          <cell r="M33">
            <v>3</v>
          </cell>
          <cell r="T33">
            <v>7</v>
          </cell>
          <cell r="V33">
            <v>4</v>
          </cell>
          <cell r="W33">
            <v>4</v>
          </cell>
          <cell r="X33">
            <v>3</v>
          </cell>
          <cell r="Y33">
            <v>2</v>
          </cell>
          <cell r="AB33">
            <v>7</v>
          </cell>
          <cell r="AD33">
            <v>4</v>
          </cell>
          <cell r="AE33">
            <v>4</v>
          </cell>
          <cell r="AF33">
            <v>3</v>
          </cell>
          <cell r="AG33">
            <v>2</v>
          </cell>
          <cell r="AH33">
            <v>2</v>
          </cell>
          <cell r="AM33">
            <v>4</v>
          </cell>
          <cell r="AO33">
            <v>2</v>
          </cell>
          <cell r="AS33">
            <v>8</v>
          </cell>
          <cell r="AU33">
            <v>4</v>
          </cell>
          <cell r="AV33">
            <v>4</v>
          </cell>
          <cell r="AW33">
            <v>4</v>
          </cell>
          <cell r="AX33">
            <v>3</v>
          </cell>
        </row>
        <row r="34">
          <cell r="A34">
            <v>8</v>
          </cell>
          <cell r="C34">
            <v>4</v>
          </cell>
          <cell r="D34">
            <v>2</v>
          </cell>
          <cell r="I34">
            <v>8</v>
          </cell>
          <cell r="J34">
            <v>8</v>
          </cell>
          <cell r="K34">
            <v>6</v>
          </cell>
          <cell r="L34">
            <v>5</v>
          </cell>
          <cell r="M34">
            <v>4</v>
          </cell>
          <cell r="N34">
            <v>3</v>
          </cell>
          <cell r="T34">
            <v>8</v>
          </cell>
          <cell r="V34">
            <v>4</v>
          </cell>
          <cell r="W34">
            <v>4</v>
          </cell>
          <cell r="X34">
            <v>4</v>
          </cell>
          <cell r="Y34">
            <v>3</v>
          </cell>
          <cell r="AB34">
            <v>8</v>
          </cell>
          <cell r="AD34">
            <v>4</v>
          </cell>
          <cell r="AE34">
            <v>4</v>
          </cell>
          <cell r="AF34">
            <v>3</v>
          </cell>
          <cell r="AG34">
            <v>3</v>
          </cell>
          <cell r="AH34">
            <v>2</v>
          </cell>
          <cell r="AI34">
            <v>2</v>
          </cell>
          <cell r="AM34">
            <v>5</v>
          </cell>
          <cell r="AO34">
            <v>2</v>
          </cell>
          <cell r="AS34">
            <v>9</v>
          </cell>
          <cell r="AU34">
            <v>4</v>
          </cell>
          <cell r="AV34">
            <v>4</v>
          </cell>
          <cell r="AW34">
            <v>4</v>
          </cell>
          <cell r="AX34">
            <v>3</v>
          </cell>
        </row>
        <row r="35">
          <cell r="A35">
            <v>9</v>
          </cell>
          <cell r="C35">
            <v>4</v>
          </cell>
          <cell r="D35">
            <v>2</v>
          </cell>
          <cell r="I35">
            <v>9</v>
          </cell>
          <cell r="J35">
            <v>8</v>
          </cell>
          <cell r="K35">
            <v>6</v>
          </cell>
          <cell r="L35">
            <v>5</v>
          </cell>
          <cell r="M35">
            <v>4</v>
          </cell>
          <cell r="N35">
            <v>3</v>
          </cell>
          <cell r="T35">
            <v>9</v>
          </cell>
          <cell r="V35">
            <v>4</v>
          </cell>
          <cell r="W35">
            <v>4</v>
          </cell>
          <cell r="X35">
            <v>4</v>
          </cell>
          <cell r="Y35">
            <v>3</v>
          </cell>
          <cell r="AB35">
            <v>9</v>
          </cell>
          <cell r="AD35">
            <v>4</v>
          </cell>
          <cell r="AE35">
            <v>4</v>
          </cell>
          <cell r="AF35">
            <v>4</v>
          </cell>
          <cell r="AG35">
            <v>3</v>
          </cell>
          <cell r="AH35">
            <v>3</v>
          </cell>
          <cell r="AI35">
            <v>2</v>
          </cell>
          <cell r="AM35">
            <v>6</v>
          </cell>
          <cell r="AO35">
            <v>3</v>
          </cell>
          <cell r="AS35">
            <v>10</v>
          </cell>
          <cell r="AU35">
            <v>4</v>
          </cell>
          <cell r="AV35">
            <v>4</v>
          </cell>
          <cell r="AW35">
            <v>4</v>
          </cell>
          <cell r="AX35">
            <v>4</v>
          </cell>
        </row>
        <row r="36">
          <cell r="A36">
            <v>10</v>
          </cell>
          <cell r="C36">
            <v>4</v>
          </cell>
          <cell r="D36">
            <v>3</v>
          </cell>
          <cell r="I36">
            <v>10</v>
          </cell>
          <cell r="J36">
            <v>9</v>
          </cell>
          <cell r="K36">
            <v>6</v>
          </cell>
          <cell r="L36">
            <v>6</v>
          </cell>
          <cell r="M36">
            <v>5</v>
          </cell>
          <cell r="N36">
            <v>4</v>
          </cell>
          <cell r="O36">
            <v>3</v>
          </cell>
          <cell r="T36">
            <v>10</v>
          </cell>
          <cell r="V36">
            <v>4</v>
          </cell>
          <cell r="W36">
            <v>4</v>
          </cell>
          <cell r="X36">
            <v>4</v>
          </cell>
          <cell r="Y36">
            <v>4</v>
          </cell>
          <cell r="AB36">
            <v>10</v>
          </cell>
          <cell r="AD36">
            <v>4</v>
          </cell>
          <cell r="AE36">
            <v>4</v>
          </cell>
          <cell r="AF36">
            <v>4</v>
          </cell>
          <cell r="AG36">
            <v>3</v>
          </cell>
          <cell r="AH36">
            <v>3</v>
          </cell>
          <cell r="AI36">
            <v>3</v>
          </cell>
          <cell r="AM36">
            <v>7</v>
          </cell>
          <cell r="AO36">
            <v>3</v>
          </cell>
        </row>
        <row r="37">
          <cell r="A37">
            <v>11</v>
          </cell>
          <cell r="C37">
            <v>4</v>
          </cell>
          <cell r="D37">
            <v>3</v>
          </cell>
          <cell r="E37">
            <v>2</v>
          </cell>
          <cell r="I37">
            <v>11</v>
          </cell>
          <cell r="J37">
            <v>9</v>
          </cell>
          <cell r="K37">
            <v>6</v>
          </cell>
          <cell r="L37">
            <v>6</v>
          </cell>
          <cell r="M37">
            <v>5</v>
          </cell>
          <cell r="N37">
            <v>4</v>
          </cell>
          <cell r="O37">
            <v>3</v>
          </cell>
          <cell r="AM37">
            <v>8</v>
          </cell>
          <cell r="AO37">
            <v>4</v>
          </cell>
          <cell r="AP37">
            <v>2</v>
          </cell>
        </row>
        <row r="38">
          <cell r="A38">
            <v>12</v>
          </cell>
          <cell r="C38">
            <v>4</v>
          </cell>
          <cell r="D38">
            <v>4</v>
          </cell>
          <cell r="E38">
            <v>3</v>
          </cell>
          <cell r="I38">
            <v>12</v>
          </cell>
          <cell r="J38">
            <v>9</v>
          </cell>
          <cell r="K38">
            <v>6</v>
          </cell>
          <cell r="L38">
            <v>6</v>
          </cell>
          <cell r="M38">
            <v>6</v>
          </cell>
          <cell r="N38">
            <v>5</v>
          </cell>
          <cell r="O38">
            <v>4</v>
          </cell>
          <cell r="P38">
            <v>3</v>
          </cell>
          <cell r="AM38">
            <v>9</v>
          </cell>
          <cell r="AO38">
            <v>4</v>
          </cell>
          <cell r="AP38">
            <v>2</v>
          </cell>
        </row>
        <row r="39">
          <cell r="A39">
            <v>13</v>
          </cell>
          <cell r="C39">
            <v>4</v>
          </cell>
          <cell r="D39">
            <v>4</v>
          </cell>
          <cell r="E39">
            <v>3</v>
          </cell>
          <cell r="I39">
            <v>13</v>
          </cell>
          <cell r="J39">
            <v>9</v>
          </cell>
          <cell r="K39">
            <v>6</v>
          </cell>
          <cell r="L39">
            <v>6</v>
          </cell>
          <cell r="M39">
            <v>6</v>
          </cell>
          <cell r="N39">
            <v>5</v>
          </cell>
          <cell r="O39">
            <v>4</v>
          </cell>
          <cell r="P39">
            <v>3</v>
          </cell>
          <cell r="AM39">
            <v>10</v>
          </cell>
          <cell r="AO39">
            <v>4</v>
          </cell>
          <cell r="AP39">
            <v>3</v>
          </cell>
        </row>
        <row r="40">
          <cell r="A40">
            <v>14</v>
          </cell>
          <cell r="C40">
            <v>4</v>
          </cell>
          <cell r="D40">
            <v>4</v>
          </cell>
          <cell r="E40">
            <v>4</v>
          </cell>
          <cell r="F40">
            <v>2</v>
          </cell>
          <cell r="I40">
            <v>14</v>
          </cell>
          <cell r="J40">
            <v>9</v>
          </cell>
          <cell r="K40">
            <v>6</v>
          </cell>
          <cell r="L40">
            <v>6</v>
          </cell>
          <cell r="M40">
            <v>6</v>
          </cell>
          <cell r="N40">
            <v>6</v>
          </cell>
          <cell r="O40">
            <v>5</v>
          </cell>
          <cell r="P40">
            <v>4</v>
          </cell>
          <cell r="Q40">
            <v>3</v>
          </cell>
          <cell r="T40">
            <v>0</v>
          </cell>
          <cell r="AM40">
            <v>11</v>
          </cell>
          <cell r="AO40">
            <v>4</v>
          </cell>
          <cell r="AP40">
            <v>3</v>
          </cell>
          <cell r="AQ40">
            <v>2</v>
          </cell>
        </row>
        <row r="41">
          <cell r="A41">
            <v>15</v>
          </cell>
          <cell r="C41">
            <v>4</v>
          </cell>
          <cell r="D41">
            <v>4</v>
          </cell>
          <cell r="E41">
            <v>4</v>
          </cell>
          <cell r="F41">
            <v>3</v>
          </cell>
          <cell r="I41">
            <v>15</v>
          </cell>
          <cell r="J41">
            <v>9</v>
          </cell>
          <cell r="K41">
            <v>6</v>
          </cell>
          <cell r="L41">
            <v>6</v>
          </cell>
          <cell r="M41">
            <v>6</v>
          </cell>
          <cell r="N41">
            <v>6</v>
          </cell>
          <cell r="O41">
            <v>5</v>
          </cell>
          <cell r="P41">
            <v>4</v>
          </cell>
          <cell r="Q41">
            <v>3</v>
          </cell>
          <cell r="T41">
            <v>1</v>
          </cell>
          <cell r="V41">
            <v>2</v>
          </cell>
          <cell r="AM41">
            <v>12</v>
          </cell>
          <cell r="AO41">
            <v>4</v>
          </cell>
          <cell r="AP41">
            <v>4</v>
          </cell>
          <cell r="AQ41">
            <v>3</v>
          </cell>
        </row>
        <row r="42">
          <cell r="A42">
            <v>16</v>
          </cell>
          <cell r="C42">
            <v>4</v>
          </cell>
          <cell r="D42">
            <v>4</v>
          </cell>
          <cell r="E42">
            <v>4</v>
          </cell>
          <cell r="F42">
            <v>3</v>
          </cell>
          <cell r="I42">
            <v>16</v>
          </cell>
          <cell r="J42">
            <v>9</v>
          </cell>
          <cell r="K42">
            <v>6</v>
          </cell>
          <cell r="L42">
            <v>6</v>
          </cell>
          <cell r="M42">
            <v>6</v>
          </cell>
          <cell r="N42">
            <v>6</v>
          </cell>
          <cell r="O42">
            <v>6</v>
          </cell>
          <cell r="P42">
            <v>5</v>
          </cell>
          <cell r="Q42">
            <v>4</v>
          </cell>
          <cell r="R42">
            <v>3</v>
          </cell>
          <cell r="T42">
            <v>2</v>
          </cell>
          <cell r="V42">
            <v>2</v>
          </cell>
          <cell r="AM42">
            <v>13</v>
          </cell>
          <cell r="AO42">
            <v>4</v>
          </cell>
          <cell r="AP42">
            <v>4</v>
          </cell>
          <cell r="AQ42">
            <v>3</v>
          </cell>
        </row>
        <row r="43">
          <cell r="A43">
            <v>17</v>
          </cell>
          <cell r="C43">
            <v>5</v>
          </cell>
          <cell r="D43">
            <v>4</v>
          </cell>
          <cell r="E43">
            <v>4</v>
          </cell>
          <cell r="F43">
            <v>4</v>
          </cell>
          <cell r="I43">
            <v>17</v>
          </cell>
          <cell r="J43">
            <v>9</v>
          </cell>
          <cell r="K43">
            <v>6</v>
          </cell>
          <cell r="L43">
            <v>6</v>
          </cell>
          <cell r="M43">
            <v>6</v>
          </cell>
          <cell r="N43">
            <v>6</v>
          </cell>
          <cell r="O43">
            <v>6</v>
          </cell>
          <cell r="P43">
            <v>5</v>
          </cell>
          <cell r="Q43">
            <v>4</v>
          </cell>
          <cell r="R43">
            <v>3</v>
          </cell>
          <cell r="T43">
            <v>3</v>
          </cell>
          <cell r="V43">
            <v>3</v>
          </cell>
          <cell r="W43">
            <v>1</v>
          </cell>
          <cell r="AM43">
            <v>14</v>
          </cell>
          <cell r="AO43">
            <v>4</v>
          </cell>
          <cell r="AP43">
            <v>4</v>
          </cell>
          <cell r="AQ43">
            <v>4</v>
          </cell>
          <cell r="AR43">
            <v>2</v>
          </cell>
        </row>
        <row r="44">
          <cell r="A44">
            <v>18</v>
          </cell>
          <cell r="C44">
            <v>5</v>
          </cell>
          <cell r="D44">
            <v>5</v>
          </cell>
          <cell r="E44">
            <v>4</v>
          </cell>
          <cell r="F44">
            <v>4</v>
          </cell>
          <cell r="I44">
            <v>18</v>
          </cell>
          <cell r="J44">
            <v>9</v>
          </cell>
          <cell r="K44">
            <v>6</v>
          </cell>
          <cell r="L44">
            <v>6</v>
          </cell>
          <cell r="M44">
            <v>6</v>
          </cell>
          <cell r="N44">
            <v>6</v>
          </cell>
          <cell r="O44">
            <v>6</v>
          </cell>
          <cell r="P44">
            <v>6</v>
          </cell>
          <cell r="Q44">
            <v>5</v>
          </cell>
          <cell r="R44">
            <v>4</v>
          </cell>
          <cell r="S44">
            <v>3</v>
          </cell>
          <cell r="T44">
            <v>4</v>
          </cell>
          <cell r="V44">
            <v>3</v>
          </cell>
          <cell r="W44">
            <v>2</v>
          </cell>
          <cell r="AM44">
            <v>15</v>
          </cell>
          <cell r="AO44">
            <v>4</v>
          </cell>
          <cell r="AP44">
            <v>4</v>
          </cell>
          <cell r="AQ44">
            <v>4</v>
          </cell>
          <cell r="AR44">
            <v>3</v>
          </cell>
        </row>
        <row r="45">
          <cell r="A45">
            <v>19</v>
          </cell>
          <cell r="C45">
            <v>5</v>
          </cell>
          <cell r="D45">
            <v>5</v>
          </cell>
          <cell r="E45">
            <v>5</v>
          </cell>
          <cell r="F45">
            <v>4</v>
          </cell>
          <cell r="I45">
            <v>19</v>
          </cell>
          <cell r="J45">
            <v>9</v>
          </cell>
          <cell r="K45">
            <v>6</v>
          </cell>
          <cell r="L45">
            <v>6</v>
          </cell>
          <cell r="M45">
            <v>6</v>
          </cell>
          <cell r="N45">
            <v>6</v>
          </cell>
          <cell r="O45">
            <v>6</v>
          </cell>
          <cell r="P45">
            <v>6</v>
          </cell>
          <cell r="Q45">
            <v>5</v>
          </cell>
          <cell r="R45">
            <v>4</v>
          </cell>
          <cell r="S45">
            <v>3</v>
          </cell>
          <cell r="T45">
            <v>5</v>
          </cell>
          <cell r="V45">
            <v>4</v>
          </cell>
          <cell r="W45">
            <v>2</v>
          </cell>
          <cell r="X45">
            <v>1</v>
          </cell>
          <cell r="AM45">
            <v>16</v>
          </cell>
          <cell r="AO45">
            <v>4</v>
          </cell>
          <cell r="AP45">
            <v>4</v>
          </cell>
          <cell r="AQ45">
            <v>4</v>
          </cell>
          <cell r="AR45">
            <v>3</v>
          </cell>
        </row>
        <row r="46">
          <cell r="A46">
            <v>20</v>
          </cell>
          <cell r="C46">
            <v>5</v>
          </cell>
          <cell r="D46">
            <v>5</v>
          </cell>
          <cell r="E46">
            <v>5</v>
          </cell>
          <cell r="F46">
            <v>5</v>
          </cell>
          <cell r="I46">
            <v>20</v>
          </cell>
          <cell r="J46">
            <v>9</v>
          </cell>
          <cell r="K46">
            <v>6</v>
          </cell>
          <cell r="L46">
            <v>6</v>
          </cell>
          <cell r="M46">
            <v>6</v>
          </cell>
          <cell r="N46">
            <v>6</v>
          </cell>
          <cell r="O46">
            <v>6</v>
          </cell>
          <cell r="P46">
            <v>6</v>
          </cell>
          <cell r="Q46">
            <v>6</v>
          </cell>
          <cell r="R46">
            <v>5</v>
          </cell>
          <cell r="S46">
            <v>4</v>
          </cell>
          <cell r="AM46">
            <v>17</v>
          </cell>
          <cell r="AO46">
            <v>5</v>
          </cell>
          <cell r="AP46">
            <v>4</v>
          </cell>
          <cell r="AQ46">
            <v>4</v>
          </cell>
          <cell r="AR46">
            <v>4</v>
          </cell>
        </row>
        <row r="47">
          <cell r="AM47">
            <v>18</v>
          </cell>
          <cell r="AO47">
            <v>5</v>
          </cell>
          <cell r="AP47">
            <v>5</v>
          </cell>
          <cell r="AQ47">
            <v>4</v>
          </cell>
          <cell r="AR47">
            <v>4</v>
          </cell>
        </row>
        <row r="48">
          <cell r="AM48">
            <v>19</v>
          </cell>
          <cell r="AO48">
            <v>5</v>
          </cell>
          <cell r="AP48">
            <v>5</v>
          </cell>
          <cell r="AQ48">
            <v>5</v>
          </cell>
          <cell r="AR48">
            <v>4</v>
          </cell>
        </row>
        <row r="49">
          <cell r="I49">
            <v>0</v>
          </cell>
          <cell r="T49">
            <v>0</v>
          </cell>
          <cell r="AM49">
            <v>20</v>
          </cell>
          <cell r="AO49">
            <v>5</v>
          </cell>
          <cell r="AP49">
            <v>5</v>
          </cell>
          <cell r="AQ49">
            <v>5</v>
          </cell>
          <cell r="AR49">
            <v>5</v>
          </cell>
        </row>
        <row r="50">
          <cell r="I50">
            <v>1</v>
          </cell>
          <cell r="N50">
            <v>3</v>
          </cell>
          <cell r="O50">
            <v>1</v>
          </cell>
          <cell r="T50">
            <v>1</v>
          </cell>
          <cell r="V50">
            <v>1</v>
          </cell>
        </row>
        <row r="51">
          <cell r="I51">
            <v>2</v>
          </cell>
          <cell r="N51">
            <v>4</v>
          </cell>
          <cell r="O51">
            <v>2</v>
          </cell>
          <cell r="T51">
            <v>2</v>
          </cell>
          <cell r="V51">
            <v>2</v>
          </cell>
          <cell r="W51">
            <v>1</v>
          </cell>
        </row>
        <row r="52">
          <cell r="I52">
            <v>3</v>
          </cell>
          <cell r="N52">
            <v>4</v>
          </cell>
          <cell r="O52">
            <v>2</v>
          </cell>
          <cell r="P52">
            <v>1</v>
          </cell>
          <cell r="T52">
            <v>3</v>
          </cell>
          <cell r="V52">
            <v>2</v>
          </cell>
          <cell r="W52">
            <v>2</v>
          </cell>
          <cell r="AM52">
            <v>0</v>
          </cell>
        </row>
        <row r="53">
          <cell r="I53">
            <v>4</v>
          </cell>
          <cell r="N53">
            <v>4</v>
          </cell>
          <cell r="O53">
            <v>3</v>
          </cell>
          <cell r="P53">
            <v>2</v>
          </cell>
          <cell r="T53">
            <v>4</v>
          </cell>
          <cell r="V53">
            <v>2</v>
          </cell>
          <cell r="W53">
            <v>2</v>
          </cell>
          <cell r="X53">
            <v>1</v>
          </cell>
          <cell r="AM53">
            <v>1</v>
          </cell>
          <cell r="AO53">
            <v>1</v>
          </cell>
        </row>
        <row r="54">
          <cell r="I54">
            <v>5</v>
          </cell>
          <cell r="N54">
            <v>4</v>
          </cell>
          <cell r="O54">
            <v>3</v>
          </cell>
          <cell r="P54">
            <v>2</v>
          </cell>
          <cell r="Q54">
            <v>1</v>
          </cell>
          <cell r="T54">
            <v>5</v>
          </cell>
          <cell r="V54">
            <v>3</v>
          </cell>
          <cell r="W54">
            <v>2</v>
          </cell>
          <cell r="X54">
            <v>2</v>
          </cell>
          <cell r="AM54">
            <v>2</v>
          </cell>
          <cell r="AO54">
            <v>2</v>
          </cell>
        </row>
        <row r="55">
          <cell r="I55">
            <v>6</v>
          </cell>
          <cell r="N55">
            <v>4</v>
          </cell>
          <cell r="O55">
            <v>4</v>
          </cell>
          <cell r="P55">
            <v>3</v>
          </cell>
          <cell r="Q55">
            <v>2</v>
          </cell>
          <cell r="T55">
            <v>6</v>
          </cell>
          <cell r="V55">
            <v>3</v>
          </cell>
          <cell r="W55">
            <v>3</v>
          </cell>
          <cell r="X55">
            <v>2</v>
          </cell>
          <cell r="Y55">
            <v>1</v>
          </cell>
          <cell r="AM55">
            <v>3</v>
          </cell>
          <cell r="AO55">
            <v>2</v>
          </cell>
        </row>
        <row r="56">
          <cell r="I56">
            <v>7</v>
          </cell>
          <cell r="N56">
            <v>4</v>
          </cell>
          <cell r="O56">
            <v>4</v>
          </cell>
          <cell r="P56">
            <v>3</v>
          </cell>
          <cell r="Q56">
            <v>2</v>
          </cell>
          <cell r="R56">
            <v>1</v>
          </cell>
          <cell r="T56">
            <v>7</v>
          </cell>
          <cell r="V56">
            <v>3</v>
          </cell>
          <cell r="W56">
            <v>3</v>
          </cell>
          <cell r="X56">
            <v>2</v>
          </cell>
          <cell r="Y56">
            <v>2</v>
          </cell>
          <cell r="AM56">
            <v>4</v>
          </cell>
          <cell r="AO56">
            <v>3</v>
          </cell>
        </row>
        <row r="57">
          <cell r="I57">
            <v>8</v>
          </cell>
          <cell r="N57">
            <v>4</v>
          </cell>
          <cell r="O57">
            <v>4</v>
          </cell>
          <cell r="P57">
            <v>4</v>
          </cell>
          <cell r="Q57">
            <v>3</v>
          </cell>
          <cell r="R57">
            <v>2</v>
          </cell>
          <cell r="T57">
            <v>8</v>
          </cell>
          <cell r="V57">
            <v>4</v>
          </cell>
          <cell r="W57">
            <v>3</v>
          </cell>
          <cell r="X57">
            <v>3</v>
          </cell>
          <cell r="Y57">
            <v>2</v>
          </cell>
          <cell r="Z57">
            <v>1</v>
          </cell>
          <cell r="AM57">
            <v>5</v>
          </cell>
          <cell r="AO57">
            <v>3</v>
          </cell>
        </row>
        <row r="58">
          <cell r="I58">
            <v>9</v>
          </cell>
          <cell r="N58">
            <v>4</v>
          </cell>
          <cell r="O58">
            <v>4</v>
          </cell>
          <cell r="P58">
            <v>4</v>
          </cell>
          <cell r="Q58">
            <v>3</v>
          </cell>
          <cell r="R58">
            <v>2</v>
          </cell>
          <cell r="S58">
            <v>1</v>
          </cell>
          <cell r="T58">
            <v>9</v>
          </cell>
          <cell r="V58">
            <v>4</v>
          </cell>
          <cell r="W58">
            <v>4</v>
          </cell>
          <cell r="X58">
            <v>3</v>
          </cell>
          <cell r="Y58">
            <v>2</v>
          </cell>
          <cell r="Z58">
            <v>2</v>
          </cell>
          <cell r="AM58">
            <v>6</v>
          </cell>
          <cell r="AO58">
            <v>3</v>
          </cell>
          <cell r="AP58">
            <v>1</v>
          </cell>
        </row>
        <row r="59">
          <cell r="I59">
            <v>10</v>
          </cell>
          <cell r="N59">
            <v>4</v>
          </cell>
          <cell r="O59">
            <v>4</v>
          </cell>
          <cell r="P59">
            <v>4</v>
          </cell>
          <cell r="Q59">
            <v>4</v>
          </cell>
          <cell r="R59">
            <v>3</v>
          </cell>
          <cell r="S59">
            <v>2</v>
          </cell>
          <cell r="T59">
            <v>10</v>
          </cell>
          <cell r="V59">
            <v>4</v>
          </cell>
          <cell r="W59">
            <v>4</v>
          </cell>
          <cell r="X59">
            <v>3</v>
          </cell>
          <cell r="Y59">
            <v>3</v>
          </cell>
          <cell r="Z59">
            <v>2</v>
          </cell>
          <cell r="AM59">
            <v>7</v>
          </cell>
          <cell r="AO59">
            <v>3</v>
          </cell>
          <cell r="AP59">
            <v>1</v>
          </cell>
        </row>
        <row r="60">
          <cell r="AM60">
            <v>8</v>
          </cell>
          <cell r="AO60">
            <v>3</v>
          </cell>
          <cell r="AP60">
            <v>2</v>
          </cell>
        </row>
        <row r="61">
          <cell r="AM61">
            <v>9</v>
          </cell>
          <cell r="AO61">
            <v>3</v>
          </cell>
          <cell r="AP61">
            <v>2</v>
          </cell>
        </row>
        <row r="62">
          <cell r="I62">
            <v>0</v>
          </cell>
          <cell r="T62">
            <v>0</v>
          </cell>
          <cell r="AM62">
            <v>10</v>
          </cell>
          <cell r="AO62">
            <v>3</v>
          </cell>
          <cell r="AP62">
            <v>3</v>
          </cell>
        </row>
        <row r="63">
          <cell r="I63">
            <v>1</v>
          </cell>
          <cell r="J63">
            <v>4</v>
          </cell>
          <cell r="K63">
            <v>2</v>
          </cell>
          <cell r="T63">
            <v>1</v>
          </cell>
          <cell r="V63">
            <v>2</v>
          </cell>
          <cell r="AM63">
            <v>11</v>
          </cell>
          <cell r="AO63">
            <v>3</v>
          </cell>
          <cell r="AP63">
            <v>3</v>
          </cell>
          <cell r="AQ63">
            <v>1</v>
          </cell>
        </row>
        <row r="64">
          <cell r="I64">
            <v>2</v>
          </cell>
          <cell r="J64">
            <v>5</v>
          </cell>
          <cell r="K64">
            <v>2</v>
          </cell>
          <cell r="T64">
            <v>2</v>
          </cell>
          <cell r="V64">
            <v>3</v>
          </cell>
          <cell r="W64" t="str">
            <v/>
          </cell>
          <cell r="AM64">
            <v>12</v>
          </cell>
          <cell r="AO64">
            <v>3</v>
          </cell>
          <cell r="AP64">
            <v>3</v>
          </cell>
          <cell r="AQ64">
            <v>1</v>
          </cell>
        </row>
        <row r="65">
          <cell r="I65">
            <v>3</v>
          </cell>
          <cell r="J65">
            <v>5</v>
          </cell>
          <cell r="K65">
            <v>3</v>
          </cell>
          <cell r="T65">
            <v>3</v>
          </cell>
          <cell r="V65">
            <v>3</v>
          </cell>
          <cell r="W65">
            <v>2</v>
          </cell>
          <cell r="AM65">
            <v>13</v>
          </cell>
          <cell r="AO65">
            <v>3</v>
          </cell>
          <cell r="AP65">
            <v>3</v>
          </cell>
          <cell r="AQ65">
            <v>2</v>
          </cell>
        </row>
        <row r="66">
          <cell r="I66">
            <v>4</v>
          </cell>
          <cell r="J66">
            <v>6</v>
          </cell>
          <cell r="K66">
            <v>3</v>
          </cell>
          <cell r="L66">
            <v>1</v>
          </cell>
          <cell r="T66">
            <v>4</v>
          </cell>
          <cell r="V66">
            <v>4</v>
          </cell>
          <cell r="W66">
            <v>3</v>
          </cell>
          <cell r="X66" t="str">
            <v/>
          </cell>
          <cell r="AM66">
            <v>14</v>
          </cell>
          <cell r="AO66">
            <v>3</v>
          </cell>
          <cell r="AP66">
            <v>3</v>
          </cell>
          <cell r="AQ66">
            <v>2</v>
          </cell>
        </row>
        <row r="67">
          <cell r="I67">
            <v>5</v>
          </cell>
          <cell r="J67">
            <v>6</v>
          </cell>
          <cell r="K67">
            <v>4</v>
          </cell>
          <cell r="L67">
            <v>2</v>
          </cell>
          <cell r="T67">
            <v>5</v>
          </cell>
          <cell r="V67">
            <v>4</v>
          </cell>
          <cell r="W67">
            <v>3</v>
          </cell>
          <cell r="X67">
            <v>2</v>
          </cell>
          <cell r="AM67">
            <v>15</v>
          </cell>
          <cell r="AO67">
            <v>3</v>
          </cell>
          <cell r="AP67">
            <v>3</v>
          </cell>
          <cell r="AQ67">
            <v>3</v>
          </cell>
        </row>
        <row r="68">
          <cell r="I68">
            <v>6</v>
          </cell>
          <cell r="J68">
            <v>7</v>
          </cell>
          <cell r="K68">
            <v>4</v>
          </cell>
          <cell r="L68">
            <v>2</v>
          </cell>
          <cell r="M68">
            <v>1</v>
          </cell>
          <cell r="T68">
            <v>6</v>
          </cell>
          <cell r="V68">
            <v>4</v>
          </cell>
          <cell r="W68">
            <v>4</v>
          </cell>
          <cell r="X68">
            <v>3</v>
          </cell>
          <cell r="AM68">
            <v>16</v>
          </cell>
          <cell r="AO68">
            <v>3</v>
          </cell>
          <cell r="AP68">
            <v>3</v>
          </cell>
          <cell r="AQ68">
            <v>3</v>
          </cell>
          <cell r="AR68">
            <v>1</v>
          </cell>
        </row>
        <row r="69">
          <cell r="I69">
            <v>7</v>
          </cell>
          <cell r="J69">
            <v>7</v>
          </cell>
          <cell r="K69">
            <v>5</v>
          </cell>
          <cell r="L69">
            <v>3</v>
          </cell>
          <cell r="M69">
            <v>2</v>
          </cell>
          <cell r="T69">
            <v>7</v>
          </cell>
          <cell r="V69">
            <v>4</v>
          </cell>
          <cell r="W69">
            <v>4</v>
          </cell>
          <cell r="X69">
            <v>3</v>
          </cell>
          <cell r="Y69">
            <v>2</v>
          </cell>
          <cell r="AM69">
            <v>17</v>
          </cell>
          <cell r="AO69">
            <v>3</v>
          </cell>
          <cell r="AP69">
            <v>3</v>
          </cell>
          <cell r="AQ69">
            <v>3</v>
          </cell>
          <cell r="AR69">
            <v>1</v>
          </cell>
        </row>
        <row r="70">
          <cell r="I70">
            <v>8</v>
          </cell>
          <cell r="J70">
            <v>8</v>
          </cell>
          <cell r="K70">
            <v>5</v>
          </cell>
          <cell r="L70">
            <v>3</v>
          </cell>
          <cell r="M70">
            <v>2</v>
          </cell>
          <cell r="N70">
            <v>1</v>
          </cell>
          <cell r="T70">
            <v>8</v>
          </cell>
          <cell r="V70">
            <v>4</v>
          </cell>
          <cell r="W70">
            <v>4</v>
          </cell>
          <cell r="X70">
            <v>4</v>
          </cell>
          <cell r="Y70">
            <v>3</v>
          </cell>
          <cell r="AM70">
            <v>18</v>
          </cell>
          <cell r="AO70">
            <v>3</v>
          </cell>
          <cell r="AP70">
            <v>3</v>
          </cell>
          <cell r="AQ70">
            <v>3</v>
          </cell>
          <cell r="AR70">
            <v>2</v>
          </cell>
        </row>
        <row r="71">
          <cell r="I71">
            <v>9</v>
          </cell>
          <cell r="J71">
            <v>8</v>
          </cell>
          <cell r="K71">
            <v>5</v>
          </cell>
          <cell r="L71">
            <v>4</v>
          </cell>
          <cell r="M71">
            <v>3</v>
          </cell>
          <cell r="N71">
            <v>2</v>
          </cell>
          <cell r="T71">
            <v>9</v>
          </cell>
          <cell r="V71">
            <v>4</v>
          </cell>
          <cell r="W71">
            <v>4</v>
          </cell>
          <cell r="X71">
            <v>4</v>
          </cell>
          <cell r="Y71">
            <v>3</v>
          </cell>
          <cell r="AM71">
            <v>19</v>
          </cell>
          <cell r="AO71">
            <v>3</v>
          </cell>
          <cell r="AP71">
            <v>3</v>
          </cell>
          <cell r="AQ71">
            <v>3</v>
          </cell>
          <cell r="AR71">
            <v>2</v>
          </cell>
        </row>
        <row r="72">
          <cell r="I72">
            <v>10</v>
          </cell>
          <cell r="J72">
            <v>9</v>
          </cell>
          <cell r="K72">
            <v>5</v>
          </cell>
          <cell r="L72">
            <v>4</v>
          </cell>
          <cell r="M72">
            <v>3</v>
          </cell>
          <cell r="N72">
            <v>2</v>
          </cell>
          <cell r="O72">
            <v>1</v>
          </cell>
          <cell r="T72">
            <v>10</v>
          </cell>
          <cell r="V72">
            <v>4</v>
          </cell>
          <cell r="W72">
            <v>4</v>
          </cell>
          <cell r="X72">
            <v>4</v>
          </cell>
          <cell r="Y72">
            <v>4</v>
          </cell>
          <cell r="AM72">
            <v>20</v>
          </cell>
          <cell r="AO72">
            <v>3</v>
          </cell>
          <cell r="AP72">
            <v>3</v>
          </cell>
          <cell r="AQ72">
            <v>3</v>
          </cell>
          <cell r="AR72">
            <v>3</v>
          </cell>
        </row>
        <row r="73">
          <cell r="I73">
            <v>11</v>
          </cell>
          <cell r="J73">
            <v>9</v>
          </cell>
          <cell r="K73">
            <v>5</v>
          </cell>
          <cell r="L73">
            <v>5</v>
          </cell>
          <cell r="M73">
            <v>4</v>
          </cell>
          <cell r="N73">
            <v>3</v>
          </cell>
          <cell r="O73">
            <v>2</v>
          </cell>
        </row>
        <row r="74">
          <cell r="I74">
            <v>12</v>
          </cell>
          <cell r="J74">
            <v>9</v>
          </cell>
          <cell r="K74">
            <v>5</v>
          </cell>
          <cell r="L74">
            <v>5</v>
          </cell>
          <cell r="M74">
            <v>4</v>
          </cell>
          <cell r="N74">
            <v>3</v>
          </cell>
          <cell r="O74">
            <v>2</v>
          </cell>
          <cell r="P74">
            <v>1</v>
          </cell>
        </row>
        <row r="75">
          <cell r="I75">
            <v>13</v>
          </cell>
          <cell r="J75">
            <v>9</v>
          </cell>
          <cell r="K75">
            <v>5</v>
          </cell>
          <cell r="L75">
            <v>5</v>
          </cell>
          <cell r="M75">
            <v>4</v>
          </cell>
          <cell r="N75">
            <v>4</v>
          </cell>
          <cell r="O75">
            <v>3</v>
          </cell>
          <cell r="P75">
            <v>2</v>
          </cell>
          <cell r="AM75">
            <v>0</v>
          </cell>
        </row>
        <row r="76">
          <cell r="I76">
            <v>14</v>
          </cell>
          <cell r="J76">
            <v>9</v>
          </cell>
          <cell r="K76">
            <v>5</v>
          </cell>
          <cell r="L76">
            <v>5</v>
          </cell>
          <cell r="M76">
            <v>4</v>
          </cell>
          <cell r="N76">
            <v>4</v>
          </cell>
          <cell r="O76">
            <v>3</v>
          </cell>
          <cell r="P76">
            <v>2</v>
          </cell>
          <cell r="Q76">
            <v>1</v>
          </cell>
          <cell r="AM76">
            <v>1</v>
          </cell>
          <cell r="AO76">
            <v>2</v>
          </cell>
        </row>
        <row r="77">
          <cell r="I77">
            <v>15</v>
          </cell>
          <cell r="J77">
            <v>9</v>
          </cell>
          <cell r="K77">
            <v>5</v>
          </cell>
          <cell r="L77">
            <v>5</v>
          </cell>
          <cell r="M77">
            <v>4</v>
          </cell>
          <cell r="N77">
            <v>4</v>
          </cell>
          <cell r="O77">
            <v>4</v>
          </cell>
          <cell r="P77">
            <v>3</v>
          </cell>
          <cell r="Q77">
            <v>2</v>
          </cell>
          <cell r="AM77">
            <v>2</v>
          </cell>
          <cell r="AO77">
            <v>3</v>
          </cell>
        </row>
        <row r="78">
          <cell r="I78">
            <v>16</v>
          </cell>
          <cell r="J78">
            <v>9</v>
          </cell>
          <cell r="K78">
            <v>5</v>
          </cell>
          <cell r="L78">
            <v>5</v>
          </cell>
          <cell r="M78">
            <v>4</v>
          </cell>
          <cell r="N78">
            <v>4</v>
          </cell>
          <cell r="O78">
            <v>4</v>
          </cell>
          <cell r="P78">
            <v>3</v>
          </cell>
          <cell r="Q78">
            <v>2</v>
          </cell>
          <cell r="R78">
            <v>1</v>
          </cell>
          <cell r="AM78">
            <v>3</v>
          </cell>
          <cell r="AO78">
            <v>3</v>
          </cell>
          <cell r="AP78">
            <v>2</v>
          </cell>
        </row>
        <row r="79">
          <cell r="I79">
            <v>17</v>
          </cell>
          <cell r="J79">
            <v>9</v>
          </cell>
          <cell r="K79">
            <v>5</v>
          </cell>
          <cell r="L79">
            <v>5</v>
          </cell>
          <cell r="M79">
            <v>4</v>
          </cell>
          <cell r="N79">
            <v>4</v>
          </cell>
          <cell r="O79">
            <v>4</v>
          </cell>
          <cell r="P79">
            <v>3</v>
          </cell>
          <cell r="Q79">
            <v>3</v>
          </cell>
          <cell r="R79">
            <v>2</v>
          </cell>
          <cell r="AM79">
            <v>4</v>
          </cell>
          <cell r="AO79">
            <v>4</v>
          </cell>
          <cell r="AP79">
            <v>3</v>
          </cell>
        </row>
        <row r="80">
          <cell r="I80">
            <v>18</v>
          </cell>
          <cell r="J80">
            <v>9</v>
          </cell>
          <cell r="K80">
            <v>5</v>
          </cell>
          <cell r="L80">
            <v>5</v>
          </cell>
          <cell r="M80">
            <v>4</v>
          </cell>
          <cell r="N80">
            <v>4</v>
          </cell>
          <cell r="O80">
            <v>4</v>
          </cell>
          <cell r="P80">
            <v>3</v>
          </cell>
          <cell r="Q80">
            <v>3</v>
          </cell>
          <cell r="R80">
            <v>2</v>
          </cell>
          <cell r="S80">
            <v>1</v>
          </cell>
          <cell r="AM80">
            <v>5</v>
          </cell>
          <cell r="AO80">
            <v>4</v>
          </cell>
          <cell r="AP80">
            <v>3</v>
          </cell>
          <cell r="AQ80">
            <v>2</v>
          </cell>
        </row>
        <row r="81">
          <cell r="I81">
            <v>19</v>
          </cell>
          <cell r="J81">
            <v>9</v>
          </cell>
          <cell r="K81">
            <v>5</v>
          </cell>
          <cell r="L81">
            <v>5</v>
          </cell>
          <cell r="M81">
            <v>4</v>
          </cell>
          <cell r="N81">
            <v>4</v>
          </cell>
          <cell r="O81">
            <v>4</v>
          </cell>
          <cell r="P81">
            <v>3</v>
          </cell>
          <cell r="Q81">
            <v>3</v>
          </cell>
          <cell r="R81">
            <v>3</v>
          </cell>
          <cell r="S81">
            <v>2</v>
          </cell>
          <cell r="AM81">
            <v>6</v>
          </cell>
          <cell r="AO81">
            <v>4</v>
          </cell>
          <cell r="AP81">
            <v>4</v>
          </cell>
          <cell r="AQ81">
            <v>3</v>
          </cell>
        </row>
        <row r="82">
          <cell r="I82">
            <v>20</v>
          </cell>
          <cell r="J82">
            <v>9</v>
          </cell>
          <cell r="K82">
            <v>5</v>
          </cell>
          <cell r="L82">
            <v>5</v>
          </cell>
          <cell r="M82">
            <v>4</v>
          </cell>
          <cell r="N82">
            <v>4</v>
          </cell>
          <cell r="O82">
            <v>4</v>
          </cell>
          <cell r="P82">
            <v>3</v>
          </cell>
          <cell r="Q82">
            <v>3</v>
          </cell>
          <cell r="R82">
            <v>3</v>
          </cell>
          <cell r="S82">
            <v>3</v>
          </cell>
          <cell r="AM82">
            <v>7</v>
          </cell>
          <cell r="AO82">
            <v>4</v>
          </cell>
          <cell r="AP82">
            <v>4</v>
          </cell>
          <cell r="AQ82">
            <v>3</v>
          </cell>
          <cell r="AR82">
            <v>2</v>
          </cell>
        </row>
        <row r="83">
          <cell r="AM83">
            <v>8</v>
          </cell>
          <cell r="AO83">
            <v>4</v>
          </cell>
          <cell r="AP83">
            <v>4</v>
          </cell>
          <cell r="AQ83">
            <v>4</v>
          </cell>
          <cell r="AR83">
            <v>3</v>
          </cell>
        </row>
        <row r="84">
          <cell r="AM84">
            <v>9</v>
          </cell>
          <cell r="AO84">
            <v>4</v>
          </cell>
          <cell r="AP84">
            <v>4</v>
          </cell>
          <cell r="AQ84">
            <v>4</v>
          </cell>
          <cell r="AR84">
            <v>3</v>
          </cell>
        </row>
        <row r="85">
          <cell r="AM85">
            <v>10</v>
          </cell>
          <cell r="AO85">
            <v>4</v>
          </cell>
          <cell r="AP85">
            <v>4</v>
          </cell>
          <cell r="AQ85">
            <v>4</v>
          </cell>
          <cell r="AR85">
            <v>4</v>
          </cell>
        </row>
        <row r="88">
          <cell r="AM88">
            <v>0</v>
          </cell>
        </row>
        <row r="89">
          <cell r="AM89">
            <v>1</v>
          </cell>
          <cell r="AO89">
            <v>2</v>
          </cell>
        </row>
        <row r="90">
          <cell r="AM90">
            <v>2</v>
          </cell>
          <cell r="AO90">
            <v>3</v>
          </cell>
        </row>
        <row r="91">
          <cell r="AM91">
            <v>3</v>
          </cell>
          <cell r="AO91">
            <v>3</v>
          </cell>
          <cell r="AP91">
            <v>2</v>
          </cell>
        </row>
        <row r="92">
          <cell r="AM92">
            <v>4</v>
          </cell>
          <cell r="AO92">
            <v>4</v>
          </cell>
          <cell r="AP92">
            <v>3</v>
          </cell>
        </row>
        <row r="93">
          <cell r="AM93">
            <v>5</v>
          </cell>
          <cell r="AO93">
            <v>4</v>
          </cell>
          <cell r="AP93">
            <v>3</v>
          </cell>
          <cell r="AQ93">
            <v>2</v>
          </cell>
        </row>
        <row r="94">
          <cell r="AM94">
            <v>6</v>
          </cell>
          <cell r="AO94">
            <v>4</v>
          </cell>
          <cell r="AP94">
            <v>4</v>
          </cell>
          <cell r="AQ94">
            <v>3</v>
          </cell>
        </row>
        <row r="95">
          <cell r="AM95">
            <v>7</v>
          </cell>
          <cell r="AO95">
            <v>4</v>
          </cell>
          <cell r="AP95">
            <v>4</v>
          </cell>
          <cell r="AQ95">
            <v>3</v>
          </cell>
          <cell r="AR95">
            <v>2</v>
          </cell>
        </row>
        <row r="96">
          <cell r="AM96">
            <v>8</v>
          </cell>
          <cell r="AO96">
            <v>4</v>
          </cell>
          <cell r="AP96">
            <v>4</v>
          </cell>
          <cell r="AQ96">
            <v>4</v>
          </cell>
          <cell r="AR96">
            <v>3</v>
          </cell>
        </row>
        <row r="97">
          <cell r="AM97">
            <v>9</v>
          </cell>
          <cell r="AO97">
            <v>4</v>
          </cell>
          <cell r="AP97">
            <v>4</v>
          </cell>
          <cell r="AQ97">
            <v>4</v>
          </cell>
          <cell r="AR97">
            <v>3</v>
          </cell>
        </row>
        <row r="98">
          <cell r="AM98">
            <v>10</v>
          </cell>
          <cell r="AO98">
            <v>4</v>
          </cell>
          <cell r="AP98">
            <v>4</v>
          </cell>
          <cell r="AQ98">
            <v>4</v>
          </cell>
          <cell r="AR98">
            <v>4</v>
          </cell>
        </row>
        <row r="101">
          <cell r="AM101">
            <v>0</v>
          </cell>
        </row>
        <row r="102">
          <cell r="AM102">
            <v>1</v>
          </cell>
          <cell r="AO102">
            <v>1</v>
          </cell>
        </row>
        <row r="103">
          <cell r="AM103">
            <v>2</v>
          </cell>
          <cell r="AO103">
            <v>1</v>
          </cell>
        </row>
        <row r="104">
          <cell r="AM104">
            <v>3</v>
          </cell>
          <cell r="AO104">
            <v>1</v>
          </cell>
        </row>
        <row r="105">
          <cell r="AM105">
            <v>4</v>
          </cell>
          <cell r="AO105">
            <v>2</v>
          </cell>
          <cell r="AP105">
            <v>1</v>
          </cell>
        </row>
        <row r="106">
          <cell r="AM106">
            <v>5</v>
          </cell>
          <cell r="AO106">
            <v>2</v>
          </cell>
          <cell r="AP106">
            <v>1</v>
          </cell>
        </row>
        <row r="107">
          <cell r="AM107">
            <v>6</v>
          </cell>
          <cell r="AO107">
            <v>2</v>
          </cell>
          <cell r="AP107">
            <v>1</v>
          </cell>
          <cell r="AQ107">
            <v>0</v>
          </cell>
        </row>
        <row r="108">
          <cell r="AM108">
            <v>7</v>
          </cell>
          <cell r="AO108">
            <v>3</v>
          </cell>
          <cell r="AP108">
            <v>2</v>
          </cell>
          <cell r="AQ108">
            <v>1</v>
          </cell>
        </row>
        <row r="109">
          <cell r="AM109">
            <v>8</v>
          </cell>
          <cell r="AO109">
            <v>3</v>
          </cell>
          <cell r="AP109">
            <v>2</v>
          </cell>
          <cell r="AQ109">
            <v>1</v>
          </cell>
          <cell r="AR109">
            <v>1</v>
          </cell>
        </row>
        <row r="110">
          <cell r="AM110">
            <v>9</v>
          </cell>
          <cell r="AO110">
            <v>3</v>
          </cell>
          <cell r="AP110">
            <v>2</v>
          </cell>
          <cell r="AQ110">
            <v>2</v>
          </cell>
          <cell r="AR110">
            <v>1</v>
          </cell>
        </row>
        <row r="111">
          <cell r="AM111">
            <v>10</v>
          </cell>
          <cell r="AO111">
            <v>3</v>
          </cell>
          <cell r="AP111">
            <v>3</v>
          </cell>
          <cell r="AQ111">
            <v>2</v>
          </cell>
          <cell r="AR111">
            <v>1</v>
          </cell>
        </row>
      </sheetData>
      <sheetData sheetId="57">
        <row r="3">
          <cell r="L3" t="str">
            <v>Select Manifesting Class</v>
          </cell>
        </row>
        <row r="4">
          <cell r="A4" t="str">
            <v>Ardent</v>
          </cell>
          <cell r="B4">
            <v>1</v>
          </cell>
          <cell r="C4">
            <v>0</v>
          </cell>
          <cell r="D4">
            <v>0</v>
          </cell>
          <cell r="E4">
            <v>0</v>
          </cell>
          <cell r="F4">
            <v>0</v>
          </cell>
          <cell r="G4">
            <v>8</v>
          </cell>
          <cell r="H4">
            <v>-1</v>
          </cell>
          <cell r="I4" t="str">
            <v>Ardt</v>
          </cell>
          <cell r="J4">
            <v>0</v>
          </cell>
          <cell r="L4" t="str">
            <v/>
          </cell>
        </row>
        <row r="5">
          <cell r="A5" t="str">
            <v>Divine Mind</v>
          </cell>
          <cell r="B5">
            <v>2</v>
          </cell>
          <cell r="C5">
            <v>0</v>
          </cell>
          <cell r="D5">
            <v>0</v>
          </cell>
          <cell r="E5">
            <v>0</v>
          </cell>
          <cell r="F5">
            <v>0</v>
          </cell>
          <cell r="G5">
            <v>8</v>
          </cell>
          <cell r="H5">
            <v>-1</v>
          </cell>
          <cell r="I5" t="str">
            <v>DvMd</v>
          </cell>
          <cell r="J5">
            <v>0</v>
          </cell>
          <cell r="L5" t="str">
            <v/>
          </cell>
        </row>
        <row r="6">
          <cell r="A6" t="str">
            <v>Fist of Zuoken</v>
          </cell>
          <cell r="B6">
            <v>3</v>
          </cell>
          <cell r="C6">
            <v>0</v>
          </cell>
          <cell r="D6">
            <v>0</v>
          </cell>
          <cell r="E6">
            <v>0</v>
          </cell>
          <cell r="F6">
            <v>0</v>
          </cell>
          <cell r="G6">
            <v>8</v>
          </cell>
          <cell r="H6">
            <v>-1</v>
          </cell>
          <cell r="I6" t="str">
            <v>FoZ</v>
          </cell>
          <cell r="J6">
            <v>0</v>
          </cell>
          <cell r="L6" t="str">
            <v/>
          </cell>
        </row>
        <row r="7">
          <cell r="A7" t="str">
            <v>Lurk</v>
          </cell>
          <cell r="B7">
            <v>4</v>
          </cell>
          <cell r="C7">
            <v>0</v>
          </cell>
          <cell r="D7">
            <v>0</v>
          </cell>
          <cell r="E7">
            <v>0</v>
          </cell>
          <cell r="F7">
            <v>0</v>
          </cell>
          <cell r="G7">
            <v>8</v>
          </cell>
          <cell r="H7">
            <v>-1</v>
          </cell>
          <cell r="I7" t="str">
            <v>Lrk</v>
          </cell>
          <cell r="J7">
            <v>0</v>
          </cell>
          <cell r="L7" t="str">
            <v/>
          </cell>
        </row>
        <row r="8">
          <cell r="A8" t="str">
            <v>Psion</v>
          </cell>
          <cell r="B8">
            <v>5</v>
          </cell>
          <cell r="C8">
            <v>0</v>
          </cell>
          <cell r="D8">
            <v>0</v>
          </cell>
          <cell r="E8">
            <v>0</v>
          </cell>
          <cell r="F8">
            <v>0</v>
          </cell>
          <cell r="G8">
            <v>8</v>
          </cell>
          <cell r="H8">
            <v>-1</v>
          </cell>
          <cell r="I8" t="str">
            <v>Psi</v>
          </cell>
          <cell r="J8">
            <v>0</v>
          </cell>
          <cell r="L8" t="str">
            <v/>
          </cell>
        </row>
        <row r="9">
          <cell r="A9" t="str">
            <v>Psychic Warrior</v>
          </cell>
          <cell r="B9">
            <v>6</v>
          </cell>
          <cell r="C9">
            <v>0</v>
          </cell>
          <cell r="D9">
            <v>0</v>
          </cell>
          <cell r="E9">
            <v>0</v>
          </cell>
          <cell r="F9">
            <v>0</v>
          </cell>
          <cell r="G9">
            <v>8</v>
          </cell>
          <cell r="H9">
            <v>-1</v>
          </cell>
          <cell r="I9" t="str">
            <v>Psw</v>
          </cell>
          <cell r="J9">
            <v>0</v>
          </cell>
          <cell r="L9" t="str">
            <v/>
          </cell>
        </row>
        <row r="10">
          <cell r="A10" t="str">
            <v>War Mind</v>
          </cell>
          <cell r="B10">
            <v>7</v>
          </cell>
          <cell r="C10">
            <v>0</v>
          </cell>
          <cell r="D10">
            <v>0</v>
          </cell>
          <cell r="E10">
            <v>0</v>
          </cell>
          <cell r="F10">
            <v>0</v>
          </cell>
          <cell r="G10">
            <v>8</v>
          </cell>
          <cell r="H10">
            <v>-1</v>
          </cell>
          <cell r="I10" t="str">
            <v>Wmd</v>
          </cell>
          <cell r="J10">
            <v>0</v>
          </cell>
          <cell r="L10" t="str">
            <v/>
          </cell>
        </row>
        <row r="11">
          <cell r="A11" t="str">
            <v>Wilder</v>
          </cell>
          <cell r="B11">
            <v>8</v>
          </cell>
          <cell r="C11">
            <v>0</v>
          </cell>
          <cell r="D11">
            <v>0</v>
          </cell>
          <cell r="E11">
            <v>0</v>
          </cell>
          <cell r="F11">
            <v>0</v>
          </cell>
          <cell r="G11">
            <v>6</v>
          </cell>
          <cell r="H11">
            <v>-2</v>
          </cell>
          <cell r="I11" t="str">
            <v>Wld</v>
          </cell>
          <cell r="J11">
            <v>0</v>
          </cell>
          <cell r="L11" t="str">
            <v/>
          </cell>
        </row>
        <row r="12">
          <cell r="A12" t="str">
            <v>Zerth Cenobite</v>
          </cell>
          <cell r="B12">
            <v>9</v>
          </cell>
          <cell r="C12">
            <v>0</v>
          </cell>
          <cell r="D12">
            <v>0</v>
          </cell>
          <cell r="E12">
            <v>0</v>
          </cell>
          <cell r="F12">
            <v>0</v>
          </cell>
          <cell r="G12">
            <v>8</v>
          </cell>
          <cell r="H12">
            <v>-1</v>
          </cell>
          <cell r="I12" t="str">
            <v>ZtCb</v>
          </cell>
          <cell r="J12">
            <v>0</v>
          </cell>
          <cell r="L12" t="str">
            <v/>
          </cell>
        </row>
        <row r="14">
          <cell r="D14">
            <v>8</v>
          </cell>
          <cell r="E14">
            <v>-1</v>
          </cell>
        </row>
        <row r="15">
          <cell r="D15">
            <v>8</v>
          </cell>
          <cell r="E15">
            <v>-1</v>
          </cell>
        </row>
        <row r="16">
          <cell r="D16">
            <v>6</v>
          </cell>
          <cell r="E16">
            <v>-2</v>
          </cell>
          <cell r="K16">
            <v>0</v>
          </cell>
        </row>
        <row r="17">
          <cell r="K17">
            <v>0</v>
          </cell>
        </row>
        <row r="18">
          <cell r="F18">
            <v>0</v>
          </cell>
          <cell r="K18">
            <v>0</v>
          </cell>
          <cell r="Q18">
            <v>0</v>
          </cell>
          <cell r="R18">
            <v>0</v>
          </cell>
          <cell r="S18">
            <v>0</v>
          </cell>
          <cell r="U18">
            <v>0</v>
          </cell>
          <cell r="V18">
            <v>0</v>
          </cell>
          <cell r="W18">
            <v>0</v>
          </cell>
        </row>
        <row r="19">
          <cell r="K19">
            <v>0</v>
          </cell>
          <cell r="Q19">
            <v>1</v>
          </cell>
          <cell r="R19">
            <v>2</v>
          </cell>
          <cell r="S19">
            <v>3</v>
          </cell>
          <cell r="U19">
            <v>1</v>
          </cell>
          <cell r="V19">
            <v>0</v>
          </cell>
          <cell r="W19">
            <v>1</v>
          </cell>
        </row>
        <row r="20">
          <cell r="K20" t="b">
            <v>0</v>
          </cell>
          <cell r="Q20">
            <v>2</v>
          </cell>
          <cell r="R20">
            <v>6</v>
          </cell>
          <cell r="S20">
            <v>5</v>
          </cell>
          <cell r="U20">
            <v>2</v>
          </cell>
          <cell r="V20">
            <v>1</v>
          </cell>
          <cell r="W20">
            <v>2</v>
          </cell>
        </row>
        <row r="21">
          <cell r="Q21">
            <v>3</v>
          </cell>
          <cell r="R21">
            <v>11</v>
          </cell>
          <cell r="S21">
            <v>7</v>
          </cell>
          <cell r="U21">
            <v>3</v>
          </cell>
          <cell r="V21">
            <v>3</v>
          </cell>
          <cell r="W21">
            <v>3</v>
          </cell>
        </row>
        <row r="22">
          <cell r="Q22">
            <v>4</v>
          </cell>
          <cell r="R22">
            <v>17</v>
          </cell>
          <cell r="S22">
            <v>9</v>
          </cell>
          <cell r="U22">
            <v>4</v>
          </cell>
          <cell r="V22">
            <v>5</v>
          </cell>
          <cell r="W22">
            <v>4</v>
          </cell>
        </row>
        <row r="23">
          <cell r="F23" t="str">
            <v>Dwarf</v>
          </cell>
          <cell r="Q23">
            <v>5</v>
          </cell>
          <cell r="R23">
            <v>25</v>
          </cell>
          <cell r="S23">
            <v>11</v>
          </cell>
          <cell r="U23">
            <v>5</v>
          </cell>
          <cell r="V23">
            <v>7</v>
          </cell>
          <cell r="W23">
            <v>5</v>
          </cell>
        </row>
        <row r="24">
          <cell r="F24" t="str">
            <v>Dwarf, Hill</v>
          </cell>
          <cell r="Q24">
            <v>6</v>
          </cell>
          <cell r="R24">
            <v>35</v>
          </cell>
          <cell r="S24">
            <v>13</v>
          </cell>
          <cell r="U24">
            <v>6</v>
          </cell>
          <cell r="V24">
            <v>11</v>
          </cell>
          <cell r="W24">
            <v>6</v>
          </cell>
        </row>
        <row r="25">
          <cell r="Q25">
            <v>7</v>
          </cell>
          <cell r="R25">
            <v>46</v>
          </cell>
          <cell r="S25">
            <v>15</v>
          </cell>
          <cell r="U25">
            <v>7</v>
          </cell>
          <cell r="V25">
            <v>15</v>
          </cell>
          <cell r="W25">
            <v>7</v>
          </cell>
        </row>
        <row r="26">
          <cell r="Q26">
            <v>8</v>
          </cell>
          <cell r="R26">
            <v>58</v>
          </cell>
          <cell r="S26">
            <v>17</v>
          </cell>
          <cell r="U26">
            <v>8</v>
          </cell>
          <cell r="V26">
            <v>19</v>
          </cell>
          <cell r="W26">
            <v>8</v>
          </cell>
        </row>
        <row r="27">
          <cell r="Q27">
            <v>9</v>
          </cell>
          <cell r="R27">
            <v>72</v>
          </cell>
          <cell r="S27">
            <v>19</v>
          </cell>
          <cell r="U27">
            <v>9</v>
          </cell>
          <cell r="V27">
            <v>23</v>
          </cell>
          <cell r="W27">
            <v>9</v>
          </cell>
        </row>
        <row r="28">
          <cell r="Q28">
            <v>10</v>
          </cell>
          <cell r="R28">
            <v>88</v>
          </cell>
          <cell r="S28">
            <v>21</v>
          </cell>
          <cell r="U28">
            <v>10</v>
          </cell>
          <cell r="V28">
            <v>27</v>
          </cell>
          <cell r="W28">
            <v>10</v>
          </cell>
        </row>
        <row r="29">
          <cell r="Q29">
            <v>11</v>
          </cell>
          <cell r="R29">
            <v>106</v>
          </cell>
          <cell r="S29">
            <v>22</v>
          </cell>
          <cell r="U29">
            <v>11</v>
          </cell>
          <cell r="V29">
            <v>35</v>
          </cell>
          <cell r="W29">
            <v>11</v>
          </cell>
        </row>
        <row r="30">
          <cell r="Q30">
            <v>12</v>
          </cell>
          <cell r="R30">
            <v>126</v>
          </cell>
          <cell r="S30">
            <v>24</v>
          </cell>
          <cell r="U30">
            <v>12</v>
          </cell>
          <cell r="V30">
            <v>43</v>
          </cell>
          <cell r="W30">
            <v>12</v>
          </cell>
        </row>
        <row r="31">
          <cell r="Q31">
            <v>13</v>
          </cell>
          <cell r="R31">
            <v>147</v>
          </cell>
          <cell r="S31">
            <v>25</v>
          </cell>
          <cell r="U31">
            <v>13</v>
          </cell>
          <cell r="V31">
            <v>51</v>
          </cell>
          <cell r="W31">
            <v>13</v>
          </cell>
        </row>
        <row r="32">
          <cell r="Q32">
            <v>14</v>
          </cell>
          <cell r="R32">
            <v>170</v>
          </cell>
          <cell r="S32">
            <v>27</v>
          </cell>
          <cell r="U32">
            <v>14</v>
          </cell>
          <cell r="V32">
            <v>59</v>
          </cell>
          <cell r="W32">
            <v>14</v>
          </cell>
        </row>
        <row r="33">
          <cell r="Q33">
            <v>15</v>
          </cell>
          <cell r="R33">
            <v>195</v>
          </cell>
          <cell r="S33">
            <v>28</v>
          </cell>
          <cell r="U33">
            <v>15</v>
          </cell>
          <cell r="V33">
            <v>67</v>
          </cell>
          <cell r="W33">
            <v>15</v>
          </cell>
        </row>
        <row r="34">
          <cell r="Q34">
            <v>16</v>
          </cell>
          <cell r="R34">
            <v>221</v>
          </cell>
          <cell r="S34">
            <v>30</v>
          </cell>
          <cell r="U34">
            <v>16</v>
          </cell>
          <cell r="V34">
            <v>79</v>
          </cell>
          <cell r="W34">
            <v>16</v>
          </cell>
        </row>
        <row r="35">
          <cell r="Q35">
            <v>17</v>
          </cell>
          <cell r="R35">
            <v>250</v>
          </cell>
          <cell r="S35">
            <v>31</v>
          </cell>
          <cell r="U35">
            <v>17</v>
          </cell>
          <cell r="V35">
            <v>91</v>
          </cell>
          <cell r="W35">
            <v>17</v>
          </cell>
        </row>
        <row r="36">
          <cell r="Q36">
            <v>18</v>
          </cell>
          <cell r="R36">
            <v>280</v>
          </cell>
          <cell r="S36">
            <v>33</v>
          </cell>
          <cell r="U36">
            <v>18</v>
          </cell>
          <cell r="V36">
            <v>103</v>
          </cell>
          <cell r="W36">
            <v>18</v>
          </cell>
        </row>
        <row r="37">
          <cell r="Q37">
            <v>19</v>
          </cell>
          <cell r="R37">
            <v>311</v>
          </cell>
          <cell r="S37">
            <v>34</v>
          </cell>
          <cell r="U37">
            <v>19</v>
          </cell>
          <cell r="V37">
            <v>115</v>
          </cell>
          <cell r="W37">
            <v>19</v>
          </cell>
        </row>
        <row r="38">
          <cell r="Q38">
            <v>20</v>
          </cell>
          <cell r="R38">
            <v>343</v>
          </cell>
          <cell r="S38">
            <v>36</v>
          </cell>
          <cell r="U38">
            <v>20</v>
          </cell>
          <cell r="V38">
            <v>127</v>
          </cell>
          <cell r="W38">
            <v>20</v>
          </cell>
        </row>
        <row r="42">
          <cell r="Q42">
            <v>0</v>
          </cell>
          <cell r="R42">
            <v>0</v>
          </cell>
          <cell r="S42">
            <v>0</v>
          </cell>
          <cell r="U42">
            <v>0</v>
          </cell>
          <cell r="V42">
            <v>0</v>
          </cell>
          <cell r="W42">
            <v>0</v>
          </cell>
        </row>
        <row r="43">
          <cell r="Q43">
            <v>1</v>
          </cell>
          <cell r="R43">
            <v>2</v>
          </cell>
          <cell r="S43">
            <v>1</v>
          </cell>
          <cell r="U43">
            <v>1</v>
          </cell>
          <cell r="V43">
            <v>1</v>
          </cell>
          <cell r="W43">
            <v>1</v>
          </cell>
        </row>
        <row r="44">
          <cell r="Q44">
            <v>2</v>
          </cell>
          <cell r="R44">
            <v>6</v>
          </cell>
          <cell r="S44">
            <v>2</v>
          </cell>
          <cell r="U44">
            <v>2</v>
          </cell>
          <cell r="V44">
            <v>3</v>
          </cell>
          <cell r="W44">
            <v>2</v>
          </cell>
        </row>
        <row r="45">
          <cell r="Q45">
            <v>3</v>
          </cell>
          <cell r="R45">
            <v>11</v>
          </cell>
          <cell r="S45">
            <v>2</v>
          </cell>
          <cell r="U45">
            <v>3</v>
          </cell>
          <cell r="V45">
            <v>6</v>
          </cell>
          <cell r="W45">
            <v>3</v>
          </cell>
        </row>
        <row r="46">
          <cell r="Q46">
            <v>4</v>
          </cell>
          <cell r="R46">
            <v>17</v>
          </cell>
          <cell r="S46">
            <v>3</v>
          </cell>
          <cell r="U46">
            <v>4</v>
          </cell>
          <cell r="V46">
            <v>10</v>
          </cell>
          <cell r="W46">
            <v>4</v>
          </cell>
        </row>
        <row r="47">
          <cell r="Q47">
            <v>5</v>
          </cell>
          <cell r="R47">
            <v>25</v>
          </cell>
          <cell r="S47">
            <v>3</v>
          </cell>
          <cell r="U47">
            <v>5</v>
          </cell>
          <cell r="V47">
            <v>15</v>
          </cell>
          <cell r="W47">
            <v>5</v>
          </cell>
        </row>
        <row r="48">
          <cell r="Q48">
            <v>6</v>
          </cell>
          <cell r="R48">
            <v>35</v>
          </cell>
          <cell r="S48">
            <v>4</v>
          </cell>
          <cell r="U48">
            <v>6</v>
          </cell>
          <cell r="V48">
            <v>23</v>
          </cell>
          <cell r="W48">
            <v>6</v>
          </cell>
        </row>
        <row r="49">
          <cell r="Q49">
            <v>7</v>
          </cell>
          <cell r="R49">
            <v>46</v>
          </cell>
          <cell r="S49">
            <v>4</v>
          </cell>
          <cell r="U49">
            <v>7</v>
          </cell>
          <cell r="V49">
            <v>31</v>
          </cell>
          <cell r="W49">
            <v>7</v>
          </cell>
        </row>
        <row r="50">
          <cell r="Q50">
            <v>8</v>
          </cell>
          <cell r="R50">
            <v>58</v>
          </cell>
          <cell r="S50">
            <v>5</v>
          </cell>
          <cell r="U50">
            <v>8</v>
          </cell>
          <cell r="V50">
            <v>43</v>
          </cell>
          <cell r="W50">
            <v>8</v>
          </cell>
        </row>
        <row r="51">
          <cell r="Q51">
            <v>9</v>
          </cell>
          <cell r="R51">
            <v>72</v>
          </cell>
          <cell r="S51">
            <v>5</v>
          </cell>
          <cell r="U51">
            <v>9</v>
          </cell>
          <cell r="V51">
            <v>55</v>
          </cell>
          <cell r="W51">
            <v>9</v>
          </cell>
        </row>
        <row r="52">
          <cell r="Q52">
            <v>10</v>
          </cell>
          <cell r="R52">
            <v>88</v>
          </cell>
          <cell r="S52">
            <v>6</v>
          </cell>
          <cell r="U52">
            <v>10</v>
          </cell>
          <cell r="V52">
            <v>71</v>
          </cell>
          <cell r="W52">
            <v>10</v>
          </cell>
        </row>
        <row r="53">
          <cell r="Q53">
            <v>11</v>
          </cell>
          <cell r="R53">
            <v>106</v>
          </cell>
          <cell r="S53">
            <v>6</v>
          </cell>
        </row>
        <row r="54">
          <cell r="Q54">
            <v>12</v>
          </cell>
          <cell r="R54">
            <v>126</v>
          </cell>
          <cell r="S54">
            <v>7</v>
          </cell>
        </row>
        <row r="55">
          <cell r="Q55">
            <v>13</v>
          </cell>
          <cell r="R55">
            <v>147</v>
          </cell>
          <cell r="S55">
            <v>7</v>
          </cell>
        </row>
        <row r="56">
          <cell r="Q56">
            <v>14</v>
          </cell>
          <cell r="R56">
            <v>170</v>
          </cell>
          <cell r="S56">
            <v>8</v>
          </cell>
          <cell r="U56">
            <v>0</v>
          </cell>
          <cell r="V56">
            <v>0</v>
          </cell>
          <cell r="W56">
            <v>0</v>
          </cell>
        </row>
        <row r="57">
          <cell r="Q57">
            <v>15</v>
          </cell>
          <cell r="R57">
            <v>195</v>
          </cell>
          <cell r="S57">
            <v>8</v>
          </cell>
          <cell r="U57">
            <v>1</v>
          </cell>
          <cell r="V57">
            <v>2</v>
          </cell>
          <cell r="W57">
            <v>1</v>
          </cell>
        </row>
        <row r="58">
          <cell r="Q58">
            <v>16</v>
          </cell>
          <cell r="R58">
            <v>221</v>
          </cell>
          <cell r="S58">
            <v>9</v>
          </cell>
          <cell r="U58">
            <v>2</v>
          </cell>
          <cell r="V58">
            <v>5</v>
          </cell>
          <cell r="W58">
            <v>2</v>
          </cell>
        </row>
        <row r="59">
          <cell r="Q59">
            <v>17</v>
          </cell>
          <cell r="R59">
            <v>250</v>
          </cell>
          <cell r="S59">
            <v>9</v>
          </cell>
          <cell r="U59">
            <v>3</v>
          </cell>
          <cell r="V59">
            <v>9</v>
          </cell>
          <cell r="W59">
            <v>2</v>
          </cell>
        </row>
        <row r="60">
          <cell r="Q60">
            <v>18</v>
          </cell>
          <cell r="R60">
            <v>280</v>
          </cell>
          <cell r="S60">
            <v>10</v>
          </cell>
          <cell r="U60">
            <v>4</v>
          </cell>
          <cell r="V60">
            <v>14</v>
          </cell>
          <cell r="W60">
            <v>3</v>
          </cell>
        </row>
        <row r="61">
          <cell r="Q61">
            <v>19</v>
          </cell>
          <cell r="R61">
            <v>311</v>
          </cell>
          <cell r="S61">
            <v>10</v>
          </cell>
          <cell r="U61">
            <v>5</v>
          </cell>
          <cell r="V61">
            <v>20</v>
          </cell>
          <cell r="W61">
            <v>3</v>
          </cell>
        </row>
        <row r="62">
          <cell r="Q62">
            <v>20</v>
          </cell>
          <cell r="R62">
            <v>343</v>
          </cell>
          <cell r="S62">
            <v>11</v>
          </cell>
          <cell r="U62">
            <v>6</v>
          </cell>
          <cell r="V62">
            <v>28</v>
          </cell>
          <cell r="W62">
            <v>4</v>
          </cell>
        </row>
        <row r="63">
          <cell r="U63">
            <v>7</v>
          </cell>
          <cell r="V63">
            <v>37</v>
          </cell>
          <cell r="W63">
            <v>4</v>
          </cell>
        </row>
        <row r="64">
          <cell r="U64">
            <v>8</v>
          </cell>
          <cell r="V64">
            <v>47</v>
          </cell>
          <cell r="W64">
            <v>5</v>
          </cell>
        </row>
        <row r="65">
          <cell r="U65">
            <v>9</v>
          </cell>
          <cell r="V65">
            <v>58</v>
          </cell>
          <cell r="W65">
            <v>5</v>
          </cell>
        </row>
        <row r="66">
          <cell r="Q66">
            <v>0</v>
          </cell>
          <cell r="R66">
            <v>0</v>
          </cell>
          <cell r="S66">
            <v>0</v>
          </cell>
          <cell r="U66">
            <v>10</v>
          </cell>
          <cell r="V66">
            <v>70</v>
          </cell>
          <cell r="W66">
            <v>6</v>
          </cell>
        </row>
        <row r="67">
          <cell r="Q67">
            <v>1</v>
          </cell>
          <cell r="R67">
            <v>2</v>
          </cell>
          <cell r="S67">
            <v>2</v>
          </cell>
        </row>
        <row r="68">
          <cell r="Q68">
            <v>2</v>
          </cell>
          <cell r="R68">
            <v>6</v>
          </cell>
          <cell r="S68">
            <v>3</v>
          </cell>
        </row>
        <row r="69">
          <cell r="Q69">
            <v>3</v>
          </cell>
          <cell r="R69">
            <v>11</v>
          </cell>
          <cell r="S69">
            <v>4</v>
          </cell>
        </row>
        <row r="70">
          <cell r="Q70">
            <v>4</v>
          </cell>
          <cell r="R70">
            <v>17</v>
          </cell>
          <cell r="S70">
            <v>5</v>
          </cell>
          <cell r="U70">
            <v>0</v>
          </cell>
          <cell r="V70">
            <v>0</v>
          </cell>
          <cell r="W70">
            <v>0</v>
          </cell>
        </row>
        <row r="71">
          <cell r="Q71">
            <v>5</v>
          </cell>
          <cell r="R71">
            <v>25</v>
          </cell>
          <cell r="S71">
            <v>6</v>
          </cell>
          <cell r="U71">
            <v>1</v>
          </cell>
          <cell r="V71">
            <v>1</v>
          </cell>
          <cell r="W71">
            <v>1</v>
          </cell>
        </row>
        <row r="72">
          <cell r="Q72">
            <v>6</v>
          </cell>
          <cell r="R72">
            <v>35</v>
          </cell>
          <cell r="S72">
            <v>7</v>
          </cell>
          <cell r="U72">
            <v>2</v>
          </cell>
          <cell r="V72">
            <v>2</v>
          </cell>
          <cell r="W72">
            <v>2</v>
          </cell>
        </row>
        <row r="73">
          <cell r="Q73">
            <v>7</v>
          </cell>
          <cell r="R73">
            <v>46</v>
          </cell>
          <cell r="S73">
            <v>8</v>
          </cell>
          <cell r="U73">
            <v>3</v>
          </cell>
          <cell r="V73">
            <v>3</v>
          </cell>
          <cell r="W73">
            <v>2</v>
          </cell>
        </row>
        <row r="74">
          <cell r="Q74">
            <v>8</v>
          </cell>
          <cell r="R74">
            <v>58</v>
          </cell>
          <cell r="S74">
            <v>9</v>
          </cell>
          <cell r="U74">
            <v>4</v>
          </cell>
          <cell r="V74">
            <v>5</v>
          </cell>
          <cell r="W74">
            <v>3</v>
          </cell>
        </row>
        <row r="75">
          <cell r="Q75">
            <v>9</v>
          </cell>
          <cell r="R75">
            <v>72</v>
          </cell>
          <cell r="S75">
            <v>10</v>
          </cell>
          <cell r="U75">
            <v>5</v>
          </cell>
          <cell r="V75">
            <v>7</v>
          </cell>
          <cell r="W75">
            <v>3</v>
          </cell>
        </row>
        <row r="76">
          <cell r="Q76">
            <v>10</v>
          </cell>
          <cell r="R76">
            <v>88</v>
          </cell>
          <cell r="S76">
            <v>11</v>
          </cell>
          <cell r="U76">
            <v>6</v>
          </cell>
          <cell r="V76">
            <v>11</v>
          </cell>
          <cell r="W76">
            <v>3</v>
          </cell>
        </row>
        <row r="77">
          <cell r="Q77">
            <v>11</v>
          </cell>
          <cell r="R77">
            <v>106</v>
          </cell>
          <cell r="S77">
            <v>12</v>
          </cell>
          <cell r="U77">
            <v>7</v>
          </cell>
          <cell r="V77">
            <v>15</v>
          </cell>
          <cell r="W77">
            <v>4</v>
          </cell>
        </row>
        <row r="78">
          <cell r="Q78">
            <v>12</v>
          </cell>
          <cell r="R78">
            <v>126</v>
          </cell>
          <cell r="S78">
            <v>13</v>
          </cell>
          <cell r="U78">
            <v>8</v>
          </cell>
          <cell r="V78">
            <v>19</v>
          </cell>
          <cell r="W78">
            <v>4</v>
          </cell>
        </row>
        <row r="79">
          <cell r="Q79">
            <v>13</v>
          </cell>
          <cell r="R79">
            <v>147</v>
          </cell>
          <cell r="S79">
            <v>14</v>
          </cell>
          <cell r="U79">
            <v>9</v>
          </cell>
          <cell r="V79">
            <v>23</v>
          </cell>
          <cell r="W79">
            <v>4</v>
          </cell>
        </row>
        <row r="80">
          <cell r="Q80">
            <v>14</v>
          </cell>
          <cell r="R80">
            <v>170</v>
          </cell>
          <cell r="S80">
            <v>15</v>
          </cell>
          <cell r="U80">
            <v>10</v>
          </cell>
          <cell r="V80">
            <v>27</v>
          </cell>
          <cell r="W80">
            <v>5</v>
          </cell>
        </row>
        <row r="81">
          <cell r="Q81">
            <v>15</v>
          </cell>
          <cell r="R81">
            <v>195</v>
          </cell>
          <cell r="S81">
            <v>16</v>
          </cell>
        </row>
        <row r="82">
          <cell r="Q82">
            <v>16</v>
          </cell>
          <cell r="R82">
            <v>221</v>
          </cell>
          <cell r="S82">
            <v>17</v>
          </cell>
        </row>
        <row r="83">
          <cell r="Q83">
            <v>17</v>
          </cell>
          <cell r="R83">
            <v>250</v>
          </cell>
          <cell r="S83">
            <v>18</v>
          </cell>
        </row>
        <row r="84">
          <cell r="Q84">
            <v>18</v>
          </cell>
          <cell r="R84">
            <v>280</v>
          </cell>
          <cell r="S84">
            <v>19</v>
          </cell>
          <cell r="U84">
            <v>0</v>
          </cell>
          <cell r="V84">
            <v>0</v>
          </cell>
          <cell r="W84">
            <v>0</v>
          </cell>
        </row>
        <row r="85">
          <cell r="Q85">
            <v>19</v>
          </cell>
          <cell r="R85">
            <v>311</v>
          </cell>
          <cell r="S85">
            <v>20</v>
          </cell>
          <cell r="U85">
            <v>1</v>
          </cell>
          <cell r="V85">
            <v>0</v>
          </cell>
          <cell r="W85">
            <v>0</v>
          </cell>
        </row>
        <row r="86">
          <cell r="Q86">
            <v>20</v>
          </cell>
          <cell r="R86">
            <v>343</v>
          </cell>
          <cell r="S86">
            <v>21</v>
          </cell>
          <cell r="U86">
            <v>2</v>
          </cell>
          <cell r="V86">
            <v>1</v>
          </cell>
          <cell r="W86">
            <v>0</v>
          </cell>
        </row>
        <row r="87">
          <cell r="U87">
            <v>3</v>
          </cell>
          <cell r="V87">
            <v>2</v>
          </cell>
          <cell r="W87">
            <v>0</v>
          </cell>
        </row>
        <row r="88">
          <cell r="U88">
            <v>4</v>
          </cell>
          <cell r="V88">
            <v>3</v>
          </cell>
          <cell r="W88">
            <v>0</v>
          </cell>
        </row>
        <row r="89">
          <cell r="U89">
            <v>5</v>
          </cell>
          <cell r="V89">
            <v>4</v>
          </cell>
          <cell r="W89">
            <v>1</v>
          </cell>
        </row>
        <row r="90">
          <cell r="Q90">
            <v>0</v>
          </cell>
          <cell r="R90">
            <v>0</v>
          </cell>
          <cell r="S90">
            <v>0</v>
          </cell>
          <cell r="U90">
            <v>6</v>
          </cell>
          <cell r="V90">
            <v>6</v>
          </cell>
          <cell r="W90">
            <v>2</v>
          </cell>
        </row>
        <row r="91">
          <cell r="Q91">
            <v>1</v>
          </cell>
          <cell r="R91">
            <v>1</v>
          </cell>
          <cell r="S91">
            <v>1</v>
          </cell>
          <cell r="U91">
            <v>7</v>
          </cell>
          <cell r="V91">
            <v>8</v>
          </cell>
          <cell r="W91">
            <v>2</v>
          </cell>
        </row>
        <row r="92">
          <cell r="Q92">
            <v>2</v>
          </cell>
          <cell r="R92">
            <v>2</v>
          </cell>
          <cell r="S92">
            <v>2</v>
          </cell>
          <cell r="U92">
            <v>8</v>
          </cell>
          <cell r="V92">
            <v>10</v>
          </cell>
          <cell r="W92">
            <v>3</v>
          </cell>
        </row>
        <row r="93">
          <cell r="Q93">
            <v>3</v>
          </cell>
          <cell r="R93">
            <v>3</v>
          </cell>
          <cell r="S93">
            <v>3</v>
          </cell>
          <cell r="U93">
            <v>9</v>
          </cell>
          <cell r="V93">
            <v>12</v>
          </cell>
          <cell r="W93">
            <v>3</v>
          </cell>
        </row>
        <row r="94">
          <cell r="Q94">
            <v>4</v>
          </cell>
          <cell r="R94">
            <v>5</v>
          </cell>
          <cell r="S94">
            <v>4</v>
          </cell>
          <cell r="U94">
            <v>10</v>
          </cell>
          <cell r="V94">
            <v>14</v>
          </cell>
          <cell r="W94">
            <v>4</v>
          </cell>
        </row>
        <row r="95">
          <cell r="Q95">
            <v>5</v>
          </cell>
          <cell r="R95">
            <v>7</v>
          </cell>
          <cell r="S95">
            <v>5</v>
          </cell>
          <cell r="U95">
            <v>11</v>
          </cell>
          <cell r="V95">
            <v>18</v>
          </cell>
          <cell r="W95">
            <v>4</v>
          </cell>
        </row>
        <row r="96">
          <cell r="Q96">
            <v>6</v>
          </cell>
          <cell r="R96">
            <v>11</v>
          </cell>
          <cell r="S96">
            <v>6</v>
          </cell>
          <cell r="U96">
            <v>12</v>
          </cell>
          <cell r="V96">
            <v>22</v>
          </cell>
          <cell r="W96">
            <v>5</v>
          </cell>
        </row>
        <row r="97">
          <cell r="Q97">
            <v>7</v>
          </cell>
          <cell r="R97">
            <v>15</v>
          </cell>
          <cell r="S97">
            <v>7</v>
          </cell>
          <cell r="U97">
            <v>13</v>
          </cell>
          <cell r="V97">
            <v>26</v>
          </cell>
          <cell r="W97">
            <v>5</v>
          </cell>
        </row>
        <row r="98">
          <cell r="Q98">
            <v>8</v>
          </cell>
          <cell r="R98">
            <v>19</v>
          </cell>
          <cell r="S98">
            <v>8</v>
          </cell>
          <cell r="U98">
            <v>14</v>
          </cell>
          <cell r="V98">
            <v>30</v>
          </cell>
          <cell r="W98">
            <v>6</v>
          </cell>
        </row>
        <row r="99">
          <cell r="Q99">
            <v>9</v>
          </cell>
          <cell r="R99">
            <v>23</v>
          </cell>
          <cell r="S99">
            <v>9</v>
          </cell>
          <cell r="U99">
            <v>15</v>
          </cell>
          <cell r="V99">
            <v>35</v>
          </cell>
          <cell r="W99">
            <v>6</v>
          </cell>
        </row>
        <row r="100">
          <cell r="Q100">
            <v>10</v>
          </cell>
          <cell r="R100">
            <v>27</v>
          </cell>
          <cell r="S100">
            <v>10</v>
          </cell>
          <cell r="U100">
            <v>16</v>
          </cell>
          <cell r="V100">
            <v>40</v>
          </cell>
          <cell r="W100">
            <v>7</v>
          </cell>
        </row>
        <row r="101">
          <cell r="Q101">
            <v>11</v>
          </cell>
          <cell r="R101">
            <v>35</v>
          </cell>
          <cell r="S101">
            <v>11</v>
          </cell>
          <cell r="U101">
            <v>17</v>
          </cell>
          <cell r="V101">
            <v>45</v>
          </cell>
          <cell r="W101">
            <v>7</v>
          </cell>
        </row>
        <row r="102">
          <cell r="Q102">
            <v>12</v>
          </cell>
          <cell r="R102">
            <v>43</v>
          </cell>
          <cell r="S102">
            <v>12</v>
          </cell>
          <cell r="U102">
            <v>18</v>
          </cell>
          <cell r="V102">
            <v>50</v>
          </cell>
          <cell r="W102">
            <v>8</v>
          </cell>
        </row>
        <row r="103">
          <cell r="Q103">
            <v>13</v>
          </cell>
          <cell r="R103">
            <v>51</v>
          </cell>
          <cell r="S103">
            <v>13</v>
          </cell>
          <cell r="U103">
            <v>19</v>
          </cell>
          <cell r="V103">
            <v>55</v>
          </cell>
          <cell r="W103">
            <v>8</v>
          </cell>
        </row>
        <row r="104">
          <cell r="Q104">
            <v>14</v>
          </cell>
          <cell r="R104">
            <v>59</v>
          </cell>
          <cell r="S104">
            <v>14</v>
          </cell>
          <cell r="U104">
            <v>20</v>
          </cell>
          <cell r="V104">
            <v>62</v>
          </cell>
          <cell r="W104">
            <v>9</v>
          </cell>
        </row>
        <row r="105">
          <cell r="Q105">
            <v>15</v>
          </cell>
          <cell r="R105">
            <v>67</v>
          </cell>
          <cell r="S105">
            <v>15</v>
          </cell>
        </row>
        <row r="106">
          <cell r="Q106">
            <v>16</v>
          </cell>
          <cell r="R106">
            <v>79</v>
          </cell>
          <cell r="S106">
            <v>16</v>
          </cell>
        </row>
        <row r="107">
          <cell r="Q107">
            <v>17</v>
          </cell>
          <cell r="R107">
            <v>91</v>
          </cell>
          <cell r="S107">
            <v>17</v>
          </cell>
        </row>
        <row r="108">
          <cell r="Q108">
            <v>18</v>
          </cell>
          <cell r="R108">
            <v>103</v>
          </cell>
          <cell r="S108">
            <v>18</v>
          </cell>
        </row>
        <row r="109">
          <cell r="Q109">
            <v>19</v>
          </cell>
          <cell r="R109">
            <v>115</v>
          </cell>
          <cell r="S109">
            <v>19</v>
          </cell>
        </row>
        <row r="110">
          <cell r="Q110">
            <v>20</v>
          </cell>
          <cell r="R110">
            <v>127</v>
          </cell>
          <cell r="S110">
            <v>20</v>
          </cell>
        </row>
      </sheetData>
      <sheetData sheetId="58" refreshError="1"/>
      <sheetData sheetId="59" refreshError="1"/>
      <sheetData sheetId="60" refreshError="1"/>
      <sheetData sheetId="61">
        <row r="1">
          <cell r="A1">
            <v>2</v>
          </cell>
          <cell r="B1" t="str">
            <v>Barbarian</v>
          </cell>
          <cell r="C1">
            <v>160</v>
          </cell>
        </row>
        <row r="2">
          <cell r="A2">
            <v>3</v>
          </cell>
          <cell r="B2" t="str">
            <v>Bard</v>
          </cell>
          <cell r="C2">
            <v>160</v>
          </cell>
        </row>
        <row r="3">
          <cell r="A3">
            <v>4</v>
          </cell>
          <cell r="B3" t="str">
            <v>Cleric</v>
          </cell>
          <cell r="C3">
            <v>200</v>
          </cell>
        </row>
        <row r="4">
          <cell r="A4">
            <v>5</v>
          </cell>
          <cell r="B4" t="str">
            <v>Druid</v>
          </cell>
          <cell r="C4">
            <v>80</v>
          </cell>
        </row>
        <row r="5">
          <cell r="A5">
            <v>6</v>
          </cell>
          <cell r="B5" t="str">
            <v>Fighter</v>
          </cell>
          <cell r="C5">
            <v>240</v>
          </cell>
        </row>
        <row r="6">
          <cell r="A6">
            <v>7</v>
          </cell>
          <cell r="B6" t="str">
            <v>Monk</v>
          </cell>
          <cell r="C6">
            <v>20</v>
          </cell>
        </row>
        <row r="7">
          <cell r="A7">
            <v>8</v>
          </cell>
          <cell r="B7" t="str">
            <v>Paladin</v>
          </cell>
          <cell r="C7">
            <v>240</v>
          </cell>
        </row>
        <row r="8">
          <cell r="A8">
            <v>9</v>
          </cell>
          <cell r="B8" t="str">
            <v>Ranger</v>
          </cell>
          <cell r="C8">
            <v>240</v>
          </cell>
        </row>
        <row r="9">
          <cell r="A9">
            <v>10</v>
          </cell>
          <cell r="B9" t="str">
            <v>Rogue</v>
          </cell>
          <cell r="C9">
            <v>200</v>
          </cell>
        </row>
        <row r="10">
          <cell r="A10">
            <v>11</v>
          </cell>
          <cell r="B10" t="str">
            <v>Sorcerer</v>
          </cell>
          <cell r="C10">
            <v>120</v>
          </cell>
        </row>
        <row r="11">
          <cell r="A11">
            <v>12</v>
          </cell>
          <cell r="B11" t="str">
            <v>Wizard</v>
          </cell>
          <cell r="C11">
            <v>120</v>
          </cell>
        </row>
        <row r="12">
          <cell r="A12">
            <v>14</v>
          </cell>
          <cell r="B12" t="str">
            <v>Beguiler</v>
          </cell>
          <cell r="C12">
            <v>240</v>
          </cell>
        </row>
        <row r="13">
          <cell r="A13">
            <v>17</v>
          </cell>
          <cell r="B13" t="str">
            <v>Knight</v>
          </cell>
          <cell r="C13">
            <v>240</v>
          </cell>
        </row>
        <row r="14">
          <cell r="A14">
            <v>19</v>
          </cell>
          <cell r="B14" t="str">
            <v>Hexblade</v>
          </cell>
          <cell r="C14">
            <v>240</v>
          </cell>
        </row>
        <row r="15">
          <cell r="A15">
            <v>21</v>
          </cell>
          <cell r="B15" t="str">
            <v>Swashbuckler</v>
          </cell>
          <cell r="C15">
            <v>240</v>
          </cell>
        </row>
        <row r="16">
          <cell r="A16">
            <v>23</v>
          </cell>
          <cell r="B16" t="str">
            <v>Favored Soul</v>
          </cell>
          <cell r="C16">
            <v>200</v>
          </cell>
        </row>
        <row r="17">
          <cell r="A17">
            <v>28</v>
          </cell>
          <cell r="B17" t="str">
            <v>Warmage</v>
          </cell>
          <cell r="C17">
            <v>120</v>
          </cell>
        </row>
        <row r="18">
          <cell r="A18">
            <v>32</v>
          </cell>
          <cell r="B18" t="str">
            <v>Scout</v>
          </cell>
          <cell r="C18">
            <v>200</v>
          </cell>
        </row>
        <row r="19">
          <cell r="A19">
            <v>48</v>
          </cell>
          <cell r="B19" t="str">
            <v>Healer</v>
          </cell>
          <cell r="C19">
            <v>160</v>
          </cell>
        </row>
        <row r="20">
          <cell r="A20">
            <v>49</v>
          </cell>
          <cell r="B20" t="str">
            <v>Marshal</v>
          </cell>
          <cell r="C20">
            <v>200</v>
          </cell>
        </row>
        <row r="21">
          <cell r="A21">
            <v>697</v>
          </cell>
          <cell r="B21" t="str">
            <v>Desert Centaur</v>
          </cell>
          <cell r="C21">
            <v>200</v>
          </cell>
        </row>
      </sheetData>
      <sheetData sheetId="62" refreshError="1"/>
      <sheetData sheetId="63" refreshError="1"/>
      <sheetData sheetId="64">
        <row r="1">
          <cell r="B1" t="str">
            <v>Saving Throw</v>
          </cell>
          <cell r="O1" t="b">
            <v>0</v>
          </cell>
        </row>
        <row r="2">
          <cell r="A2" t="str">
            <v>Law</v>
          </cell>
          <cell r="B2" t="str">
            <v>Fortitude</v>
          </cell>
          <cell r="N2" t="str">
            <v>Select a special ability or extra feat</v>
          </cell>
          <cell r="O2" t="b">
            <v>0</v>
          </cell>
          <cell r="P2" t="str">
            <v>Select a Terrain</v>
          </cell>
          <cell r="Q2" t="str">
            <v/>
          </cell>
        </row>
        <row r="3">
          <cell r="A3" t="str">
            <v>Chaos</v>
          </cell>
          <cell r="B3" t="str">
            <v>Reflex</v>
          </cell>
          <cell r="L3" t="str">
            <v>Select A Level</v>
          </cell>
          <cell r="N3" t="str">
            <v>Crippling Strike</v>
          </cell>
          <cell r="O3" t="b">
            <v>0</v>
          </cell>
          <cell r="P3" t="str">
            <v>Aquatic</v>
          </cell>
          <cell r="Q3" t="str">
            <v>Leopard spots appear on your body.</v>
          </cell>
          <cell r="U3" t="str">
            <v/>
          </cell>
        </row>
        <row r="4">
          <cell r="A4" t="str">
            <v>Good</v>
          </cell>
          <cell r="B4" t="str">
            <v>Will</v>
          </cell>
          <cell r="L4">
            <v>1</v>
          </cell>
          <cell r="N4" t="str">
            <v>Defensive Roll</v>
          </cell>
          <cell r="O4" t="b">
            <v>0</v>
          </cell>
          <cell r="P4" t="str">
            <v>Desert</v>
          </cell>
          <cell r="Q4" t="str">
            <v>You grow a cat's tail.</v>
          </cell>
        </row>
        <row r="5">
          <cell r="A5" t="str">
            <v>Evil</v>
          </cell>
          <cell r="L5">
            <v>2</v>
          </cell>
          <cell r="N5" t="str">
            <v>Improved Evasion</v>
          </cell>
          <cell r="O5" t="b">
            <v>0</v>
          </cell>
          <cell r="P5" t="str">
            <v>Forest</v>
          </cell>
          <cell r="Q5" t="str">
            <v>You sprout feathers (but not wings).</v>
          </cell>
        </row>
        <row r="6">
          <cell r="L6">
            <v>3</v>
          </cell>
          <cell r="N6" t="str">
            <v>Opportunist</v>
          </cell>
          <cell r="O6" t="b">
            <v>0</v>
          </cell>
          <cell r="P6" t="str">
            <v>Hills</v>
          </cell>
          <cell r="Q6" t="str">
            <v>Your eyebrows become green and bushy.</v>
          </cell>
        </row>
        <row r="7">
          <cell r="L7">
            <v>4</v>
          </cell>
          <cell r="N7" t="str">
            <v>Skill Mastery</v>
          </cell>
          <cell r="O7" t="b">
            <v>0</v>
          </cell>
          <cell r="P7" t="str">
            <v>Marsh</v>
          </cell>
          <cell r="Q7" t="str">
            <v>Your hair becomes a tangle of short vines.</v>
          </cell>
        </row>
        <row r="8">
          <cell r="L8">
            <v>5</v>
          </cell>
          <cell r="N8" t="str">
            <v>Slippery Mind</v>
          </cell>
          <cell r="O8" t="b">
            <v>0</v>
          </cell>
          <cell r="P8" t="str">
            <v>Mountains</v>
          </cell>
          <cell r="Q8" t="str">
            <v>Light, downy fur covers your skin.</v>
          </cell>
        </row>
        <row r="9">
          <cell r="L9">
            <v>6</v>
          </cell>
          <cell r="N9" t="str">
            <v>Extra Feat</v>
          </cell>
          <cell r="P9" t="str">
            <v>Plains</v>
          </cell>
          <cell r="Q9" t="str">
            <v>Your skin turns green and scaly.</v>
          </cell>
        </row>
        <row r="10">
          <cell r="L10">
            <v>7</v>
          </cell>
          <cell r="N10" t="str">
            <v>Evasion</v>
          </cell>
          <cell r="O10" t="b">
            <v>0</v>
          </cell>
          <cell r="P10" t="str">
            <v>Underground</v>
          </cell>
          <cell r="Q10" t="str">
            <v>Your touch causes flowers to wilt.</v>
          </cell>
        </row>
        <row r="11">
          <cell r="L11">
            <v>8</v>
          </cell>
          <cell r="N11" t="str">
            <v/>
          </cell>
          <cell r="O11" t="b">
            <v>0</v>
          </cell>
          <cell r="P11" t="str">
            <v>-- Planar Terrains --</v>
          </cell>
          <cell r="Q11" t="str">
            <v>Your voice sounds like a dog's, though it is still intelligible.</v>
          </cell>
        </row>
        <row r="12">
          <cell r="L12">
            <v>9</v>
          </cell>
          <cell r="N12" t="str">
            <v/>
          </cell>
          <cell r="P12" t="str">
            <v>Fiery</v>
          </cell>
          <cell r="Q12" t="str">
            <v>Zebra stripes appear on your body.</v>
          </cell>
        </row>
        <row r="13">
          <cell r="L13">
            <v>10</v>
          </cell>
          <cell r="P13" t="str">
            <v>Weightless</v>
          </cell>
          <cell r="Q13" t="str">
            <v>Stage 2</v>
          </cell>
          <cell r="U13" t="str">
            <v/>
          </cell>
        </row>
        <row r="14">
          <cell r="L14">
            <v>11</v>
          </cell>
          <cell r="P14" t="str">
            <v>Cold</v>
          </cell>
          <cell r="Q14" t="str">
            <v>A small camel's hump grows on your back</v>
          </cell>
          <cell r="R14" t="str">
            <v xml:space="preserve">  You can go without water for up to five days.</v>
          </cell>
        </row>
        <row r="15">
          <cell r="L15">
            <v>12</v>
          </cell>
          <cell r="P15" t="str">
            <v>Shifting</v>
          </cell>
          <cell r="Q15" t="str">
            <v>You grow a coat of white fur like a polar bear's</v>
          </cell>
          <cell r="R15" t="str">
            <v xml:space="preserve">  You gain a +8 bonus on Hide checks in snowy areas.</v>
          </cell>
        </row>
        <row r="16">
          <cell r="L16">
            <v>13</v>
          </cell>
          <cell r="P16" t="str">
            <v>Aligned</v>
          </cell>
          <cell r="Q16" t="str">
            <v>The pads of your feet become sticky, like those of a lizard</v>
          </cell>
          <cell r="R16" t="str">
            <v xml:space="preserve">  You gain a +4 bonus on Climb checks.</v>
          </cell>
        </row>
        <row r="17">
          <cell r="L17">
            <v>14</v>
          </cell>
          <cell r="P17" t="str">
            <v>Cavernous</v>
          </cell>
          <cell r="Q17" t="str">
            <v>You become as swift as an elk</v>
          </cell>
          <cell r="R17" t="str">
            <v xml:space="preserve">  Your land speed increases by +5 feet.</v>
          </cell>
        </row>
        <row r="18">
          <cell r="L18">
            <v>15</v>
          </cell>
          <cell r="P18" t="str">
            <v>Other…</v>
          </cell>
          <cell r="Q18" t="str">
            <v>You become as comely as a dryad</v>
          </cell>
          <cell r="R18" t="str">
            <v xml:space="preserve">  You gain a +4 bonus on Diplomacy checks.</v>
          </cell>
        </row>
        <row r="19">
          <cell r="L19">
            <v>16</v>
          </cell>
          <cell r="Q19" t="str">
            <v>You become as graceful as a cat</v>
          </cell>
          <cell r="R19" t="str">
            <v xml:space="preserve">  You gain a +4 bonus on Balance checks.</v>
          </cell>
          <cell r="U19" t="str">
            <v/>
          </cell>
        </row>
        <row r="20">
          <cell r="L20">
            <v>17</v>
          </cell>
          <cell r="Q20" t="str">
            <v>You sprout leaves and become photosynthetic</v>
          </cell>
          <cell r="R20" t="str">
            <v xml:space="preserve">  You can subsist on 1 hour/day of sunlight in lieu of food, though you
  still require the same amount of water as before.</v>
          </cell>
        </row>
        <row r="21">
          <cell r="L21">
            <v>18</v>
          </cell>
          <cell r="Q21" t="str">
            <v>Your blood flows as slowly as tree sap</v>
          </cell>
          <cell r="R21" t="str">
            <v xml:space="preserve">  The speed at which progressive damage, such as that from
  wounding or decomposition, affect you is halved.</v>
          </cell>
        </row>
        <row r="22">
          <cell r="L22">
            <v>19</v>
          </cell>
          <cell r="Q22" t="str">
            <v>Your eyes become as sharp as a rat's</v>
          </cell>
          <cell r="R22" t="str">
            <v xml:space="preserve">  You gain low-light vision.</v>
          </cell>
        </row>
        <row r="23">
          <cell r="L23">
            <v>20</v>
          </cell>
          <cell r="P23" t="str">
            <v/>
          </cell>
          <cell r="Q23" t="str">
            <v>Your skin adapts like that of an octopus</v>
          </cell>
          <cell r="R23" t="str">
            <v xml:space="preserve">  You can change color to blend with your surroundings, gaining a +4
  bonus on Hide checks.</v>
          </cell>
        </row>
        <row r="24">
          <cell r="L24">
            <v>21</v>
          </cell>
          <cell r="P24" t="str">
            <v/>
          </cell>
          <cell r="Q24" t="str">
            <v>Stage 3</v>
          </cell>
        </row>
        <row r="25">
          <cell r="I25" t="str">
            <v>Select a school</v>
          </cell>
          <cell r="L25">
            <v>22</v>
          </cell>
          <cell r="P25" t="str">
            <v/>
          </cell>
          <cell r="Q25" t="str">
            <v>Deer antlers grow from your forehead</v>
          </cell>
          <cell r="R25" t="str">
            <v xml:space="preserve">  You gain a gore attack for 1d6 points of damage.</v>
          </cell>
        </row>
        <row r="26">
          <cell r="I26" t="str">
            <v>Abjuration</v>
          </cell>
          <cell r="L26">
            <v>23</v>
          </cell>
          <cell r="O26">
            <v>0</v>
          </cell>
          <cell r="Q26" t="str">
            <v>Thorns grow on your body</v>
          </cell>
          <cell r="R26" t="str">
            <v xml:space="preserve">  Your unarmed attacks do piercing damage, and those striking you
  with natural weapons suffer 1d3 points of piercing damage per
  successful hit.</v>
          </cell>
        </row>
        <row r="27">
          <cell r="I27" t="str">
            <v>Conjuration</v>
          </cell>
          <cell r="L27">
            <v>24</v>
          </cell>
          <cell r="P27" t="str">
            <v/>
          </cell>
          <cell r="Q27" t="str">
            <v>You can constrict like a snake</v>
          </cell>
          <cell r="R27" t="str">
            <v xml:space="preserve">  You deal 1d3 points of damage with a successful grapple check
  against a creature your size or smaller.</v>
          </cell>
          <cell r="U27" t="str">
            <v>Pragon'sPath</v>
          </cell>
          <cell r="W27" t="str">
            <v>dexterity</v>
          </cell>
        </row>
        <row r="28">
          <cell r="I28" t="str">
            <v>Divination</v>
          </cell>
          <cell r="L28">
            <v>25</v>
          </cell>
          <cell r="P28" t="str">
            <v/>
          </cell>
          <cell r="Q28" t="str">
            <v>You can spin a web like a spider</v>
          </cell>
          <cell r="R28" t="str">
            <v xml:space="preserve">  You can use your web to snare prey as described in the monstrous
  spider enry in the Monster Manual, but you cannot attack with it.</v>
          </cell>
          <cell r="U28" t="str">
            <v>Dardallion</v>
          </cell>
          <cell r="V28" t="str">
            <v>reflex</v>
          </cell>
          <cell r="W28" t="str">
            <v>wisdom</v>
          </cell>
        </row>
        <row r="29">
          <cell r="I29" t="str">
            <v>Enchantment</v>
          </cell>
          <cell r="L29">
            <v>26</v>
          </cell>
          <cell r="P29" t="str">
            <v/>
          </cell>
          <cell r="Q29" t="str">
            <v>You sprout fish gills</v>
          </cell>
          <cell r="R29" t="str">
            <v xml:space="preserve">  You can breathe both water and air.</v>
          </cell>
          <cell r="U29" t="str">
            <v>Imdasrti</v>
          </cell>
          <cell r="V29" t="str">
            <v>will</v>
          </cell>
          <cell r="W29" t="str">
            <v>intelligence</v>
          </cell>
        </row>
        <row r="30">
          <cell r="G30" t="str">
            <v>No strength bonus</v>
          </cell>
          <cell r="I30" t="str">
            <v>Evocation</v>
          </cell>
          <cell r="L30">
            <v>27</v>
          </cell>
          <cell r="P30" t="str">
            <v/>
          </cell>
          <cell r="Q30" t="str">
            <v>Your eyes become as sharp as an eagle's</v>
          </cell>
          <cell r="R30" t="str">
            <v xml:space="preserve">  You gain a +4 bonus on Spot checks in daylight.</v>
          </cell>
          <cell r="U30" t="str">
            <v>Ktolemagne</v>
          </cell>
          <cell r="V30" t="str">
            <v>will</v>
          </cell>
          <cell r="W30" t="str">
            <v>constitution</v>
          </cell>
        </row>
        <row r="31">
          <cell r="G31" t="str">
            <v>Half strength bonus</v>
          </cell>
          <cell r="I31" t="str">
            <v>Illusion</v>
          </cell>
          <cell r="L31">
            <v>28</v>
          </cell>
          <cell r="Q31" t="str">
            <v>Your eyes become as sharp as an owl's</v>
          </cell>
          <cell r="R31" t="str">
            <v xml:space="preserve">  You gain a +4 bonus on Spot checks in dusk and darkness.</v>
          </cell>
          <cell r="U31" t="str">
            <v>Orsos</v>
          </cell>
          <cell r="V31" t="str">
            <v>fortitude</v>
          </cell>
          <cell r="W31" t="str">
            <v>charisma</v>
          </cell>
        </row>
        <row r="32">
          <cell r="G32" t="str">
            <v>Full strength bonus</v>
          </cell>
          <cell r="I32" t="str">
            <v>Necromancy</v>
          </cell>
          <cell r="L32">
            <v>29</v>
          </cell>
          <cell r="P32" t="str">
            <v/>
          </cell>
          <cell r="Q32" t="str">
            <v>Your fingers grow hawklike talons</v>
          </cell>
          <cell r="R32" t="str">
            <v xml:space="preserve">  You gain the Weapon Finesse feat and can make two claw attacks
  per round for 1d3 points of damage each.</v>
          </cell>
          <cell r="U32" t="str">
            <v>Sir Reikhardt</v>
          </cell>
          <cell r="V32" t="str">
            <v>will</v>
          </cell>
          <cell r="W32" t="str">
            <v>strength</v>
          </cell>
        </row>
        <row r="33">
          <cell r="A33" t="str">
            <v>Select a Weapon</v>
          </cell>
          <cell r="B33" t="str">
            <v/>
          </cell>
          <cell r="G33" t="str">
            <v>1.5x strength bonus</v>
          </cell>
          <cell r="I33" t="str">
            <v>Transmutation</v>
          </cell>
          <cell r="L33">
            <v>30</v>
          </cell>
          <cell r="P33" t="str">
            <v/>
          </cell>
          <cell r="Q33" t="str">
            <v>Your mouth extends like a crocodile's</v>
          </cell>
          <cell r="R33" t="str">
            <v xml:space="preserve">  You gain a bite attack for 1d6 points of damage.</v>
          </cell>
          <cell r="U33" t="str">
            <v>Sunyartra</v>
          </cell>
        </row>
        <row r="34">
          <cell r="A34" t="str">
            <v>Blowgun</v>
          </cell>
          <cell r="B34" t="str">
            <v/>
          </cell>
          <cell r="G34" t="str">
            <v>2x strength bonus</v>
          </cell>
          <cell r="I34" t="str">
            <v>Good</v>
          </cell>
          <cell r="L34">
            <v>31</v>
          </cell>
          <cell r="P34" t="str">
            <v/>
          </cell>
          <cell r="Q34" t="str">
            <v>Your toes grow lionlike claws</v>
          </cell>
          <cell r="R34" t="str">
            <v xml:space="preserve">  You can make two rake attacks for 1d4 points of damage each if you
  gain a hold on your target.</v>
          </cell>
        </row>
        <row r="35">
          <cell r="A35" t="str">
            <v>Chain, Spiked</v>
          </cell>
          <cell r="B35" t="str">
            <v/>
          </cell>
          <cell r="I35" t="str">
            <v/>
          </cell>
          <cell r="L35">
            <v>32</v>
          </cell>
          <cell r="P35" t="str">
            <v/>
          </cell>
          <cell r="Q35" t="str">
            <v>Stage 4</v>
          </cell>
        </row>
        <row r="36">
          <cell r="A36" t="str">
            <v>Chijiriki</v>
          </cell>
          <cell r="B36" t="str">
            <v/>
          </cell>
          <cell r="I36" t="str">
            <v>Law</v>
          </cell>
          <cell r="L36">
            <v>33</v>
          </cell>
          <cell r="P36" t="str">
            <v/>
          </cell>
          <cell r="Q36" t="str">
            <v>You grow an acid stinger like that of a giant ant</v>
          </cell>
          <cell r="R36" t="str">
            <v xml:space="preserve">  You can sting for 1d4 points of piercing damage +1d4 points of acid
  damage.</v>
          </cell>
        </row>
        <row r="37">
          <cell r="A37" t="str">
            <v>Crossbow, Hand</v>
          </cell>
          <cell r="G37">
            <v>0</v>
          </cell>
          <cell r="I37" t="str">
            <v/>
          </cell>
          <cell r="L37">
            <v>34</v>
          </cell>
          <cell r="P37" t="str">
            <v/>
          </cell>
          <cell r="Q37" t="str">
            <v>You can trip like a wolf</v>
          </cell>
          <cell r="R37" t="str">
            <v xml:space="preserve">  If you hit with a natural attack, you can attempt to trip your target as a
  free action; see the wolf entry in the Monster Manual.</v>
          </cell>
        </row>
        <row r="38">
          <cell r="A38" t="str">
            <v>Fan, War</v>
          </cell>
          <cell r="E38" t="str">
            <v>Select Energy Type</v>
          </cell>
          <cell r="G38">
            <v>-1</v>
          </cell>
          <cell r="L38">
            <v>35</v>
          </cell>
          <cell r="P38" t="str">
            <v/>
          </cell>
          <cell r="Q38" t="str">
            <v>You can rage like a wolverine</v>
          </cell>
          <cell r="R38" t="str">
            <v xml:space="preserve">  If you take damage, you rage as a 1st level barbarian-See
  Barbarian in the Player's Handbook.</v>
          </cell>
        </row>
        <row r="39">
          <cell r="A39" t="str">
            <v>Fukimi-Bari</v>
          </cell>
          <cell r="E39" t="str">
            <v>Acid</v>
          </cell>
          <cell r="G39">
            <v>-1</v>
          </cell>
          <cell r="L39">
            <v>36</v>
          </cell>
          <cell r="Q39" t="str">
            <v>You gain a boar's ferocity</v>
          </cell>
          <cell r="R39" t="str">
            <v xml:space="preserve">  You continue to fight without penalty even while disabled or dying.</v>
          </cell>
        </row>
        <row r="40">
          <cell r="A40" t="str">
            <v>Kusari-Gama</v>
          </cell>
          <cell r="E40" t="str">
            <v>Cold</v>
          </cell>
          <cell r="G40">
            <v>-1</v>
          </cell>
          <cell r="L40">
            <v>37</v>
          </cell>
          <cell r="Q40" t="str">
            <v>You can grab like a bear</v>
          </cell>
          <cell r="R40" t="str">
            <v xml:space="preserve">  You gain the improved grab ability as described in the introduction of
  the Monster Manual.</v>
          </cell>
        </row>
        <row r="41">
          <cell r="A41" t="str">
            <v>Manriki-Gusari</v>
          </cell>
          <cell r="E41" t="str">
            <v>Electricity</v>
          </cell>
          <cell r="G41">
            <v>-2</v>
          </cell>
          <cell r="L41">
            <v>38</v>
          </cell>
          <cell r="P41" t="str">
            <v/>
          </cell>
          <cell r="Q41" t="str">
            <v>You can pounce like a leopard</v>
          </cell>
          <cell r="R41" t="str">
            <v xml:space="preserve">  If you charge a foe, you can make a full attack action even if you
  have already taken a move action.</v>
          </cell>
        </row>
        <row r="42">
          <cell r="A42" t="str">
            <v>Nekode</v>
          </cell>
          <cell r="E42" t="str">
            <v>Fire</v>
          </cell>
          <cell r="L42">
            <v>39</v>
          </cell>
          <cell r="P42" t="str">
            <v>Improved Disarm</v>
          </cell>
          <cell r="Q42" t="str">
            <v>Your hands become as strong as a gorilla's</v>
          </cell>
          <cell r="R42" t="str">
            <v xml:space="preserve">  You gain a +2 bonus on Strength checks to break objects.</v>
          </cell>
        </row>
        <row r="43">
          <cell r="A43" t="str">
            <v>Ninja-to</v>
          </cell>
          <cell r="C43" t="str">
            <v>Select Energy Type</v>
          </cell>
          <cell r="E43" t="str">
            <v>Sonic</v>
          </cell>
          <cell r="G43" t="str">
            <v>Select Element</v>
          </cell>
          <cell r="L43">
            <v>40</v>
          </cell>
          <cell r="P43" t="str">
            <v>Improved Trip</v>
          </cell>
          <cell r="Q43" t="str">
            <v>Your jaw becomes as powerful as a weasel's</v>
          </cell>
          <cell r="R43" t="str">
            <v xml:space="preserve">  You can attach to an opponent with a successful bite and inflict 1d3
  points of damage per round until unattached. However, you lose
  your Dexterity bonus to AC while attached.</v>
          </cell>
        </row>
        <row r="44">
          <cell r="A44" t="str">
            <v>Shikomi-Zue</v>
          </cell>
          <cell r="C44" t="str">
            <v>Cold</v>
          </cell>
          <cell r="G44" t="str">
            <v>Earth</v>
          </cell>
          <cell r="L44">
            <v>41</v>
          </cell>
          <cell r="P44" t="str">
            <v/>
          </cell>
          <cell r="Q44" t="str">
            <v>You can fire an ink cloud as does a squid</v>
          </cell>
          <cell r="R44" t="str">
            <v xml:space="preserve">  In water, you can emit a cloud of jet-black ink 10 feet on a side once
  per minute as a free action; this provides total concealment and those
  within the cloud suffer the effects of total darkness.</v>
          </cell>
        </row>
        <row r="45">
          <cell r="A45" t="str">
            <v>Shuriken</v>
          </cell>
          <cell r="C45" t="str">
            <v>Electricity</v>
          </cell>
          <cell r="G45" t="str">
            <v>Fire</v>
          </cell>
          <cell r="J45" t="str">
            <v>Core</v>
          </cell>
          <cell r="L45">
            <v>42</v>
          </cell>
          <cell r="P45" t="str">
            <v/>
          </cell>
          <cell r="Q45" t="str">
            <v>Your nose becomes as sensitive as a hound's</v>
          </cell>
          <cell r="R45" t="str">
            <v xml:space="preserve">  You gain the Scent ability out to 30-ft.</v>
          </cell>
        </row>
        <row r="46">
          <cell r="C46" t="str">
            <v>Fire</v>
          </cell>
          <cell r="G46" t="str">
            <v>Metal</v>
          </cell>
          <cell r="I46" t="str">
            <v>Select a Metamagic Feat</v>
          </cell>
          <cell r="J46" t="str">
            <v>Sheldomar</v>
          </cell>
          <cell r="L46">
            <v>43</v>
          </cell>
          <cell r="P46" t="str">
            <v>Fiery Ki Defense</v>
          </cell>
          <cell r="Q46" t="str">
            <v>Stage 5</v>
          </cell>
        </row>
        <row r="47">
          <cell r="C47" t="str">
            <v>Sonic</v>
          </cell>
          <cell r="G47" t="str">
            <v>Water</v>
          </cell>
          <cell r="I47" t="str">
            <v>Enlarge Spell</v>
          </cell>
          <cell r="J47" t="str">
            <v>Velverdyva</v>
          </cell>
          <cell r="L47">
            <v>44</v>
          </cell>
          <cell r="P47" t="str">
            <v>Ki Blast</v>
          </cell>
          <cell r="Q47" t="str">
            <v>You grow a unicorn horn</v>
          </cell>
          <cell r="R47" t="str">
            <v xml:space="preserve">  You gain a +4 bonus on Fortitude saves against poison and a gore
  attack for 1d8 points of damage.</v>
          </cell>
        </row>
        <row r="48">
          <cell r="G48" t="str">
            <v>Wood</v>
          </cell>
          <cell r="I48" t="str">
            <v>Extend Spell</v>
          </cell>
          <cell r="J48" t="str">
            <v>Iuz Border States</v>
          </cell>
          <cell r="L48">
            <v>45</v>
          </cell>
          <cell r="P48" t="str">
            <v/>
          </cell>
          <cell r="Q48" t="str">
            <v>Feathered or batlike wings grow from your back</v>
          </cell>
          <cell r="R48" t="str">
            <v xml:space="preserve">  You gain a fly speed of 60 feet.</v>
          </cell>
        </row>
        <row r="49">
          <cell r="I49" t="str">
            <v>Still Spell</v>
          </cell>
          <cell r="J49" t="str">
            <v>Nyrond</v>
          </cell>
          <cell r="L49">
            <v>46</v>
          </cell>
          <cell r="Q49" t="str">
            <v>You can curl into a spiny ball like a hedgehog</v>
          </cell>
          <cell r="R49" t="str">
            <v xml:space="preserve">  When curled, you gain a +4 natural armor bonus to AC, but you may
  not move or attack. Curling or uncurling is a standard action.</v>
          </cell>
        </row>
        <row r="50">
          <cell r="A50">
            <v>1</v>
          </cell>
          <cell r="B50">
            <v>0</v>
          </cell>
          <cell r="I50" t="str">
            <v>Silent Spell</v>
          </cell>
          <cell r="J50" t="str">
            <v>Splintered Suns</v>
          </cell>
          <cell r="L50">
            <v>47</v>
          </cell>
          <cell r="Q50" t="str">
            <v>You are as graceful as a pixie</v>
          </cell>
          <cell r="R50" t="str">
            <v xml:space="preserve">  You gain a +2 bonus on Reflex saves.</v>
          </cell>
        </row>
        <row r="51">
          <cell r="A51">
            <v>2</v>
          </cell>
          <cell r="B51">
            <v>0</v>
          </cell>
          <cell r="L51">
            <v>48</v>
          </cell>
          <cell r="Q51" t="str">
            <v>You gain the tremorsense of an earthworm</v>
          </cell>
          <cell r="R51" t="str">
            <v xml:space="preserve">  You can sense anything in contact of the ground within 30 feet of you.</v>
          </cell>
        </row>
        <row r="52">
          <cell r="A52">
            <v>3</v>
          </cell>
          <cell r="B52">
            <v>0</v>
          </cell>
          <cell r="L52">
            <v>49</v>
          </cell>
          <cell r="Q52" t="str">
            <v>Your canine teeth exude poison</v>
          </cell>
          <cell r="R52" t="str">
            <v xml:space="preserve">  If you hit with a bite attack, your target must make a Fortitude save
  (DC 10) against poison. Initial damage is 1d2 points of temporary
  Dexterity damage; secondary damage is 1d4 points of temporary
  Dexterity damage.</v>
          </cell>
        </row>
        <row r="53">
          <cell r="A53">
            <v>4</v>
          </cell>
          <cell r="B53">
            <v>0</v>
          </cell>
          <cell r="C53" t="str">
            <v>Select a Spellcasting Type</v>
          </cell>
          <cell r="E53" t="str">
            <v>Select Energy Type</v>
          </cell>
          <cell r="G53" t="str">
            <v>Select an Element</v>
          </cell>
          <cell r="H53" t="str">
            <v>Select Align.</v>
          </cell>
          <cell r="I53" t="str">
            <v>Select Crossbow Type</v>
          </cell>
          <cell r="J53" t="str">
            <v>Select a house</v>
          </cell>
          <cell r="L53">
            <v>50</v>
          </cell>
          <cell r="Q53" t="str">
            <v>Your senses become as sharp as a bat's</v>
          </cell>
          <cell r="R53" t="str">
            <v xml:space="preserve">  You gain the Blindsight feat.</v>
          </cell>
        </row>
        <row r="54">
          <cell r="A54">
            <v>5</v>
          </cell>
          <cell r="B54">
            <v>0</v>
          </cell>
          <cell r="C54" t="str">
            <v>arcane</v>
          </cell>
          <cell r="E54" t="str">
            <v>Acid</v>
          </cell>
          <cell r="G54" t="str">
            <v>Acid</v>
          </cell>
          <cell r="H54" t="str">
            <v>Lawful</v>
          </cell>
          <cell r="I54" t="str">
            <v>Crossbow, Hand</v>
          </cell>
          <cell r="J54" t="str">
            <v>Cranden</v>
          </cell>
          <cell r="L54">
            <v>51</v>
          </cell>
          <cell r="N54" t="str">
            <v>Select a Personality</v>
          </cell>
          <cell r="Q54" t="str">
            <v>Your feet extend to elephantine width</v>
          </cell>
          <cell r="R54" t="str">
            <v xml:space="preserve">  You gain the trample ability as described in the Monster Manual.
  Your trample attack does 2d4 points of bludgeoning damage, and the
  Reflex save DC is 9.</v>
          </cell>
        </row>
        <row r="55">
          <cell r="A55">
            <v>6</v>
          </cell>
          <cell r="B55">
            <v>0</v>
          </cell>
          <cell r="C55" t="str">
            <v>divine</v>
          </cell>
          <cell r="E55" t="str">
            <v>Cold</v>
          </cell>
          <cell r="G55" t="str">
            <v>Cold</v>
          </cell>
          <cell r="H55" t="str">
            <v/>
          </cell>
          <cell r="I55" t="str">
            <v>Crossbow, Light</v>
          </cell>
          <cell r="J55" t="str">
            <v>Darmen</v>
          </cell>
          <cell r="L55">
            <v>52</v>
          </cell>
          <cell r="N55" t="str">
            <v>Artiste</v>
          </cell>
          <cell r="Q55" t="str">
            <v>You can move like a cheetah</v>
          </cell>
          <cell r="R55" t="str">
            <v xml:space="preserve">  Once per hour, you can take a charge action to move ten times your
  normal speed.</v>
          </cell>
        </row>
        <row r="56">
          <cell r="A56">
            <v>7</v>
          </cell>
          <cell r="B56">
            <v>0</v>
          </cell>
          <cell r="E56" t="str">
            <v>Electricity</v>
          </cell>
          <cell r="G56" t="str">
            <v>Electricity</v>
          </cell>
          <cell r="H56" t="str">
            <v>Good</v>
          </cell>
          <cell r="I56" t="str">
            <v>Crossbow, Heavy</v>
          </cell>
          <cell r="J56" t="str">
            <v>Garasteth</v>
          </cell>
          <cell r="L56">
            <v>53</v>
          </cell>
          <cell r="N56" t="str">
            <v>Bully</v>
          </cell>
          <cell r="Q56" t="str">
            <v>Your skin becomes tree bark</v>
          </cell>
          <cell r="R56" t="str">
            <v xml:space="preserve">  You gain a +1 natural armor bonus to AC.</v>
          </cell>
        </row>
        <row r="57">
          <cell r="A57">
            <v>8</v>
          </cell>
          <cell r="B57">
            <v>0</v>
          </cell>
          <cell r="E57" t="str">
            <v>Fire</v>
          </cell>
          <cell r="G57" t="str">
            <v>Fire</v>
          </cell>
          <cell r="H57" t="str">
            <v/>
          </cell>
          <cell r="J57" t="str">
            <v>Naelax</v>
          </cell>
          <cell r="L57">
            <v>54</v>
          </cell>
          <cell r="N57" t="str">
            <v>Coward</v>
          </cell>
        </row>
        <row r="58">
          <cell r="A58">
            <v>9</v>
          </cell>
          <cell r="B58">
            <v>1</v>
          </cell>
          <cell r="J58" t="str">
            <v>Rax-Nyrond</v>
          </cell>
          <cell r="L58">
            <v>55</v>
          </cell>
          <cell r="N58" t="str">
            <v>Friendly</v>
          </cell>
        </row>
        <row r="59">
          <cell r="A59">
            <v>10</v>
          </cell>
          <cell r="B59">
            <v>2</v>
          </cell>
          <cell r="J59" t="str">
            <v>Torquaan</v>
          </cell>
          <cell r="L59">
            <v>56</v>
          </cell>
          <cell r="N59" t="str">
            <v>Hero</v>
          </cell>
        </row>
        <row r="60">
          <cell r="A60">
            <v>11</v>
          </cell>
          <cell r="B60">
            <v>3</v>
          </cell>
          <cell r="L60">
            <v>57</v>
          </cell>
          <cell r="N60" t="str">
            <v>Liar</v>
          </cell>
          <cell r="P60" t="str">
            <v/>
          </cell>
          <cell r="S60" t="str">
            <v>Select Astral Construct</v>
          </cell>
        </row>
        <row r="61">
          <cell r="A61">
            <v>12</v>
          </cell>
          <cell r="B61">
            <v>4</v>
          </cell>
          <cell r="L61">
            <v>58</v>
          </cell>
          <cell r="N61" t="str">
            <v>Meticulous</v>
          </cell>
          <cell r="P61" t="str">
            <v>Archery</v>
          </cell>
          <cell r="S61" t="str">
            <v>Agile Loper</v>
          </cell>
          <cell r="T61" t="str">
            <v>Select Gift</v>
          </cell>
          <cell r="U61" t="str">
            <v>Select Damage Type</v>
          </cell>
        </row>
        <row r="62">
          <cell r="A62">
            <v>13</v>
          </cell>
          <cell r="B62">
            <v>5</v>
          </cell>
          <cell r="L62">
            <v>59</v>
          </cell>
          <cell r="N62" t="str">
            <v>Nimble</v>
          </cell>
          <cell r="P62" t="str">
            <v>Two-Weapon Combat</v>
          </cell>
          <cell r="Q62" t="str">
            <v/>
          </cell>
          <cell r="R62" t="str">
            <v>Select Magic Item Slot</v>
          </cell>
          <cell r="S62" t="str">
            <v>Alabaster Aerial</v>
          </cell>
          <cell r="T62" t="str">
            <v>Corrupting Blast</v>
          </cell>
          <cell r="U62" t="str">
            <v>Sneak Attack</v>
          </cell>
        </row>
        <row r="63">
          <cell r="A63">
            <v>14</v>
          </cell>
          <cell r="B63">
            <v>6</v>
          </cell>
          <cell r="L63">
            <v>60</v>
          </cell>
          <cell r="N63" t="str">
            <v>Observant</v>
          </cell>
          <cell r="Q63" t="str">
            <v>Aggressive</v>
          </cell>
          <cell r="R63" t="str">
            <v>Head</v>
          </cell>
          <cell r="S63" t="str">
            <v>Amber Tunneler</v>
          </cell>
          <cell r="T63" t="str">
            <v>Damage Reduction</v>
          </cell>
          <cell r="U63" t="str">
            <v>Skirmish</v>
          </cell>
        </row>
        <row r="64">
          <cell r="A64">
            <v>15</v>
          </cell>
          <cell r="B64">
            <v>8</v>
          </cell>
          <cell r="N64" t="str">
            <v>Poised</v>
          </cell>
          <cell r="P64" t="str">
            <v/>
          </cell>
          <cell r="Q64" t="str">
            <v>Cautious</v>
          </cell>
          <cell r="R64" t="str">
            <v>Eyes</v>
          </cell>
          <cell r="S64" t="str">
            <v/>
          </cell>
          <cell r="T64" t="str">
            <v>Fearful Glare</v>
          </cell>
          <cell r="U64" t="str">
            <v>Sudden Strike</v>
          </cell>
        </row>
        <row r="65">
          <cell r="A65">
            <v>16</v>
          </cell>
          <cell r="B65">
            <v>10</v>
          </cell>
          <cell r="N65" t="str">
            <v>Resolved</v>
          </cell>
          <cell r="P65" t="str">
            <v>Ashbound</v>
          </cell>
          <cell r="Q65" t="str">
            <v>Insightful</v>
          </cell>
          <cell r="R65" t="str">
            <v>Neck</v>
          </cell>
          <cell r="S65" t="str">
            <v>Astral Aquan</v>
          </cell>
          <cell r="T65" t="str">
            <v/>
          </cell>
        </row>
        <row r="66">
          <cell r="A66">
            <v>17</v>
          </cell>
          <cell r="B66">
            <v>13</v>
          </cell>
          <cell r="N66" t="str">
            <v>Sage</v>
          </cell>
          <cell r="P66" t="str">
            <v>Children of Winter</v>
          </cell>
          <cell r="Q66" t="str">
            <v>Sociable</v>
          </cell>
          <cell r="R66" t="str">
            <v>Torso</v>
          </cell>
          <cell r="S66" t="str">
            <v/>
          </cell>
          <cell r="T66" t="str">
            <v>Healing Blast</v>
          </cell>
        </row>
        <row r="67">
          <cell r="A67">
            <v>18</v>
          </cell>
          <cell r="B67">
            <v>16</v>
          </cell>
          <cell r="E67">
            <v>1</v>
          </cell>
          <cell r="F67">
            <v>1</v>
          </cell>
          <cell r="N67" t="str">
            <v>Single-minded</v>
          </cell>
          <cell r="P67" t="str">
            <v>Gatekeepers</v>
          </cell>
          <cell r="R67" t="str">
            <v>Body</v>
          </cell>
          <cell r="S67" t="str">
            <v>Emerald Gyre</v>
          </cell>
          <cell r="T67" t="str">
            <v/>
          </cell>
          <cell r="U67" t="str">
            <v>Select Elf Subrace</v>
          </cell>
          <cell r="V67" t="str">
            <v>Autohypnosis</v>
          </cell>
        </row>
        <row r="68">
          <cell r="N68" t="str">
            <v>Sneaky</v>
          </cell>
          <cell r="P68" t="str">
            <v>Greensingers</v>
          </cell>
          <cell r="Q68" t="str">
            <v/>
          </cell>
          <cell r="R68" t="str">
            <v>Waist</v>
          </cell>
          <cell r="S68" t="str">
            <v>Iridescent Serpent</v>
          </cell>
          <cell r="T68" t="str">
            <v>Strength of Will</v>
          </cell>
          <cell r="U68" t="str">
            <v>Elf, Aquatic</v>
          </cell>
          <cell r="V68" t="str">
            <v>Balance¹</v>
          </cell>
        </row>
        <row r="69">
          <cell r="N69" t="str">
            <v>Sympathetic</v>
          </cell>
          <cell r="P69" t="str">
            <v>Wardens of the Wood</v>
          </cell>
          <cell r="Q69" t="str">
            <v/>
          </cell>
          <cell r="R69" t="str">
            <v>Shoulders</v>
          </cell>
          <cell r="T69" t="str">
            <v>Wild Frenzy</v>
          </cell>
          <cell r="U69" t="str">
            <v>Elf, Drow</v>
          </cell>
          <cell r="V69" t="str">
            <v>Climb¹</v>
          </cell>
        </row>
        <row r="70">
          <cell r="Q70" t="str">
            <v>Acid</v>
          </cell>
          <cell r="R70" t="str">
            <v>Wrists</v>
          </cell>
          <cell r="S70" t="str">
            <v>Select Mantle</v>
          </cell>
          <cell r="U70" t="str">
            <v>Elf, Gray</v>
          </cell>
          <cell r="V70" t="str">
            <v>Concentration¹</v>
          </cell>
        </row>
        <row r="71">
          <cell r="Q71" t="str">
            <v>Cold</v>
          </cell>
          <cell r="R71" t="str">
            <v>Hands</v>
          </cell>
          <cell r="S71" t="str">
            <v>Chaos</v>
          </cell>
          <cell r="U71" t="str">
            <v>Elf, High</v>
          </cell>
          <cell r="V71" t="str">
            <v>Craft skills…¹</v>
          </cell>
        </row>
        <row r="72">
          <cell r="N72" t="str">
            <v>Select a creature type</v>
          </cell>
          <cell r="Q72" t="str">
            <v>Electricity</v>
          </cell>
          <cell r="R72" t="str">
            <v>Ring</v>
          </cell>
          <cell r="S72" t="str">
            <v>Communication</v>
          </cell>
          <cell r="U72" t="str">
            <v>Elf, Kagonesti</v>
          </cell>
          <cell r="V72" t="str">
            <v>Decipher Script</v>
          </cell>
        </row>
        <row r="73">
          <cell r="N73" t="str">
            <v>Aberration</v>
          </cell>
          <cell r="Q73" t="str">
            <v>Fire</v>
          </cell>
          <cell r="R73" t="str">
            <v>Feet</v>
          </cell>
          <cell r="S73" t="str">
            <v>Conflict</v>
          </cell>
          <cell r="U73" t="str">
            <v>Elf, Moon</v>
          </cell>
          <cell r="V73" t="str">
            <v>Disable Device</v>
          </cell>
        </row>
        <row r="74">
          <cell r="N74" t="str">
            <v>Animal</v>
          </cell>
          <cell r="Q74" t="str">
            <v>Sonic</v>
          </cell>
          <cell r="S74" t="str">
            <v>Consumption</v>
          </cell>
          <cell r="U74" t="str">
            <v>Elf, Painted</v>
          </cell>
          <cell r="V74" t="str">
            <v>Disguise¹</v>
          </cell>
        </row>
        <row r="75">
          <cell r="N75" t="str">
            <v>Construct</v>
          </cell>
          <cell r="S75" t="str">
            <v>Corruption and Madness</v>
          </cell>
          <cell r="U75" t="str">
            <v>Elf, Qualinesti</v>
          </cell>
          <cell r="V75" t="str">
            <v>Escape Artist¹</v>
          </cell>
        </row>
        <row r="76">
          <cell r="N76" t="str">
            <v>Dragon</v>
          </cell>
          <cell r="Q76" t="str">
            <v/>
          </cell>
          <cell r="R76" t="str">
            <v>Adamantine</v>
          </cell>
          <cell r="S76" t="str">
            <v>Creation</v>
          </cell>
          <cell r="U76" t="str">
            <v>Elf, Sea (Dargonesti)</v>
          </cell>
          <cell r="V76" t="str">
            <v>Forgery¹</v>
          </cell>
        </row>
        <row r="77">
          <cell r="N77" t="str">
            <v>Elemental</v>
          </cell>
          <cell r="Q77" t="str">
            <v/>
          </cell>
          <cell r="R77" t="str">
            <v>Cold Iron</v>
          </cell>
          <cell r="S77" t="str">
            <v>Death</v>
          </cell>
          <cell r="U77" t="str">
            <v>Elf, Sea (Dimernesti)</v>
          </cell>
          <cell r="V77" t="str">
            <v>Handle Animal</v>
          </cell>
        </row>
        <row r="78">
          <cell r="N78" t="str">
            <v>Fey</v>
          </cell>
          <cell r="Q78" t="str">
            <v>Acid</v>
          </cell>
          <cell r="R78" t="str">
            <v>Silver</v>
          </cell>
          <cell r="S78" t="str">
            <v>Deception</v>
          </cell>
          <cell r="U78" t="str">
            <v>Elf, Silvanesti</v>
          </cell>
          <cell r="V78" t="str">
            <v>Heal¹</v>
          </cell>
        </row>
        <row r="79">
          <cell r="N79" t="str">
            <v>Giant</v>
          </cell>
          <cell r="Q79" t="str">
            <v>Cold</v>
          </cell>
          <cell r="S79" t="str">
            <v>Destruction</v>
          </cell>
          <cell r="U79" t="str">
            <v>Elf, Snow</v>
          </cell>
          <cell r="V79" t="str">
            <v>Hide¹</v>
          </cell>
        </row>
        <row r="80">
          <cell r="N80" t="str">
            <v>Humanoid (aquatic)</v>
          </cell>
          <cell r="Q80" t="str">
            <v>Electricity</v>
          </cell>
          <cell r="R80" t="str">
            <v>Select a Graft type</v>
          </cell>
          <cell r="S80" t="str">
            <v>Elements</v>
          </cell>
          <cell r="T80" t="str">
            <v>Select Deity</v>
          </cell>
          <cell r="U80" t="str">
            <v>Elf, Sun</v>
          </cell>
          <cell r="V80" t="str">
            <v>Hypnosis</v>
          </cell>
        </row>
        <row r="81">
          <cell r="N81" t="str">
            <v>Humanoid (dwarf)</v>
          </cell>
          <cell r="Q81" t="str">
            <v>Fire</v>
          </cell>
          <cell r="R81" t="str">
            <v>Beholder</v>
          </cell>
          <cell r="S81" t="str">
            <v>Energy</v>
          </cell>
          <cell r="T81" t="str">
            <v>Ehlonna</v>
          </cell>
          <cell r="U81" t="str">
            <v>Elf, Umbragen</v>
          </cell>
          <cell r="V81" t="str">
            <v>Jump¹</v>
          </cell>
        </row>
        <row r="82">
          <cell r="N82" t="str">
            <v>Humanoid (elf)</v>
          </cell>
          <cell r="Q82" t="str">
            <v>Sonic</v>
          </cell>
          <cell r="R82" t="str">
            <v>Fiendish</v>
          </cell>
          <cell r="S82" t="str">
            <v>Evil</v>
          </cell>
          <cell r="T82" t="str">
            <v>Kord</v>
          </cell>
          <cell r="U82" t="str">
            <v>Elf, Wild</v>
          </cell>
          <cell r="V82" t="str">
            <v>Move Silently¹</v>
          </cell>
        </row>
        <row r="83">
          <cell r="N83" t="str">
            <v>Humanoid (gnoll)</v>
          </cell>
          <cell r="R83" t="str">
            <v>Illithid</v>
          </cell>
          <cell r="S83" t="str">
            <v>Fate</v>
          </cell>
          <cell r="T83" t="str">
            <v>Olidammara</v>
          </cell>
          <cell r="U83" t="str">
            <v>Elf, Winged</v>
          </cell>
          <cell r="V83" t="str">
            <v>Open Lock</v>
          </cell>
        </row>
        <row r="84">
          <cell r="N84" t="str">
            <v>Humanoid (gnome)</v>
          </cell>
          <cell r="P84" t="str">
            <v>Select Bonus Spellcasting or Feat</v>
          </cell>
          <cell r="Q84" t="str">
            <v/>
          </cell>
          <cell r="R84" t="str">
            <v>Silthilar</v>
          </cell>
          <cell r="S84" t="str">
            <v>Force</v>
          </cell>
          <cell r="T84" t="str">
            <v>Wee Jas</v>
          </cell>
          <cell r="U84" t="str">
            <v>Elf, Wood</v>
          </cell>
          <cell r="V84" t="str">
            <v>Profession skills …</v>
          </cell>
        </row>
        <row r="85">
          <cell r="N85" t="str">
            <v>Humanoid (goblinoid)</v>
          </cell>
          <cell r="P85" t="str">
            <v>+1 level of spellcasting class</v>
          </cell>
          <cell r="Q85" t="str">
            <v/>
          </cell>
          <cell r="R85" t="str">
            <v>Undead</v>
          </cell>
          <cell r="S85" t="str">
            <v>Freedom</v>
          </cell>
          <cell r="V85" t="str">
            <v>Psicraft</v>
          </cell>
        </row>
        <row r="86">
          <cell r="N86" t="str">
            <v>Humanoid (halfling)</v>
          </cell>
          <cell r="P86" t="str">
            <v>Bonus feat</v>
          </cell>
          <cell r="R86" t="str">
            <v>Yuan-ti</v>
          </cell>
          <cell r="S86" t="str">
            <v>Good</v>
          </cell>
          <cell r="V86" t="str">
            <v>Search¹</v>
          </cell>
        </row>
        <row r="87">
          <cell r="N87" t="str">
            <v>Humanoid (human)</v>
          </cell>
          <cell r="Q87" t="str">
            <v/>
          </cell>
          <cell r="R87" t="str">
            <v>Brainmate Knowledge Bonus</v>
          </cell>
          <cell r="S87" t="str">
            <v>Guardian</v>
          </cell>
          <cell r="T87" t="str">
            <v>Select Ability</v>
          </cell>
          <cell r="V87" t="str">
            <v>Sleight of Hand</v>
          </cell>
        </row>
        <row r="88">
          <cell r="N88" t="str">
            <v>Humanoid (orc)</v>
          </cell>
          <cell r="Q88" t="str">
            <v/>
          </cell>
          <cell r="R88" t="str">
            <v>arcana</v>
          </cell>
          <cell r="S88" t="str">
            <v>Justice</v>
          </cell>
          <cell r="T88" t="str">
            <v/>
          </cell>
          <cell r="V88" t="str">
            <v>Spellcraft</v>
          </cell>
        </row>
        <row r="89">
          <cell r="N89" t="str">
            <v>Humanoid (reptilian)</v>
          </cell>
          <cell r="Q89" t="str">
            <v/>
          </cell>
          <cell r="R89" t="str">
            <v>psionics</v>
          </cell>
          <cell r="S89" t="str">
            <v>Knowledge</v>
          </cell>
          <cell r="T89" t="str">
            <v/>
          </cell>
          <cell r="V89" t="str">
            <v>Spot¹</v>
          </cell>
        </row>
        <row r="90">
          <cell r="N90" t="str">
            <v>Magical beast</v>
          </cell>
          <cell r="Q90" t="str">
            <v/>
          </cell>
          <cell r="R90" t="str">
            <v>local</v>
          </cell>
          <cell r="S90" t="str">
            <v>Law</v>
          </cell>
          <cell r="T90" t="str">
            <v/>
          </cell>
          <cell r="V90" t="str">
            <v>Survival¹</v>
          </cell>
        </row>
        <row r="91">
          <cell r="N91" t="str">
            <v>Monstrous Humanoid</v>
          </cell>
          <cell r="Q91" t="str">
            <v/>
          </cell>
          <cell r="R91" t="str">
            <v>history</v>
          </cell>
          <cell r="S91" t="str">
            <v>Life</v>
          </cell>
          <cell r="T91" t="str">
            <v/>
          </cell>
          <cell r="V91" t="str">
            <v>Swim¹</v>
          </cell>
        </row>
        <row r="92">
          <cell r="N92" t="str">
            <v>Ooze</v>
          </cell>
          <cell r="R92" t="str">
            <v>underdark local</v>
          </cell>
          <cell r="S92" t="str">
            <v>Light and Darkness</v>
          </cell>
          <cell r="V92" t="str">
            <v>Tumble</v>
          </cell>
        </row>
        <row r="93">
          <cell r="N93" t="str">
            <v>Outsider</v>
          </cell>
          <cell r="Q93" t="str">
            <v>Select Node Type</v>
          </cell>
          <cell r="R93" t="str">
            <v>Thunder Lore</v>
          </cell>
          <cell r="S93" t="str">
            <v>Magic</v>
          </cell>
          <cell r="V93" t="str">
            <v>Use Magic Device</v>
          </cell>
        </row>
        <row r="94">
          <cell r="N94" t="str">
            <v>Plant</v>
          </cell>
          <cell r="Q94" t="str">
            <v>Earth</v>
          </cell>
          <cell r="R94" t="str">
            <v>Aereni Crystalmancy</v>
          </cell>
          <cell r="S94" t="str">
            <v>Mental</v>
          </cell>
          <cell r="V94" t="str">
            <v>Use Psionic Device</v>
          </cell>
        </row>
        <row r="95">
          <cell r="N95" t="str">
            <v>Undead</v>
          </cell>
          <cell r="Q95" t="str">
            <v>Evil</v>
          </cell>
          <cell r="R95" t="str">
            <v>Breath of Shargon</v>
          </cell>
          <cell r="S95" t="str">
            <v>Natural World</v>
          </cell>
          <cell r="V95" t="str">
            <v>Use Rope¹</v>
          </cell>
        </row>
        <row r="96">
          <cell r="N96" t="str">
            <v>Vermin</v>
          </cell>
          <cell r="Q96" t="str">
            <v>Shadow Weave</v>
          </cell>
          <cell r="R96" t="str">
            <v>Dragonsong</v>
          </cell>
          <cell r="S96" t="str">
            <v>Pain and Suffering</v>
          </cell>
        </row>
        <row r="97">
          <cell r="R97" t="str">
            <v>Eye of the Chamber</v>
          </cell>
          <cell r="S97" t="str">
            <v>Physical Power</v>
          </cell>
        </row>
        <row r="98">
          <cell r="Q98" t="str">
            <v>Select Special Ability</v>
          </cell>
          <cell r="R98" t="str">
            <v>Ghost of Xen'drik</v>
          </cell>
          <cell r="S98" t="str">
            <v>The Planes</v>
          </cell>
          <cell r="U98" t="str">
            <v>Select a favored enemy</v>
          </cell>
          <cell r="V98" t="str">
            <v>Select a favored enemy</v>
          </cell>
        </row>
        <row r="99">
          <cell r="N99" t="str">
            <v/>
          </cell>
          <cell r="Q99" t="str">
            <v>Defensive Roll</v>
          </cell>
          <cell r="R99" t="str">
            <v>Malenti Pearl Trick</v>
          </cell>
          <cell r="S99" t="str">
            <v>Repose</v>
          </cell>
          <cell r="U99" t="str">
            <v>Church of Bane</v>
          </cell>
          <cell r="V99" t="str">
            <v>Chromatic Dragons</v>
          </cell>
        </row>
        <row r="100">
          <cell r="N100" t="str">
            <v/>
          </cell>
          <cell r="Q100" t="str">
            <v>Improved Evasion</v>
          </cell>
          <cell r="R100" t="str">
            <v>Pandin Temn</v>
          </cell>
          <cell r="S100" t="str">
            <v>Time</v>
          </cell>
          <cell r="U100" t="str">
            <v>Cult of the Dragon</v>
          </cell>
          <cell r="V100" t="str">
            <v>Draconians</v>
          </cell>
        </row>
        <row r="101">
          <cell r="N101" t="str">
            <v/>
          </cell>
          <cell r="Q101" t="str">
            <v>Skill Mastery</v>
          </cell>
          <cell r="R101" t="str">
            <v>Savage of the Mists</v>
          </cell>
          <cell r="U101" t="str">
            <v>Iron Throne</v>
          </cell>
          <cell r="V101" t="str">
            <v>Dragon-Spawn</v>
          </cell>
        </row>
        <row r="102">
          <cell r="N102" t="str">
            <v/>
          </cell>
          <cell r="P102" t="str">
            <v>Light</v>
          </cell>
          <cell r="R102" t="str">
            <v>Savage of the Storm</v>
          </cell>
          <cell r="U102" t="str">
            <v>Malagryms</v>
          </cell>
          <cell r="V102" t="str">
            <v>Goblins</v>
          </cell>
        </row>
        <row r="103">
          <cell r="N103" t="str">
            <v/>
          </cell>
          <cell r="P103" t="str">
            <v>Medium</v>
          </cell>
          <cell r="Q103" t="str">
            <v/>
          </cell>
          <cell r="R103" t="str">
            <v>Seren Hide</v>
          </cell>
          <cell r="U103" t="str">
            <v>Red Wizards</v>
          </cell>
          <cell r="V103" t="str">
            <v>Knights of Solamnia</v>
          </cell>
        </row>
        <row r="104">
          <cell r="N104" t="str">
            <v/>
          </cell>
          <cell r="P104" t="str">
            <v>Heavy</v>
          </cell>
          <cell r="Q104" t="str">
            <v>Flaming</v>
          </cell>
          <cell r="R104" t="str">
            <v>Viscious Barbarism</v>
          </cell>
          <cell r="U104" t="str">
            <v>Zhentarim</v>
          </cell>
          <cell r="V104" t="str">
            <v>Knights of Neraka</v>
          </cell>
        </row>
        <row r="105">
          <cell r="N105" t="str">
            <v/>
          </cell>
          <cell r="Q105" t="str">
            <v>Frost</v>
          </cell>
          <cell r="R105" t="str">
            <v>Xen'drik Boomerang Expert</v>
          </cell>
          <cell r="V105" t="str">
            <v>Minotaurs</v>
          </cell>
        </row>
        <row r="106">
          <cell r="N106" t="str">
            <v/>
          </cell>
          <cell r="Q106" t="str">
            <v>Ghost Touch</v>
          </cell>
          <cell r="R106" t="str">
            <v>Native Ties</v>
          </cell>
        </row>
        <row r="107">
          <cell r="Q107" t="str">
            <v>Shock</v>
          </cell>
          <cell r="R107" t="str">
            <v>Drow of Xen'drik</v>
          </cell>
          <cell r="T107" t="str">
            <v>Select Resistance</v>
          </cell>
        </row>
        <row r="108">
          <cell r="P108" t="str">
            <v>Buckler</v>
          </cell>
          <cell r="Q108" t="str">
            <v>Thundering</v>
          </cell>
          <cell r="R108" t="str">
            <v>Elves of Pylas Talaear</v>
          </cell>
          <cell r="T108" t="str">
            <v>Fire</v>
          </cell>
          <cell r="V108" t="str">
            <v/>
          </cell>
        </row>
        <row r="109">
          <cell r="N109" t="str">
            <v/>
          </cell>
          <cell r="P109" t="str">
            <v>Light</v>
          </cell>
          <cell r="R109" t="str">
            <v>Elves of the Northern Steppes</v>
          </cell>
          <cell r="T109" t="str">
            <v>Cold</v>
          </cell>
          <cell r="V109" t="str">
            <v>White Robes</v>
          </cell>
        </row>
        <row r="110">
          <cell r="N110" t="str">
            <v>Blast Infidel</v>
          </cell>
          <cell r="P110" t="str">
            <v>Heavy</v>
          </cell>
          <cell r="Q110" t="str">
            <v/>
          </cell>
          <cell r="R110" t="str">
            <v>Sahuagin of Shargon's Teeth</v>
          </cell>
          <cell r="T110" t="str">
            <v>Electricity</v>
          </cell>
          <cell r="V110" t="str">
            <v>Red Robes</v>
          </cell>
        </row>
        <row r="111">
          <cell r="N111" t="str">
            <v>Divine Reach</v>
          </cell>
          <cell r="Q111" t="str">
            <v/>
          </cell>
          <cell r="R111" t="str">
            <v>Seren Barbarians</v>
          </cell>
          <cell r="V111" t="str">
            <v>Black Robes</v>
          </cell>
        </row>
        <row r="112">
          <cell r="N112" t="str">
            <v>Faith Healing</v>
          </cell>
          <cell r="Q112" t="str">
            <v>Disruption</v>
          </cell>
          <cell r="R112" t="str">
            <v>Storm Giants of Xen'drik</v>
          </cell>
        </row>
        <row r="113">
          <cell r="N113" t="str">
            <v/>
          </cell>
          <cell r="Q113" t="str">
            <v>Flaming Burst</v>
          </cell>
          <cell r="R113" t="str">
            <v>Stormreach Irregulars</v>
          </cell>
        </row>
        <row r="114">
          <cell r="N114" t="str">
            <v/>
          </cell>
          <cell r="P114" t="str">
            <v>Bludgeoning</v>
          </cell>
          <cell r="Q114" t="str">
            <v>Icy Burst</v>
          </cell>
          <cell r="R114" t="str">
            <v>Elemental Rebuke</v>
          </cell>
          <cell r="V114" t="str">
            <v/>
          </cell>
        </row>
        <row r="115">
          <cell r="N115" t="str">
            <v>Metamagic Feat</v>
          </cell>
          <cell r="P115" t="str">
            <v>Piercing</v>
          </cell>
          <cell r="Q115" t="str">
            <v>Shocking Burst</v>
          </cell>
          <cell r="R115" t="str">
            <v>Air</v>
          </cell>
          <cell r="V115" t="str">
            <v>Abjuration</v>
          </cell>
        </row>
        <row r="116">
          <cell r="N116" t="str">
            <v/>
          </cell>
          <cell r="P116" t="str">
            <v>Slashing</v>
          </cell>
          <cell r="Q116" t="str">
            <v>Speed</v>
          </cell>
          <cell r="R116" t="str">
            <v>Fire</v>
          </cell>
          <cell r="V116" t="str">
            <v>Conjuration</v>
          </cell>
        </row>
        <row r="117">
          <cell r="N117" t="str">
            <v>Spell Power</v>
          </cell>
          <cell r="Q117" t="str">
            <v>Unholy</v>
          </cell>
          <cell r="R117" t="str">
            <v>Ancient Secrets</v>
          </cell>
          <cell r="V117" t="str">
            <v>Enchantment</v>
          </cell>
        </row>
        <row r="118">
          <cell r="N118" t="str">
            <v>Spell-Like Ability</v>
          </cell>
          <cell r="Q118" t="str">
            <v>Wounding</v>
          </cell>
          <cell r="R118" t="str">
            <v/>
          </cell>
          <cell r="T118" t="str">
            <v>Select Home Region</v>
          </cell>
          <cell r="V118" t="str">
            <v>Evocation</v>
          </cell>
        </row>
        <row r="119">
          <cell r="R119" t="str">
            <v/>
          </cell>
          <cell r="T119" t="str">
            <v>Desert</v>
          </cell>
          <cell r="V119" t="str">
            <v>Illusion</v>
          </cell>
        </row>
        <row r="120">
          <cell r="R120" t="str">
            <v/>
          </cell>
          <cell r="T120" t="str">
            <v>Forest</v>
          </cell>
          <cell r="V120" t="str">
            <v>Necromancy</v>
          </cell>
        </row>
        <row r="121">
          <cell r="N121" t="str">
            <v/>
          </cell>
          <cell r="Q121" t="str">
            <v>Ambient Secret</v>
          </cell>
          <cell r="R121" t="str">
            <v/>
          </cell>
          <cell r="T121" t="str">
            <v>Tundra</v>
          </cell>
          <cell r="V121" t="str">
            <v>Transmutation</v>
          </cell>
        </row>
        <row r="122">
          <cell r="N122" t="str">
            <v/>
          </cell>
          <cell r="Q122" t="str">
            <v>Improved Metamagic</v>
          </cell>
          <cell r="R122" t="str">
            <v/>
          </cell>
          <cell r="T122" t="str">
            <v>Mountains</v>
          </cell>
        </row>
        <row r="123">
          <cell r="N123" t="str">
            <v/>
          </cell>
          <cell r="Q123" t="str">
            <v>Improved Shifting</v>
          </cell>
          <cell r="R123" t="str">
            <v/>
          </cell>
          <cell r="T123" t="str">
            <v>Plains</v>
          </cell>
        </row>
        <row r="124">
          <cell r="N124" t="str">
            <v/>
          </cell>
          <cell r="Q124" t="str">
            <v>Metamagic Feat</v>
          </cell>
          <cell r="R124" t="str">
            <v/>
          </cell>
          <cell r="X124" t="str">
            <v/>
          </cell>
        </row>
        <row r="125">
          <cell r="N125" t="str">
            <v/>
          </cell>
          <cell r="Q125" t="str">
            <v>Shifting Knowledge</v>
          </cell>
          <cell r="R125" t="str">
            <v/>
          </cell>
          <cell r="S125" t="str">
            <v>Select a Region</v>
          </cell>
          <cell r="T125" t="str">
            <v>Select Totemic Insight</v>
          </cell>
          <cell r="U125" t="str">
            <v/>
          </cell>
          <cell r="V125" t="str">
            <v/>
          </cell>
          <cell r="X125" t="str">
            <v/>
          </cell>
        </row>
        <row r="126">
          <cell r="N126" t="str">
            <v/>
          </cell>
          <cell r="S126" t="str">
            <v>Abanasinia</v>
          </cell>
          <cell r="T126" t="str">
            <v/>
          </cell>
          <cell r="U126" t="str">
            <v/>
          </cell>
          <cell r="V126" t="str">
            <v/>
          </cell>
          <cell r="X126" t="str">
            <v>Falchion</v>
          </cell>
        </row>
        <row r="127">
          <cell r="N127" t="str">
            <v/>
          </cell>
          <cell r="Q127" t="str">
            <v>Arcane Thesis</v>
          </cell>
          <cell r="S127" t="str">
            <v>Balifor</v>
          </cell>
          <cell r="T127" t="str">
            <v/>
          </cell>
          <cell r="U127" t="str">
            <v/>
          </cell>
          <cell r="V127" t="str">
            <v/>
          </cell>
          <cell r="X127" t="str">
            <v>Greatsword</v>
          </cell>
        </row>
        <row r="128">
          <cell r="N128" t="str">
            <v/>
          </cell>
          <cell r="Q128" t="str">
            <v>Aeromancy</v>
          </cell>
          <cell r="S128" t="str">
            <v>Blode</v>
          </cell>
          <cell r="T128" t="str">
            <v/>
          </cell>
          <cell r="U128" t="str">
            <v/>
          </cell>
          <cell r="V128" t="str">
            <v/>
          </cell>
          <cell r="X128" t="str">
            <v>Longsword</v>
          </cell>
        </row>
        <row r="129">
          <cell r="Q129" t="str">
            <v>Cryomancy</v>
          </cell>
          <cell r="R129" t="str">
            <v>Select a Vice</v>
          </cell>
          <cell r="S129" t="str">
            <v>Blood Sea Isles</v>
          </cell>
          <cell r="T129" t="str">
            <v/>
          </cell>
          <cell r="U129" t="str">
            <v/>
          </cell>
          <cell r="V129" t="str">
            <v/>
          </cell>
          <cell r="X129" t="str">
            <v>Rapier</v>
          </cell>
        </row>
        <row r="130">
          <cell r="Q130" t="str">
            <v>Divination</v>
          </cell>
          <cell r="R130" t="str">
            <v>Gluttony</v>
          </cell>
          <cell r="S130" t="str">
            <v>Estwilde</v>
          </cell>
          <cell r="T130" t="str">
            <v/>
          </cell>
          <cell r="U130" t="str">
            <v/>
          </cell>
          <cell r="X130" t="str">
            <v>Scimitar</v>
          </cell>
        </row>
        <row r="131">
          <cell r="Q131" t="str">
            <v>Electromancy</v>
          </cell>
          <cell r="R131" t="str">
            <v>Drinking</v>
          </cell>
          <cell r="S131" t="str">
            <v>Goodlund</v>
          </cell>
          <cell r="T131" t="str">
            <v/>
          </cell>
          <cell r="U131" t="str">
            <v/>
          </cell>
          <cell r="X131" t="str">
            <v>Sword, Bastard</v>
          </cell>
        </row>
        <row r="132">
          <cell r="Q132" t="str">
            <v>Enhancement</v>
          </cell>
          <cell r="R132" t="str">
            <v>Gambling</v>
          </cell>
          <cell r="S132" t="str">
            <v>Hylo</v>
          </cell>
          <cell r="T132" t="str">
            <v/>
          </cell>
          <cell r="U132" t="str">
            <v/>
          </cell>
          <cell r="V132" t="str">
            <v>Select Discipline</v>
          </cell>
          <cell r="X132" t="str">
            <v>Sword, Short</v>
          </cell>
        </row>
        <row r="133">
          <cell r="Q133" t="str">
            <v>Geomancy</v>
          </cell>
          <cell r="R133" t="str">
            <v>Recklessness</v>
          </cell>
          <cell r="S133" t="str">
            <v>Icereach</v>
          </cell>
          <cell r="T133" t="str">
            <v/>
          </cell>
          <cell r="U133" t="str">
            <v/>
          </cell>
          <cell r="V133" t="str">
            <v>Desert Wind</v>
          </cell>
        </row>
        <row r="134">
          <cell r="Q134" t="str">
            <v>Hydromancy</v>
          </cell>
          <cell r="R134" t="str">
            <v>Anger</v>
          </cell>
          <cell r="S134" t="str">
            <v>Kharolis</v>
          </cell>
          <cell r="T134" t="str">
            <v/>
          </cell>
          <cell r="U134" t="str">
            <v/>
          </cell>
          <cell r="V134" t="str">
            <v>Devoted Spirit</v>
          </cell>
        </row>
        <row r="135">
          <cell r="Q135" t="str">
            <v>Pyromancy</v>
          </cell>
          <cell r="R135" t="str">
            <v>Smoking</v>
          </cell>
          <cell r="S135" t="str">
            <v>Khur</v>
          </cell>
          <cell r="T135" t="str">
            <v/>
          </cell>
          <cell r="U135" t="str">
            <v/>
          </cell>
          <cell r="V135" t="str">
            <v>Diamond Mind</v>
          </cell>
          <cell r="W135" t="str">
            <v>Select Discipline</v>
          </cell>
          <cell r="X135" t="str">
            <v/>
          </cell>
        </row>
        <row r="136">
          <cell r="N136" t="str">
            <v/>
          </cell>
          <cell r="Q136" t="str">
            <v>Spectromancy</v>
          </cell>
          <cell r="R136" t="str">
            <v>Cowardice</v>
          </cell>
          <cell r="S136" t="str">
            <v>Neraka</v>
          </cell>
          <cell r="U136" t="str">
            <v/>
          </cell>
          <cell r="V136" t="str">
            <v>Iron Heart</v>
          </cell>
          <cell r="W136" t="str">
            <v>Desert Wind</v>
          </cell>
          <cell r="X136" t="str">
            <v>Longbow</v>
          </cell>
        </row>
        <row r="137">
          <cell r="N137" t="str">
            <v/>
          </cell>
          <cell r="Q137" t="str">
            <v>Summoning</v>
          </cell>
          <cell r="R137" t="str">
            <v>Select a Class Skill</v>
          </cell>
          <cell r="S137" t="str">
            <v>Nightlund</v>
          </cell>
          <cell r="V137" t="str">
            <v>Setting Sun</v>
          </cell>
          <cell r="W137" t="str">
            <v>Diamond Mind</v>
          </cell>
          <cell r="X137" t="str">
            <v>Longbow, Composite</v>
          </cell>
        </row>
        <row r="138">
          <cell r="N138" t="str">
            <v/>
          </cell>
          <cell r="Q138" t="str">
            <v>Transmutation</v>
          </cell>
          <cell r="R138" t="str">
            <v>Balance¹</v>
          </cell>
          <cell r="S138" t="str">
            <v>Nordmaar</v>
          </cell>
          <cell r="V138" t="str">
            <v>Shadow Hand</v>
          </cell>
          <cell r="W138" t="str">
            <v>Setting Sun</v>
          </cell>
          <cell r="X138" t="str">
            <v>Longsword</v>
          </cell>
        </row>
        <row r="139">
          <cell r="N139" t="str">
            <v/>
          </cell>
          <cell r="R139" t="str">
            <v>Climb¹</v>
          </cell>
          <cell r="S139" t="str">
            <v>Northern Ergoth</v>
          </cell>
          <cell r="V139" t="str">
            <v>Stone Dragon</v>
          </cell>
          <cell r="W139" t="str">
            <v>Shadow Hand</v>
          </cell>
          <cell r="X139" t="str">
            <v>Rapier</v>
          </cell>
        </row>
        <row r="140">
          <cell r="N140" t="str">
            <v/>
          </cell>
          <cell r="O140" t="str">
            <v>Select Brand</v>
          </cell>
          <cell r="R140" t="str">
            <v>Concentration¹</v>
          </cell>
          <cell r="S140" t="str">
            <v>Palanthas</v>
          </cell>
          <cell r="V140" t="str">
            <v>Tiger Claw</v>
          </cell>
          <cell r="W140" t="str">
            <v>Stone Dragon</v>
          </cell>
          <cell r="X140" t="str">
            <v>Shortbow</v>
          </cell>
        </row>
        <row r="141">
          <cell r="N141" t="str">
            <v/>
          </cell>
          <cell r="O141" t="str">
            <v>Bel</v>
          </cell>
          <cell r="P141" t="str">
            <v>You gain a cold iron longsword or greatsword that deals 1d6 extra damage against good aligned creatures, and 2d6 extra damage against demons.</v>
          </cell>
          <cell r="R141" t="str">
            <v>Decipher Script</v>
          </cell>
          <cell r="S141" t="str">
            <v>Plains of Dust</v>
          </cell>
          <cell r="V141" t="str">
            <v>White Raven</v>
          </cell>
          <cell r="W141" t="str">
            <v>Tiger Claw</v>
          </cell>
          <cell r="X141" t="str">
            <v>Shortbow, Composite</v>
          </cell>
        </row>
        <row r="142">
          <cell r="O142" t="str">
            <v>Dispater</v>
          </cell>
          <cell r="P142" t="str">
            <v>You grow eyes in the back of your head. You are immune to flanking and cannot be flat-footed.</v>
          </cell>
          <cell r="R142" t="str">
            <v>Disable Device</v>
          </cell>
          <cell r="S142" t="str">
            <v>Qualinesti</v>
          </cell>
          <cell r="X142" t="str">
            <v>Shortsword</v>
          </cell>
        </row>
        <row r="143">
          <cell r="A143">
            <v>1</v>
          </cell>
          <cell r="D143">
            <v>0</v>
          </cell>
          <cell r="E143">
            <v>0</v>
          </cell>
          <cell r="F143">
            <v>0</v>
          </cell>
          <cell r="G143">
            <v>0</v>
          </cell>
          <cell r="H143">
            <v>0</v>
          </cell>
          <cell r="I143">
            <v>0</v>
          </cell>
          <cell r="J143">
            <v>0</v>
          </cell>
          <cell r="K143">
            <v>0</v>
          </cell>
          <cell r="L143">
            <v>0</v>
          </cell>
          <cell r="O143" t="str">
            <v>Mammon</v>
          </cell>
          <cell r="P143" t="str">
            <v>If you attack a creature with more HD than you, all such creatures within 30ft must make a DC 8 Will save or take a -2 penalty on attacks against you. Creatures with fewer HD than you, or creatures at half maximum hit points or less, instead become shaken if they fail the save.</v>
          </cell>
          <cell r="R143" t="str">
            <v>Escape Artist¹</v>
          </cell>
          <cell r="S143" t="str">
            <v>Sancrist</v>
          </cell>
        </row>
        <row r="144">
          <cell r="A144">
            <v>10</v>
          </cell>
          <cell r="B144">
            <v>0</v>
          </cell>
          <cell r="O144" t="str">
            <v>Fierna and Belial</v>
          </cell>
          <cell r="P144" t="str">
            <v>Once every 1d4 rounds as a touch attack, you may daze a creature for 1 round (Will DC 8 negates).</v>
          </cell>
          <cell r="R144" t="str">
            <v>Forgery¹</v>
          </cell>
          <cell r="S144" t="str">
            <v>Sanction</v>
          </cell>
        </row>
        <row r="145">
          <cell r="A145">
            <v>12</v>
          </cell>
          <cell r="B145">
            <v>1</v>
          </cell>
          <cell r="D145">
            <v>1</v>
          </cell>
          <cell r="O145" t="str">
            <v>Levistus</v>
          </cell>
          <cell r="P145" t="str">
            <v>Once per day as a swift action, you may encase yourself in ice. You gain resistance to cold 20, and your natural attacks deal 1d6 extra points of cold damage.</v>
          </cell>
          <cell r="R145" t="str">
            <v>Handle Animal</v>
          </cell>
          <cell r="S145" t="str">
            <v>Schallsea</v>
          </cell>
        </row>
        <row r="146">
          <cell r="A146">
            <v>14</v>
          </cell>
          <cell r="B146">
            <v>2</v>
          </cell>
          <cell r="D146">
            <v>1</v>
          </cell>
          <cell r="E146">
            <v>1</v>
          </cell>
          <cell r="O146" t="str">
            <v>Glasya</v>
          </cell>
          <cell r="P146" t="str">
            <v>Once per day as a swift action, you may gain Fast Healing 3 for 1 minute.</v>
          </cell>
          <cell r="R146" t="str">
            <v>Heal¹</v>
          </cell>
          <cell r="S146" t="str">
            <v>Silvanesti</v>
          </cell>
          <cell r="T146" t="str">
            <v>Scimitar</v>
          </cell>
          <cell r="U146" t="str">
            <v>Rapier</v>
          </cell>
          <cell r="V146" t="str">
            <v>Sword, Short</v>
          </cell>
          <cell r="W146" t="str">
            <v>Dagger</v>
          </cell>
          <cell r="X146" t="str">
            <v>Greatsword</v>
          </cell>
          <cell r="Y146" t="str">
            <v>Kukri</v>
          </cell>
        </row>
        <row r="147">
          <cell r="A147">
            <v>16</v>
          </cell>
          <cell r="B147">
            <v>3</v>
          </cell>
          <cell r="D147">
            <v>1</v>
          </cell>
          <cell r="E147">
            <v>1</v>
          </cell>
          <cell r="F147">
            <v>1</v>
          </cell>
          <cell r="O147" t="str">
            <v>Baalzebul</v>
          </cell>
          <cell r="P147" t="str">
            <v>You gain a +4 bonus on grapple and Escape Artist checks. Your natural attacks deal 1d6 extra points of acid damage.</v>
          </cell>
          <cell r="R147" t="str">
            <v>Hide¹</v>
          </cell>
          <cell r="S147" t="str">
            <v>Solamnia</v>
          </cell>
          <cell r="T147" t="str">
            <v>Mace, Light</v>
          </cell>
          <cell r="U147" t="str">
            <v>Shortspear</v>
          </cell>
          <cell r="V147" t="str">
            <v>Quarterstaff</v>
          </cell>
          <cell r="W147" t="str">
            <v>Sword, Short</v>
          </cell>
          <cell r="X147" t="str">
            <v>Greataxe</v>
          </cell>
          <cell r="Y147" t="str">
            <v>Kama</v>
          </cell>
        </row>
        <row r="148">
          <cell r="A148">
            <v>18</v>
          </cell>
          <cell r="B148">
            <v>4</v>
          </cell>
          <cell r="D148">
            <v>1</v>
          </cell>
          <cell r="E148">
            <v>1</v>
          </cell>
          <cell r="F148">
            <v>1</v>
          </cell>
          <cell r="G148">
            <v>1</v>
          </cell>
          <cell r="N148" t="str">
            <v/>
          </cell>
          <cell r="O148" t="str">
            <v>Mephistopheles</v>
          </cell>
          <cell r="P148" t="str">
            <v>Three times per day as a swift action, you may wreath yourself in flames for 1 round. Your natural attacks deal 1d6 extra fire damage. Any creature grappling you, striking you with an unarmed attack, or adjacent to you at the start of your turn takes 1d6 fire damage.</v>
          </cell>
          <cell r="R148" t="str">
            <v>Jump¹</v>
          </cell>
          <cell r="S148" t="str">
            <v>Southern Ergoth</v>
          </cell>
          <cell r="T148" t="str">
            <v xml:space="preserve">Pick, Light </v>
          </cell>
          <cell r="U148" t="str">
            <v>Sword, Bastard</v>
          </cell>
          <cell r="V148" t="str">
            <v>Nunchaku</v>
          </cell>
          <cell r="W148" t="str">
            <v>Sai</v>
          </cell>
          <cell r="X148" t="str">
            <v>Mace, Heavy</v>
          </cell>
          <cell r="Y148" t="str">
            <v/>
          </cell>
        </row>
        <row r="149">
          <cell r="A149">
            <v>20</v>
          </cell>
          <cell r="B149">
            <v>5</v>
          </cell>
          <cell r="D149">
            <v>2</v>
          </cell>
          <cell r="E149">
            <v>1</v>
          </cell>
          <cell r="F149">
            <v>1</v>
          </cell>
          <cell r="G149">
            <v>1</v>
          </cell>
          <cell r="H149">
            <v>1</v>
          </cell>
          <cell r="N149" t="str">
            <v>Gaunt</v>
          </cell>
          <cell r="O149" t="str">
            <v>Asmodeus</v>
          </cell>
          <cell r="P149" t="str">
            <v>Three times per day as a swift action, you may use Command as a spell-like ability.</v>
          </cell>
          <cell r="R149" t="str">
            <v>Knowledge (arcana)</v>
          </cell>
          <cell r="S149" t="str">
            <v>Teyr</v>
          </cell>
          <cell r="T149" t="str">
            <v>Falchion</v>
          </cell>
          <cell r="U149" t="str">
            <v>Trident</v>
          </cell>
          <cell r="V149" t="str">
            <v>Unarmed Strike</v>
          </cell>
          <cell r="W149" t="str">
            <v>Siangham</v>
          </cell>
          <cell r="X149" t="str">
            <v>Unarmed Strike</v>
          </cell>
          <cell r="Y149" t="str">
            <v>Handaxe</v>
          </cell>
        </row>
        <row r="150">
          <cell r="A150">
            <v>22</v>
          </cell>
          <cell r="B150">
            <v>6</v>
          </cell>
          <cell r="D150">
            <v>2</v>
          </cell>
          <cell r="E150">
            <v>2</v>
          </cell>
          <cell r="F150">
            <v>1</v>
          </cell>
          <cell r="G150">
            <v>1</v>
          </cell>
          <cell r="H150">
            <v>1</v>
          </cell>
          <cell r="I150">
            <v>1</v>
          </cell>
          <cell r="N150" t="str">
            <v>Obese</v>
          </cell>
          <cell r="R150" t="str">
            <v>Knowledge (arch &amp; eng)</v>
          </cell>
          <cell r="S150" t="str">
            <v>Thoradin</v>
          </cell>
          <cell r="T150" t="str">
            <v>Spear</v>
          </cell>
          <cell r="W150" t="str">
            <v>Unarmed Strike</v>
          </cell>
          <cell r="Y150" t="str">
            <v>Greataxe</v>
          </cell>
        </row>
        <row r="151">
          <cell r="A151">
            <v>24</v>
          </cell>
          <cell r="B151">
            <v>7</v>
          </cell>
          <cell r="D151">
            <v>2</v>
          </cell>
          <cell r="E151">
            <v>2</v>
          </cell>
          <cell r="F151">
            <v>2</v>
          </cell>
          <cell r="G151">
            <v>1</v>
          </cell>
          <cell r="H151">
            <v>1</v>
          </cell>
          <cell r="I151">
            <v>1</v>
          </cell>
          <cell r="J151">
            <v>1</v>
          </cell>
          <cell r="R151" t="str">
            <v>Knowledge (dungeoneering)</v>
          </cell>
          <cell r="S151" t="str">
            <v>Thorbardin</v>
          </cell>
          <cell r="W151" t="str">
            <v>Chain, Spiked</v>
          </cell>
          <cell r="Y151" t="str">
            <v>Unarmed Strike</v>
          </cell>
        </row>
        <row r="152">
          <cell r="A152">
            <v>26</v>
          </cell>
          <cell r="B152">
            <v>8</v>
          </cell>
          <cell r="D152">
            <v>2</v>
          </cell>
          <cell r="E152">
            <v>2</v>
          </cell>
          <cell r="F152">
            <v>2</v>
          </cell>
          <cell r="G152">
            <v>2</v>
          </cell>
          <cell r="H152">
            <v>1</v>
          </cell>
          <cell r="I152">
            <v>1</v>
          </cell>
          <cell r="J152">
            <v>1</v>
          </cell>
          <cell r="K152">
            <v>1</v>
          </cell>
          <cell r="R152" t="str">
            <v>Knowledge (nature)</v>
          </cell>
          <cell r="S152" t="str">
            <v>Throtl</v>
          </cell>
        </row>
        <row r="153">
          <cell r="A153">
            <v>28</v>
          </cell>
          <cell r="B153">
            <v>9</v>
          </cell>
          <cell r="D153">
            <v>3</v>
          </cell>
          <cell r="E153">
            <v>2</v>
          </cell>
          <cell r="F153">
            <v>2</v>
          </cell>
          <cell r="G153">
            <v>2</v>
          </cell>
          <cell r="H153">
            <v>2</v>
          </cell>
          <cell r="I153">
            <v>1</v>
          </cell>
          <cell r="J153">
            <v>1</v>
          </cell>
          <cell r="K153">
            <v>1</v>
          </cell>
          <cell r="L153">
            <v>1</v>
          </cell>
          <cell r="N153" t="str">
            <v/>
          </cell>
          <cell r="R153" t="str">
            <v>Knowledge (the planes)</v>
          </cell>
        </row>
        <row r="154">
          <cell r="A154">
            <v>30</v>
          </cell>
          <cell r="B154">
            <v>10</v>
          </cell>
          <cell r="D154">
            <v>3</v>
          </cell>
          <cell r="E154">
            <v>3</v>
          </cell>
          <cell r="F154">
            <v>2</v>
          </cell>
          <cell r="G154">
            <v>2</v>
          </cell>
          <cell r="H154">
            <v>2</v>
          </cell>
          <cell r="I154">
            <v>2</v>
          </cell>
          <cell r="J154">
            <v>1</v>
          </cell>
          <cell r="K154">
            <v>1</v>
          </cell>
          <cell r="L154">
            <v>1</v>
          </cell>
          <cell r="N154" t="str">
            <v/>
          </cell>
          <cell r="R154" t="str">
            <v>Listen¹</v>
          </cell>
        </row>
        <row r="155">
          <cell r="A155">
            <v>32</v>
          </cell>
          <cell r="B155">
            <v>11</v>
          </cell>
          <cell r="D155">
            <v>3</v>
          </cell>
          <cell r="E155">
            <v>3</v>
          </cell>
          <cell r="F155">
            <v>3</v>
          </cell>
          <cell r="G155">
            <v>2</v>
          </cell>
          <cell r="H155">
            <v>2</v>
          </cell>
          <cell r="I155">
            <v>2</v>
          </cell>
          <cell r="J155">
            <v>2</v>
          </cell>
          <cell r="K155">
            <v>1</v>
          </cell>
          <cell r="L155">
            <v>1</v>
          </cell>
          <cell r="N155" t="str">
            <v/>
          </cell>
          <cell r="R155" t="str">
            <v>Move Silently¹</v>
          </cell>
        </row>
        <row r="156">
          <cell r="A156">
            <v>34</v>
          </cell>
          <cell r="B156">
            <v>12</v>
          </cell>
          <cell r="D156">
            <v>3</v>
          </cell>
          <cell r="E156">
            <v>3</v>
          </cell>
          <cell r="F156">
            <v>3</v>
          </cell>
          <cell r="G156">
            <v>3</v>
          </cell>
          <cell r="H156">
            <v>2</v>
          </cell>
          <cell r="I156">
            <v>2</v>
          </cell>
          <cell r="J156">
            <v>2</v>
          </cell>
          <cell r="K156">
            <v>2</v>
          </cell>
          <cell r="L156">
            <v>1</v>
          </cell>
          <cell r="N156" t="str">
            <v/>
          </cell>
          <cell r="R156" t="str">
            <v>Open Lock</v>
          </cell>
        </row>
        <row r="157">
          <cell r="A157">
            <v>36</v>
          </cell>
          <cell r="B157">
            <v>13</v>
          </cell>
          <cell r="D157">
            <v>4</v>
          </cell>
          <cell r="E157">
            <v>3</v>
          </cell>
          <cell r="F157">
            <v>3</v>
          </cell>
          <cell r="G157">
            <v>3</v>
          </cell>
          <cell r="H157">
            <v>3</v>
          </cell>
          <cell r="I157">
            <v>2</v>
          </cell>
          <cell r="J157">
            <v>2</v>
          </cell>
          <cell r="K157">
            <v>2</v>
          </cell>
          <cell r="L157">
            <v>2</v>
          </cell>
          <cell r="N157" t="str">
            <v/>
          </cell>
          <cell r="R157" t="str">
            <v>Search¹</v>
          </cell>
        </row>
        <row r="158">
          <cell r="A158">
            <v>38</v>
          </cell>
          <cell r="B158">
            <v>14</v>
          </cell>
          <cell r="D158">
            <v>4</v>
          </cell>
          <cell r="E158">
            <v>4</v>
          </cell>
          <cell r="F158">
            <v>3</v>
          </cell>
          <cell r="G158">
            <v>3</v>
          </cell>
          <cell r="H158">
            <v>3</v>
          </cell>
          <cell r="I158">
            <v>3</v>
          </cell>
          <cell r="J158">
            <v>2</v>
          </cell>
          <cell r="K158">
            <v>2</v>
          </cell>
          <cell r="L158">
            <v>2</v>
          </cell>
          <cell r="N158" t="str">
            <v/>
          </cell>
          <cell r="R158" t="str">
            <v>Sleight of Hand</v>
          </cell>
        </row>
        <row r="159">
          <cell r="A159">
            <v>40</v>
          </cell>
          <cell r="B159">
            <v>15</v>
          </cell>
          <cell r="D159">
            <v>4</v>
          </cell>
          <cell r="E159">
            <v>4</v>
          </cell>
          <cell r="F159">
            <v>4</v>
          </cell>
          <cell r="G159">
            <v>3</v>
          </cell>
          <cell r="H159">
            <v>3</v>
          </cell>
          <cell r="I159">
            <v>3</v>
          </cell>
          <cell r="J159">
            <v>3</v>
          </cell>
          <cell r="K159">
            <v>2</v>
          </cell>
          <cell r="L159">
            <v>2</v>
          </cell>
          <cell r="N159" t="str">
            <v/>
          </cell>
          <cell r="R159" t="str">
            <v>Speak Language</v>
          </cell>
        </row>
        <row r="160">
          <cell r="A160">
            <v>42</v>
          </cell>
          <cell r="B160">
            <v>16</v>
          </cell>
          <cell r="D160">
            <v>4</v>
          </cell>
          <cell r="E160">
            <v>4</v>
          </cell>
          <cell r="F160">
            <v>4</v>
          </cell>
          <cell r="G160">
            <v>4</v>
          </cell>
          <cell r="H160">
            <v>3</v>
          </cell>
          <cell r="I160">
            <v>3</v>
          </cell>
          <cell r="J160">
            <v>3</v>
          </cell>
          <cell r="K160">
            <v>3</v>
          </cell>
          <cell r="L160">
            <v>2</v>
          </cell>
          <cell r="N160" t="str">
            <v/>
          </cell>
          <cell r="R160" t="str">
            <v>Spellcraft</v>
          </cell>
        </row>
        <row r="161">
          <cell r="A161">
            <v>44</v>
          </cell>
          <cell r="B161">
            <v>17</v>
          </cell>
          <cell r="D161">
            <v>5</v>
          </cell>
          <cell r="E161">
            <v>4</v>
          </cell>
          <cell r="F161">
            <v>4</v>
          </cell>
          <cell r="G161">
            <v>4</v>
          </cell>
          <cell r="H161">
            <v>4</v>
          </cell>
          <cell r="I161">
            <v>3</v>
          </cell>
          <cell r="J161">
            <v>3</v>
          </cell>
          <cell r="K161">
            <v>3</v>
          </cell>
          <cell r="L161">
            <v>3</v>
          </cell>
          <cell r="R161" t="str">
            <v>Spot¹</v>
          </cell>
        </row>
        <row r="162">
          <cell r="A162">
            <v>46</v>
          </cell>
          <cell r="B162">
            <v>18</v>
          </cell>
          <cell r="D162">
            <v>5</v>
          </cell>
          <cell r="E162">
            <v>5</v>
          </cell>
          <cell r="F162">
            <v>4</v>
          </cell>
          <cell r="G162">
            <v>4</v>
          </cell>
          <cell r="H162">
            <v>4</v>
          </cell>
          <cell r="I162">
            <v>4</v>
          </cell>
          <cell r="J162">
            <v>3</v>
          </cell>
          <cell r="K162">
            <v>3</v>
          </cell>
          <cell r="L162">
            <v>3</v>
          </cell>
          <cell r="R162" t="str">
            <v>Survival¹</v>
          </cell>
        </row>
        <row r="163">
          <cell r="A163">
            <v>48</v>
          </cell>
          <cell r="B163">
            <v>19</v>
          </cell>
          <cell r="D163">
            <v>5</v>
          </cell>
          <cell r="E163">
            <v>5</v>
          </cell>
          <cell r="F163">
            <v>5</v>
          </cell>
          <cell r="G163">
            <v>4</v>
          </cell>
          <cell r="H163">
            <v>4</v>
          </cell>
          <cell r="I163">
            <v>4</v>
          </cell>
          <cell r="J163">
            <v>4</v>
          </cell>
          <cell r="K163">
            <v>3</v>
          </cell>
          <cell r="L163">
            <v>3</v>
          </cell>
          <cell r="R163" t="str">
            <v>Swim¹</v>
          </cell>
        </row>
        <row r="164">
          <cell r="A164">
            <v>50</v>
          </cell>
          <cell r="B164">
            <v>20</v>
          </cell>
          <cell r="D164">
            <v>5</v>
          </cell>
          <cell r="E164">
            <v>5</v>
          </cell>
          <cell r="F164">
            <v>5</v>
          </cell>
          <cell r="G164">
            <v>5</v>
          </cell>
          <cell r="H164">
            <v>4</v>
          </cell>
          <cell r="I164">
            <v>4</v>
          </cell>
          <cell r="J164">
            <v>4</v>
          </cell>
          <cell r="K164">
            <v>4</v>
          </cell>
          <cell r="L164">
            <v>3</v>
          </cell>
          <cell r="R164" t="str">
            <v>Tumble</v>
          </cell>
        </row>
        <row r="165">
          <cell r="A165">
            <v>52</v>
          </cell>
          <cell r="B165">
            <v>21</v>
          </cell>
          <cell r="D165">
            <v>6</v>
          </cell>
          <cell r="E165">
            <v>5</v>
          </cell>
          <cell r="F165">
            <v>5</v>
          </cell>
          <cell r="G165">
            <v>5</v>
          </cell>
          <cell r="H165">
            <v>5</v>
          </cell>
          <cell r="I165">
            <v>4</v>
          </cell>
          <cell r="J165">
            <v>4</v>
          </cell>
          <cell r="K165">
            <v>4</v>
          </cell>
          <cell r="L165">
            <v>4</v>
          </cell>
          <cell r="R165" t="str">
            <v>Use Magic Device</v>
          </cell>
        </row>
        <row r="166">
          <cell r="A166">
            <v>54</v>
          </cell>
          <cell r="B166">
            <v>22</v>
          </cell>
          <cell r="D166">
            <v>6</v>
          </cell>
          <cell r="E166">
            <v>6</v>
          </cell>
          <cell r="F166">
            <v>5</v>
          </cell>
          <cell r="G166">
            <v>5</v>
          </cell>
          <cell r="H166">
            <v>5</v>
          </cell>
          <cell r="I166">
            <v>5</v>
          </cell>
          <cell r="J166">
            <v>4</v>
          </cell>
          <cell r="K166">
            <v>4</v>
          </cell>
          <cell r="L166">
            <v>4</v>
          </cell>
          <cell r="R166" t="str">
            <v>Use Rope¹</v>
          </cell>
        </row>
        <row r="167">
          <cell r="A167">
            <v>56</v>
          </cell>
          <cell r="B167">
            <v>23</v>
          </cell>
          <cell r="D167">
            <v>6</v>
          </cell>
          <cell r="E167">
            <v>6</v>
          </cell>
          <cell r="F167">
            <v>6</v>
          </cell>
          <cell r="G167">
            <v>5</v>
          </cell>
          <cell r="H167">
            <v>5</v>
          </cell>
          <cell r="I167">
            <v>5</v>
          </cell>
          <cell r="J167">
            <v>5</v>
          </cell>
          <cell r="K167">
            <v>4</v>
          </cell>
          <cell r="L167">
            <v>4</v>
          </cell>
        </row>
        <row r="168">
          <cell r="A168">
            <v>58</v>
          </cell>
          <cell r="B168">
            <v>24</v>
          </cell>
          <cell r="D168">
            <v>6</v>
          </cell>
          <cell r="E168">
            <v>6</v>
          </cell>
          <cell r="F168">
            <v>6</v>
          </cell>
          <cell r="G168">
            <v>6</v>
          </cell>
          <cell r="H168">
            <v>5</v>
          </cell>
          <cell r="I168">
            <v>5</v>
          </cell>
          <cell r="J168">
            <v>5</v>
          </cell>
          <cell r="K168">
            <v>5</v>
          </cell>
          <cell r="L168">
            <v>4</v>
          </cell>
          <cell r="N168" t="str">
            <v/>
          </cell>
        </row>
        <row r="169">
          <cell r="A169">
            <v>60</v>
          </cell>
          <cell r="B169">
            <v>25</v>
          </cell>
          <cell r="D169">
            <v>7</v>
          </cell>
          <cell r="E169">
            <v>6</v>
          </cell>
          <cell r="F169">
            <v>6</v>
          </cell>
          <cell r="G169">
            <v>6</v>
          </cell>
          <cell r="H169">
            <v>6</v>
          </cell>
          <cell r="I169">
            <v>5</v>
          </cell>
          <cell r="J169">
            <v>5</v>
          </cell>
          <cell r="K169">
            <v>5</v>
          </cell>
          <cell r="L169">
            <v>5</v>
          </cell>
          <cell r="N169" t="str">
            <v/>
          </cell>
        </row>
        <row r="170">
          <cell r="N170" t="str">
            <v/>
          </cell>
        </row>
        <row r="171">
          <cell r="N171" t="str">
            <v/>
          </cell>
          <cell r="R171" t="str">
            <v>Your allies gain a bonus on the save DC for their selected energy effects.</v>
          </cell>
        </row>
        <row r="172">
          <cell r="A172" t="str">
            <v/>
          </cell>
          <cell r="B172" t="str">
            <v/>
          </cell>
          <cell r="C172" t="str">
            <v/>
          </cell>
          <cell r="D172" t="str">
            <v/>
          </cell>
          <cell r="E172" t="str">
            <v/>
          </cell>
          <cell r="H172" t="str">
            <v/>
          </cell>
          <cell r="I172" t="str">
            <v/>
          </cell>
          <cell r="J172" t="str">
            <v/>
          </cell>
          <cell r="N172" t="str">
            <v/>
          </cell>
          <cell r="R172" t="str">
            <v>Your allies gain an energy shield dealing energy damage when struck.</v>
          </cell>
        </row>
        <row r="173">
          <cell r="A173" t="str">
            <v>Strength</v>
          </cell>
          <cell r="B173" t="str">
            <v>Strength</v>
          </cell>
          <cell r="C173" t="str">
            <v>Strength</v>
          </cell>
          <cell r="D173" t="str">
            <v>Strength</v>
          </cell>
          <cell r="E173" t="str">
            <v>Strength</v>
          </cell>
          <cell r="H173" t="str">
            <v>Intelligence</v>
          </cell>
          <cell r="I173" t="str">
            <v>Strength</v>
          </cell>
          <cell r="J173" t="str">
            <v>Intelligence</v>
          </cell>
          <cell r="N173" t="str">
            <v/>
          </cell>
          <cell r="R173" t="str">
            <v>Your allies gain a bonus on Decipher Script, Knowledge, and Spellcaraft checks.</v>
          </cell>
        </row>
        <row r="174">
          <cell r="A174" t="str">
            <v>Dexterity</v>
          </cell>
          <cell r="B174" t="str">
            <v>Dexterity</v>
          </cell>
          <cell r="C174" t="str">
            <v>Dexterity</v>
          </cell>
          <cell r="D174" t="str">
            <v>Dexterity</v>
          </cell>
          <cell r="E174" t="str">
            <v>Dexterity</v>
          </cell>
          <cell r="H174" t="str">
            <v>Wisdom</v>
          </cell>
          <cell r="I174" t="str">
            <v>Dexterity</v>
          </cell>
          <cell r="J174" t="str">
            <v>Wisdom</v>
          </cell>
          <cell r="R174" t="str">
            <v>Your allies gain a bonus on caster level checks made to overcome spell resistance and manifester level checks made to overcome power resistance.</v>
          </cell>
        </row>
        <row r="175">
          <cell r="A175" t="str">
            <v>Constitution</v>
          </cell>
          <cell r="B175" t="str">
            <v>Constitution</v>
          </cell>
          <cell r="C175" t="str">
            <v>Constitution</v>
          </cell>
          <cell r="D175" t="str">
            <v>Constitution</v>
          </cell>
          <cell r="E175" t="str">
            <v>Constitution</v>
          </cell>
          <cell r="H175" t="str">
            <v>Charisma</v>
          </cell>
          <cell r="I175" t="str">
            <v>Constitution</v>
          </cell>
          <cell r="J175" t="str">
            <v>Charisma</v>
          </cell>
          <cell r="R175" t="str">
            <v>Your allies gain a bonus on Bluff, Diplomacy, and Intimidate checks.</v>
          </cell>
        </row>
        <row r="176">
          <cell r="A176" t="str">
            <v>Intelligence</v>
          </cell>
          <cell r="B176" t="str">
            <v>Intelligence</v>
          </cell>
          <cell r="C176" t="str">
            <v>Intelligence</v>
          </cell>
          <cell r="D176" t="str">
            <v>Intelligence</v>
          </cell>
          <cell r="E176" t="str">
            <v>Intelligence</v>
          </cell>
          <cell r="R176" t="str">
            <v>Your allies gain resistance to your chosen energy type.</v>
          </cell>
        </row>
        <row r="177">
          <cell r="A177" t="str">
            <v>Wisdom</v>
          </cell>
          <cell r="B177" t="str">
            <v>Wisdom</v>
          </cell>
          <cell r="C177" t="str">
            <v>Wisdom</v>
          </cell>
          <cell r="D177" t="str">
            <v>Wisdom</v>
          </cell>
          <cell r="E177" t="str">
            <v>Wisdom</v>
          </cell>
          <cell r="R177" t="str">
            <v>Your allies gain a bonus on Concentration checks and on saves against fear, paralysis, and sleep effects.</v>
          </cell>
        </row>
        <row r="178">
          <cell r="A178" t="str">
            <v>Charisma</v>
          </cell>
          <cell r="B178" t="str">
            <v>Charisma</v>
          </cell>
          <cell r="C178" t="str">
            <v>Charisma</v>
          </cell>
          <cell r="D178" t="str">
            <v>Charisma</v>
          </cell>
          <cell r="E178" t="str">
            <v>Charisma</v>
          </cell>
          <cell r="R178" t="str">
            <v>Your allies gain a bonus on Listen checks, Spot checks, and initiative checks.</v>
          </cell>
        </row>
        <row r="179">
          <cell r="R179" t="str">
            <v>Your allies gain a bonus on Constitution checks and Fortitude saves.</v>
          </cell>
        </row>
        <row r="180">
          <cell r="A180" t="str">
            <v/>
          </cell>
          <cell r="B180" t="str">
            <v/>
          </cell>
          <cell r="C180" t="str">
            <v/>
          </cell>
          <cell r="D180" t="str">
            <v/>
          </cell>
          <cell r="E180" t="str">
            <v/>
          </cell>
          <cell r="N180" t="str">
            <v/>
          </cell>
          <cell r="R180" t="str">
            <v>Your allies gain a bonus on climb, jump, and swim checks.  Also climb, fly, and swim speed increases by 5 ft.</v>
          </cell>
        </row>
        <row r="181">
          <cell r="A181" t="str">
            <v>Strength</v>
          </cell>
          <cell r="B181" t="str">
            <v>Strength</v>
          </cell>
          <cell r="C181" t="str">
            <v>Strength</v>
          </cell>
          <cell r="D181" t="str">
            <v>Strength</v>
          </cell>
          <cell r="E181" t="str">
            <v>Strength</v>
          </cell>
          <cell r="N181" t="str">
            <v/>
          </cell>
          <cell r="R181" t="str">
            <v>Your allies gain damage reduction magic.</v>
          </cell>
        </row>
        <row r="182">
          <cell r="A182" t="str">
            <v>Dexterity</v>
          </cell>
          <cell r="B182" t="str">
            <v>Dexterity</v>
          </cell>
          <cell r="C182" t="str">
            <v>Dexterity</v>
          </cell>
          <cell r="D182" t="str">
            <v>Dexterity</v>
          </cell>
          <cell r="E182" t="str">
            <v>Dexterity</v>
          </cell>
          <cell r="N182" t="str">
            <v/>
          </cell>
          <cell r="R182" t="str">
            <v>Your allies gain fast healing when below one-half hitpoints.</v>
          </cell>
        </row>
        <row r="183">
          <cell r="A183" t="str">
            <v>Constitution</v>
          </cell>
          <cell r="B183" t="str">
            <v>Constitution</v>
          </cell>
          <cell r="C183" t="str">
            <v>Constitution</v>
          </cell>
          <cell r="D183" t="str">
            <v>Constitution</v>
          </cell>
          <cell r="E183" t="str">
            <v>Constitution</v>
          </cell>
          <cell r="N183" t="str">
            <v/>
          </cell>
        </row>
        <row r="184">
          <cell r="A184" t="str">
            <v>Intelligence</v>
          </cell>
          <cell r="B184" t="str">
            <v>Intelligence</v>
          </cell>
          <cell r="C184" t="str">
            <v>Intelligence</v>
          </cell>
          <cell r="D184" t="str">
            <v>Intelligence</v>
          </cell>
          <cell r="E184" t="str">
            <v>Intelligence</v>
          </cell>
          <cell r="N184" t="str">
            <v/>
          </cell>
          <cell r="Q184">
            <v>0</v>
          </cell>
          <cell r="R184">
            <v>3</v>
          </cell>
          <cell r="S184">
            <v>3</v>
          </cell>
        </row>
        <row r="185">
          <cell r="A185" t="str">
            <v>Wisdom</v>
          </cell>
          <cell r="B185" t="str">
            <v>Wisdom</v>
          </cell>
          <cell r="C185" t="str">
            <v>Wisdom</v>
          </cell>
          <cell r="D185" t="str">
            <v>Wisdom</v>
          </cell>
          <cell r="E185" t="str">
            <v>Wisdom</v>
          </cell>
          <cell r="N185" t="str">
            <v/>
          </cell>
          <cell r="Q185">
            <v>1</v>
          </cell>
          <cell r="R185">
            <v>5</v>
          </cell>
          <cell r="S185">
            <v>5</v>
          </cell>
        </row>
        <row r="186">
          <cell r="A186" t="str">
            <v>Charisma</v>
          </cell>
          <cell r="B186" t="str">
            <v>Charisma</v>
          </cell>
          <cell r="C186" t="str">
            <v>Charisma</v>
          </cell>
          <cell r="D186" t="str">
            <v>Charisma</v>
          </cell>
          <cell r="E186" t="str">
            <v>Charisma</v>
          </cell>
          <cell r="N186" t="str">
            <v/>
          </cell>
          <cell r="Q186">
            <v>2</v>
          </cell>
          <cell r="R186">
            <v>5</v>
          </cell>
          <cell r="S186">
            <v>5</v>
          </cell>
        </row>
        <row r="187">
          <cell r="N187" t="str">
            <v/>
          </cell>
          <cell r="Q187">
            <v>3</v>
          </cell>
          <cell r="R187">
            <v>5</v>
          </cell>
          <cell r="S187">
            <v>5</v>
          </cell>
        </row>
        <row r="188">
          <cell r="A188" t="str">
            <v/>
          </cell>
          <cell r="B188" t="str">
            <v/>
          </cell>
          <cell r="C188" t="str">
            <v/>
          </cell>
          <cell r="D188" t="str">
            <v/>
          </cell>
          <cell r="E188" t="str">
            <v/>
          </cell>
          <cell r="N188" t="str">
            <v/>
          </cell>
          <cell r="Q188">
            <v>4</v>
          </cell>
          <cell r="R188">
            <v>6</v>
          </cell>
          <cell r="S188">
            <v>5</v>
          </cell>
        </row>
        <row r="189">
          <cell r="A189" t="str">
            <v>Strength</v>
          </cell>
          <cell r="B189" t="str">
            <v>Strength</v>
          </cell>
          <cell r="C189" t="str">
            <v>Strength</v>
          </cell>
          <cell r="D189" t="str">
            <v>Strength</v>
          </cell>
          <cell r="E189" t="str">
            <v>Strength</v>
          </cell>
          <cell r="N189" t="str">
            <v/>
          </cell>
          <cell r="Q189">
            <v>5</v>
          </cell>
          <cell r="R189">
            <v>6</v>
          </cell>
          <cell r="S189">
            <v>6</v>
          </cell>
        </row>
        <row r="190">
          <cell r="A190" t="str">
            <v>Dexterity</v>
          </cell>
          <cell r="B190" t="str">
            <v>Dexterity</v>
          </cell>
          <cell r="C190" t="str">
            <v>Dexterity</v>
          </cell>
          <cell r="D190" t="str">
            <v>Dexterity</v>
          </cell>
          <cell r="E190" t="str">
            <v>Dexterity</v>
          </cell>
          <cell r="N190" t="str">
            <v/>
          </cell>
          <cell r="Q190">
            <v>6</v>
          </cell>
          <cell r="R190">
            <v>6</v>
          </cell>
          <cell r="S190">
            <v>6</v>
          </cell>
        </row>
        <row r="191">
          <cell r="A191" t="str">
            <v>Constitution</v>
          </cell>
          <cell r="B191" t="str">
            <v>Constitution</v>
          </cell>
          <cell r="C191" t="str">
            <v>Constitution</v>
          </cell>
          <cell r="D191" t="str">
            <v>Constitution</v>
          </cell>
          <cell r="E191" t="str">
            <v>Constitution</v>
          </cell>
          <cell r="Q191">
            <v>7</v>
          </cell>
          <cell r="R191">
            <v>6</v>
          </cell>
          <cell r="S191">
            <v>6</v>
          </cell>
        </row>
        <row r="192">
          <cell r="A192" t="str">
            <v>Intelligence</v>
          </cell>
          <cell r="B192" t="str">
            <v>Intelligence</v>
          </cell>
          <cell r="C192" t="str">
            <v>Intelligence</v>
          </cell>
          <cell r="D192" t="str">
            <v>Intelligence</v>
          </cell>
          <cell r="E192" t="str">
            <v>Intelligence</v>
          </cell>
          <cell r="Q192">
            <v>8</v>
          </cell>
          <cell r="R192">
            <v>7</v>
          </cell>
          <cell r="S192">
            <v>7</v>
          </cell>
        </row>
        <row r="193">
          <cell r="A193" t="str">
            <v>Wisdom</v>
          </cell>
          <cell r="B193" t="str">
            <v>Wisdom</v>
          </cell>
          <cell r="C193" t="str">
            <v>Wisdom</v>
          </cell>
          <cell r="D193" t="str">
            <v>Wisdom</v>
          </cell>
          <cell r="E193" t="str">
            <v>Wisdom</v>
          </cell>
          <cell r="I193" t="str">
            <v/>
          </cell>
          <cell r="Q193">
            <v>9</v>
          </cell>
          <cell r="R193">
            <v>7</v>
          </cell>
          <cell r="S193">
            <v>7</v>
          </cell>
        </row>
        <row r="194">
          <cell r="A194" t="str">
            <v>Charisma</v>
          </cell>
          <cell r="B194" t="str">
            <v>Charisma</v>
          </cell>
          <cell r="C194" t="str">
            <v>Charisma</v>
          </cell>
          <cell r="D194" t="str">
            <v>Charisma</v>
          </cell>
          <cell r="E194" t="str">
            <v>Charisma</v>
          </cell>
          <cell r="I194" t="str">
            <v>Strength</v>
          </cell>
          <cell r="Q194">
            <v>10</v>
          </cell>
          <cell r="R194">
            <v>7</v>
          </cell>
          <cell r="S194">
            <v>8</v>
          </cell>
        </row>
        <row r="195">
          <cell r="I195" t="str">
            <v>Dexterity</v>
          </cell>
          <cell r="Q195">
            <v>11</v>
          </cell>
          <cell r="R195">
            <v>7</v>
          </cell>
          <cell r="S195">
            <v>8</v>
          </cell>
        </row>
        <row r="196">
          <cell r="A196" t="str">
            <v/>
          </cell>
          <cell r="B196" t="str">
            <v/>
          </cell>
          <cell r="C196" t="str">
            <v/>
          </cell>
          <cell r="D196" t="str">
            <v/>
          </cell>
          <cell r="E196" t="str">
            <v/>
          </cell>
          <cell r="I196" t="str">
            <v>Constitution</v>
          </cell>
          <cell r="Q196">
            <v>12</v>
          </cell>
          <cell r="R196">
            <v>10</v>
          </cell>
          <cell r="S196">
            <v>8</v>
          </cell>
        </row>
        <row r="197">
          <cell r="A197" t="str">
            <v>arcana</v>
          </cell>
          <cell r="B197" t="str">
            <v>Knowledge(arcana)</v>
          </cell>
          <cell r="C197" t="str">
            <v>arcana</v>
          </cell>
          <cell r="D197" t="str">
            <v>Fortitude</v>
          </cell>
          <cell r="E197" t="str">
            <v>Conjuration</v>
          </cell>
          <cell r="Q197">
            <v>13</v>
          </cell>
          <cell r="R197">
            <v>10</v>
          </cell>
          <cell r="S197">
            <v>8</v>
          </cell>
        </row>
        <row r="198">
          <cell r="A198" t="str">
            <v>arch &amp; eng</v>
          </cell>
          <cell r="B198" t="str">
            <v>Spellcraft</v>
          </cell>
          <cell r="C198" t="str">
            <v>arch &amp; eng</v>
          </cell>
          <cell r="D198" t="str">
            <v>Reflex</v>
          </cell>
          <cell r="E198" t="str">
            <v>Evocation</v>
          </cell>
          <cell r="Q198">
            <v>14</v>
          </cell>
          <cell r="R198">
            <v>10</v>
          </cell>
          <cell r="S198">
            <v>8</v>
          </cell>
        </row>
        <row r="199">
          <cell r="A199" t="str">
            <v>dungeoneering</v>
          </cell>
          <cell r="C199" t="str">
            <v>dungeoneering</v>
          </cell>
          <cell r="E199" t="str">
            <v>Necromancy</v>
          </cell>
          <cell r="I199" t="str">
            <v/>
          </cell>
          <cell r="N199" t="str">
            <v/>
          </cell>
          <cell r="Q199">
            <v>15</v>
          </cell>
          <cell r="R199">
            <v>10</v>
          </cell>
          <cell r="S199">
            <v>8</v>
          </cell>
        </row>
        <row r="200">
          <cell r="A200" t="str">
            <v>geography</v>
          </cell>
          <cell r="C200" t="str">
            <v>geography</v>
          </cell>
          <cell r="E200" t="str">
            <v>Transmutation</v>
          </cell>
          <cell r="I200" t="str">
            <v/>
          </cell>
          <cell r="N200" t="str">
            <v>Close-Quarter Ranged Combat</v>
          </cell>
          <cell r="Q200">
            <v>16</v>
          </cell>
          <cell r="R200">
            <v>11</v>
          </cell>
          <cell r="S200">
            <v>8</v>
          </cell>
        </row>
        <row r="201">
          <cell r="A201" t="str">
            <v>history</v>
          </cell>
          <cell r="C201" t="str">
            <v>history</v>
          </cell>
          <cell r="I201" t="str">
            <v/>
          </cell>
          <cell r="N201" t="str">
            <v>Double Weapon Defense</v>
          </cell>
          <cell r="Q201">
            <v>17</v>
          </cell>
          <cell r="R201">
            <v>11</v>
          </cell>
          <cell r="S201">
            <v>8</v>
          </cell>
        </row>
        <row r="202">
          <cell r="A202" t="str">
            <v>local</v>
          </cell>
          <cell r="C202" t="str">
            <v>local</v>
          </cell>
          <cell r="I202" t="str">
            <v/>
          </cell>
          <cell r="N202" t="str">
            <v>Exotic Reach</v>
          </cell>
          <cell r="Q202">
            <v>18</v>
          </cell>
          <cell r="R202">
            <v>11</v>
          </cell>
          <cell r="S202">
            <v>8</v>
          </cell>
        </row>
        <row r="203">
          <cell r="A203" t="str">
            <v>monster lore</v>
          </cell>
          <cell r="C203" t="str">
            <v>monster lore</v>
          </cell>
          <cell r="N203" t="str">
            <v>Exotic Sunder</v>
          </cell>
          <cell r="Q203">
            <v>19</v>
          </cell>
          <cell r="R203">
            <v>11</v>
          </cell>
          <cell r="S203">
            <v>8</v>
          </cell>
        </row>
        <row r="204">
          <cell r="A204" t="str">
            <v>nature</v>
          </cell>
          <cell r="C204" t="str">
            <v>nature</v>
          </cell>
          <cell r="N204" t="str">
            <v>Flurry of Strikes</v>
          </cell>
          <cell r="Q204">
            <v>20</v>
          </cell>
          <cell r="R204">
            <v>12</v>
          </cell>
          <cell r="S204">
            <v>8</v>
          </cell>
        </row>
        <row r="205">
          <cell r="A205" t="str">
            <v>nobility</v>
          </cell>
          <cell r="C205" t="str">
            <v>nobility</v>
          </cell>
          <cell r="I205" t="str">
            <v/>
          </cell>
          <cell r="N205" t="str">
            <v>Ranged Disarm</v>
          </cell>
          <cell r="Q205">
            <v>21</v>
          </cell>
          <cell r="R205">
            <v>12</v>
          </cell>
          <cell r="S205">
            <v>8</v>
          </cell>
        </row>
        <row r="206">
          <cell r="A206" t="str">
            <v>ravenloft</v>
          </cell>
          <cell r="C206" t="str">
            <v>ravenloft</v>
          </cell>
          <cell r="I206" t="str">
            <v/>
          </cell>
          <cell r="N206" t="str">
            <v>Show Off</v>
          </cell>
          <cell r="Q206">
            <v>22</v>
          </cell>
          <cell r="R206">
            <v>12</v>
          </cell>
          <cell r="S206">
            <v>8</v>
          </cell>
        </row>
        <row r="207">
          <cell r="A207" t="str">
            <v>religion</v>
          </cell>
          <cell r="C207" t="str">
            <v>religion</v>
          </cell>
          <cell r="I207" t="str">
            <v/>
          </cell>
          <cell r="N207" t="str">
            <v>Stunning Blow</v>
          </cell>
          <cell r="Q207">
            <v>23</v>
          </cell>
          <cell r="R207">
            <v>12</v>
          </cell>
          <cell r="S207">
            <v>8</v>
          </cell>
        </row>
        <row r="208">
          <cell r="A208" t="str">
            <v>the planes</v>
          </cell>
          <cell r="C208" t="str">
            <v>the planes</v>
          </cell>
          <cell r="I208" t="str">
            <v/>
          </cell>
          <cell r="N208" t="str">
            <v>Throw Exotic Weapon</v>
          </cell>
          <cell r="Q208">
            <v>24</v>
          </cell>
          <cell r="R208">
            <v>12</v>
          </cell>
          <cell r="S208">
            <v>8</v>
          </cell>
        </row>
        <row r="209">
          <cell r="A209" t="str">
            <v/>
          </cell>
          <cell r="C209" t="str">
            <v/>
          </cell>
          <cell r="N209" t="str">
            <v>Twin Exotic Weapon Fighting</v>
          </cell>
          <cell r="Q209">
            <v>25</v>
          </cell>
          <cell r="R209">
            <v>12</v>
          </cell>
          <cell r="S209">
            <v>8</v>
          </cell>
        </row>
        <row r="210">
          <cell r="A210" t="str">
            <v/>
          </cell>
          <cell r="C210" t="str">
            <v/>
          </cell>
          <cell r="N210" t="str">
            <v>Trip Attack</v>
          </cell>
          <cell r="Q210">
            <v>26</v>
          </cell>
          <cell r="R210">
            <v>12</v>
          </cell>
          <cell r="S210">
            <v>8</v>
          </cell>
        </row>
        <row r="211">
          <cell r="A211" t="str">
            <v/>
          </cell>
          <cell r="C211" t="str">
            <v/>
          </cell>
          <cell r="N211" t="str">
            <v>Uncanny Blow</v>
          </cell>
          <cell r="Q211">
            <v>27</v>
          </cell>
          <cell r="R211">
            <v>12</v>
          </cell>
          <cell r="S211">
            <v>8</v>
          </cell>
        </row>
        <row r="212">
          <cell r="A212" t="str">
            <v/>
          </cell>
          <cell r="C212" t="str">
            <v/>
          </cell>
          <cell r="Q212">
            <v>28</v>
          </cell>
          <cell r="R212">
            <v>12</v>
          </cell>
          <cell r="S212">
            <v>8</v>
          </cell>
        </row>
        <row r="213">
          <cell r="A213" t="str">
            <v/>
          </cell>
          <cell r="C213" t="str">
            <v/>
          </cell>
          <cell r="Q213">
            <v>29</v>
          </cell>
          <cell r="R213">
            <v>12</v>
          </cell>
          <cell r="S213">
            <v>8</v>
          </cell>
        </row>
        <row r="214">
          <cell r="Q214">
            <v>30</v>
          </cell>
          <cell r="R214">
            <v>12</v>
          </cell>
          <cell r="S214">
            <v>8</v>
          </cell>
        </row>
        <row r="215">
          <cell r="Q215">
            <v>31</v>
          </cell>
          <cell r="R215">
            <v>12</v>
          </cell>
          <cell r="S215">
            <v>8</v>
          </cell>
        </row>
        <row r="216">
          <cell r="H216" t="str">
            <v>Select Spell Casting Class</v>
          </cell>
          <cell r="I216">
            <v>1</v>
          </cell>
          <cell r="J216">
            <v>0</v>
          </cell>
          <cell r="Q216">
            <v>32</v>
          </cell>
          <cell r="R216">
            <v>12</v>
          </cell>
          <cell r="S216">
            <v>8</v>
          </cell>
        </row>
        <row r="217">
          <cell r="H217" t="str">
            <v>Select Spell Casting Class</v>
          </cell>
          <cell r="I217">
            <v>1</v>
          </cell>
          <cell r="J217">
            <v>0</v>
          </cell>
          <cell r="Q217">
            <v>33</v>
          </cell>
          <cell r="R217">
            <v>12</v>
          </cell>
          <cell r="S217">
            <v>8</v>
          </cell>
        </row>
        <row r="218">
          <cell r="H218" t="str">
            <v>Select Spell Casting Class</v>
          </cell>
          <cell r="I218">
            <v>1</v>
          </cell>
          <cell r="J218">
            <v>0</v>
          </cell>
          <cell r="N218" t="str">
            <v/>
          </cell>
          <cell r="Q218">
            <v>34</v>
          </cell>
          <cell r="R218">
            <v>12</v>
          </cell>
          <cell r="S218">
            <v>8</v>
          </cell>
        </row>
        <row r="219">
          <cell r="H219" t="str">
            <v>Select Spell Casting Class</v>
          </cell>
          <cell r="I219">
            <v>1</v>
          </cell>
          <cell r="J219">
            <v>0</v>
          </cell>
          <cell r="N219" t="str">
            <v>Deadeye Shot</v>
          </cell>
          <cell r="Q219">
            <v>35</v>
          </cell>
          <cell r="R219">
            <v>12</v>
          </cell>
          <cell r="S219">
            <v>8</v>
          </cell>
        </row>
        <row r="220">
          <cell r="H220" t="str">
            <v>Select Spell Casting Class</v>
          </cell>
          <cell r="I220">
            <v>1</v>
          </cell>
          <cell r="J220">
            <v>0</v>
          </cell>
          <cell r="N220" t="str">
            <v>Defensive Throw</v>
          </cell>
          <cell r="Q220">
            <v>36</v>
          </cell>
          <cell r="R220">
            <v>12</v>
          </cell>
          <cell r="S220">
            <v>8</v>
          </cell>
        </row>
        <row r="221">
          <cell r="H221" t="str">
            <v>Select Spell Casting Class</v>
          </cell>
          <cell r="I221">
            <v>1</v>
          </cell>
          <cell r="J221">
            <v>0</v>
          </cell>
          <cell r="N221" t="str">
            <v>Doubletoss</v>
          </cell>
          <cell r="Q221">
            <v>37</v>
          </cell>
          <cell r="R221">
            <v>12</v>
          </cell>
          <cell r="S221">
            <v>8</v>
          </cell>
        </row>
        <row r="222">
          <cell r="D222" t="str">
            <v/>
          </cell>
          <cell r="G222" t="str">
            <v/>
          </cell>
          <cell r="H222" t="str">
            <v>Select Spell Casting Class</v>
          </cell>
          <cell r="I222">
            <v>1</v>
          </cell>
          <cell r="J222">
            <v>0</v>
          </cell>
          <cell r="N222" t="str">
            <v>Palm Throw</v>
          </cell>
          <cell r="Q222">
            <v>38</v>
          </cell>
          <cell r="R222">
            <v>12</v>
          </cell>
          <cell r="S222">
            <v>8</v>
          </cell>
        </row>
        <row r="223">
          <cell r="G223" t="str">
            <v>Longsword</v>
          </cell>
          <cell r="H223" t="str">
            <v>Select Spell Casting Class</v>
          </cell>
          <cell r="I223">
            <v>1</v>
          </cell>
          <cell r="J223">
            <v>0</v>
          </cell>
          <cell r="N223" t="str">
            <v>Sneaky Shot</v>
          </cell>
          <cell r="Q223">
            <v>39</v>
          </cell>
          <cell r="R223">
            <v>12</v>
          </cell>
          <cell r="S223">
            <v>8</v>
          </cell>
        </row>
        <row r="224">
          <cell r="G224" t="str">
            <v>Rapier</v>
          </cell>
          <cell r="H224" t="str">
            <v>Select Spell Casting Class</v>
          </cell>
          <cell r="I224">
            <v>1</v>
          </cell>
          <cell r="J224">
            <v>0</v>
          </cell>
          <cell r="N224" t="str">
            <v>Trip Shot</v>
          </cell>
          <cell r="Q224">
            <v>40</v>
          </cell>
          <cell r="R224">
            <v>12</v>
          </cell>
          <cell r="S224">
            <v>8</v>
          </cell>
        </row>
        <row r="225">
          <cell r="G225" t="str">
            <v>Longbow</v>
          </cell>
          <cell r="H225" t="str">
            <v>Select Spell Casting Class</v>
          </cell>
          <cell r="I225">
            <v>1</v>
          </cell>
          <cell r="J225">
            <v>0</v>
          </cell>
          <cell r="N225" t="str">
            <v>Tumble Toss</v>
          </cell>
          <cell r="Q225">
            <v>41</v>
          </cell>
          <cell r="R225">
            <v>12</v>
          </cell>
          <cell r="S225">
            <v>8</v>
          </cell>
        </row>
        <row r="226">
          <cell r="G226" t="str">
            <v>Shortbow</v>
          </cell>
          <cell r="H226" t="str">
            <v>Select Spell Casting Class</v>
          </cell>
          <cell r="I226">
            <v>1</v>
          </cell>
          <cell r="J226">
            <v>0</v>
          </cell>
          <cell r="N226" t="str">
            <v>Two with One Blow</v>
          </cell>
          <cell r="Q226">
            <v>42</v>
          </cell>
          <cell r="R226">
            <v>12</v>
          </cell>
          <cell r="S226">
            <v>8</v>
          </cell>
        </row>
        <row r="227">
          <cell r="H227" t="str">
            <v>Select Spell Casting Class</v>
          </cell>
          <cell r="I227">
            <v>1</v>
          </cell>
          <cell r="J227">
            <v>0</v>
          </cell>
          <cell r="N227" t="str">
            <v/>
          </cell>
          <cell r="Q227">
            <v>43</v>
          </cell>
          <cell r="R227">
            <v>12</v>
          </cell>
          <cell r="S227">
            <v>8</v>
          </cell>
        </row>
        <row r="228">
          <cell r="H228" t="str">
            <v>Select Spell Casting Class</v>
          </cell>
          <cell r="I228">
            <v>1</v>
          </cell>
          <cell r="J228">
            <v>0</v>
          </cell>
          <cell r="Q228">
            <v>44</v>
          </cell>
          <cell r="R228">
            <v>12</v>
          </cell>
          <cell r="S228">
            <v>8</v>
          </cell>
        </row>
        <row r="229">
          <cell r="H229" t="str">
            <v>Select Spell Casting Class</v>
          </cell>
          <cell r="I229">
            <v>1</v>
          </cell>
          <cell r="J229">
            <v>0</v>
          </cell>
          <cell r="Q229">
            <v>45</v>
          </cell>
          <cell r="R229">
            <v>12</v>
          </cell>
          <cell r="S229">
            <v>8</v>
          </cell>
        </row>
        <row r="230">
          <cell r="H230" t="str">
            <v>Select Spell Casting Class</v>
          </cell>
          <cell r="I230">
            <v>1</v>
          </cell>
          <cell r="J230">
            <v>0</v>
          </cell>
          <cell r="Q230">
            <v>46</v>
          </cell>
          <cell r="R230">
            <v>12</v>
          </cell>
          <cell r="S230">
            <v>8</v>
          </cell>
        </row>
        <row r="231">
          <cell r="H231" t="str">
            <v>Select Spell Casting Class</v>
          </cell>
          <cell r="I231">
            <v>1</v>
          </cell>
          <cell r="J231">
            <v>0</v>
          </cell>
          <cell r="Q231">
            <v>47</v>
          </cell>
          <cell r="R231">
            <v>12</v>
          </cell>
          <cell r="S231">
            <v>8</v>
          </cell>
        </row>
        <row r="232">
          <cell r="H232" t="str">
            <v>Select Spell Casting Class</v>
          </cell>
          <cell r="I232">
            <v>1</v>
          </cell>
          <cell r="J232">
            <v>0</v>
          </cell>
          <cell r="Q232">
            <v>48</v>
          </cell>
          <cell r="R232">
            <v>12</v>
          </cell>
          <cell r="S232">
            <v>8</v>
          </cell>
        </row>
        <row r="233">
          <cell r="I233" t="b">
            <v>0</v>
          </cell>
          <cell r="Q233">
            <v>49</v>
          </cell>
          <cell r="R233">
            <v>12</v>
          </cell>
          <cell r="S233">
            <v>8</v>
          </cell>
        </row>
        <row r="234">
          <cell r="N234" t="str">
            <v/>
          </cell>
          <cell r="Q234">
            <v>50</v>
          </cell>
          <cell r="R234">
            <v>12</v>
          </cell>
          <cell r="S234">
            <v>8</v>
          </cell>
        </row>
        <row r="235">
          <cell r="N235" t="str">
            <v>Armor of the Crocodile</v>
          </cell>
          <cell r="Q235">
            <v>51</v>
          </cell>
          <cell r="R235">
            <v>12</v>
          </cell>
          <cell r="S235">
            <v>8</v>
          </cell>
        </row>
        <row r="236">
          <cell r="N236" t="str">
            <v>Blaze of Power</v>
          </cell>
          <cell r="Q236">
            <v>52</v>
          </cell>
          <cell r="R236">
            <v>12</v>
          </cell>
          <cell r="S236">
            <v>8</v>
          </cell>
        </row>
        <row r="237">
          <cell r="N237" t="str">
            <v>Claws of the Grizzly</v>
          </cell>
          <cell r="Q237">
            <v>53</v>
          </cell>
          <cell r="R237">
            <v>12</v>
          </cell>
          <cell r="S237">
            <v>8</v>
          </cell>
        </row>
        <row r="238">
          <cell r="N238" t="str">
            <v>Earth's Resilience</v>
          </cell>
          <cell r="Q238">
            <v>54</v>
          </cell>
          <cell r="R238">
            <v>12</v>
          </cell>
          <cell r="S238">
            <v>8</v>
          </cell>
        </row>
        <row r="239">
          <cell r="N239" t="str">
            <v>Nature's Weapon</v>
          </cell>
          <cell r="Q239">
            <v>55</v>
          </cell>
          <cell r="R239">
            <v>12</v>
          </cell>
          <cell r="S239">
            <v>8</v>
          </cell>
        </row>
        <row r="240">
          <cell r="N240" t="str">
            <v>Robe of Clouds</v>
          </cell>
          <cell r="Q240">
            <v>56</v>
          </cell>
          <cell r="R240">
            <v>12</v>
          </cell>
          <cell r="S240">
            <v>8</v>
          </cell>
        </row>
        <row r="241">
          <cell r="N241" t="str">
            <v>Serpent's Coils</v>
          </cell>
          <cell r="Q241">
            <v>57</v>
          </cell>
          <cell r="R241">
            <v>12</v>
          </cell>
          <cell r="S241">
            <v>8</v>
          </cell>
        </row>
        <row r="242">
          <cell r="N242" t="str">
            <v>Water's Flow</v>
          </cell>
          <cell r="Q242">
            <v>58</v>
          </cell>
          <cell r="R242">
            <v>12</v>
          </cell>
          <cell r="S242">
            <v>8</v>
          </cell>
        </row>
        <row r="243">
          <cell r="C243" t="str">
            <v>Badger</v>
          </cell>
          <cell r="D243" t="str">
            <v>Con</v>
          </cell>
          <cell r="E243">
            <v>20</v>
          </cell>
          <cell r="F243" t="str">
            <v/>
          </cell>
          <cell r="H243" t="str">
            <v>Select Beast Totem</v>
          </cell>
          <cell r="J243" t="str">
            <v>Select Spiritual Totem</v>
          </cell>
          <cell r="N243" t="str">
            <v>Wild Growth</v>
          </cell>
          <cell r="Q243">
            <v>59</v>
          </cell>
          <cell r="R243">
            <v>12</v>
          </cell>
          <cell r="S243">
            <v>8</v>
          </cell>
        </row>
        <row r="244">
          <cell r="C244" t="str">
            <v>Carp</v>
          </cell>
          <cell r="D244" t="str">
            <v>Dex</v>
          </cell>
          <cell r="E244">
            <v>10</v>
          </cell>
          <cell r="F244" t="str">
            <v/>
          </cell>
          <cell r="H244" t="str">
            <v>Chimera</v>
          </cell>
          <cell r="J244" t="str">
            <v>Bear</v>
          </cell>
          <cell r="N244" t="str">
            <v>Wings of the Hurricane</v>
          </cell>
          <cell r="Q244">
            <v>60</v>
          </cell>
          <cell r="R244">
            <v>12</v>
          </cell>
          <cell r="S244">
            <v>8</v>
          </cell>
        </row>
        <row r="245">
          <cell r="C245" t="str">
            <v>Cat</v>
          </cell>
          <cell r="D245" t="str">
            <v>Dex</v>
          </cell>
          <cell r="E245">
            <v>30</v>
          </cell>
          <cell r="F245" t="str">
            <v>Balance+4</v>
          </cell>
          <cell r="H245" t="str">
            <v>Digester</v>
          </cell>
          <cell r="J245" t="str">
            <v>Eagle</v>
          </cell>
        </row>
        <row r="246">
          <cell r="C246" t="str">
            <v>Crab</v>
          </cell>
          <cell r="E246">
            <v>30</v>
          </cell>
          <cell r="F246" t="str">
            <v>Swim+4</v>
          </cell>
          <cell r="H246" t="str">
            <v>Displacer Beast</v>
          </cell>
          <cell r="J246" t="str">
            <v>Fox</v>
          </cell>
          <cell r="V246">
            <v>32</v>
          </cell>
        </row>
        <row r="247">
          <cell r="C247" t="str">
            <v>Crane</v>
          </cell>
          <cell r="D247" t="str">
            <v>Dex</v>
          </cell>
          <cell r="E247">
            <v>20</v>
          </cell>
          <cell r="F247" t="str">
            <v/>
          </cell>
          <cell r="H247" t="str">
            <v>Gorgon</v>
          </cell>
          <cell r="J247" t="str">
            <v>Lion</v>
          </cell>
          <cell r="R247" t="str">
            <v>Select a favored enemy</v>
          </cell>
          <cell r="V247" t="str">
            <v>Select a favored enemy</v>
          </cell>
        </row>
        <row r="248">
          <cell r="C248" t="str">
            <v>Dog</v>
          </cell>
          <cell r="D248" t="str">
            <v>Con</v>
          </cell>
          <cell r="E248">
            <v>30</v>
          </cell>
          <cell r="F248" t="str">
            <v/>
          </cell>
          <cell r="H248" t="str">
            <v>Krenshar</v>
          </cell>
          <cell r="J248" t="str">
            <v>Wolf</v>
          </cell>
          <cell r="R248" t="str">
            <v>Aberration</v>
          </cell>
          <cell r="V248" t="str">
            <v>Aberration</v>
          </cell>
        </row>
        <row r="249">
          <cell r="C249" t="str">
            <v>Fox</v>
          </cell>
          <cell r="D249" t="str">
            <v>Dex</v>
          </cell>
          <cell r="E249">
            <v>30</v>
          </cell>
          <cell r="F249" t="str">
            <v>Escape Artist+4</v>
          </cell>
          <cell r="H249" t="str">
            <v>Unicorn</v>
          </cell>
          <cell r="R249" t="str">
            <v>Animal</v>
          </cell>
          <cell r="V249" t="str">
            <v>Animal</v>
          </cell>
        </row>
        <row r="250">
          <cell r="C250" t="str">
            <v>Hare</v>
          </cell>
          <cell r="D250" t="str">
            <v>Dex</v>
          </cell>
          <cell r="E250">
            <v>40</v>
          </cell>
          <cell r="F250" t="str">
            <v/>
          </cell>
          <cell r="H250" t="str">
            <v>Winter Wolf</v>
          </cell>
          <cell r="R250" t="str">
            <v>Construct</v>
          </cell>
          <cell r="V250" t="str">
            <v>Construct</v>
          </cell>
        </row>
        <row r="251">
          <cell r="C251" t="str">
            <v>Monkey</v>
          </cell>
          <cell r="D251" t="str">
            <v>Dex</v>
          </cell>
          <cell r="E251">
            <v>30</v>
          </cell>
          <cell r="F251" t="str">
            <v>Climb+4</v>
          </cell>
          <cell r="H251" t="str">
            <v>Yrthak</v>
          </cell>
          <cell r="R251" t="str">
            <v>Dragon</v>
          </cell>
          <cell r="V251" t="str">
            <v>Dragon</v>
          </cell>
        </row>
        <row r="252">
          <cell r="C252" t="str">
            <v>Racoon Dog</v>
          </cell>
          <cell r="D252" t="str">
            <v>Str</v>
          </cell>
          <cell r="E252">
            <v>30</v>
          </cell>
          <cell r="F252" t="str">
            <v/>
          </cell>
          <cell r="R252" t="str">
            <v>Elemental</v>
          </cell>
          <cell r="V252" t="str">
            <v>Elemental</v>
          </cell>
        </row>
        <row r="253">
          <cell r="C253" t="str">
            <v>Rat</v>
          </cell>
          <cell r="D253" t="str">
            <v>Dex</v>
          </cell>
          <cell r="E253">
            <v>30</v>
          </cell>
          <cell r="F253" t="str">
            <v>Hide+4</v>
          </cell>
          <cell r="N253" t="str">
            <v/>
          </cell>
          <cell r="R253" t="str">
            <v>Fey</v>
          </cell>
          <cell r="V253" t="str">
            <v>Fey</v>
          </cell>
        </row>
        <row r="254">
          <cell r="C254" t="str">
            <v>Sparrow</v>
          </cell>
          <cell r="D254" t="str">
            <v>Dex</v>
          </cell>
          <cell r="E254">
            <v>20</v>
          </cell>
          <cell r="F254" t="str">
            <v/>
          </cell>
          <cell r="N254" t="str">
            <v>Earthgrip (Sp)</v>
          </cell>
          <cell r="R254" t="str">
            <v>Giant</v>
          </cell>
          <cell r="V254" t="str">
            <v>Giant</v>
          </cell>
        </row>
        <row r="255">
          <cell r="C255" t="str">
            <v>Weasel</v>
          </cell>
          <cell r="D255" t="str">
            <v>Con</v>
          </cell>
          <cell r="E255">
            <v>30</v>
          </cell>
          <cell r="F255" t="str">
            <v>Move Silently+4</v>
          </cell>
          <cell r="N255" t="str">
            <v>Earth Magic (Su)</v>
          </cell>
          <cell r="R255" t="str">
            <v>Humanoid (aquatic)</v>
          </cell>
          <cell r="V255" t="str">
            <v>Humanoid (aquatic)</v>
          </cell>
        </row>
        <row r="256">
          <cell r="N256" t="str">
            <v>Earth's Endurance (Sp)</v>
          </cell>
          <cell r="R256" t="str">
            <v>Humanoid (dwarf)</v>
          </cell>
          <cell r="V256" t="str">
            <v>Humanoid (dwarf)</v>
          </cell>
        </row>
        <row r="257">
          <cell r="N257" t="str">
            <v>Earth's Strength (Sp)</v>
          </cell>
          <cell r="R257" t="str">
            <v>Humanoid (elf)</v>
          </cell>
          <cell r="V257" t="str">
            <v>Humanoid (elf)</v>
          </cell>
        </row>
        <row r="258">
          <cell r="G258" t="str">
            <v/>
          </cell>
          <cell r="H258" t="str">
            <v/>
          </cell>
          <cell r="N258" t="str">
            <v>Earth's Power (Su)</v>
          </cell>
          <cell r="R258" t="str">
            <v>Humanoid (gnoll)</v>
          </cell>
          <cell r="V258" t="str">
            <v>Humanoid (gnoll)</v>
          </cell>
        </row>
        <row r="259">
          <cell r="C259" t="str">
            <v>Select a Poison</v>
          </cell>
          <cell r="D259" t="str">
            <v>Select a Poison Type</v>
          </cell>
          <cell r="E259" t="str">
            <v>Select Aberrant Mark Power</v>
          </cell>
          <cell r="G259" t="str">
            <v>Amorphous Form</v>
          </cell>
          <cell r="H259" t="str">
            <v>Aboleth</v>
          </cell>
          <cell r="N259" t="str">
            <v>Earth's Shadows (Su)</v>
          </cell>
          <cell r="R259" t="str">
            <v>Humanoid (gnome)</v>
          </cell>
          <cell r="V259" t="str">
            <v>Humanoid (gnome)</v>
          </cell>
        </row>
        <row r="260">
          <cell r="C260" t="str">
            <v>Arsenic</v>
          </cell>
          <cell r="D260" t="str">
            <v>Contact</v>
          </cell>
          <cell r="E260" t="str">
            <v>burning hands</v>
          </cell>
          <cell r="G260" t="str">
            <v>Scales</v>
          </cell>
          <cell r="H260" t="str">
            <v>Beholder</v>
          </cell>
          <cell r="N260" t="str">
            <v>Gravity (Sp)</v>
          </cell>
          <cell r="R260" t="str">
            <v>Humanoid (goblinoid)</v>
          </cell>
          <cell r="V260" t="str">
            <v>Humanoid (goblinoid)</v>
          </cell>
        </row>
        <row r="261">
          <cell r="C261" t="str">
            <v>Balor Bile</v>
          </cell>
          <cell r="D261" t="str">
            <v>Ingested</v>
          </cell>
          <cell r="E261" t="str">
            <v>cause fear</v>
          </cell>
          <cell r="G261" t="str">
            <v>Size Increase</v>
          </cell>
          <cell r="H261" t="str">
            <v>Choker</v>
          </cell>
          <cell r="N261" t="str">
            <v>Stoneskin (Sp)</v>
          </cell>
          <cell r="R261" t="str">
            <v>Humanoid (halfling)</v>
          </cell>
          <cell r="V261" t="str">
            <v>Humanoid (halfling)</v>
          </cell>
        </row>
        <row r="262">
          <cell r="C262" t="str">
            <v>Basilisk Breath</v>
          </cell>
          <cell r="D262" t="str">
            <v>Inhaled</v>
          </cell>
          <cell r="E262" t="str">
            <v>charm person</v>
          </cell>
          <cell r="G262" t="str">
            <v>Tentacle</v>
          </cell>
          <cell r="H262" t="str">
            <v>Destrachan</v>
          </cell>
          <cell r="N262" t="str">
            <v>Summon Earth Elemental (Sp)</v>
          </cell>
          <cell r="R262" t="str">
            <v>Humanoid (human)</v>
          </cell>
          <cell r="V262" t="str">
            <v>Humanoid (human)</v>
          </cell>
        </row>
        <row r="263">
          <cell r="C263" t="str">
            <v>Bebilith Venom</v>
          </cell>
          <cell r="D263" t="str">
            <v>Injury</v>
          </cell>
          <cell r="E263" t="str">
            <v>chill touch</v>
          </cell>
          <cell r="G263" t="str">
            <v>Wings</v>
          </cell>
          <cell r="H263" t="str">
            <v>Ettercap</v>
          </cell>
          <cell r="R263" t="str">
            <v>Humanoid (orc)</v>
          </cell>
          <cell r="V263" t="str">
            <v>Humanoid (orc)</v>
          </cell>
        </row>
        <row r="264">
          <cell r="C264" t="str">
            <v>Black Adder Venom</v>
          </cell>
          <cell r="E264" t="str">
            <v>detect secret doors</v>
          </cell>
          <cell r="H264" t="str">
            <v>Gibbering Mouther</v>
          </cell>
          <cell r="R264" t="str">
            <v>Humanoid (reptilian)</v>
          </cell>
          <cell r="V264" t="str">
            <v>Humanoid (reptilian)</v>
          </cell>
        </row>
        <row r="265">
          <cell r="C265" t="str">
            <v>Black Lotus Extract</v>
          </cell>
          <cell r="E265" t="str">
            <v>feather fall</v>
          </cell>
          <cell r="H265" t="str">
            <v>Mind Flayer</v>
          </cell>
          <cell r="R265" t="str">
            <v>Magical beast</v>
          </cell>
          <cell r="V265" t="str">
            <v>Magical Beast</v>
          </cell>
        </row>
        <row r="266">
          <cell r="C266" t="str">
            <v>Bloodroot</v>
          </cell>
          <cell r="E266" t="str">
            <v>inflict light wounds</v>
          </cell>
          <cell r="H266" t="str">
            <v>Otyugh</v>
          </cell>
          <cell r="R266" t="str">
            <v>Monstrous Humanoid</v>
          </cell>
          <cell r="V266" t="str">
            <v>Monstrous Humanoid</v>
          </cell>
        </row>
        <row r="267">
          <cell r="C267" t="str">
            <v>Blue Whinnis</v>
          </cell>
          <cell r="E267" t="str">
            <v>jump</v>
          </cell>
          <cell r="H267" t="str">
            <v>Umber Hulk</v>
          </cell>
          <cell r="R267" t="str">
            <v>Ooze</v>
          </cell>
          <cell r="V267" t="str">
            <v>Ooze</v>
          </cell>
        </row>
        <row r="268">
          <cell r="C268" t="str">
            <v>Burning Angel Wing Fumes</v>
          </cell>
          <cell r="E268" t="str">
            <v>light</v>
          </cell>
          <cell r="R268" t="str">
            <v>Outsider (air)</v>
          </cell>
          <cell r="V268" t="str">
            <v>Outsider (air)</v>
          </cell>
        </row>
        <row r="269">
          <cell r="C269" t="str">
            <v>Burnt Othur Fumes</v>
          </cell>
          <cell r="E269" t="str">
            <v>pass without trace</v>
          </cell>
          <cell r="R269" t="str">
            <v>Outsider (chaotic)</v>
          </cell>
          <cell r="V269" t="str">
            <v>Outsider (chaotic)</v>
          </cell>
        </row>
        <row r="270">
          <cell r="C270" t="str">
            <v>Carrion Crawler Brain Juice</v>
          </cell>
          <cell r="E270" t="str">
            <v>produce flame</v>
          </cell>
          <cell r="R270" t="str">
            <v>Outsider (earth)</v>
          </cell>
          <cell r="V270" t="str">
            <v>Outsider (earth)</v>
          </cell>
        </row>
        <row r="271">
          <cell r="C271" t="str">
            <v>Colossal Centipede Poison</v>
          </cell>
          <cell r="E271" t="str">
            <v>shield</v>
          </cell>
          <cell r="N271" t="str">
            <v/>
          </cell>
          <cell r="R271" t="str">
            <v>Outsider (evil)</v>
          </cell>
          <cell r="V271" t="str">
            <v>Outsider (evil)</v>
          </cell>
        </row>
        <row r="272">
          <cell r="C272" t="str">
            <v>Colossal Scorpion Venom</v>
          </cell>
          <cell r="E272" t="str">
            <v>Tenser's floating disk</v>
          </cell>
          <cell r="N272" t="str">
            <v>Arrowroot</v>
          </cell>
          <cell r="R272" t="str">
            <v>Outsider (fire)</v>
          </cell>
          <cell r="V272" t="str">
            <v>Outsider (good)</v>
          </cell>
        </row>
        <row r="273">
          <cell r="C273" t="str">
            <v>Colossal Spider Venom</v>
          </cell>
          <cell r="N273" t="str">
            <v>Bamboo</v>
          </cell>
          <cell r="R273" t="str">
            <v>Outsider (good)</v>
          </cell>
          <cell r="V273" t="str">
            <v>Outsider (lawful)</v>
          </cell>
        </row>
        <row r="274">
          <cell r="C274" t="str">
            <v>Dark Reaver Powder</v>
          </cell>
          <cell r="E274" t="str">
            <v>Select Aberrant Feature</v>
          </cell>
          <cell r="I274" t="str">
            <v>None</v>
          </cell>
          <cell r="N274" t="str">
            <v>Bat</v>
          </cell>
          <cell r="R274" t="str">
            <v>Outsider (lawful)</v>
          </cell>
          <cell r="V274" t="str">
            <v>Outsider (native)</v>
          </cell>
        </row>
        <row r="275">
          <cell r="C275" t="str">
            <v>Deathblade</v>
          </cell>
          <cell r="E275" t="str">
            <v>Bulging eyes</v>
          </cell>
          <cell r="G275" t="str">
            <v>Select A Dragon Type</v>
          </cell>
          <cell r="N275" t="str">
            <v>Bellflower</v>
          </cell>
          <cell r="R275" t="str">
            <v>Outsider (native)</v>
          </cell>
          <cell r="V275" t="str">
            <v>Outsider (water)</v>
          </cell>
        </row>
        <row r="276">
          <cell r="C276" t="str">
            <v>Devilseye</v>
          </cell>
          <cell r="E276" t="str">
            <v>Flexible limbs</v>
          </cell>
          <cell r="G276" t="str">
            <v>Amethyst</v>
          </cell>
          <cell r="N276" t="str">
            <v>Butterfly</v>
          </cell>
          <cell r="R276" t="str">
            <v>Outsider (water)</v>
          </cell>
          <cell r="V276" t="str">
            <v>Plant</v>
          </cell>
        </row>
        <row r="277">
          <cell r="C277" t="str">
            <v>Dragon Bile</v>
          </cell>
          <cell r="E277" t="str">
            <v>Segmented eyes</v>
          </cell>
          <cell r="G277" t="str">
            <v>Battle</v>
          </cell>
          <cell r="N277" t="str">
            <v/>
          </cell>
          <cell r="R277" t="str">
            <v>Plant</v>
          </cell>
          <cell r="V277" t="str">
            <v>Undead</v>
          </cell>
        </row>
        <row r="278">
          <cell r="C278" t="str">
            <v>Drow Poison</v>
          </cell>
          <cell r="E278" t="str">
            <v>Slimy skin</v>
          </cell>
          <cell r="G278" t="str">
            <v>Black</v>
          </cell>
          <cell r="N278" t="str">
            <v>Chameleon</v>
          </cell>
          <cell r="R278" t="str">
            <v>Undead</v>
          </cell>
          <cell r="V278" t="str">
            <v>Vermin</v>
          </cell>
        </row>
        <row r="279">
          <cell r="C279" t="str">
            <v>Eyeblast</v>
          </cell>
          <cell r="E279" t="str">
            <v>Sticky fingers</v>
          </cell>
          <cell r="G279" t="str">
            <v>Blue</v>
          </cell>
          <cell r="N279" t="str">
            <v>Crab</v>
          </cell>
          <cell r="R279" t="str">
            <v>Vermin</v>
          </cell>
          <cell r="V279" t="str">
            <v/>
          </cell>
        </row>
        <row r="280">
          <cell r="C280" t="str">
            <v>Gargantuan Centipede Poison</v>
          </cell>
          <cell r="E280" t="str">
            <v>Tail</v>
          </cell>
          <cell r="G280" t="str">
            <v>Brass</v>
          </cell>
          <cell r="N280" t="str">
            <v>Crane</v>
          </cell>
          <cell r="R280" t="str">
            <v/>
          </cell>
          <cell r="V280" t="str">
            <v/>
          </cell>
        </row>
        <row r="281">
          <cell r="C281" t="str">
            <v>Gargantuan Scorpion Venom</v>
          </cell>
          <cell r="E281" t="str">
            <v>Webbed hands</v>
          </cell>
          <cell r="G281" t="str">
            <v>Bronze</v>
          </cell>
          <cell r="N281" t="str">
            <v>Chrysanthemum</v>
          </cell>
          <cell r="V281" t="str">
            <v/>
          </cell>
        </row>
        <row r="282">
          <cell r="C282" t="str">
            <v>Gargantuan Spider Venom</v>
          </cell>
          <cell r="G282" t="str">
            <v>Brown</v>
          </cell>
          <cell r="N282" t="str">
            <v>Dragon</v>
          </cell>
          <cell r="V282" t="str">
            <v/>
          </cell>
        </row>
        <row r="283">
          <cell r="C283" t="str">
            <v>Giant Wasp Poison</v>
          </cell>
          <cell r="G283" t="str">
            <v>Chaos</v>
          </cell>
          <cell r="N283" t="str">
            <v>Dragonfly</v>
          </cell>
          <cell r="V283" t="str">
            <v/>
          </cell>
        </row>
        <row r="284">
          <cell r="C284" t="str">
            <v>Greenblood Oil</v>
          </cell>
          <cell r="G284" t="str">
            <v>Chiang lung</v>
          </cell>
          <cell r="N284" t="str">
            <v>Falcon</v>
          </cell>
          <cell r="V284" t="str">
            <v/>
          </cell>
        </row>
        <row r="285">
          <cell r="C285" t="str">
            <v>Huge Centipede Poison</v>
          </cell>
          <cell r="G285" t="str">
            <v>Copper</v>
          </cell>
          <cell r="N285" t="str">
            <v>Lion</v>
          </cell>
          <cell r="V285" t="str">
            <v/>
          </cell>
        </row>
        <row r="286">
          <cell r="C286" t="str">
            <v>Huge Scorpion Venom</v>
          </cell>
          <cell r="G286" t="str">
            <v>Crystal</v>
          </cell>
          <cell r="N286" t="str">
            <v>Monkey</v>
          </cell>
          <cell r="V286" t="str">
            <v/>
          </cell>
        </row>
        <row r="287">
          <cell r="C287" t="str">
            <v>Huge Spider Venom</v>
          </cell>
          <cell r="G287" t="str">
            <v>Deep</v>
          </cell>
          <cell r="N287" t="str">
            <v/>
          </cell>
          <cell r="V287" t="str">
            <v/>
          </cell>
        </row>
        <row r="288">
          <cell r="C288" t="str">
            <v>Id Moss</v>
          </cell>
          <cell r="G288" t="str">
            <v>Emerald</v>
          </cell>
          <cell r="N288" t="str">
            <v>Moon, Full</v>
          </cell>
        </row>
        <row r="289">
          <cell r="C289" t="str">
            <v>Insanity Mist</v>
          </cell>
          <cell r="G289" t="str">
            <v>Ethereal</v>
          </cell>
          <cell r="N289" t="str">
            <v>Mountain</v>
          </cell>
        </row>
        <row r="290">
          <cell r="C290" t="str">
            <v>Ishentav</v>
          </cell>
          <cell r="G290" t="str">
            <v>Fang</v>
          </cell>
          <cell r="N290" t="str">
            <v>Nightingale</v>
          </cell>
        </row>
        <row r="291">
          <cell r="C291" t="str">
            <v>Large Centipede Poison</v>
          </cell>
          <cell r="G291" t="str">
            <v>Force</v>
          </cell>
          <cell r="N291" t="str">
            <v>Ocean</v>
          </cell>
        </row>
        <row r="292">
          <cell r="C292" t="str">
            <v>Large Scorpion Venom</v>
          </cell>
          <cell r="G292" t="str">
            <v>Gold</v>
          </cell>
          <cell r="N292" t="str">
            <v/>
          </cell>
        </row>
        <row r="293">
          <cell r="C293" t="str">
            <v>Large Spider Venom</v>
          </cell>
          <cell r="G293" t="str">
            <v>Green</v>
          </cell>
          <cell r="N293" t="str">
            <v>Pine</v>
          </cell>
        </row>
        <row r="294">
          <cell r="C294" t="str">
            <v>Lich Dust</v>
          </cell>
          <cell r="G294" t="str">
            <v>Howling</v>
          </cell>
          <cell r="N294" t="str">
            <v>Scorpion</v>
          </cell>
        </row>
        <row r="295">
          <cell r="C295" t="str">
            <v>Lifebane</v>
          </cell>
          <cell r="G295" t="str">
            <v>Li lung</v>
          </cell>
          <cell r="N295" t="str">
            <v/>
          </cell>
        </row>
        <row r="296">
          <cell r="C296" t="str">
            <v>Malyss Root Paste</v>
          </cell>
          <cell r="G296" t="str">
            <v>Lung wang</v>
          </cell>
          <cell r="N296" t="str">
            <v>Sun</v>
          </cell>
        </row>
        <row r="297">
          <cell r="C297" t="str">
            <v>Medium Centipede Poison</v>
          </cell>
          <cell r="G297" t="str">
            <v>Oceanus</v>
          </cell>
          <cell r="N297" t="str">
            <v>Tiger</v>
          </cell>
        </row>
        <row r="298">
          <cell r="C298" t="str">
            <v>Medium Scorpion Venom</v>
          </cell>
          <cell r="G298" t="str">
            <v>Pan lung</v>
          </cell>
          <cell r="N298" t="str">
            <v>Tortoise</v>
          </cell>
        </row>
        <row r="299">
          <cell r="C299" t="str">
            <v>Medium Spider Venom</v>
          </cell>
          <cell r="G299" t="str">
            <v>Platinum</v>
          </cell>
          <cell r="N299" t="str">
            <v>Unicorn</v>
          </cell>
        </row>
        <row r="300">
          <cell r="C300" t="str">
            <v>Mist of Nourn</v>
          </cell>
          <cell r="G300" t="str">
            <v>Prismatic</v>
          </cell>
          <cell r="N300" t="str">
            <v>Wasp</v>
          </cell>
        </row>
        <row r="301">
          <cell r="C301" t="str">
            <v>Nitharit</v>
          </cell>
          <cell r="G301" t="str">
            <v>Pyroclastic</v>
          </cell>
          <cell r="N301" t="str">
            <v>White Mask</v>
          </cell>
        </row>
        <row r="302">
          <cell r="C302" t="str">
            <v>Oil of Taggit</v>
          </cell>
          <cell r="G302" t="str">
            <v>Radiant</v>
          </cell>
        </row>
        <row r="303">
          <cell r="C303" t="str">
            <v>Purple Worm Poison</v>
          </cell>
          <cell r="G303" t="str">
            <v>Red</v>
          </cell>
        </row>
        <row r="304">
          <cell r="C304" t="str">
            <v>Sasson Juice</v>
          </cell>
          <cell r="G304" t="str">
            <v>Rust</v>
          </cell>
        </row>
        <row r="305">
          <cell r="C305" t="str">
            <v>Sassone Leaf Residue</v>
          </cell>
          <cell r="G305" t="str">
            <v>Sand</v>
          </cell>
        </row>
        <row r="306">
          <cell r="C306" t="str">
            <v>Shadow Essence</v>
          </cell>
          <cell r="G306" t="str">
            <v>Sapphire</v>
          </cell>
        </row>
        <row r="307">
          <cell r="C307" t="str">
            <v>Small Centipede Poison</v>
          </cell>
          <cell r="G307" t="str">
            <v>Shadow</v>
          </cell>
        </row>
        <row r="308">
          <cell r="C308" t="str">
            <v>Small Scorpion Venom</v>
          </cell>
          <cell r="G308" t="str">
            <v>Shen lung</v>
          </cell>
        </row>
        <row r="309">
          <cell r="C309" t="str">
            <v>Small Spider Venom</v>
          </cell>
          <cell r="G309" t="str">
            <v>Silver</v>
          </cell>
        </row>
        <row r="310">
          <cell r="C310" t="str">
            <v>Striped Toadstool</v>
          </cell>
          <cell r="G310" t="str">
            <v>Song</v>
          </cell>
          <cell r="N310" t="str">
            <v/>
          </cell>
        </row>
        <row r="311">
          <cell r="C311" t="str">
            <v>Sufferfume</v>
          </cell>
          <cell r="G311" t="str">
            <v>Styx</v>
          </cell>
          <cell r="N311" t="str">
            <v>Area Attack</v>
          </cell>
        </row>
        <row r="312">
          <cell r="C312" t="str">
            <v>Terinav Root</v>
          </cell>
          <cell r="G312" t="str">
            <v>Tarterian</v>
          </cell>
          <cell r="N312" t="str">
            <v>Knockdown Blow</v>
          </cell>
        </row>
        <row r="313">
          <cell r="C313" t="str">
            <v>Tiny Centipede Poison</v>
          </cell>
          <cell r="G313" t="str">
            <v>T'ien lung</v>
          </cell>
          <cell r="N313" t="str">
            <v>Meteor Strike</v>
          </cell>
        </row>
        <row r="314">
          <cell r="C314" t="str">
            <v>Tiny Scorpion Venom</v>
          </cell>
          <cell r="G314" t="str">
            <v>Tun mi lung</v>
          </cell>
          <cell r="N314" t="str">
            <v>Overburdened Heave</v>
          </cell>
        </row>
        <row r="315">
          <cell r="C315" t="str">
            <v>Tiny Spider Venom</v>
          </cell>
          <cell r="G315" t="str">
            <v>Topaz</v>
          </cell>
          <cell r="N315" t="str">
            <v>Ranged Power Attack</v>
          </cell>
        </row>
        <row r="316">
          <cell r="C316" t="str">
            <v>Ungol Dust</v>
          </cell>
          <cell r="G316" t="str">
            <v>White</v>
          </cell>
        </row>
        <row r="317">
          <cell r="C317" t="str">
            <v>Urthanyk</v>
          </cell>
          <cell r="G317" t="str">
            <v>Yu lung</v>
          </cell>
        </row>
        <row r="318">
          <cell r="C318" t="str">
            <v>Vilestar</v>
          </cell>
        </row>
        <row r="319">
          <cell r="C319" t="str">
            <v>Wyvern Poison</v>
          </cell>
        </row>
        <row r="320">
          <cell r="P320" t="str">
            <v/>
          </cell>
        </row>
        <row r="322">
          <cell r="L322" t="str">
            <v>Select an Element</v>
          </cell>
        </row>
        <row r="323">
          <cell r="L323" t="str">
            <v>Select an Element</v>
          </cell>
          <cell r="S323" t="str">
            <v>Select a horde enemy</v>
          </cell>
        </row>
        <row r="324">
          <cell r="L324" t="str">
            <v>Air</v>
          </cell>
          <cell r="S324" t="str">
            <v>Bugbear</v>
          </cell>
        </row>
        <row r="325">
          <cell r="L325" t="str">
            <v>Earth</v>
          </cell>
          <cell r="S325" t="str">
            <v>Gnoll</v>
          </cell>
        </row>
        <row r="326">
          <cell r="L326" t="str">
            <v>Fire</v>
          </cell>
          <cell r="S326" t="str">
            <v>Ggoblin</v>
          </cell>
        </row>
        <row r="327">
          <cell r="L327" t="str">
            <v>Water</v>
          </cell>
          <cell r="S327" t="str">
            <v>Hobgoblin</v>
          </cell>
        </row>
        <row r="328">
          <cell r="S328" t="str">
            <v>Kobold</v>
          </cell>
        </row>
        <row r="329">
          <cell r="S329" t="str">
            <v>Orc</v>
          </cell>
        </row>
        <row r="335">
          <cell r="A335" t="str">
            <v>Select an Order</v>
          </cell>
        </row>
        <row r="336">
          <cell r="A336" t="str">
            <v>Order of the All-Seeing Eye</v>
          </cell>
        </row>
        <row r="337">
          <cell r="A337" t="str">
            <v>Order of the Consuming Flame</v>
          </cell>
          <cell r="P337" t="str">
            <v/>
          </cell>
        </row>
        <row r="338">
          <cell r="A338" t="str">
            <v>Order of the Forbidding Wasteland</v>
          </cell>
        </row>
        <row r="339">
          <cell r="A339" t="str">
            <v>Order of the Gentle Rain</v>
          </cell>
        </row>
        <row r="340">
          <cell r="A340" t="str">
            <v>Order of the Impenetrable Crucible</v>
          </cell>
        </row>
        <row r="341">
          <cell r="A341" t="str">
            <v>Order of the Ineffable Mystery</v>
          </cell>
        </row>
        <row r="342">
          <cell r="A342" t="str">
            <v>Order of the Perfect Sculpture</v>
          </cell>
        </row>
        <row r="343">
          <cell r="A343" t="str">
            <v>Order of the Spring Zephyr</v>
          </cell>
        </row>
        <row r="345">
          <cell r="A345" t="str">
            <v>Select a Spirit Guide</v>
          </cell>
        </row>
        <row r="346">
          <cell r="A346" t="str">
            <v>Badger</v>
          </cell>
        </row>
        <row r="347">
          <cell r="A347" t="str">
            <v>Bear</v>
          </cell>
          <cell r="E347" t="str">
            <v xml:space="preserve">   × Select a breath effect</v>
          </cell>
          <cell r="F347" t="str">
            <v/>
          </cell>
        </row>
        <row r="348">
          <cell r="A348" t="str">
            <v>Buffalo</v>
          </cell>
          <cell r="E348" t="str">
            <v xml:space="preserve">   × Frost Breath: Your cone-shaped breath weapon deals cold damage instead of fire damage.</v>
          </cell>
          <cell r="F348" t="str">
            <v/>
          </cell>
        </row>
        <row r="349">
          <cell r="A349" t="str">
            <v>Cougar</v>
          </cell>
          <cell r="E349" t="str">
            <v xml:space="preserve">   × Lightning Breath: Your line-shaped breath weapon deals electricity damage instead of fire damage.</v>
          </cell>
          <cell r="F349" t="str">
            <v/>
          </cell>
        </row>
        <row r="350">
          <cell r="A350" t="str">
            <v>Coyote</v>
          </cell>
          <cell r="E350" t="str">
            <v xml:space="preserve">   × Sickening Breath: Your cone-shaped breath weapon sickens targets for 2 rounds, or 1 round with a successful Fortitude save, instead of dealing damage.</v>
          </cell>
          <cell r="F350" t="str">
            <v/>
          </cell>
        </row>
        <row r="351">
          <cell r="A351" t="str">
            <v>Crane</v>
          </cell>
          <cell r="E351" t="str">
            <v xml:space="preserve">   × Acid Breath: Your breath weapon deals acid damage instead of fire damage.</v>
          </cell>
          <cell r="F351" t="str">
            <v/>
          </cell>
        </row>
        <row r="352">
          <cell r="A352" t="str">
            <v>Crow</v>
          </cell>
          <cell r="E352" t="str">
            <v xml:space="preserve">   × Shaped Breath: You can choose to leave up to 4 squares within the area of your breath weapon unaffected by the breath weapon. You can apply any one other breath effect that you know to the same breath weapon.</v>
          </cell>
          <cell r="F352" t="str">
            <v/>
          </cell>
        </row>
        <row r="353">
          <cell r="A353" t="str">
            <v>Eagle</v>
          </cell>
          <cell r="E353" t="str">
            <v xml:space="preserve">   × Slow Breath: Your cone-shaped breath weapon slows targets for 2 rounds, or 1 round with a successful Fortitude save, instead of dealing damage.</v>
          </cell>
          <cell r="F353" t="str">
            <v/>
          </cell>
          <cell r="J353" t="str">
            <v>Charm Monster</v>
          </cell>
          <cell r="K353" t="str">
            <v>Charm Monster</v>
          </cell>
        </row>
        <row r="354">
          <cell r="A354" t="str">
            <v>Elk</v>
          </cell>
          <cell r="E354" t="str">
            <v xml:space="preserve">   × Weakening Breath: Your cone-shaped breath weapon weakens (-6 Str penalty) targets for 4 rounds, or 2 rounds with a successful Fortitude save, instead of dealing damage.</v>
          </cell>
          <cell r="F354" t="str">
            <v/>
          </cell>
          <cell r="J354" t="str">
            <v>Charm Person</v>
          </cell>
          <cell r="K354" t="str">
            <v>Fear</v>
          </cell>
        </row>
        <row r="355">
          <cell r="A355" t="str">
            <v>Fox</v>
          </cell>
          <cell r="E355" t="str">
            <v xml:space="preserve">   × Cloud Breath: Your breath weapon takes the form of a 20-foot-radius spread, centered on you.  You can choose to apply any one other breath effect that you know to the same breath weapon, as long as it can be applied to a cone-shaped breath weapon.</v>
          </cell>
          <cell r="F355" t="str">
            <v/>
          </cell>
          <cell r="J355" t="str">
            <v>Disintegrate</v>
          </cell>
          <cell r="K355" t="str">
            <v>Flesh to Stone</v>
          </cell>
        </row>
        <row r="356">
          <cell r="A356" t="str">
            <v>Hawk</v>
          </cell>
          <cell r="E356" t="str">
            <v xml:space="preserve">   × Enduring Breath: Targets that were damaged by your breath weapon take half of the damage again on the next round.</v>
          </cell>
          <cell r="F356" t="str">
            <v/>
          </cell>
          <cell r="J356" t="str">
            <v>Fear</v>
          </cell>
          <cell r="K356" t="str">
            <v>Sleep</v>
          </cell>
        </row>
        <row r="357">
          <cell r="A357" t="str">
            <v>Lizard</v>
          </cell>
          <cell r="E357" t="str">
            <v xml:space="preserve">   × Sleep Breath: Your cone-shaped breath weapon puts its targets to sleep for 1 round, or exhausts them for 1 round with a successful Will save, instead of dealing damage. Creatures with more then 1 HD are unaffected.</v>
          </cell>
          <cell r="F357" t="str">
            <v/>
          </cell>
          <cell r="J357" t="str">
            <v>Finger of Death</v>
          </cell>
        </row>
        <row r="358">
          <cell r="A358" t="str">
            <v>Otter</v>
          </cell>
          <cell r="E358" t="str">
            <v xml:space="preserve">   × Thunder Breath: Your cone-shaped breath weapon deals sonic damage instead of fire damage.  A successful Fortitude save halves the damage.</v>
          </cell>
          <cell r="F358" t="str">
            <v/>
          </cell>
          <cell r="J358" t="str">
            <v>Flesh to Stone</v>
          </cell>
          <cell r="N358" t="str">
            <v>Select a weapon proficiency</v>
          </cell>
        </row>
        <row r="359">
          <cell r="A359" t="str">
            <v>Owl</v>
          </cell>
          <cell r="E359" t="str">
            <v xml:space="preserve">   × Discorporating Breath of Bahamut: Your line-shaped breath weapon of pure energy deals double damage dice.  A successful Fortitude save halves the damage.  If a target is reduced to 0 or fewer hit points, it is disintegrated.  You take damage equal to twice your class level.</v>
          </cell>
          <cell r="F359" t="str">
            <v/>
          </cell>
          <cell r="J359" t="str">
            <v>Inflict Moderate Wounds</v>
          </cell>
          <cell r="N359" t="str">
            <v>Bolas</v>
          </cell>
        </row>
        <row r="360">
          <cell r="A360" t="str">
            <v>Rabbit</v>
          </cell>
          <cell r="E360" t="str">
            <v xml:space="preserve">   × Force Breath: Your line-shaped breath weapon is a force effect.</v>
          </cell>
          <cell r="F360" t="str">
            <v/>
          </cell>
          <cell r="J360" t="str">
            <v>Sleep</v>
          </cell>
          <cell r="N360" t="str">
            <v>Net</v>
          </cell>
        </row>
        <row r="361">
          <cell r="A361" t="str">
            <v>Raccoon</v>
          </cell>
          <cell r="E361" t="str">
            <v xml:space="preserve">   × Paralyzing Breath: Your cone-shaped breath weapon paralyzes targets for 1 round instead of dealing damage. A successful Fortitude save negates the effect.</v>
          </cell>
          <cell r="F361" t="str">
            <v/>
          </cell>
          <cell r="J361" t="str">
            <v>Slow</v>
          </cell>
          <cell r="N361" t="str">
            <v>Whip</v>
          </cell>
        </row>
        <row r="362">
          <cell r="A362" t="str">
            <v>Scorpion</v>
          </cell>
          <cell r="E362" t="str">
            <v xml:space="preserve">   × Fivefold Breath of Tiamat: As a full-round action you create five different breath weapons simultaneously: a cone of acid, a cone of cold, a cone of fire, a line of acid, and a line of electricity. You take twice your class level in damage and can't use a breath weapon on the following round.</v>
          </cell>
          <cell r="F362" t="str">
            <v/>
          </cell>
          <cell r="J362" t="str">
            <v>Telekinesis</v>
          </cell>
        </row>
        <row r="363">
          <cell r="A363" t="str">
            <v>Snake</v>
          </cell>
        </row>
        <row r="364">
          <cell r="A364" t="str">
            <v>Spider</v>
          </cell>
        </row>
        <row r="365">
          <cell r="A365" t="str">
            <v>Turtle</v>
          </cell>
        </row>
        <row r="366">
          <cell r="A366" t="str">
            <v>Vulture</v>
          </cell>
        </row>
        <row r="367">
          <cell r="A367" t="str">
            <v>Wolf</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R378" t="str">
            <v xml:space="preserve">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R379" t="str">
            <v xml:space="preserve">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R380" t="str">
            <v xml:space="preserve">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R381" t="str">
            <v xml:space="preserve">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R382" t="str">
            <v xml:space="preserve">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R383" t="str">
            <v xml:space="preserve">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R384" t="str">
            <v xml:space="preserve">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R385" t="str">
            <v xml:space="preserve">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R386" t="str">
            <v xml:space="preserve">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R387" t="str">
            <v xml:space="preserve">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R388" t="str">
            <v xml:space="preserve">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R389" t="str">
            <v xml:space="preserve">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R390" t="str">
            <v xml:space="preserve">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R391" t="str">
            <v xml:space="preserve">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R392" t="str">
            <v xml:space="preserve">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R393" t="str">
            <v xml:space="preserve">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R394" t="str">
            <v xml:space="preserve">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R395" t="str">
            <v xml:space="preserve"> </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A2" t="str">
            <v>Law</v>
          </cell>
          <cell r="B2" t="str">
            <v>Fortitude</v>
          </cell>
          <cell r="C2">
            <v>0</v>
          </cell>
          <cell r="D2">
            <v>0</v>
          </cell>
          <cell r="E2">
            <v>0</v>
          </cell>
          <cell r="F2">
            <v>1</v>
          </cell>
          <cell r="G2">
            <v>3</v>
          </cell>
          <cell r="H2">
            <v>6</v>
          </cell>
          <cell r="I2">
            <v>10</v>
          </cell>
        </row>
        <row r="3">
          <cell r="A3" t="str">
            <v>Chaos</v>
          </cell>
          <cell r="B3" t="str">
            <v>Reflex</v>
          </cell>
          <cell r="C3">
            <v>1</v>
          </cell>
          <cell r="D3">
            <v>0</v>
          </cell>
          <cell r="E3">
            <v>1</v>
          </cell>
          <cell r="F3">
            <v>2</v>
          </cell>
          <cell r="G3">
            <v>6</v>
          </cell>
          <cell r="H3">
            <v>13</v>
          </cell>
          <cell r="I3">
            <v>20</v>
          </cell>
        </row>
        <row r="4">
          <cell r="A4" t="str">
            <v>Good</v>
          </cell>
          <cell r="B4" t="str">
            <v>Will</v>
          </cell>
          <cell r="C4">
            <v>2</v>
          </cell>
          <cell r="D4">
            <v>1</v>
          </cell>
          <cell r="E4">
            <v>3</v>
          </cell>
          <cell r="F4">
            <v>3</v>
          </cell>
          <cell r="G4">
            <v>10</v>
          </cell>
          <cell r="H4">
            <v>20</v>
          </cell>
          <cell r="I4">
            <v>30</v>
          </cell>
        </row>
        <row r="5">
          <cell r="A5" t="str">
            <v>Evil</v>
          </cell>
          <cell r="C5">
            <v>3</v>
          </cell>
          <cell r="D5">
            <v>3</v>
          </cell>
          <cell r="E5">
            <v>6</v>
          </cell>
          <cell r="F5">
            <v>4</v>
          </cell>
          <cell r="G5">
            <v>13</v>
          </cell>
          <cell r="H5">
            <v>26</v>
          </cell>
          <cell r="I5">
            <v>40</v>
          </cell>
        </row>
        <row r="6">
          <cell r="C6">
            <v>4</v>
          </cell>
          <cell r="D6">
            <v>6</v>
          </cell>
          <cell r="E6">
            <v>10</v>
          </cell>
          <cell r="F6">
            <v>5</v>
          </cell>
          <cell r="G6">
            <v>16</v>
          </cell>
          <cell r="H6">
            <v>33</v>
          </cell>
          <cell r="I6">
            <v>50</v>
          </cell>
        </row>
        <row r="7">
          <cell r="C7">
            <v>5</v>
          </cell>
          <cell r="D7">
            <v>10</v>
          </cell>
          <cell r="E7">
            <v>15</v>
          </cell>
          <cell r="F7">
            <v>6</v>
          </cell>
          <cell r="G7">
            <v>20</v>
          </cell>
          <cell r="H7">
            <v>40</v>
          </cell>
          <cell r="I7">
            <v>60</v>
          </cell>
        </row>
        <row r="8">
          <cell r="C8">
            <v>6</v>
          </cell>
          <cell r="D8">
            <v>15</v>
          </cell>
          <cell r="E8">
            <v>21</v>
          </cell>
          <cell r="F8">
            <v>7</v>
          </cell>
          <cell r="G8">
            <v>23</v>
          </cell>
          <cell r="H8">
            <v>46</v>
          </cell>
          <cell r="I8">
            <v>70</v>
          </cell>
        </row>
        <row r="9">
          <cell r="C9">
            <v>7</v>
          </cell>
          <cell r="D9">
            <v>21</v>
          </cell>
          <cell r="E9">
            <v>28</v>
          </cell>
          <cell r="F9">
            <v>8</v>
          </cell>
          <cell r="G9">
            <v>26</v>
          </cell>
          <cell r="H9">
            <v>53</v>
          </cell>
          <cell r="I9">
            <v>80</v>
          </cell>
        </row>
        <row r="10">
          <cell r="C10">
            <v>8</v>
          </cell>
          <cell r="D10">
            <v>28</v>
          </cell>
          <cell r="E10">
            <v>36</v>
          </cell>
          <cell r="F10">
            <v>9</v>
          </cell>
          <cell r="G10">
            <v>30</v>
          </cell>
          <cell r="H10">
            <v>60</v>
          </cell>
          <cell r="I10">
            <v>90</v>
          </cell>
        </row>
        <row r="11">
          <cell r="C11">
            <v>9</v>
          </cell>
          <cell r="D11">
            <v>36</v>
          </cell>
          <cell r="E11">
            <v>45</v>
          </cell>
          <cell r="F11">
            <v>10</v>
          </cell>
          <cell r="G11">
            <v>33</v>
          </cell>
          <cell r="H11">
            <v>66</v>
          </cell>
          <cell r="I11">
            <v>100</v>
          </cell>
        </row>
        <row r="12">
          <cell r="C12">
            <v>10</v>
          </cell>
          <cell r="D12">
            <v>45</v>
          </cell>
          <cell r="E12">
            <v>55</v>
          </cell>
          <cell r="F12">
            <v>11</v>
          </cell>
          <cell r="G12">
            <v>38</v>
          </cell>
          <cell r="H12">
            <v>76</v>
          </cell>
          <cell r="I12">
            <v>115</v>
          </cell>
        </row>
        <row r="13">
          <cell r="C13">
            <v>11</v>
          </cell>
          <cell r="D13">
            <v>55</v>
          </cell>
          <cell r="E13">
            <v>66</v>
          </cell>
          <cell r="F13">
            <v>12</v>
          </cell>
          <cell r="G13">
            <v>43</v>
          </cell>
          <cell r="H13">
            <v>86</v>
          </cell>
          <cell r="I13">
            <v>130</v>
          </cell>
        </row>
        <row r="14">
          <cell r="C14">
            <v>12</v>
          </cell>
          <cell r="D14">
            <v>66</v>
          </cell>
          <cell r="E14">
            <v>78</v>
          </cell>
          <cell r="F14">
            <v>13</v>
          </cell>
          <cell r="G14">
            <v>50</v>
          </cell>
          <cell r="H14">
            <v>100</v>
          </cell>
          <cell r="I14">
            <v>150</v>
          </cell>
        </row>
        <row r="15">
          <cell r="C15">
            <v>13</v>
          </cell>
          <cell r="D15">
            <v>78</v>
          </cell>
          <cell r="E15">
            <v>91</v>
          </cell>
          <cell r="F15">
            <v>14</v>
          </cell>
          <cell r="G15">
            <v>58</v>
          </cell>
          <cell r="H15">
            <v>116</v>
          </cell>
          <cell r="I15">
            <v>175</v>
          </cell>
        </row>
        <row r="16">
          <cell r="C16">
            <v>14</v>
          </cell>
          <cell r="D16">
            <v>91</v>
          </cell>
          <cell r="E16">
            <v>105</v>
          </cell>
          <cell r="F16">
            <v>15</v>
          </cell>
          <cell r="G16">
            <v>66</v>
          </cell>
          <cell r="H16">
            <v>133</v>
          </cell>
          <cell r="I16">
            <v>200</v>
          </cell>
        </row>
        <row r="17">
          <cell r="C17">
            <v>15</v>
          </cell>
          <cell r="D17">
            <v>105</v>
          </cell>
          <cell r="E17">
            <v>120</v>
          </cell>
          <cell r="F17">
            <v>16</v>
          </cell>
          <cell r="G17">
            <v>76</v>
          </cell>
          <cell r="H17">
            <v>153</v>
          </cell>
          <cell r="I17">
            <v>230</v>
          </cell>
        </row>
        <row r="18">
          <cell r="C18">
            <v>16</v>
          </cell>
          <cell r="D18">
            <v>120</v>
          </cell>
          <cell r="E18">
            <v>136</v>
          </cell>
          <cell r="F18">
            <v>17</v>
          </cell>
          <cell r="G18">
            <v>86</v>
          </cell>
          <cell r="H18">
            <v>173</v>
          </cell>
          <cell r="I18">
            <v>260</v>
          </cell>
        </row>
        <row r="19">
          <cell r="C19">
            <v>17</v>
          </cell>
          <cell r="D19">
            <v>136</v>
          </cell>
          <cell r="E19">
            <v>153</v>
          </cell>
          <cell r="F19">
            <v>18</v>
          </cell>
          <cell r="G19">
            <v>100</v>
          </cell>
          <cell r="H19">
            <v>200</v>
          </cell>
          <cell r="I19">
            <v>300</v>
          </cell>
        </row>
        <row r="20">
          <cell r="C20">
            <v>18</v>
          </cell>
          <cell r="D20">
            <v>153</v>
          </cell>
          <cell r="E20">
            <v>171</v>
          </cell>
          <cell r="F20">
            <v>19</v>
          </cell>
          <cell r="G20">
            <v>116</v>
          </cell>
          <cell r="H20">
            <v>233</v>
          </cell>
          <cell r="I20">
            <v>350</v>
          </cell>
        </row>
        <row r="21">
          <cell r="C21">
            <v>19</v>
          </cell>
          <cell r="D21">
            <v>171</v>
          </cell>
          <cell r="E21">
            <v>190</v>
          </cell>
          <cell r="F21">
            <v>20</v>
          </cell>
          <cell r="G21">
            <v>133</v>
          </cell>
          <cell r="H21">
            <v>266</v>
          </cell>
          <cell r="I21">
            <v>400</v>
          </cell>
        </row>
        <row r="22">
          <cell r="C22">
            <v>20</v>
          </cell>
          <cell r="D22">
            <v>190</v>
          </cell>
          <cell r="E22">
            <v>210</v>
          </cell>
          <cell r="F22">
            <v>21</v>
          </cell>
          <cell r="G22">
            <v>153</v>
          </cell>
          <cell r="H22">
            <v>306</v>
          </cell>
          <cell r="I22">
            <v>460</v>
          </cell>
        </row>
        <row r="23">
          <cell r="C23">
            <v>21</v>
          </cell>
          <cell r="D23">
            <v>210</v>
          </cell>
          <cell r="E23">
            <v>231</v>
          </cell>
          <cell r="F23">
            <v>22</v>
          </cell>
          <cell r="G23">
            <v>173</v>
          </cell>
          <cell r="H23">
            <v>346</v>
          </cell>
          <cell r="I23">
            <v>520</v>
          </cell>
        </row>
        <row r="24">
          <cell r="C24">
            <v>22</v>
          </cell>
          <cell r="D24">
            <v>231</v>
          </cell>
          <cell r="E24">
            <v>253</v>
          </cell>
          <cell r="F24">
            <v>23</v>
          </cell>
          <cell r="G24">
            <v>200</v>
          </cell>
          <cell r="H24">
            <v>400</v>
          </cell>
          <cell r="I24">
            <v>600</v>
          </cell>
        </row>
        <row r="25">
          <cell r="C25">
            <v>23</v>
          </cell>
          <cell r="D25">
            <v>253</v>
          </cell>
          <cell r="E25">
            <v>276</v>
          </cell>
          <cell r="F25">
            <v>24</v>
          </cell>
          <cell r="G25">
            <v>233</v>
          </cell>
          <cell r="H25">
            <v>466</v>
          </cell>
          <cell r="I25">
            <v>700</v>
          </cell>
        </row>
        <row r="26">
          <cell r="C26">
            <v>24</v>
          </cell>
          <cell r="D26">
            <v>276</v>
          </cell>
          <cell r="E26">
            <v>300</v>
          </cell>
          <cell r="F26">
            <v>25</v>
          </cell>
          <cell r="G26">
            <v>266</v>
          </cell>
          <cell r="H26">
            <v>533</v>
          </cell>
          <cell r="I26">
            <v>800</v>
          </cell>
        </row>
        <row r="27">
          <cell r="C27">
            <v>25</v>
          </cell>
          <cell r="D27">
            <v>300</v>
          </cell>
          <cell r="E27">
            <v>325</v>
          </cell>
          <cell r="F27">
            <v>26</v>
          </cell>
          <cell r="G27">
            <v>306</v>
          </cell>
          <cell r="H27">
            <v>613</v>
          </cell>
          <cell r="I27">
            <v>920</v>
          </cell>
        </row>
        <row r="28">
          <cell r="C28">
            <v>26</v>
          </cell>
          <cell r="D28">
            <v>325</v>
          </cell>
          <cell r="E28">
            <v>351</v>
          </cell>
          <cell r="F28">
            <v>27</v>
          </cell>
          <cell r="G28">
            <v>346</v>
          </cell>
          <cell r="H28">
            <v>693</v>
          </cell>
          <cell r="I28">
            <v>1040</v>
          </cell>
        </row>
        <row r="29">
          <cell r="C29">
            <v>27</v>
          </cell>
          <cell r="D29">
            <v>351</v>
          </cell>
          <cell r="E29">
            <v>378</v>
          </cell>
          <cell r="F29">
            <v>28</v>
          </cell>
          <cell r="G29">
            <v>400</v>
          </cell>
          <cell r="H29">
            <v>800</v>
          </cell>
          <cell r="I29">
            <v>1200</v>
          </cell>
        </row>
        <row r="30">
          <cell r="C30">
            <v>28</v>
          </cell>
          <cell r="D30">
            <v>378</v>
          </cell>
          <cell r="E30">
            <v>406</v>
          </cell>
          <cell r="F30">
            <v>29</v>
          </cell>
          <cell r="G30">
            <v>466</v>
          </cell>
          <cell r="H30">
            <v>933</v>
          </cell>
          <cell r="I30">
            <v>1400</v>
          </cell>
        </row>
        <row r="31">
          <cell r="C31">
            <v>29</v>
          </cell>
          <cell r="D31">
            <v>406</v>
          </cell>
          <cell r="E31">
            <v>435</v>
          </cell>
          <cell r="F31">
            <v>30</v>
          </cell>
          <cell r="G31">
            <v>532</v>
          </cell>
          <cell r="H31">
            <v>1064</v>
          </cell>
          <cell r="I31">
            <v>1600</v>
          </cell>
        </row>
        <row r="32">
          <cell r="C32">
            <v>30</v>
          </cell>
          <cell r="D32">
            <v>435</v>
          </cell>
          <cell r="E32">
            <v>465</v>
          </cell>
          <cell r="F32">
            <v>31</v>
          </cell>
          <cell r="G32">
            <v>612</v>
          </cell>
          <cell r="H32">
            <v>1224</v>
          </cell>
          <cell r="I32">
            <v>1840</v>
          </cell>
        </row>
        <row r="33">
          <cell r="C33">
            <v>31</v>
          </cell>
          <cell r="D33">
            <v>465</v>
          </cell>
          <cell r="E33">
            <v>496</v>
          </cell>
          <cell r="F33">
            <v>32</v>
          </cell>
          <cell r="G33">
            <v>692</v>
          </cell>
          <cell r="H33">
            <v>1384</v>
          </cell>
          <cell r="I33">
            <v>2080</v>
          </cell>
        </row>
        <row r="34">
          <cell r="C34">
            <v>32</v>
          </cell>
          <cell r="D34">
            <v>496</v>
          </cell>
          <cell r="E34">
            <v>528</v>
          </cell>
          <cell r="F34">
            <v>33</v>
          </cell>
          <cell r="G34">
            <v>800</v>
          </cell>
          <cell r="H34">
            <v>1600</v>
          </cell>
          <cell r="I34">
            <v>2400</v>
          </cell>
        </row>
        <row r="35">
          <cell r="C35">
            <v>33</v>
          </cell>
          <cell r="D35">
            <v>528</v>
          </cell>
          <cell r="E35">
            <v>561</v>
          </cell>
          <cell r="F35">
            <v>34</v>
          </cell>
          <cell r="G35">
            <v>932</v>
          </cell>
          <cell r="H35">
            <v>1864</v>
          </cell>
          <cell r="I35">
            <v>2800</v>
          </cell>
        </row>
        <row r="36">
          <cell r="C36">
            <v>34</v>
          </cell>
          <cell r="D36">
            <v>561</v>
          </cell>
          <cell r="E36">
            <v>595</v>
          </cell>
          <cell r="F36">
            <v>35</v>
          </cell>
          <cell r="G36">
            <v>1064</v>
          </cell>
          <cell r="H36">
            <v>2132</v>
          </cell>
          <cell r="I36">
            <v>3200</v>
          </cell>
        </row>
        <row r="37">
          <cell r="C37">
            <v>35</v>
          </cell>
          <cell r="D37">
            <v>595</v>
          </cell>
          <cell r="E37">
            <v>630</v>
          </cell>
          <cell r="F37">
            <v>36</v>
          </cell>
          <cell r="G37">
            <v>1224</v>
          </cell>
          <cell r="H37">
            <v>2452</v>
          </cell>
          <cell r="I37">
            <v>3680</v>
          </cell>
        </row>
        <row r="38">
          <cell r="C38">
            <v>36</v>
          </cell>
          <cell r="D38">
            <v>630</v>
          </cell>
          <cell r="E38">
            <v>666</v>
          </cell>
          <cell r="F38">
            <v>37</v>
          </cell>
          <cell r="G38">
            <v>1384</v>
          </cell>
          <cell r="H38">
            <v>2772</v>
          </cell>
          <cell r="I38">
            <v>4160</v>
          </cell>
        </row>
        <row r="39">
          <cell r="C39">
            <v>37</v>
          </cell>
          <cell r="D39">
            <v>666</v>
          </cell>
          <cell r="E39">
            <v>703</v>
          </cell>
          <cell r="F39">
            <v>38</v>
          </cell>
          <cell r="G39">
            <v>1600</v>
          </cell>
          <cell r="H39">
            <v>3200</v>
          </cell>
          <cell r="I39">
            <v>4800</v>
          </cell>
        </row>
        <row r="40">
          <cell r="C40">
            <v>38</v>
          </cell>
          <cell r="D40">
            <v>703</v>
          </cell>
          <cell r="E40">
            <v>741</v>
          </cell>
          <cell r="F40">
            <v>39</v>
          </cell>
          <cell r="G40">
            <v>1864</v>
          </cell>
          <cell r="H40">
            <v>3732</v>
          </cell>
          <cell r="I40">
            <v>5600</v>
          </cell>
        </row>
        <row r="41">
          <cell r="C41">
            <v>39</v>
          </cell>
          <cell r="D41">
            <v>741</v>
          </cell>
          <cell r="E41">
            <v>780</v>
          </cell>
          <cell r="F41">
            <v>40</v>
          </cell>
          <cell r="G41">
            <v>2128</v>
          </cell>
          <cell r="H41">
            <v>4256</v>
          </cell>
          <cell r="I41">
            <v>6400</v>
          </cell>
        </row>
        <row r="42">
          <cell r="C42">
            <v>40</v>
          </cell>
          <cell r="D42">
            <v>780</v>
          </cell>
          <cell r="E42">
            <v>820</v>
          </cell>
          <cell r="F42">
            <v>41</v>
          </cell>
          <cell r="G42">
            <v>2448</v>
          </cell>
          <cell r="H42">
            <v>4896</v>
          </cell>
          <cell r="I42">
            <v>7360</v>
          </cell>
        </row>
        <row r="43">
          <cell r="C43">
            <v>41</v>
          </cell>
          <cell r="D43">
            <v>820</v>
          </cell>
          <cell r="E43">
            <v>861</v>
          </cell>
          <cell r="F43">
            <v>42</v>
          </cell>
          <cell r="G43">
            <v>2768</v>
          </cell>
          <cell r="H43">
            <v>5536</v>
          </cell>
          <cell r="I43">
            <v>8320</v>
          </cell>
        </row>
        <row r="44">
          <cell r="C44">
            <v>42</v>
          </cell>
          <cell r="D44">
            <v>861</v>
          </cell>
          <cell r="E44">
            <v>903</v>
          </cell>
          <cell r="F44">
            <v>43</v>
          </cell>
          <cell r="G44">
            <v>3200</v>
          </cell>
          <cell r="H44">
            <v>6400</v>
          </cell>
          <cell r="I44">
            <v>9600</v>
          </cell>
        </row>
        <row r="45">
          <cell r="C45">
            <v>43</v>
          </cell>
          <cell r="D45">
            <v>903</v>
          </cell>
          <cell r="E45">
            <v>946</v>
          </cell>
          <cell r="F45">
            <v>44</v>
          </cell>
          <cell r="G45">
            <v>3728</v>
          </cell>
          <cell r="H45">
            <v>7456</v>
          </cell>
          <cell r="I45">
            <v>11200</v>
          </cell>
        </row>
        <row r="46">
          <cell r="C46">
            <v>44</v>
          </cell>
          <cell r="D46">
            <v>946</v>
          </cell>
          <cell r="E46">
            <v>990</v>
          </cell>
          <cell r="F46">
            <v>45</v>
          </cell>
          <cell r="G46">
            <v>4256</v>
          </cell>
          <cell r="H46">
            <v>8528</v>
          </cell>
          <cell r="I46">
            <v>12800</v>
          </cell>
        </row>
        <row r="47">
          <cell r="C47">
            <v>45</v>
          </cell>
          <cell r="D47">
            <v>990</v>
          </cell>
          <cell r="E47">
            <v>1035</v>
          </cell>
          <cell r="F47">
            <v>46</v>
          </cell>
          <cell r="G47">
            <v>4896</v>
          </cell>
          <cell r="H47">
            <v>9808</v>
          </cell>
          <cell r="I47">
            <v>14720</v>
          </cell>
        </row>
        <row r="48">
          <cell r="C48">
            <v>46</v>
          </cell>
          <cell r="D48">
            <v>1035</v>
          </cell>
          <cell r="E48">
            <v>1081</v>
          </cell>
          <cell r="F48">
            <v>47</v>
          </cell>
          <cell r="G48">
            <v>5536</v>
          </cell>
          <cell r="H48">
            <v>11088</v>
          </cell>
          <cell r="I48">
            <v>16640</v>
          </cell>
        </row>
        <row r="49">
          <cell r="C49">
            <v>47</v>
          </cell>
          <cell r="D49">
            <v>1081</v>
          </cell>
          <cell r="E49">
            <v>1128</v>
          </cell>
          <cell r="F49">
            <v>48</v>
          </cell>
          <cell r="G49">
            <v>6400</v>
          </cell>
          <cell r="H49">
            <v>12800</v>
          </cell>
          <cell r="I49">
            <v>19200</v>
          </cell>
        </row>
        <row r="50">
          <cell r="C50">
            <v>48</v>
          </cell>
          <cell r="D50">
            <v>1128</v>
          </cell>
          <cell r="E50">
            <v>1176</v>
          </cell>
          <cell r="F50">
            <v>49</v>
          </cell>
          <cell r="G50">
            <v>7456</v>
          </cell>
          <cell r="H50">
            <v>14928</v>
          </cell>
          <cell r="I50">
            <v>22400</v>
          </cell>
        </row>
        <row r="51">
          <cell r="C51">
            <v>49</v>
          </cell>
          <cell r="D51">
            <v>1176</v>
          </cell>
          <cell r="E51">
            <v>1225</v>
          </cell>
          <cell r="F51">
            <v>50</v>
          </cell>
          <cell r="G51">
            <v>8512</v>
          </cell>
          <cell r="H51">
            <v>17024</v>
          </cell>
          <cell r="I51">
            <v>25600</v>
          </cell>
        </row>
        <row r="52">
          <cell r="C52">
            <v>50</v>
          </cell>
          <cell r="D52">
            <v>1225</v>
          </cell>
          <cell r="E52">
            <v>1275</v>
          </cell>
          <cell r="F52">
            <v>51</v>
          </cell>
          <cell r="G52">
            <v>9792</v>
          </cell>
          <cell r="H52">
            <v>19584</v>
          </cell>
          <cell r="I52">
            <v>29440</v>
          </cell>
        </row>
        <row r="53">
          <cell r="C53">
            <v>51</v>
          </cell>
          <cell r="D53">
            <v>1275</v>
          </cell>
          <cell r="E53">
            <v>1326</v>
          </cell>
          <cell r="F53">
            <v>52</v>
          </cell>
          <cell r="G53">
            <v>11072</v>
          </cell>
          <cell r="H53">
            <v>22144</v>
          </cell>
          <cell r="I53">
            <v>33280</v>
          </cell>
        </row>
        <row r="54">
          <cell r="C54">
            <v>52</v>
          </cell>
          <cell r="D54">
            <v>1326</v>
          </cell>
          <cell r="E54">
            <v>1378</v>
          </cell>
          <cell r="F54">
            <v>53</v>
          </cell>
          <cell r="G54">
            <v>12800</v>
          </cell>
          <cell r="H54">
            <v>25600</v>
          </cell>
          <cell r="I54">
            <v>38400</v>
          </cell>
        </row>
        <row r="55">
          <cell r="C55">
            <v>53</v>
          </cell>
          <cell r="D55">
            <v>1378</v>
          </cell>
          <cell r="E55">
            <v>1431</v>
          </cell>
          <cell r="F55">
            <v>54</v>
          </cell>
          <cell r="G55">
            <v>14912</v>
          </cell>
          <cell r="H55">
            <v>29824</v>
          </cell>
          <cell r="I55">
            <v>44800</v>
          </cell>
        </row>
        <row r="56">
          <cell r="C56">
            <v>54</v>
          </cell>
          <cell r="D56">
            <v>1431</v>
          </cell>
          <cell r="E56">
            <v>1485</v>
          </cell>
          <cell r="F56">
            <v>55</v>
          </cell>
          <cell r="G56">
            <v>17024</v>
          </cell>
          <cell r="H56">
            <v>34112</v>
          </cell>
          <cell r="I56">
            <v>51200</v>
          </cell>
        </row>
        <row r="57">
          <cell r="C57">
            <v>55</v>
          </cell>
          <cell r="D57">
            <v>1485</v>
          </cell>
          <cell r="E57">
            <v>1540</v>
          </cell>
          <cell r="F57">
            <v>56</v>
          </cell>
          <cell r="G57">
            <v>19584</v>
          </cell>
          <cell r="H57">
            <v>39232</v>
          </cell>
          <cell r="I57">
            <v>58880</v>
          </cell>
        </row>
        <row r="58">
          <cell r="C58">
            <v>56</v>
          </cell>
          <cell r="D58">
            <v>1540</v>
          </cell>
          <cell r="E58">
            <v>1596</v>
          </cell>
          <cell r="F58">
            <v>57</v>
          </cell>
          <cell r="G58">
            <v>22144</v>
          </cell>
          <cell r="H58">
            <v>44352</v>
          </cell>
          <cell r="I58">
            <v>66560</v>
          </cell>
        </row>
        <row r="59">
          <cell r="C59">
            <v>57</v>
          </cell>
          <cell r="D59">
            <v>1596</v>
          </cell>
          <cell r="E59">
            <v>1653</v>
          </cell>
          <cell r="F59">
            <v>58</v>
          </cell>
          <cell r="G59">
            <v>25600</v>
          </cell>
          <cell r="H59">
            <v>51200</v>
          </cell>
          <cell r="I59">
            <v>76800</v>
          </cell>
        </row>
        <row r="60">
          <cell r="C60">
            <v>58</v>
          </cell>
          <cell r="D60">
            <v>1653</v>
          </cell>
          <cell r="E60">
            <v>1711</v>
          </cell>
          <cell r="F60">
            <v>59</v>
          </cell>
          <cell r="G60">
            <v>29824</v>
          </cell>
          <cell r="H60">
            <v>59712</v>
          </cell>
          <cell r="I60">
            <v>89600</v>
          </cell>
        </row>
        <row r="61">
          <cell r="C61">
            <v>59</v>
          </cell>
          <cell r="D61">
            <v>1711</v>
          </cell>
          <cell r="E61">
            <v>1770</v>
          </cell>
          <cell r="F61">
            <v>60</v>
          </cell>
          <cell r="G61">
            <v>34048</v>
          </cell>
          <cell r="H61">
            <v>68096</v>
          </cell>
          <cell r="I61">
            <v>102400</v>
          </cell>
        </row>
        <row r="62">
          <cell r="C62">
            <v>60</v>
          </cell>
          <cell r="D62">
            <v>1770</v>
          </cell>
          <cell r="E62">
            <v>1830</v>
          </cell>
          <cell r="F62">
            <v>61</v>
          </cell>
          <cell r="G62">
            <v>39168</v>
          </cell>
          <cell r="H62">
            <v>78336</v>
          </cell>
          <cell r="I62">
            <v>117760</v>
          </cell>
        </row>
        <row r="63">
          <cell r="F63">
            <v>62</v>
          </cell>
          <cell r="G63">
            <v>44288</v>
          </cell>
          <cell r="H63">
            <v>88576</v>
          </cell>
          <cell r="I63">
            <v>133120</v>
          </cell>
        </row>
        <row r="64">
          <cell r="F64">
            <v>63</v>
          </cell>
          <cell r="G64">
            <v>51200</v>
          </cell>
          <cell r="H64">
            <v>102400</v>
          </cell>
          <cell r="I64">
            <v>153600</v>
          </cell>
        </row>
        <row r="65">
          <cell r="F65">
            <v>64</v>
          </cell>
          <cell r="G65">
            <v>59648</v>
          </cell>
          <cell r="H65">
            <v>119296</v>
          </cell>
          <cell r="I65">
            <v>179200</v>
          </cell>
        </row>
        <row r="66">
          <cell r="F66">
            <v>65</v>
          </cell>
          <cell r="G66">
            <v>68096</v>
          </cell>
          <cell r="H66">
            <v>136448</v>
          </cell>
          <cell r="I66">
            <v>204800</v>
          </cell>
        </row>
        <row r="67">
          <cell r="F67">
            <v>66</v>
          </cell>
          <cell r="G67">
            <v>78336</v>
          </cell>
          <cell r="H67">
            <v>156928</v>
          </cell>
          <cell r="I67">
            <v>235520</v>
          </cell>
        </row>
        <row r="68">
          <cell r="F68">
            <v>67</v>
          </cell>
          <cell r="G68">
            <v>88576</v>
          </cell>
          <cell r="H68">
            <v>177408</v>
          </cell>
          <cell r="I68">
            <v>266240</v>
          </cell>
        </row>
        <row r="69">
          <cell r="F69">
            <v>68</v>
          </cell>
          <cell r="G69">
            <v>102400</v>
          </cell>
          <cell r="H69">
            <v>204800</v>
          </cell>
          <cell r="I69">
            <v>307200</v>
          </cell>
        </row>
        <row r="70">
          <cell r="F70">
            <v>69</v>
          </cell>
          <cell r="G70">
            <v>119296</v>
          </cell>
          <cell r="H70">
            <v>238848</v>
          </cell>
          <cell r="I70">
            <v>358400</v>
          </cell>
        </row>
        <row r="71">
          <cell r="F71">
            <v>70</v>
          </cell>
          <cell r="G71">
            <v>136192</v>
          </cell>
          <cell r="H71">
            <v>272384</v>
          </cell>
          <cell r="I71">
            <v>409600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Race</v>
          </cell>
          <cell r="B1" t="str">
            <v>Short Description</v>
          </cell>
          <cell r="C1" t="str">
            <v>Size</v>
          </cell>
          <cell r="D1" t="str">
            <v>Type</v>
          </cell>
          <cell r="E1" t="str">
            <v>Subtype</v>
          </cell>
          <cell r="F1" t="str">
            <v>HD</v>
          </cell>
          <cell r="G1" t="str">
            <v>Land</v>
          </cell>
          <cell r="H1" t="str">
            <v>Burrow</v>
          </cell>
          <cell r="I1" t="str">
            <v>Climb</v>
          </cell>
          <cell r="J1" t="str">
            <v>Fly</v>
          </cell>
          <cell r="K1" t="str">
            <v>Maneuver</v>
          </cell>
          <cell r="L1" t="str">
            <v>Swim</v>
          </cell>
          <cell r="M1" t="str">
            <v>Natural Armor</v>
          </cell>
          <cell r="N1" t="str">
            <v>Natural Attacks</v>
          </cell>
          <cell r="O1" t="str">
            <v>Special Attacks</v>
          </cell>
          <cell r="P1" t="str">
            <v>Spell-like abilities</v>
          </cell>
          <cell r="Q1" t="str">
            <v>Psionic abilities</v>
          </cell>
          <cell r="R1" t="str">
            <v>Other Special Abilities</v>
          </cell>
          <cell r="S1" t="str">
            <v>LowLight Vision</v>
          </cell>
          <cell r="T1" t="str">
            <v>Darkvision</v>
          </cell>
          <cell r="U1" t="str">
            <v>Other Senses</v>
          </cell>
          <cell r="V1" t="str">
            <v>Immunities</v>
          </cell>
          <cell r="W1" t="str">
            <v>Vulnerabilities</v>
          </cell>
          <cell r="X1" t="str">
            <v>Energy Resistance</v>
          </cell>
          <cell r="Y1" t="str">
            <v>Spell Resistance</v>
          </cell>
          <cell r="Z1" t="str">
            <v>Damage Reduction</v>
          </cell>
          <cell r="AA1" t="str">
            <v>Fast Healing</v>
          </cell>
          <cell r="AB1" t="str">
            <v>Bonus Essentia</v>
          </cell>
          <cell r="AC1" t="str">
            <v>Other Special Qualities</v>
          </cell>
          <cell r="AD1" t="str">
            <v>Str</v>
          </cell>
          <cell r="AE1" t="str">
            <v>Dex</v>
          </cell>
          <cell r="AF1" t="str">
            <v>Con</v>
          </cell>
          <cell r="AG1" t="str">
            <v>Int</v>
          </cell>
          <cell r="AH1" t="str">
            <v>Wis</v>
          </cell>
          <cell r="AI1" t="str">
            <v>Cha</v>
          </cell>
          <cell r="AJ1" t="str">
            <v>StrAdj</v>
          </cell>
          <cell r="AK1" t="str">
            <v>DexAdj</v>
          </cell>
          <cell r="AL1" t="str">
            <v>ConAdj</v>
          </cell>
          <cell r="AM1" t="str">
            <v>IntAdj</v>
          </cell>
          <cell r="AN1" t="str">
            <v>WisAdj</v>
          </cell>
          <cell r="AO1" t="str">
            <v>ChaAdj</v>
          </cell>
          <cell r="AP1" t="str">
            <v>Racial Skills</v>
          </cell>
          <cell r="AQ1" t="str">
            <v>Racial Weapon Familiarity</v>
          </cell>
          <cell r="AR1" t="str">
            <v>Racial Weapon Proficiency</v>
          </cell>
          <cell r="AS1" t="str">
            <v>Bonus Feat(s)</v>
          </cell>
          <cell r="AT1" t="str">
            <v>Automatic Languages</v>
          </cell>
          <cell r="AU1" t="str">
            <v>Bonus Languages</v>
          </cell>
          <cell r="AV1" t="str">
            <v>CR Adj.</v>
          </cell>
          <cell r="AW1" t="str">
            <v>Alignment</v>
          </cell>
          <cell r="AX1" t="str">
            <v>Level Adj.</v>
          </cell>
          <cell r="AY1" t="str">
            <v>Favored Class</v>
          </cell>
          <cell r="AZ1" t="str">
            <v>Base Age</v>
          </cell>
          <cell r="BA1" t="str">
            <v>Height</v>
          </cell>
          <cell r="BB1" t="str">
            <v>Weight</v>
          </cell>
          <cell r="BC1" t="str">
            <v>Special Qualities</v>
          </cell>
          <cell r="BE1" t="str">
            <v>Familiar Level</v>
          </cell>
          <cell r="BF1" t="str">
            <v>Companion Level</v>
          </cell>
          <cell r="BG1" t="str">
            <v>Familiar Type</v>
          </cell>
          <cell r="BH1" t="str">
            <v>Companion  Type</v>
          </cell>
          <cell r="BI1" t="str">
            <v>Special</v>
          </cell>
          <cell r="BJ1" t="str">
            <v>Index</v>
          </cell>
          <cell r="BK1" t="str">
            <v>Species</v>
          </cell>
          <cell r="BL1" t="str">
            <v>Src</v>
          </cell>
          <cell r="BM1" t="str">
            <v>Pg</v>
          </cell>
          <cell r="BN1" t="str">
            <v>AltSrc</v>
          </cell>
        </row>
        <row r="2">
          <cell r="A2" t="str">
            <v>Select a Race/Creature</v>
          </cell>
        </row>
        <row r="3">
          <cell r="A3" t="str">
            <v xml:space="preserve"> Custom Race</v>
          </cell>
          <cell r="B3" t="str">
            <v/>
          </cell>
          <cell r="C3" t="str">
            <v/>
          </cell>
          <cell r="D3" t="str">
            <v/>
          </cell>
          <cell r="E3" t="str">
            <v/>
          </cell>
          <cell r="F3">
            <v>0</v>
          </cell>
          <cell r="G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cell r="X3" t="str">
            <v/>
          </cell>
          <cell r="Y3" t="str">
            <v/>
          </cell>
          <cell r="Z3" t="str">
            <v/>
          </cell>
          <cell r="AA3" t="str">
            <v/>
          </cell>
          <cell r="AB3" t="str">
            <v/>
          </cell>
          <cell r="AC3" t="str">
            <v/>
          </cell>
          <cell r="AD3" t="str">
            <v/>
          </cell>
          <cell r="AE3" t="str">
            <v/>
          </cell>
          <cell r="AF3" t="str">
            <v/>
          </cell>
          <cell r="AG3" t="str">
            <v/>
          </cell>
          <cell r="AH3" t="str">
            <v/>
          </cell>
          <cell r="AI3" t="str">
            <v/>
          </cell>
          <cell r="AP3" t="str">
            <v/>
          </cell>
          <cell r="AS3" t="str">
            <v/>
          </cell>
          <cell r="AT3" t="str">
            <v/>
          </cell>
          <cell r="AU3" t="str">
            <v/>
          </cell>
          <cell r="AV3" t="str">
            <v/>
          </cell>
          <cell r="AW3" t="str">
            <v/>
          </cell>
          <cell r="AX3" t="str">
            <v/>
          </cell>
          <cell r="AY3" t="str">
            <v/>
          </cell>
          <cell r="AZ3" t="str">
            <v/>
          </cell>
          <cell r="BA3" t="str">
            <v/>
          </cell>
          <cell r="BB3" t="str">
            <v/>
          </cell>
          <cell r="BL3" t="str">
            <v>CUST</v>
          </cell>
        </row>
        <row r="4">
          <cell r="A4" t="str">
            <v>Aarakocra</v>
          </cell>
          <cell r="C4" t="str">
            <v>Medium</v>
          </cell>
          <cell r="D4" t="str">
            <v>Monstrous Humanoid</v>
          </cell>
          <cell r="G4">
            <v>20</v>
          </cell>
          <cell r="J4">
            <v>90</v>
          </cell>
          <cell r="K4" t="str">
            <v>average</v>
          </cell>
          <cell r="M4">
            <v>1</v>
          </cell>
          <cell r="N4" t="str">
            <v>2 Talons+4+0+1,Bite+3+0+0</v>
          </cell>
          <cell r="P4" t="str">
            <v/>
          </cell>
          <cell r="W4" t="str">
            <v/>
          </cell>
          <cell r="X4" t="str">
            <v/>
          </cell>
          <cell r="AD4">
            <v>-2</v>
          </cell>
          <cell r="AE4">
            <v>4</v>
          </cell>
          <cell r="AP4" t="str">
            <v>Craft (alchemy)+2,Knowledge (nature)+2,Listen+2,Spot+2</v>
          </cell>
          <cell r="AR4" t="str">
            <v>Javelin</v>
          </cell>
          <cell r="AT4" t="str">
            <v>Common, Aura</v>
          </cell>
          <cell r="AU4" t="str">
            <v>Draconic, Elven, Orc, Sylvan</v>
          </cell>
          <cell r="AX4">
            <v>2</v>
          </cell>
          <cell r="AY4" t="str">
            <v>Ranger</v>
          </cell>
          <cell r="AZ4" t="str">
            <v/>
          </cell>
          <cell r="BA4" t="str">
            <v/>
          </cell>
          <cell r="BB4" t="str">
            <v/>
          </cell>
          <cell r="BL4" t="str">
            <v>RoF</v>
          </cell>
          <cell r="BN4" t="str">
            <v>Mon</v>
          </cell>
        </row>
        <row r="5">
          <cell r="A5" t="str">
            <v>Aasimar</v>
          </cell>
          <cell r="C5" t="str">
            <v>Medium</v>
          </cell>
          <cell r="D5" t="str">
            <v>Outsider</v>
          </cell>
          <cell r="E5" t="str">
            <v>Native</v>
          </cell>
          <cell r="G5">
            <v>30</v>
          </cell>
          <cell r="J5">
            <v>0</v>
          </cell>
          <cell r="K5" t="str">
            <v/>
          </cell>
          <cell r="P5" t="str">
            <v/>
          </cell>
          <cell r="W5" t="str">
            <v/>
          </cell>
          <cell r="X5" t="str">
            <v>acid 5, cold 5, and electricity 5.</v>
          </cell>
          <cell r="AD5">
            <v>13</v>
          </cell>
          <cell r="AE5">
            <v>11</v>
          </cell>
          <cell r="AF5">
            <v>12</v>
          </cell>
          <cell r="AG5">
            <v>10</v>
          </cell>
          <cell r="AH5">
            <v>11</v>
          </cell>
          <cell r="AI5">
            <v>10</v>
          </cell>
          <cell r="AJ5">
            <v>0</v>
          </cell>
          <cell r="AK5">
            <v>0</v>
          </cell>
          <cell r="AL5">
            <v>0</v>
          </cell>
          <cell r="AM5">
            <v>0</v>
          </cell>
          <cell r="AN5">
            <v>2</v>
          </cell>
          <cell r="AO5">
            <v>2</v>
          </cell>
          <cell r="AP5" t="str">
            <v>Listen+2,Spot+2</v>
          </cell>
          <cell r="AT5" t="str">
            <v>Common, Celestial</v>
          </cell>
          <cell r="AU5" t="str">
            <v>Draconic, Dwarven, Elven, Gnome, Halfling, Sylvan</v>
          </cell>
          <cell r="AX5">
            <v>1</v>
          </cell>
          <cell r="AY5" t="str">
            <v>Paladin</v>
          </cell>
          <cell r="AZ5" t="str">
            <v>15+1d6/1d8/2d8</v>
          </cell>
          <cell r="BA5" t="str">
            <v>4'10"/4'5"+2d10</v>
          </cell>
          <cell r="BB5" t="str">
            <v>120/85+2d4</v>
          </cell>
          <cell r="BL5" t="str">
            <v>RoD</v>
          </cell>
          <cell r="BM5">
            <v>92</v>
          </cell>
          <cell r="BN5" t="str">
            <v>MM,PG,PlH</v>
          </cell>
        </row>
        <row r="6">
          <cell r="A6" t="str">
            <v>Abeil, Commander</v>
          </cell>
          <cell r="C6" t="str">
            <v>Large</v>
          </cell>
          <cell r="D6" t="str">
            <v>Monstrous Humanoid</v>
          </cell>
          <cell r="F6">
            <v>6</v>
          </cell>
          <cell r="G6">
            <v>40</v>
          </cell>
          <cell r="J6">
            <v>90</v>
          </cell>
          <cell r="K6" t="str">
            <v>good</v>
          </cell>
          <cell r="N6" t="str">
            <v>2 Claws+4+0+1,Sting+5+0+0</v>
          </cell>
          <cell r="P6" t="str">
            <v>Bull'S Strength (Mass), Cure Light Wounds (Mass)</v>
          </cell>
          <cell r="T6">
            <v>60</v>
          </cell>
          <cell r="W6" t="str">
            <v/>
          </cell>
          <cell r="X6" t="str">
            <v/>
          </cell>
          <cell r="Z6" t="str">
            <v>5/magic</v>
          </cell>
          <cell r="AD6">
            <v>12</v>
          </cell>
          <cell r="AE6">
            <v>2</v>
          </cell>
          <cell r="AF6">
            <v>6</v>
          </cell>
          <cell r="AG6">
            <v>-2</v>
          </cell>
          <cell r="AH6">
            <v>2</v>
          </cell>
          <cell r="AI6">
            <v>2</v>
          </cell>
          <cell r="AP6" t="str">
            <v>Listen,Psicraft,Sense Motive,Spot,Survival</v>
          </cell>
          <cell r="AT6" t="str">
            <v>Common, Elven, Sylvan</v>
          </cell>
          <cell r="AV6">
            <v>6</v>
          </cell>
          <cell r="AX6">
            <v>5</v>
          </cell>
          <cell r="AY6" t="str">
            <v>Ranger</v>
          </cell>
          <cell r="AZ6" t="str">
            <v/>
          </cell>
          <cell r="BA6" t="str">
            <v/>
          </cell>
          <cell r="BB6" t="str">
            <v/>
          </cell>
          <cell r="BL6" t="str">
            <v>SoX</v>
          </cell>
        </row>
        <row r="7">
          <cell r="A7" t="str">
            <v>Abeil, Soldier</v>
          </cell>
          <cell r="C7" t="str">
            <v>Large</v>
          </cell>
          <cell r="D7" t="str">
            <v>Monstrous Humanoid</v>
          </cell>
          <cell r="F7">
            <v>6</v>
          </cell>
          <cell r="G7">
            <v>40</v>
          </cell>
          <cell r="J7">
            <v>90</v>
          </cell>
          <cell r="K7" t="str">
            <v>good</v>
          </cell>
          <cell r="N7" t="str">
            <v>2 Claws+4+0+1,Sting+5+0+0</v>
          </cell>
          <cell r="P7" t="str">
            <v/>
          </cell>
          <cell r="T7">
            <v>60</v>
          </cell>
          <cell r="W7" t="str">
            <v/>
          </cell>
          <cell r="X7" t="str">
            <v/>
          </cell>
          <cell r="Z7" t="str">
            <v>5/magic</v>
          </cell>
          <cell r="AD7">
            <v>12</v>
          </cell>
          <cell r="AE7">
            <v>2</v>
          </cell>
          <cell r="AF7">
            <v>6</v>
          </cell>
          <cell r="AG7">
            <v>-2</v>
          </cell>
          <cell r="AH7">
            <v>2</v>
          </cell>
          <cell r="AI7">
            <v>2</v>
          </cell>
          <cell r="AP7" t="str">
            <v>Listen,Psicraft,Sense Motive,Spot,Survival</v>
          </cell>
          <cell r="AT7" t="str">
            <v>Common, Elven, Sylvan</v>
          </cell>
          <cell r="AV7">
            <v>6</v>
          </cell>
          <cell r="AX7">
            <v>5</v>
          </cell>
          <cell r="AY7" t="str">
            <v>Ranger</v>
          </cell>
          <cell r="AZ7" t="str">
            <v/>
          </cell>
          <cell r="BA7" t="str">
            <v/>
          </cell>
          <cell r="BB7" t="str">
            <v/>
          </cell>
          <cell r="BL7" t="str">
            <v>MM2</v>
          </cell>
          <cell r="BM7">
            <v>22</v>
          </cell>
        </row>
        <row r="8">
          <cell r="A8" t="str">
            <v>Abeil, Vassal</v>
          </cell>
          <cell r="C8" t="str">
            <v>Medium</v>
          </cell>
          <cell r="D8" t="str">
            <v>Monstrous Humanoid</v>
          </cell>
          <cell r="G8">
            <v>30</v>
          </cell>
          <cell r="J8">
            <v>60</v>
          </cell>
          <cell r="K8" t="str">
            <v>average</v>
          </cell>
          <cell r="N8" t="str">
            <v>2 Claws+4+0+0,Sting+5+0+0</v>
          </cell>
          <cell r="P8" t="str">
            <v/>
          </cell>
          <cell r="T8">
            <v>60</v>
          </cell>
          <cell r="W8" t="str">
            <v/>
          </cell>
          <cell r="X8" t="str">
            <v/>
          </cell>
          <cell r="AE8">
            <v>2</v>
          </cell>
          <cell r="AH8">
            <v>4</v>
          </cell>
          <cell r="AI8">
            <v>-2</v>
          </cell>
          <cell r="AP8" t="str">
            <v>Craft (any),Jump,Knowledge (any),Listen,Search,Survival</v>
          </cell>
          <cell r="AT8" t="str">
            <v>Common, Elven, Sylvan</v>
          </cell>
          <cell r="AV8">
            <v>2</v>
          </cell>
          <cell r="AX8">
            <v>4</v>
          </cell>
          <cell r="AY8" t="str">
            <v>Druid</v>
          </cell>
          <cell r="AZ8" t="str">
            <v/>
          </cell>
          <cell r="BA8" t="str">
            <v/>
          </cell>
          <cell r="BB8" t="str">
            <v/>
          </cell>
          <cell r="BL8" t="str">
            <v>MM2</v>
          </cell>
          <cell r="BM8">
            <v>22</v>
          </cell>
        </row>
        <row r="9">
          <cell r="A9" t="str">
            <v>Archon, Hound</v>
          </cell>
          <cell r="C9" t="str">
            <v>Medium</v>
          </cell>
          <cell r="D9" t="str">
            <v>Outsider</v>
          </cell>
          <cell r="E9" t="str">
            <v>Archon, Extraplanar, Good, Lawful</v>
          </cell>
          <cell r="F9">
            <v>6</v>
          </cell>
          <cell r="G9">
            <v>40</v>
          </cell>
          <cell r="M9">
            <v>9</v>
          </cell>
          <cell r="N9" t="str">
            <v>Bite+6+0+1,Slam+4+0+0</v>
          </cell>
          <cell r="P9" t="str">
            <v>Aid, Continual Flame, Detect Evil, Message (at will)</v>
          </cell>
          <cell r="S9" t="str">
            <v>normal</v>
          </cell>
          <cell r="V9" t="str">
            <v>electricity, petrification</v>
          </cell>
          <cell r="W9" t="str">
            <v/>
          </cell>
          <cell r="X9" t="str">
            <v/>
          </cell>
          <cell r="Y9">
            <v>17</v>
          </cell>
          <cell r="Z9" t="str">
            <v>10/evil</v>
          </cell>
          <cell r="AD9">
            <v>4</v>
          </cell>
          <cell r="AF9">
            <v>2</v>
          </cell>
          <cell r="AH9">
            <v>2</v>
          </cell>
          <cell r="AI9">
            <v>2</v>
          </cell>
          <cell r="AP9" t="str">
            <v>Concentration,Hide,Jump,Listen,Move Silently,Sense Motive,Spot,Survival</v>
          </cell>
          <cell r="AT9" t="str">
            <v>Celestial</v>
          </cell>
          <cell r="AU9" t="str">
            <v>Common, Draconic, Infernal</v>
          </cell>
          <cell r="AV9">
            <v>4</v>
          </cell>
          <cell r="AX9">
            <v>5</v>
          </cell>
          <cell r="AY9" t="str">
            <v>Ranger</v>
          </cell>
          <cell r="AZ9" t="str">
            <v/>
          </cell>
          <cell r="BA9" t="str">
            <v/>
          </cell>
          <cell r="BB9" t="str">
            <v/>
          </cell>
          <cell r="BL9" t="str">
            <v>MM</v>
          </cell>
          <cell r="BM9">
            <v>16</v>
          </cell>
        </row>
        <row r="10">
          <cell r="A10" t="str">
            <v>Archon, Trumpet</v>
          </cell>
          <cell r="C10" t="str">
            <v>Medium</v>
          </cell>
          <cell r="D10" t="str">
            <v>Outsider</v>
          </cell>
          <cell r="E10" t="str">
            <v>Archon, Extraplanar, Good, Lawful</v>
          </cell>
          <cell r="F10">
            <v>12</v>
          </cell>
          <cell r="G10">
            <v>40</v>
          </cell>
          <cell r="J10">
            <v>90</v>
          </cell>
          <cell r="K10" t="str">
            <v>good</v>
          </cell>
          <cell r="M10">
            <v>14</v>
          </cell>
          <cell r="P10" t="str">
            <v>Aid, Continual Flame, Detect Evil, Message (at will)</v>
          </cell>
          <cell r="S10" t="str">
            <v>normal</v>
          </cell>
          <cell r="V10" t="str">
            <v>electricity, petrification</v>
          </cell>
          <cell r="W10" t="str">
            <v/>
          </cell>
          <cell r="X10" t="str">
            <v/>
          </cell>
          <cell r="Y10">
            <v>30</v>
          </cell>
          <cell r="Z10" t="str">
            <v>10/evil</v>
          </cell>
          <cell r="AD10">
            <v>10</v>
          </cell>
          <cell r="AE10">
            <v>6</v>
          </cell>
          <cell r="AF10">
            <v>12</v>
          </cell>
          <cell r="AG10">
            <v>6</v>
          </cell>
          <cell r="AH10">
            <v>6</v>
          </cell>
          <cell r="AI10">
            <v>6</v>
          </cell>
          <cell r="AP10" t="str">
            <v>Concentration,Diplomacy,Escape Artist,Handle Animal,Knowledge (any),Listen,Move Silently,Perform,Ride,Sense Motive,Spot,Use Rope</v>
          </cell>
          <cell r="AT10" t="str">
            <v>Celestial</v>
          </cell>
          <cell r="AU10" t="str">
            <v>Common, Draconic, Infernal</v>
          </cell>
          <cell r="AV10">
            <v>14</v>
          </cell>
          <cell r="AX10">
            <v>8</v>
          </cell>
          <cell r="AY10" t="str">
            <v>Ranger</v>
          </cell>
          <cell r="AZ10" t="str">
            <v/>
          </cell>
          <cell r="BA10" t="str">
            <v/>
          </cell>
          <cell r="BB10" t="str">
            <v/>
          </cell>
          <cell r="BL10" t="str">
            <v>MM</v>
          </cell>
          <cell r="BM10">
            <v>18</v>
          </cell>
        </row>
        <row r="11">
          <cell r="A11" t="str">
            <v>Armand</v>
          </cell>
          <cell r="C11" t="str">
            <v>Small</v>
          </cell>
          <cell r="D11" t="str">
            <v>Monstrous Humanoid</v>
          </cell>
          <cell r="F11">
            <v>5</v>
          </cell>
          <cell r="G11">
            <v>20</v>
          </cell>
          <cell r="H11">
            <v>10</v>
          </cell>
          <cell r="M11">
            <v>4</v>
          </cell>
          <cell r="N11" t="str">
            <v>2 Claws+5+0+0</v>
          </cell>
          <cell r="P11" t="str">
            <v/>
          </cell>
          <cell r="T11">
            <v>60</v>
          </cell>
          <cell r="W11" t="str">
            <v/>
          </cell>
          <cell r="X11" t="str">
            <v/>
          </cell>
          <cell r="AE11">
            <v>6</v>
          </cell>
          <cell r="AF11">
            <v>6</v>
          </cell>
          <cell r="AP11" t="str">
            <v>Jump,Listen,Spot,Survival+4</v>
          </cell>
          <cell r="AT11" t="str">
            <v>Common, Armandish</v>
          </cell>
          <cell r="AU11" t="str">
            <v>Elven, Giant, Gnome, Goblin, Sylvan</v>
          </cell>
          <cell r="AV11">
            <v>3</v>
          </cell>
          <cell r="AX11">
            <v>3</v>
          </cell>
          <cell r="AY11" t="str">
            <v>Monk</v>
          </cell>
          <cell r="AZ11" t="str">
            <v/>
          </cell>
          <cell r="BA11" t="str">
            <v/>
          </cell>
          <cell r="BB11" t="str">
            <v/>
          </cell>
          <cell r="BL11" t="str">
            <v>MM3</v>
          </cell>
          <cell r="BM11">
            <v>10</v>
          </cell>
        </row>
        <row r="12">
          <cell r="A12" t="str">
            <v>Asherati</v>
          </cell>
          <cell r="C12" t="str">
            <v>Medium</v>
          </cell>
          <cell r="D12" t="str">
            <v>Humanoid</v>
          </cell>
          <cell r="G12">
            <v>30</v>
          </cell>
          <cell r="M12">
            <v>1</v>
          </cell>
          <cell r="P12" t="str">
            <v/>
          </cell>
          <cell r="W12" t="str">
            <v/>
          </cell>
          <cell r="X12" t="str">
            <v/>
          </cell>
          <cell r="AP12" t="str">
            <v>Hide+2,Move Silently+2</v>
          </cell>
          <cell r="AQ12" t="str">
            <v>Claw, Eagle's</v>
          </cell>
          <cell r="AT12" t="str">
            <v>Asherati, Common</v>
          </cell>
          <cell r="AU12" t="str">
            <v>Bhuka, Goblin, Giant</v>
          </cell>
          <cell r="AY12" t="str">
            <v>Rogue</v>
          </cell>
          <cell r="AZ12" t="str">
            <v>20+1d4/1d6/2d6</v>
          </cell>
          <cell r="BA12" t="str">
            <v>5'0"/4'9"+2d10</v>
          </cell>
          <cell r="BB12" t="str">
            <v>70/65+2d4</v>
          </cell>
          <cell r="BL12" t="str">
            <v>Sand</v>
          </cell>
          <cell r="BM12">
            <v>139</v>
          </cell>
          <cell r="BN12" t="str">
            <v>LGCS</v>
          </cell>
        </row>
        <row r="13">
          <cell r="A13" t="str">
            <v>Aventi</v>
          </cell>
          <cell r="C13" t="str">
            <v>Medium</v>
          </cell>
          <cell r="D13" t="str">
            <v>Humanoid</v>
          </cell>
          <cell r="E13" t="str">
            <v>Aquatic</v>
          </cell>
          <cell r="G13">
            <v>30</v>
          </cell>
          <cell r="L13">
            <v>30</v>
          </cell>
          <cell r="P13" t="str">
            <v/>
          </cell>
          <cell r="W13" t="str">
            <v/>
          </cell>
          <cell r="X13" t="str">
            <v/>
          </cell>
          <cell r="AP13" t="str">
            <v>Swim+8</v>
          </cell>
          <cell r="AT13" t="str">
            <v>Common</v>
          </cell>
          <cell r="AU13" t="str">
            <v>Aquan, Elven, Sahuagin</v>
          </cell>
          <cell r="AY13" t="str">
            <v>Any</v>
          </cell>
          <cell r="AZ13" t="str">
            <v>15+1d4/1d6/2d6</v>
          </cell>
          <cell r="BA13" t="str">
            <v>4'10"/4'5"+2d10</v>
          </cell>
          <cell r="BB13" t="str">
            <v>120/85+2d4</v>
          </cell>
          <cell r="BL13" t="str">
            <v>Sto</v>
          </cell>
          <cell r="BM13">
            <v>138</v>
          </cell>
        </row>
        <row r="14">
          <cell r="A14" t="str">
            <v>Azer</v>
          </cell>
          <cell r="C14" t="str">
            <v>Medium</v>
          </cell>
          <cell r="D14" t="str">
            <v>Outsider</v>
          </cell>
          <cell r="E14" t="str">
            <v>Extraplanar, Fire</v>
          </cell>
          <cell r="F14">
            <v>2</v>
          </cell>
          <cell r="G14">
            <v>30</v>
          </cell>
          <cell r="M14">
            <v>6</v>
          </cell>
          <cell r="P14" t="str">
            <v/>
          </cell>
          <cell r="V14" t="str">
            <v>fire</v>
          </cell>
          <cell r="W14" t="str">
            <v>cold</v>
          </cell>
          <cell r="X14" t="str">
            <v/>
          </cell>
          <cell r="Y14">
            <v>14</v>
          </cell>
          <cell r="AD14">
            <v>2</v>
          </cell>
          <cell r="AE14">
            <v>2</v>
          </cell>
          <cell r="AF14">
            <v>2</v>
          </cell>
          <cell r="AG14">
            <v>2</v>
          </cell>
          <cell r="AH14">
            <v>2</v>
          </cell>
          <cell r="AI14">
            <v>-2</v>
          </cell>
          <cell r="AP14" t="str">
            <v>Appraise,Climb,Craft (any),Hide,Jump,Listen,Search,Spot</v>
          </cell>
          <cell r="AT14" t="str">
            <v>Common, Ignan</v>
          </cell>
          <cell r="AU14" t="str">
            <v>Abyssal, Aquan, Auran, Celestial, Infernal, Terran</v>
          </cell>
          <cell r="AV14">
            <v>2</v>
          </cell>
          <cell r="AX14">
            <v>4</v>
          </cell>
          <cell r="AY14" t="str">
            <v>Fighter</v>
          </cell>
          <cell r="AZ14" t="str">
            <v/>
          </cell>
          <cell r="BA14" t="str">
            <v/>
          </cell>
          <cell r="BB14" t="str">
            <v/>
          </cell>
          <cell r="BL14" t="str">
            <v>MM</v>
          </cell>
          <cell r="BM14">
            <v>21</v>
          </cell>
        </row>
        <row r="15">
          <cell r="A15" t="str">
            <v>Azurin</v>
          </cell>
          <cell r="C15" t="str">
            <v>Medium</v>
          </cell>
          <cell r="D15" t="str">
            <v>Humanoid</v>
          </cell>
          <cell r="E15" t="str">
            <v>Human, Incarnum</v>
          </cell>
          <cell r="G15">
            <v>30</v>
          </cell>
          <cell r="AB15">
            <v>1</v>
          </cell>
          <cell r="AS15" t="str">
            <v>1st level bonus feat</v>
          </cell>
          <cell r="AT15" t="str">
            <v>Common</v>
          </cell>
          <cell r="AU15" t="str">
            <v>Any</v>
          </cell>
          <cell r="AY15" t="str">
            <v>Soulborn</v>
          </cell>
          <cell r="AZ15" t="str">
            <v>14+1d4/1d6/2d4</v>
          </cell>
          <cell r="BA15" t="str">
            <v>4'10"/4'5"+2d10</v>
          </cell>
          <cell r="BB15" t="str">
            <v>120/85+2d4</v>
          </cell>
          <cell r="BL15" t="str">
            <v>MoI</v>
          </cell>
          <cell r="BM15">
            <v>7</v>
          </cell>
        </row>
        <row r="16">
          <cell r="A16" t="str">
            <v>Baphitaur</v>
          </cell>
          <cell r="C16" t="str">
            <v>Medium</v>
          </cell>
          <cell r="D16" t="str">
            <v>Outsider</v>
          </cell>
          <cell r="E16" t="str">
            <v>Native</v>
          </cell>
          <cell r="F16">
            <v>3</v>
          </cell>
          <cell r="G16">
            <v>30</v>
          </cell>
          <cell r="M16">
            <v>3</v>
          </cell>
          <cell r="N16" t="str">
            <v>Gore+5+0+2</v>
          </cell>
          <cell r="P16" t="str">
            <v>Darkness</v>
          </cell>
          <cell r="W16" t="str">
            <v/>
          </cell>
          <cell r="X16" t="str">
            <v>cold 5, electricity 5, fire 5</v>
          </cell>
          <cell r="AD16">
            <v>4</v>
          </cell>
          <cell r="AE16">
            <v>2</v>
          </cell>
          <cell r="AF16">
            <v>2</v>
          </cell>
          <cell r="AI16">
            <v>-2</v>
          </cell>
          <cell r="AP16" t="str">
            <v>Climb,Intimidate,Jump,Listen+2,Move Silently,Search+2,Spot+2,Survival</v>
          </cell>
          <cell r="AT16" t="str">
            <v>Undercommon</v>
          </cell>
          <cell r="AV16">
            <v>2</v>
          </cell>
          <cell r="AX16">
            <v>2</v>
          </cell>
          <cell r="AY16" t="str">
            <v>Barbarian</v>
          </cell>
          <cell r="AZ16" t="str">
            <v/>
          </cell>
          <cell r="BA16" t="str">
            <v/>
          </cell>
          <cell r="BB16" t="str">
            <v/>
          </cell>
          <cell r="BL16" t="str">
            <v>Und</v>
          </cell>
          <cell r="BM16">
            <v>82</v>
          </cell>
        </row>
        <row r="17">
          <cell r="A17" t="str">
            <v>Barbazu (Bearded Devil)</v>
          </cell>
          <cell r="C17" t="str">
            <v>Medium</v>
          </cell>
          <cell r="D17" t="str">
            <v>Outsider</v>
          </cell>
          <cell r="E17" t="str">
            <v>Evil, Extraplanar, Lawful</v>
          </cell>
          <cell r="F17">
            <v>6</v>
          </cell>
          <cell r="G17">
            <v>40</v>
          </cell>
          <cell r="M17">
            <v>7</v>
          </cell>
          <cell r="N17" t="str">
            <v>2 Claws+6+0+1</v>
          </cell>
          <cell r="P17" t="str">
            <v>Greater Teleport (at will)</v>
          </cell>
          <cell r="T17">
            <v>60</v>
          </cell>
          <cell r="V17" t="str">
            <v>fire, poison</v>
          </cell>
          <cell r="X17" t="str">
            <v>acid 10, cold 10</v>
          </cell>
          <cell r="Y17">
            <v>17</v>
          </cell>
          <cell r="Z17" t="str">
            <v>10/silver or good</v>
          </cell>
          <cell r="AD17">
            <v>4</v>
          </cell>
          <cell r="AE17">
            <v>4</v>
          </cell>
          <cell r="AF17">
            <v>6</v>
          </cell>
          <cell r="AG17">
            <v>-4</v>
          </cell>
          <cell r="AP17" t="str">
            <v>Climb,Diplomacy,Hide,Listen,Move Silently,Sense Motive,Spot</v>
          </cell>
          <cell r="AT17" t="str">
            <v>Infernal, Celestial, Draconic</v>
          </cell>
          <cell r="AV17">
            <v>5</v>
          </cell>
          <cell r="AX17">
            <v>6</v>
          </cell>
          <cell r="BL17" t="str">
            <v>MM</v>
          </cell>
        </row>
        <row r="18">
          <cell r="A18" t="str">
            <v>Bariaur</v>
          </cell>
          <cell r="C18" t="str">
            <v>Medium</v>
          </cell>
          <cell r="D18" t="str">
            <v>Outsider</v>
          </cell>
          <cell r="E18" t="str">
            <v>Extraplanar</v>
          </cell>
          <cell r="G18">
            <v>40</v>
          </cell>
          <cell r="P18" t="str">
            <v/>
          </cell>
          <cell r="W18" t="str">
            <v/>
          </cell>
          <cell r="X18" t="str">
            <v/>
          </cell>
          <cell r="Y18">
            <v>12</v>
          </cell>
          <cell r="AD18">
            <v>2</v>
          </cell>
          <cell r="AI18">
            <v>-2</v>
          </cell>
          <cell r="AP18" t="str">
            <v>Listen+2,Spot+2</v>
          </cell>
          <cell r="AT18" t="str">
            <v>Celestial, Common</v>
          </cell>
          <cell r="AU18" t="str">
            <v>Abyssal, Infernal</v>
          </cell>
          <cell r="AX18">
            <v>1</v>
          </cell>
          <cell r="AY18" t="str">
            <v>Ranger</v>
          </cell>
          <cell r="AZ18" t="str">
            <v>20+1d6/2d6/3d6</v>
          </cell>
          <cell r="BA18" t="str">
            <v>5'6"/5'2"+2d8</v>
          </cell>
          <cell r="BB18" t="str">
            <v>240/200+2d4</v>
          </cell>
          <cell r="BL18" t="str">
            <v>PlH</v>
          </cell>
          <cell r="BN18" t="str">
            <v>BoED,MotP</v>
          </cell>
        </row>
        <row r="19">
          <cell r="A19" t="str">
            <v>Bhuka</v>
          </cell>
          <cell r="C19" t="str">
            <v>Medium</v>
          </cell>
          <cell r="D19" t="str">
            <v>Humanoid</v>
          </cell>
          <cell r="E19" t="str">
            <v>Goblinoid</v>
          </cell>
          <cell r="G19">
            <v>30</v>
          </cell>
          <cell r="P19" t="str">
            <v/>
          </cell>
          <cell r="W19" t="str">
            <v/>
          </cell>
          <cell r="X19" t="str">
            <v/>
          </cell>
          <cell r="AD19">
            <v>-2</v>
          </cell>
          <cell r="AE19">
            <v>2</v>
          </cell>
          <cell r="AP19" t="str">
            <v>Knowledge (nature)+2</v>
          </cell>
          <cell r="AT19" t="str">
            <v>Bhuka, Common</v>
          </cell>
          <cell r="AU19" t="str">
            <v>Draconic, Goblin</v>
          </cell>
          <cell r="AY19" t="str">
            <v>Druid</v>
          </cell>
          <cell r="AZ19" t="str">
            <v>14+1d4/2d4/3d6</v>
          </cell>
          <cell r="BA19" t="str">
            <v>4'0"/3'9"+2d10</v>
          </cell>
          <cell r="BB19" t="str">
            <v>30/25+1d4</v>
          </cell>
          <cell r="BL19" t="str">
            <v>Sand</v>
          </cell>
          <cell r="BM19">
            <v>141</v>
          </cell>
        </row>
        <row r="20">
          <cell r="A20" t="str">
            <v>Bladeling</v>
          </cell>
          <cell r="C20" t="str">
            <v>Medium</v>
          </cell>
          <cell r="D20" t="str">
            <v>Outsider</v>
          </cell>
          <cell r="E20" t="str">
            <v>Lawful</v>
          </cell>
          <cell r="G20">
            <v>30</v>
          </cell>
          <cell r="M20">
            <v>4</v>
          </cell>
          <cell r="N20" t="str">
            <v>2 Claws+5+0+0</v>
          </cell>
          <cell r="P20" t="str">
            <v/>
          </cell>
          <cell r="S20" t="str">
            <v>normal</v>
          </cell>
          <cell r="V20" t="str">
            <v>acid, rust attacks</v>
          </cell>
          <cell r="W20" t="str">
            <v/>
          </cell>
          <cell r="X20" t="str">
            <v>cold 5, fire 5</v>
          </cell>
          <cell r="Z20" t="str">
            <v>5/magic and piercing or slashing</v>
          </cell>
          <cell r="AE20">
            <v>2</v>
          </cell>
          <cell r="AP20" t="str">
            <v>Bluff,Climb,Craft (weaponsmithing)+4,Hide,Jump+4,Knowledge (the planes),Listen,Spot</v>
          </cell>
          <cell r="AT20" t="str">
            <v>Common</v>
          </cell>
          <cell r="AU20" t="str">
            <v>Infernal</v>
          </cell>
          <cell r="AV20">
            <v>1</v>
          </cell>
          <cell r="AX20">
            <v>2</v>
          </cell>
          <cell r="AY20" t="str">
            <v>Fighter</v>
          </cell>
          <cell r="AZ20" t="str">
            <v/>
          </cell>
          <cell r="BA20" t="str">
            <v/>
          </cell>
          <cell r="BB20" t="str">
            <v/>
          </cell>
          <cell r="BL20" t="str">
            <v>MM2</v>
          </cell>
          <cell r="BM20">
            <v>31</v>
          </cell>
          <cell r="BN20" t="str">
            <v>LF</v>
          </cell>
        </row>
        <row r="21">
          <cell r="A21" t="str">
            <v>Blue</v>
          </cell>
          <cell r="C21" t="str">
            <v>Small</v>
          </cell>
          <cell r="D21" t="str">
            <v>Humanoid</v>
          </cell>
          <cell r="E21" t="str">
            <v>Goblinoid</v>
          </cell>
          <cell r="G21">
            <v>30</v>
          </cell>
          <cell r="P21" t="str">
            <v/>
          </cell>
          <cell r="T21">
            <v>60</v>
          </cell>
          <cell r="W21" t="str">
            <v/>
          </cell>
          <cell r="X21" t="str">
            <v/>
          </cell>
          <cell r="AD21">
            <v>-2</v>
          </cell>
          <cell r="AG21">
            <v>2</v>
          </cell>
          <cell r="AI21">
            <v>-2</v>
          </cell>
          <cell r="AP21" t="str">
            <v>Move Silently+4,Ride+4</v>
          </cell>
          <cell r="AT21" t="str">
            <v>Common, Goblin</v>
          </cell>
          <cell r="AU21" t="str">
            <v>Draconic, Elven, Giant, Gnoll, Orc</v>
          </cell>
          <cell r="AX21">
            <v>1</v>
          </cell>
          <cell r="AY21" t="str">
            <v>Psion</v>
          </cell>
          <cell r="AZ21" t="str">
            <v/>
          </cell>
          <cell r="BA21" t="str">
            <v/>
          </cell>
          <cell r="BB21" t="str">
            <v/>
          </cell>
          <cell r="BL21" t="str">
            <v>XPH</v>
          </cell>
          <cell r="BM21">
            <v>189</v>
          </cell>
        </row>
        <row r="22">
          <cell r="A22" t="str">
            <v>Boggle</v>
          </cell>
          <cell r="C22" t="str">
            <v>Small</v>
          </cell>
          <cell r="D22" t="str">
            <v>Monstrous Humanoid</v>
          </cell>
          <cell r="F22">
            <v>4</v>
          </cell>
          <cell r="G22">
            <v>40</v>
          </cell>
          <cell r="I22">
            <v>30</v>
          </cell>
          <cell r="M22">
            <v>2</v>
          </cell>
          <cell r="N22" t="str">
            <v>2 Claws+5+0+0,Bite+5+0+0</v>
          </cell>
          <cell r="P22" t="str">
            <v>Dimension Door(6/day, CL7)</v>
          </cell>
          <cell r="T22">
            <v>60</v>
          </cell>
          <cell r="W22" t="str">
            <v/>
          </cell>
          <cell r="X22" t="str">
            <v>fire 5</v>
          </cell>
          <cell r="Z22" t="str">
            <v>5/magic</v>
          </cell>
          <cell r="AE22">
            <v>10</v>
          </cell>
          <cell r="AG22">
            <v>-6</v>
          </cell>
          <cell r="AH22">
            <v>-2</v>
          </cell>
          <cell r="AI22">
            <v>-4</v>
          </cell>
          <cell r="AP22" t="str">
            <v>Climb,Escape Artist+10,Hide,Move Silently,Sleight of Hand</v>
          </cell>
          <cell r="AT22" t="str">
            <v>Boggle</v>
          </cell>
          <cell r="AV22">
            <v>3</v>
          </cell>
          <cell r="AX22">
            <v>3</v>
          </cell>
          <cell r="AY22" t="str">
            <v>Rogue</v>
          </cell>
          <cell r="AZ22" t="str">
            <v/>
          </cell>
          <cell r="BA22" t="str">
            <v/>
          </cell>
          <cell r="BB22" t="str">
            <v/>
          </cell>
          <cell r="BL22" t="str">
            <v>MM2</v>
          </cell>
          <cell r="BM22">
            <v>33</v>
          </cell>
        </row>
        <row r="23">
          <cell r="A23" t="str">
            <v>Braxat</v>
          </cell>
          <cell r="C23" t="str">
            <v>Large</v>
          </cell>
          <cell r="D23" t="str">
            <v>Monstrous Humanoid</v>
          </cell>
          <cell r="F23">
            <v>10</v>
          </cell>
          <cell r="G23">
            <v>30</v>
          </cell>
          <cell r="M23">
            <v>8</v>
          </cell>
          <cell r="N23" t="str">
            <v>Gore+5+0+0</v>
          </cell>
          <cell r="P23" t="str">
            <v>Blink (at will); Confusion, Feeblemind (CL8, Save DC10+Spell Level)</v>
          </cell>
          <cell r="T23">
            <v>60</v>
          </cell>
          <cell r="W23" t="str">
            <v/>
          </cell>
          <cell r="X23" t="str">
            <v/>
          </cell>
          <cell r="Z23" t="str">
            <v>10/magic</v>
          </cell>
          <cell r="AD23">
            <v>12</v>
          </cell>
          <cell r="AE23">
            <v>2</v>
          </cell>
          <cell r="AF23">
            <v>10</v>
          </cell>
          <cell r="AG23">
            <v>4</v>
          </cell>
          <cell r="AH23">
            <v>2</v>
          </cell>
          <cell r="AP23" t="str">
            <v>Intimidate,Jump,Listen,Spot,Survival</v>
          </cell>
          <cell r="AS23" t="str">
            <v>Combat Expertise, Iron Will, Power Attack</v>
          </cell>
          <cell r="AT23" t="str">
            <v>Giant</v>
          </cell>
          <cell r="AU23" t="str">
            <v>Common</v>
          </cell>
          <cell r="AV23">
            <v>9</v>
          </cell>
          <cell r="AX23">
            <v>7</v>
          </cell>
          <cell r="AY23" t="str">
            <v>Ranger</v>
          </cell>
          <cell r="AZ23" t="str">
            <v/>
          </cell>
          <cell r="BA23" t="str">
            <v/>
          </cell>
          <cell r="BB23" t="str">
            <v/>
          </cell>
          <cell r="BL23" t="str">
            <v>MM2</v>
          </cell>
          <cell r="BM23">
            <v>37</v>
          </cell>
        </row>
        <row r="24">
          <cell r="A24" t="str">
            <v>Bueroza</v>
          </cell>
          <cell r="C24" t="str">
            <v>Medium</v>
          </cell>
          <cell r="D24" t="str">
            <v>Outsider</v>
          </cell>
          <cell r="E24" t="str">
            <v>Baatezu, Evil, Extraplanar, Lawful</v>
          </cell>
          <cell r="F24">
            <v>6</v>
          </cell>
          <cell r="G24">
            <v>20</v>
          </cell>
          <cell r="P24" t="str">
            <v>Greater Command, Haste, Scare (at will)</v>
          </cell>
          <cell r="V24" t="str">
            <v>fire, poison, mind-affecting spells and abilities, sleep effects, stun, paralysis, and death effects</v>
          </cell>
          <cell r="X24" t="str">
            <v>acid 10, cold 10</v>
          </cell>
          <cell r="Y24">
            <v>16</v>
          </cell>
          <cell r="Z24" t="str">
            <v>5/good</v>
          </cell>
          <cell r="AD24">
            <v>6</v>
          </cell>
          <cell r="AE24">
            <v>-2</v>
          </cell>
          <cell r="AF24">
            <v>8</v>
          </cell>
          <cell r="AG24">
            <v>2</v>
          </cell>
          <cell r="AH24">
            <v>-2</v>
          </cell>
          <cell r="AI24">
            <v>4</v>
          </cell>
          <cell r="AP24" t="str">
            <v>Balance,Diplomacy,Intimidate,Jump,Knowledge (geography),Knowledge (the planes),Listen,Ride,Spot,Survival</v>
          </cell>
          <cell r="AT24" t="str">
            <v>Celestial, Draconic, Infernal</v>
          </cell>
          <cell r="AV24">
            <v>6</v>
          </cell>
          <cell r="AX24">
            <v>6</v>
          </cell>
          <cell r="AY24" t="str">
            <v>Fighter</v>
          </cell>
          <cell r="BL24" t="str">
            <v>FCII</v>
          </cell>
          <cell r="BM24">
            <v>137</v>
          </cell>
        </row>
        <row r="25">
          <cell r="A25" t="str">
            <v>Bugbear</v>
          </cell>
          <cell r="C25" t="str">
            <v>Medium</v>
          </cell>
          <cell r="D25" t="str">
            <v>Humanoid</v>
          </cell>
          <cell r="E25" t="str">
            <v>Goblinoid</v>
          </cell>
          <cell r="F25">
            <v>3</v>
          </cell>
          <cell r="G25">
            <v>30</v>
          </cell>
          <cell r="M25">
            <v>3</v>
          </cell>
          <cell r="P25" t="str">
            <v/>
          </cell>
          <cell r="T25">
            <v>60</v>
          </cell>
          <cell r="W25" t="str">
            <v/>
          </cell>
          <cell r="X25" t="str">
            <v/>
          </cell>
          <cell r="AD25">
            <v>4</v>
          </cell>
          <cell r="AE25">
            <v>2</v>
          </cell>
          <cell r="AF25">
            <v>2</v>
          </cell>
          <cell r="AI25">
            <v>-2</v>
          </cell>
          <cell r="AP25" t="str">
            <v>Climb,Hide,Listen,Move Silently+4,Search,Spot</v>
          </cell>
          <cell r="AT25" t="str">
            <v>Common, Goblin</v>
          </cell>
          <cell r="AU25" t="str">
            <v>Draconic, Elven, Giant, Gnoll, Orc</v>
          </cell>
          <cell r="AV25">
            <v>2</v>
          </cell>
          <cell r="AX25">
            <v>1</v>
          </cell>
          <cell r="AY25" t="str">
            <v>Rogue</v>
          </cell>
          <cell r="AZ25" t="str">
            <v/>
          </cell>
          <cell r="BA25" t="str">
            <v/>
          </cell>
          <cell r="BB25" t="str">
            <v/>
          </cell>
          <cell r="BL25" t="str">
            <v>MM</v>
          </cell>
          <cell r="BM25">
            <v>29</v>
          </cell>
          <cell r="BN25" t="str">
            <v>RoF</v>
          </cell>
        </row>
        <row r="26">
          <cell r="A26" t="str">
            <v>Buomman</v>
          </cell>
          <cell r="C26" t="str">
            <v>Medium</v>
          </cell>
          <cell r="D26" t="str">
            <v>Humanoid</v>
          </cell>
          <cell r="E26" t="str">
            <v>Extraplanar</v>
          </cell>
          <cell r="G26">
            <v>30</v>
          </cell>
          <cell r="P26" t="str">
            <v/>
          </cell>
          <cell r="S26" t="str">
            <v>normal</v>
          </cell>
          <cell r="W26" t="str">
            <v/>
          </cell>
          <cell r="X26" t="str">
            <v/>
          </cell>
          <cell r="AH26">
            <v>2</v>
          </cell>
          <cell r="AI26">
            <v>-2</v>
          </cell>
          <cell r="AP26" t="str">
            <v>Listen+2</v>
          </cell>
          <cell r="AT26" t="str">
            <v>Buommi, Common</v>
          </cell>
          <cell r="AU26" t="str">
            <v>Aquan, Githzerai, Terran</v>
          </cell>
          <cell r="AY26" t="str">
            <v>Monk</v>
          </cell>
          <cell r="AZ26" t="str">
            <v>15+1d4/1d6/2d6</v>
          </cell>
          <cell r="BA26" t="str">
            <v>4'8"/4'4"+2d10</v>
          </cell>
          <cell r="BB26" t="str">
            <v>130/90+2d4</v>
          </cell>
          <cell r="BL26" t="str">
            <v>PlH</v>
          </cell>
        </row>
        <row r="27">
          <cell r="A27" t="str">
            <v>Caliban</v>
          </cell>
          <cell r="C27" t="str">
            <v>Medium</v>
          </cell>
          <cell r="D27" t="str">
            <v>Humanoid</v>
          </cell>
          <cell r="G27">
            <v>30</v>
          </cell>
          <cell r="P27" t="str">
            <v/>
          </cell>
          <cell r="W27" t="str">
            <v/>
          </cell>
          <cell r="X27" t="str">
            <v/>
          </cell>
          <cell r="AD27">
            <v>2</v>
          </cell>
          <cell r="AG27">
            <v>-2</v>
          </cell>
          <cell r="AI27">
            <v>-2</v>
          </cell>
          <cell r="AT27" t="str">
            <v>Common, Orc</v>
          </cell>
          <cell r="AU27" t="str">
            <v>Draconic, Giant, Gnoll, Goblin, Abyssal</v>
          </cell>
          <cell r="AY27" t="str">
            <v>Barbarian</v>
          </cell>
          <cell r="AZ27" t="str">
            <v/>
          </cell>
          <cell r="BA27" t="str">
            <v/>
          </cell>
          <cell r="BB27" t="str">
            <v/>
          </cell>
          <cell r="BL27" t="str">
            <v>RCS</v>
          </cell>
        </row>
        <row r="28">
          <cell r="A28" t="str">
            <v>Canomorph, Haraknin</v>
          </cell>
          <cell r="C28" t="str">
            <v>Medium</v>
          </cell>
          <cell r="D28" t="str">
            <v>Outsider</v>
          </cell>
          <cell r="E28" t="str">
            <v>Evil, Extraplanar, Fire, Lawful, Shapechanger</v>
          </cell>
          <cell r="F28">
            <v>4</v>
          </cell>
          <cell r="G28">
            <v>30</v>
          </cell>
          <cell r="M28">
            <v>5</v>
          </cell>
          <cell r="N28" t="str">
            <v>Bite+6+0+1,Slam+4+0+0</v>
          </cell>
          <cell r="P28" t="str">
            <v/>
          </cell>
          <cell r="V28" t="str">
            <v>fire</v>
          </cell>
          <cell r="W28" t="str">
            <v>cold</v>
          </cell>
          <cell r="X28" t="str">
            <v/>
          </cell>
          <cell r="AD28">
            <v>2</v>
          </cell>
          <cell r="AE28">
            <v>2</v>
          </cell>
          <cell r="AF28">
            <v>2</v>
          </cell>
          <cell r="AG28">
            <v>-4</v>
          </cell>
          <cell r="AI28">
            <v>-4</v>
          </cell>
          <cell r="AP28" t="str">
            <v>Hide+5,Jump,Listen,Move Silently+5,Spot,Survival</v>
          </cell>
          <cell r="AS28" t="str">
            <v>Track</v>
          </cell>
          <cell r="AT28" t="str">
            <v>Infernal</v>
          </cell>
          <cell r="AU28" t="str">
            <v>Common</v>
          </cell>
          <cell r="AV28">
            <v>3</v>
          </cell>
          <cell r="AX28">
            <v>3</v>
          </cell>
          <cell r="AY28" t="str">
            <v>Ranger</v>
          </cell>
          <cell r="AZ28" t="str">
            <v/>
          </cell>
          <cell r="BA28" t="str">
            <v/>
          </cell>
          <cell r="BB28" t="str">
            <v/>
          </cell>
          <cell r="BL28" t="str">
            <v>FF</v>
          </cell>
          <cell r="BM28">
            <v>25</v>
          </cell>
        </row>
        <row r="29">
          <cell r="A29" t="str">
            <v>Canomorph, Shadurakul</v>
          </cell>
          <cell r="C29" t="str">
            <v>Medium</v>
          </cell>
          <cell r="D29" t="str">
            <v>Outsider</v>
          </cell>
          <cell r="E29" t="str">
            <v>Evil, Extraplanar, Shapechanger</v>
          </cell>
          <cell r="F29">
            <v>4</v>
          </cell>
          <cell r="G29">
            <v>30</v>
          </cell>
          <cell r="M29">
            <v>3</v>
          </cell>
          <cell r="N29" t="str">
            <v>Bite+5+0+1</v>
          </cell>
          <cell r="P29" t="str">
            <v/>
          </cell>
          <cell r="W29" t="str">
            <v/>
          </cell>
          <cell r="X29" t="str">
            <v/>
          </cell>
          <cell r="AD29">
            <v>6</v>
          </cell>
          <cell r="AE29">
            <v>2</v>
          </cell>
          <cell r="AF29">
            <v>6</v>
          </cell>
          <cell r="AG29">
            <v>-6</v>
          </cell>
          <cell r="AH29">
            <v>2</v>
          </cell>
          <cell r="AI29">
            <v>2</v>
          </cell>
          <cell r="AP29" t="str">
            <v>Hide,Listen,Move Silently,Spot,Survival</v>
          </cell>
          <cell r="AS29" t="str">
            <v>Track</v>
          </cell>
          <cell r="AT29" t="str">
            <v>Common</v>
          </cell>
          <cell r="AU29" t="str">
            <v>Abyssal, Infernal</v>
          </cell>
          <cell r="AV29">
            <v>4</v>
          </cell>
          <cell r="AX29">
            <v>4</v>
          </cell>
          <cell r="AY29" t="str">
            <v>Fighter</v>
          </cell>
          <cell r="AZ29" t="str">
            <v/>
          </cell>
          <cell r="BA29" t="str">
            <v/>
          </cell>
          <cell r="BB29" t="str">
            <v/>
          </cell>
          <cell r="BL29" t="str">
            <v>FF</v>
          </cell>
          <cell r="BM29">
            <v>25</v>
          </cell>
        </row>
        <row r="30">
          <cell r="A30" t="str">
            <v>Canomorph, Vultivor</v>
          </cell>
          <cell r="C30" t="str">
            <v>Medium</v>
          </cell>
          <cell r="D30" t="str">
            <v>Outsider</v>
          </cell>
          <cell r="E30" t="str">
            <v>Chaotic, Evil, Shapechanger, Extraplanar</v>
          </cell>
          <cell r="F30">
            <v>3</v>
          </cell>
          <cell r="G30">
            <v>30</v>
          </cell>
          <cell r="M30">
            <v>3</v>
          </cell>
          <cell r="N30" t="str">
            <v>2 Claws+3+0+0,Bite+6+0+1</v>
          </cell>
          <cell r="P30" t="str">
            <v/>
          </cell>
          <cell r="W30" t="str">
            <v/>
          </cell>
          <cell r="X30" t="str">
            <v/>
          </cell>
          <cell r="AD30">
            <v>6</v>
          </cell>
          <cell r="AE30">
            <v>6</v>
          </cell>
          <cell r="AF30">
            <v>4</v>
          </cell>
          <cell r="AG30">
            <v>-4</v>
          </cell>
          <cell r="AI30">
            <v>4</v>
          </cell>
          <cell r="AP30" t="str">
            <v>Hide,Listen,Move Silently,Search,Spot,Survival</v>
          </cell>
          <cell r="AT30" t="str">
            <v>Abyssal</v>
          </cell>
          <cell r="AU30" t="str">
            <v>Common</v>
          </cell>
          <cell r="AV30">
            <v>3</v>
          </cell>
          <cell r="AX30">
            <v>4</v>
          </cell>
          <cell r="AY30" t="str">
            <v>Rogue</v>
          </cell>
          <cell r="AZ30" t="str">
            <v/>
          </cell>
          <cell r="BA30" t="str">
            <v/>
          </cell>
          <cell r="BB30" t="str">
            <v/>
          </cell>
          <cell r="BL30" t="str">
            <v>FF</v>
          </cell>
          <cell r="BM30">
            <v>25</v>
          </cell>
        </row>
        <row r="31">
          <cell r="A31" t="str">
            <v>Catfolk</v>
          </cell>
          <cell r="C31" t="str">
            <v>Medium</v>
          </cell>
          <cell r="D31" t="str">
            <v>Humanoid</v>
          </cell>
          <cell r="E31" t="str">
            <v>Catfolk</v>
          </cell>
          <cell r="G31">
            <v>40</v>
          </cell>
          <cell r="M31">
            <v>1</v>
          </cell>
          <cell r="P31" t="str">
            <v/>
          </cell>
          <cell r="S31" t="str">
            <v>normal</v>
          </cell>
          <cell r="W31" t="str">
            <v/>
          </cell>
          <cell r="X31" t="str">
            <v/>
          </cell>
          <cell r="AE31">
            <v>4</v>
          </cell>
          <cell r="AI31">
            <v>2</v>
          </cell>
          <cell r="AP31" t="str">
            <v>Listen+2,Move Silently+2</v>
          </cell>
          <cell r="AT31" t="str">
            <v>Common, Feline</v>
          </cell>
          <cell r="AU31" t="str">
            <v>Draconic, Gnoll, Halfling, Sylvan</v>
          </cell>
          <cell r="AX31">
            <v>1</v>
          </cell>
          <cell r="AY31" t="str">
            <v>Ranger</v>
          </cell>
          <cell r="AZ31" t="str">
            <v>14+1d4/1d6/2d6</v>
          </cell>
          <cell r="BA31" t="str">
            <v>4'10'/4'5"+2d10</v>
          </cell>
          <cell r="BB31" t="str">
            <v>120/85+2d4</v>
          </cell>
          <cell r="BL31" t="str">
            <v>RotW</v>
          </cell>
          <cell r="BN31" t="str">
            <v>MH</v>
          </cell>
        </row>
        <row r="32">
          <cell r="A32" t="str">
            <v>Centaur</v>
          </cell>
          <cell r="C32" t="str">
            <v>Medium</v>
          </cell>
          <cell r="D32" t="str">
            <v>Monstrous Humanoid</v>
          </cell>
          <cell r="F32">
            <v>0</v>
          </cell>
          <cell r="G32">
            <v>40</v>
          </cell>
          <cell r="M32">
            <v>0</v>
          </cell>
          <cell r="N32" t="str">
            <v>2 Hooves+4+0+0</v>
          </cell>
          <cell r="P32" t="str">
            <v/>
          </cell>
          <cell r="T32">
            <v>60</v>
          </cell>
          <cell r="W32" t="str">
            <v/>
          </cell>
          <cell r="X32" t="str">
            <v/>
          </cell>
          <cell r="AD32">
            <v>0</v>
          </cell>
          <cell r="AE32">
            <v>2</v>
          </cell>
          <cell r="AF32">
            <v>0</v>
          </cell>
          <cell r="AG32">
            <v>-2</v>
          </cell>
          <cell r="AH32">
            <v>0</v>
          </cell>
          <cell r="AP32" t="str">
            <v>Listen,Move Silently,Spot,Survival</v>
          </cell>
          <cell r="AR32" t="str">
            <v>Longbow;Longbow, Composite;Longsword</v>
          </cell>
          <cell r="AT32" t="str">
            <v>Sylvan,Elven</v>
          </cell>
          <cell r="AU32" t="str">
            <v>Common, Gnome, Halfling</v>
          </cell>
          <cell r="AV32">
            <v>1</v>
          </cell>
          <cell r="AX32">
            <v>0</v>
          </cell>
          <cell r="AY32" t="str">
            <v>Ranger</v>
          </cell>
          <cell r="AZ32" t="str">
            <v>30+2d6/4d6/6d6</v>
          </cell>
          <cell r="BA32" t="str">
            <v>6'5"/6'2"+2d6</v>
          </cell>
          <cell r="BB32" t="str">
            <v>2050/1900+4d6</v>
          </cell>
          <cell r="BL32" t="str">
            <v>MM</v>
          </cell>
          <cell r="BM32">
            <v>32</v>
          </cell>
          <cell r="BN32" t="str">
            <v>RotW,DCS,RoF,LGCS</v>
          </cell>
        </row>
        <row r="33">
          <cell r="A33" t="str">
            <v>Centaur, Wendle</v>
          </cell>
          <cell r="C33" t="str">
            <v>Medium</v>
          </cell>
          <cell r="D33" t="str">
            <v>Monstrous Humanoid</v>
          </cell>
          <cell r="F33">
            <v>2</v>
          </cell>
          <cell r="G33">
            <v>40</v>
          </cell>
          <cell r="M33">
            <v>5</v>
          </cell>
          <cell r="N33" t="str">
            <v>2 Hooves+4+0+0</v>
          </cell>
          <cell r="P33" t="str">
            <v/>
          </cell>
          <cell r="T33">
            <v>60</v>
          </cell>
          <cell r="W33" t="str">
            <v/>
          </cell>
          <cell r="X33" t="str">
            <v/>
          </cell>
          <cell r="AD33">
            <v>4</v>
          </cell>
          <cell r="AE33">
            <v>4</v>
          </cell>
          <cell r="AH33">
            <v>2</v>
          </cell>
          <cell r="AI33">
            <v>-2</v>
          </cell>
          <cell r="AP33" t="str">
            <v>Knowledge (history),Listen,Move Silently,Spot,Survival</v>
          </cell>
          <cell r="AR33" t="str">
            <v>Longbow;Longbow, Composite;Longsword</v>
          </cell>
          <cell r="AT33" t="str">
            <v>Elven, Sylvan</v>
          </cell>
          <cell r="AU33" t="str">
            <v>Common, Kenderspeak, Ogre</v>
          </cell>
          <cell r="AV33">
            <v>1</v>
          </cell>
          <cell r="AX33">
            <v>1</v>
          </cell>
          <cell r="AY33" t="str">
            <v>Ranger</v>
          </cell>
          <cell r="AZ33" t="str">
            <v/>
          </cell>
          <cell r="BA33" t="str">
            <v/>
          </cell>
          <cell r="BB33" t="str">
            <v/>
          </cell>
          <cell r="BL33" t="str">
            <v>BoK</v>
          </cell>
        </row>
        <row r="34">
          <cell r="A34" t="str">
            <v>Changeling</v>
          </cell>
          <cell r="C34" t="str">
            <v>Medium</v>
          </cell>
          <cell r="D34" t="str">
            <v>Humanoid</v>
          </cell>
          <cell r="E34" t="str">
            <v>Shapechanger</v>
          </cell>
          <cell r="G34">
            <v>30</v>
          </cell>
          <cell r="P34" t="str">
            <v/>
          </cell>
          <cell r="W34" t="str">
            <v/>
          </cell>
          <cell r="X34" t="str">
            <v/>
          </cell>
          <cell r="AP34" t="str">
            <v>Bluff+2,Intimidate+2,Sense Motive+2</v>
          </cell>
          <cell r="AT34" t="str">
            <v>Common</v>
          </cell>
          <cell r="AU34" t="str">
            <v>Auran, Dwarven, Elven, Giant, Gnome, Halfling, Terran</v>
          </cell>
          <cell r="AY34" t="str">
            <v>Rogue</v>
          </cell>
          <cell r="AZ34" t="str">
            <v>15+1d4/1d6/2d6</v>
          </cell>
          <cell r="BA34" t="str">
            <v>5'1"/5'1"+2d4</v>
          </cell>
          <cell r="BB34" t="str">
            <v>115/115+2d4</v>
          </cell>
          <cell r="BL34" t="str">
            <v>MM3</v>
          </cell>
          <cell r="BM34">
            <v>24</v>
          </cell>
          <cell r="BN34" t="str">
            <v>ECS</v>
          </cell>
        </row>
        <row r="35">
          <cell r="A35" t="str">
            <v>Chaond</v>
          </cell>
          <cell r="C35" t="str">
            <v>Medium</v>
          </cell>
          <cell r="D35" t="str">
            <v>Outsider</v>
          </cell>
          <cell r="E35" t="str">
            <v>Native</v>
          </cell>
          <cell r="G35">
            <v>30</v>
          </cell>
          <cell r="P35" t="str">
            <v>Shatter (CL 21)</v>
          </cell>
          <cell r="W35" t="str">
            <v/>
          </cell>
          <cell r="X35" t="str">
            <v>acid 5, cold 5, sonic 5</v>
          </cell>
          <cell r="AE35">
            <v>4</v>
          </cell>
          <cell r="AF35">
            <v>2</v>
          </cell>
          <cell r="AI35">
            <v>-2</v>
          </cell>
          <cell r="AP35" t="str">
            <v>Escape Artist+2,Jump,Move Silently,Tumble+2</v>
          </cell>
          <cell r="AT35" t="str">
            <v>Common</v>
          </cell>
          <cell r="AX35">
            <v>1</v>
          </cell>
          <cell r="AY35" t="str">
            <v>First class chosen</v>
          </cell>
          <cell r="AZ35" t="str">
            <v/>
          </cell>
          <cell r="BA35" t="str">
            <v/>
          </cell>
          <cell r="BB35" t="str">
            <v/>
          </cell>
          <cell r="BL35" t="str">
            <v>MM2</v>
          </cell>
        </row>
        <row r="36">
          <cell r="A36" t="str">
            <v>Chitine</v>
          </cell>
          <cell r="C36" t="str">
            <v>Small</v>
          </cell>
          <cell r="D36" t="str">
            <v>Monstrous Humanoid</v>
          </cell>
          <cell r="F36">
            <v>2</v>
          </cell>
          <cell r="G36">
            <v>30</v>
          </cell>
          <cell r="I36">
            <v>20</v>
          </cell>
          <cell r="P36" t="str">
            <v/>
          </cell>
          <cell r="W36" t="str">
            <v/>
          </cell>
          <cell r="AE36">
            <v>2</v>
          </cell>
          <cell r="AF36">
            <v>2</v>
          </cell>
          <cell r="AG36">
            <v>2</v>
          </cell>
          <cell r="AI36">
            <v>-4</v>
          </cell>
          <cell r="AP36" t="str">
            <v>Balance,Climb+8,Craft (trapmaking),Hide,Jump,Move Silently</v>
          </cell>
          <cell r="AS36" t="str">
            <v>Multiweapon Fighting</v>
          </cell>
          <cell r="AT36" t="str">
            <v>Undercommon</v>
          </cell>
          <cell r="AU36" t="str">
            <v>By region</v>
          </cell>
          <cell r="AX36">
            <v>2</v>
          </cell>
          <cell r="AY36" t="str">
            <v>Rogue</v>
          </cell>
          <cell r="AZ36" t="str">
            <v/>
          </cell>
          <cell r="BA36" t="str">
            <v/>
          </cell>
          <cell r="BB36" t="str">
            <v/>
          </cell>
          <cell r="BL36" t="str">
            <v>Und</v>
          </cell>
          <cell r="BN36" t="str">
            <v>Mon</v>
          </cell>
        </row>
        <row r="37">
          <cell r="A37" t="str">
            <v>Crucian</v>
          </cell>
          <cell r="C37" t="str">
            <v>Medium</v>
          </cell>
          <cell r="D37" t="str">
            <v>Humanoid</v>
          </cell>
          <cell r="G37">
            <v>20</v>
          </cell>
          <cell r="M37">
            <v>8</v>
          </cell>
          <cell r="P37" t="str">
            <v/>
          </cell>
          <cell r="S37" t="str">
            <v>normal</v>
          </cell>
          <cell r="W37" t="str">
            <v/>
          </cell>
          <cell r="AD37">
            <v>4</v>
          </cell>
          <cell r="AE37">
            <v>-2</v>
          </cell>
          <cell r="AF37">
            <v>6</v>
          </cell>
          <cell r="AI37">
            <v>-2</v>
          </cell>
          <cell r="AT37" t="str">
            <v>Common, Draconic</v>
          </cell>
          <cell r="AU37" t="str">
            <v>Sphinx</v>
          </cell>
          <cell r="AX37">
            <v>2</v>
          </cell>
          <cell r="AY37" t="str">
            <v>Druid</v>
          </cell>
          <cell r="AZ37" t="str">
            <v/>
          </cell>
          <cell r="BA37" t="str">
            <v/>
          </cell>
          <cell r="BB37" t="str">
            <v/>
          </cell>
          <cell r="BL37" t="str">
            <v>Sand</v>
          </cell>
          <cell r="BM37">
            <v>144</v>
          </cell>
        </row>
        <row r="38">
          <cell r="A38" t="str">
            <v>Daelkyr Half-blood</v>
          </cell>
          <cell r="C38" t="str">
            <v>Medium</v>
          </cell>
          <cell r="D38" t="str">
            <v>Aberration</v>
          </cell>
          <cell r="G38">
            <v>30</v>
          </cell>
          <cell r="P38" t="str">
            <v/>
          </cell>
          <cell r="T38">
            <v>60</v>
          </cell>
          <cell r="W38" t="str">
            <v/>
          </cell>
          <cell r="AS38" t="str">
            <v>Symbiont Mastery</v>
          </cell>
          <cell r="AT38" t="str">
            <v>Common</v>
          </cell>
          <cell r="AU38" t="str">
            <v>Daelkyr</v>
          </cell>
          <cell r="AY38" t="str">
            <v>Rogue</v>
          </cell>
          <cell r="AZ38" t="str">
            <v/>
          </cell>
          <cell r="BA38" t="str">
            <v/>
          </cell>
          <cell r="BB38" t="str">
            <v/>
          </cell>
          <cell r="BL38" t="str">
            <v>MoE</v>
          </cell>
          <cell r="BN38" t="str">
            <v>ECS</v>
          </cell>
        </row>
        <row r="39">
          <cell r="A39" t="str">
            <v>Darfellan</v>
          </cell>
          <cell r="C39" t="str">
            <v>Medium</v>
          </cell>
          <cell r="D39" t="str">
            <v>Humanoid</v>
          </cell>
          <cell r="E39" t="str">
            <v>Aquatic</v>
          </cell>
          <cell r="G39">
            <v>20</v>
          </cell>
          <cell r="L39">
            <v>40</v>
          </cell>
          <cell r="N39" t="str">
            <v>Bite+5+0+2</v>
          </cell>
          <cell r="P39" t="str">
            <v/>
          </cell>
          <cell r="W39" t="str">
            <v/>
          </cell>
          <cell r="AD39">
            <v>2</v>
          </cell>
          <cell r="AE39">
            <v>-2</v>
          </cell>
          <cell r="AP39" t="str">
            <v>Swim+8</v>
          </cell>
          <cell r="AT39" t="str">
            <v>Darfellan</v>
          </cell>
          <cell r="AU39" t="str">
            <v>Aquan, Common</v>
          </cell>
          <cell r="AY39" t="str">
            <v>Barbarian</v>
          </cell>
          <cell r="AZ39" t="str">
            <v>14+1d4/1d6/2d6</v>
          </cell>
          <cell r="BA39" t="str">
            <v>4'5"/4'5"+2d4</v>
          </cell>
          <cell r="BB39" t="str">
            <v>120/100+2d6</v>
          </cell>
          <cell r="BL39" t="str">
            <v>Sto</v>
          </cell>
          <cell r="BM39">
            <v>143</v>
          </cell>
        </row>
        <row r="40">
          <cell r="A40" t="str">
            <v>Dark One, Dark Creeper</v>
          </cell>
          <cell r="C40" t="str">
            <v>Small</v>
          </cell>
          <cell r="D40" t="str">
            <v>Humanoid</v>
          </cell>
          <cell r="G40">
            <v>30</v>
          </cell>
          <cell r="M40">
            <v>1</v>
          </cell>
          <cell r="P40" t="str">
            <v/>
          </cell>
          <cell r="W40" t="str">
            <v/>
          </cell>
          <cell r="AD40">
            <v>2</v>
          </cell>
          <cell r="AE40">
            <v>6</v>
          </cell>
          <cell r="AF40">
            <v>2</v>
          </cell>
          <cell r="AH40">
            <v>4</v>
          </cell>
          <cell r="AP40" t="str">
            <v>Hide,Listen,Move Silently,Sleight of Hand,Spot,Tumble</v>
          </cell>
          <cell r="AT40" t="str">
            <v>Dark One</v>
          </cell>
          <cell r="AV40">
            <v>3</v>
          </cell>
          <cell r="AX40">
            <v>4</v>
          </cell>
          <cell r="AY40" t="str">
            <v>Rogue</v>
          </cell>
          <cell r="AZ40" t="str">
            <v/>
          </cell>
          <cell r="BA40" t="str">
            <v/>
          </cell>
          <cell r="BB40" t="str">
            <v/>
          </cell>
          <cell r="BL40" t="str">
            <v>FF</v>
          </cell>
          <cell r="BM40">
            <v>38</v>
          </cell>
        </row>
        <row r="41">
          <cell r="A41" t="str">
            <v>Dark One, Dark Stalker</v>
          </cell>
          <cell r="C41" t="str">
            <v>Medium</v>
          </cell>
          <cell r="D41" t="str">
            <v>Humanoid</v>
          </cell>
          <cell r="F41">
            <v>3</v>
          </cell>
          <cell r="G41">
            <v>30</v>
          </cell>
          <cell r="M41">
            <v>2</v>
          </cell>
          <cell r="P41" t="str">
            <v>Fog Cloud (2/day)</v>
          </cell>
          <cell r="W41" t="str">
            <v/>
          </cell>
          <cell r="AD41">
            <v>4</v>
          </cell>
          <cell r="AE41">
            <v>6</v>
          </cell>
          <cell r="AF41">
            <v>2</v>
          </cell>
          <cell r="AG41">
            <v>2</v>
          </cell>
          <cell r="AH41">
            <v>4</v>
          </cell>
          <cell r="AI41">
            <v>6</v>
          </cell>
          <cell r="AP41" t="str">
            <v>Hide,Listen,Move Silently,Sleight of Hand,Spot,Tumble</v>
          </cell>
          <cell r="AT41" t="str">
            <v>Dark One</v>
          </cell>
          <cell r="AV41">
            <v>4</v>
          </cell>
          <cell r="AX41">
            <v>5</v>
          </cell>
          <cell r="AY41" t="str">
            <v>Rogue</v>
          </cell>
          <cell r="AZ41" t="str">
            <v/>
          </cell>
          <cell r="BA41" t="str">
            <v/>
          </cell>
          <cell r="BB41" t="str">
            <v/>
          </cell>
          <cell r="BL41" t="str">
            <v>FF</v>
          </cell>
          <cell r="BM41">
            <v>38</v>
          </cell>
        </row>
        <row r="42">
          <cell r="A42" t="str">
            <v>Darkling, Vistani</v>
          </cell>
          <cell r="C42" t="str">
            <v>Medium</v>
          </cell>
          <cell r="D42" t="str">
            <v>Humanoid</v>
          </cell>
          <cell r="G42">
            <v>30</v>
          </cell>
          <cell r="P42" t="str">
            <v/>
          </cell>
          <cell r="W42" t="str">
            <v/>
          </cell>
          <cell r="AP42" t="str">
            <v>Hide+4,Knowledge (poison)+4,Listen+8,Move Silently+4,Spot+8</v>
          </cell>
          <cell r="AT42" t="str">
            <v>Common</v>
          </cell>
          <cell r="AV42">
            <v>1</v>
          </cell>
          <cell r="AY42" t="str">
            <v>Any</v>
          </cell>
          <cell r="AZ42" t="str">
            <v/>
          </cell>
          <cell r="BA42" t="str">
            <v/>
          </cell>
          <cell r="BB42" t="str">
            <v/>
          </cell>
          <cell r="BL42" t="str">
            <v>COD</v>
          </cell>
        </row>
        <row r="43">
          <cell r="A43" t="str">
            <v>Deep Imaskari</v>
          </cell>
          <cell r="C43" t="str">
            <v>Medium</v>
          </cell>
          <cell r="D43" t="str">
            <v>Humanoid</v>
          </cell>
          <cell r="G43">
            <v>30</v>
          </cell>
          <cell r="P43" t="str">
            <v/>
          </cell>
          <cell r="S43" t="str">
            <v>normal</v>
          </cell>
          <cell r="W43" t="str">
            <v/>
          </cell>
          <cell r="AE43">
            <v>-2</v>
          </cell>
          <cell r="AG43">
            <v>2</v>
          </cell>
          <cell r="AT43" t="str">
            <v>Common, Roushoum</v>
          </cell>
          <cell r="AU43" t="str">
            <v>Aquan, Dwarven, Elven, Terran, Undercommon</v>
          </cell>
          <cell r="AY43" t="str">
            <v>Wizard</v>
          </cell>
          <cell r="AZ43" t="str">
            <v/>
          </cell>
          <cell r="BA43" t="str">
            <v/>
          </cell>
          <cell r="BB43" t="str">
            <v/>
          </cell>
          <cell r="BL43" t="str">
            <v>Und</v>
          </cell>
        </row>
        <row r="44">
          <cell r="A44" t="str">
            <v>Desmodu</v>
          </cell>
          <cell r="C44" t="str">
            <v>Large</v>
          </cell>
          <cell r="D44" t="str">
            <v>Monstrous Humanoid</v>
          </cell>
          <cell r="F44">
            <v>12</v>
          </cell>
          <cell r="G44">
            <v>20</v>
          </cell>
          <cell r="I44">
            <v>30</v>
          </cell>
          <cell r="M44">
            <v>5</v>
          </cell>
          <cell r="N44" t="str">
            <v>2 Claws+3+0+1,Bite+4+0+0</v>
          </cell>
          <cell r="P44" t="str">
            <v>Speak With Bats (at will, CL 1)</v>
          </cell>
          <cell r="T44">
            <v>60</v>
          </cell>
          <cell r="W44" t="str">
            <v/>
          </cell>
          <cell r="AD44">
            <v>10</v>
          </cell>
          <cell r="AE44">
            <v>6</v>
          </cell>
          <cell r="AF44">
            <v>8</v>
          </cell>
          <cell r="AG44">
            <v>4</v>
          </cell>
          <cell r="AH44">
            <v>4</v>
          </cell>
          <cell r="AP44" t="str">
            <v>Balance,Climb,Handle Animal,Jump,Listen,Move Silently,Ride,Spot,Tumble,Use Rope</v>
          </cell>
          <cell r="AR44" t="str">
            <v>Notbora</v>
          </cell>
          <cell r="AS44" t="str">
            <v>Two-Weapon Fighting</v>
          </cell>
          <cell r="AT44" t="str">
            <v>Desmodu, Undercommon</v>
          </cell>
          <cell r="AU44" t="str">
            <v>Terran</v>
          </cell>
          <cell r="AV44">
            <v>9</v>
          </cell>
          <cell r="AX44">
            <v>2</v>
          </cell>
          <cell r="AY44" t="str">
            <v>Fighter</v>
          </cell>
          <cell r="AZ44" t="str">
            <v/>
          </cell>
          <cell r="BA44" t="str">
            <v/>
          </cell>
          <cell r="BB44" t="str">
            <v/>
          </cell>
          <cell r="BL44" t="str">
            <v>MM2</v>
          </cell>
          <cell r="BM44">
            <v>62</v>
          </cell>
          <cell r="BN44" t="str">
            <v>DH,Sand</v>
          </cell>
        </row>
        <row r="45">
          <cell r="A45" t="str">
            <v>Dogai (Assassin Devil)</v>
          </cell>
          <cell r="C45" t="str">
            <v>Medium</v>
          </cell>
          <cell r="D45" t="str">
            <v>Outsider</v>
          </cell>
          <cell r="E45" t="str">
            <v>Baatezu, Evil, Extraplanar, Lawful</v>
          </cell>
          <cell r="F45">
            <v>14</v>
          </cell>
          <cell r="G45">
            <v>30</v>
          </cell>
          <cell r="M45">
            <v>8</v>
          </cell>
          <cell r="P45" t="str">
            <v>Dimension Door, Fog Cloud, Nondetection, Tongues (at will), Greater Teleport (1/day)</v>
          </cell>
          <cell r="V45" t="str">
            <v>fire, poison</v>
          </cell>
          <cell r="X45" t="str">
            <v>acid 10, cold 10</v>
          </cell>
          <cell r="Y45">
            <v>21</v>
          </cell>
          <cell r="Z45" t="str">
            <v>10/good</v>
          </cell>
          <cell r="AD45">
            <v>8</v>
          </cell>
          <cell r="AE45">
            <v>18</v>
          </cell>
          <cell r="AF45">
            <v>6</v>
          </cell>
          <cell r="AG45">
            <v>6</v>
          </cell>
          <cell r="AH45">
            <v>12</v>
          </cell>
          <cell r="AI45">
            <v>6</v>
          </cell>
          <cell r="AP45" t="str">
            <v>Balance,Bluff,Climb,Diplomacy,Disguise,Escape Artist,Hide,Intimidate,Jump,Listen,Move Silently,Sense Motive,Spot,Tumble,Use Rope</v>
          </cell>
          <cell r="AT45" t="str">
            <v>Common, Infernal, Celestial, Draconic</v>
          </cell>
          <cell r="AV45">
            <v>11</v>
          </cell>
          <cell r="AX45">
            <v>6</v>
          </cell>
          <cell r="AY45" t="str">
            <v>Rogue</v>
          </cell>
          <cell r="BL45" t="str">
            <v>FCII</v>
          </cell>
          <cell r="BM45">
            <v>114</v>
          </cell>
        </row>
        <row r="46">
          <cell r="A46" t="str">
            <v>Domovoi</v>
          </cell>
          <cell r="C46" t="str">
            <v>Small</v>
          </cell>
          <cell r="D46" t="str">
            <v>Fey</v>
          </cell>
          <cell r="E46" t="str">
            <v>Fire</v>
          </cell>
          <cell r="F46">
            <v>2</v>
          </cell>
          <cell r="G46">
            <v>20</v>
          </cell>
          <cell r="M46">
            <v>2</v>
          </cell>
          <cell r="P46" t="str">
            <v>Produce Flame , Pyrotechnics (Smoke Cloud Only, DC 15) (at will); Flaming Sphere (3/day, DC 15)</v>
          </cell>
          <cell r="S46" t="str">
            <v>normal</v>
          </cell>
          <cell r="W46" t="str">
            <v/>
          </cell>
          <cell r="AD46">
            <v>-2</v>
          </cell>
          <cell r="AE46">
            <v>4</v>
          </cell>
          <cell r="AF46">
            <v>2</v>
          </cell>
          <cell r="AG46">
            <v>4</v>
          </cell>
          <cell r="AH46">
            <v>6</v>
          </cell>
          <cell r="AI46">
            <v>6</v>
          </cell>
          <cell r="AP46" t="str">
            <v>Balance,Escape Artist+2,Hide,Jump,Listen,Move Silently,Sleight of Hand,Spot,Tumble,Use Rope</v>
          </cell>
          <cell r="AT46" t="str">
            <v>Common, Ignan, Sylvan</v>
          </cell>
          <cell r="AU46" t="str">
            <v>Dwarven, Giant, Gnome, Goblin, Halfling</v>
          </cell>
          <cell r="AV46">
            <v>1</v>
          </cell>
          <cell r="AX46">
            <v>2</v>
          </cell>
          <cell r="AY46" t="str">
            <v>Rogue</v>
          </cell>
          <cell r="AZ46" t="str">
            <v/>
          </cell>
          <cell r="BA46" t="str">
            <v/>
          </cell>
          <cell r="BB46" t="str">
            <v/>
          </cell>
          <cell r="BL46" t="str">
            <v>Frost</v>
          </cell>
          <cell r="BM46">
            <v>121</v>
          </cell>
        </row>
        <row r="47">
          <cell r="A47" t="str">
            <v>Doppelganger</v>
          </cell>
          <cell r="C47" t="str">
            <v>Medium</v>
          </cell>
          <cell r="D47" t="str">
            <v>Monstrous Humanoid</v>
          </cell>
          <cell r="E47" t="str">
            <v>Shapechanger</v>
          </cell>
          <cell r="F47">
            <v>0</v>
          </cell>
          <cell r="G47">
            <v>30</v>
          </cell>
          <cell r="M47">
            <v>0</v>
          </cell>
          <cell r="N47" t="str">
            <v>Slam+5+0+2</v>
          </cell>
          <cell r="P47" t="str">
            <v/>
          </cell>
          <cell r="T47">
            <v>60</v>
          </cell>
          <cell r="V47" t="str">
            <v>sleep, charm effects</v>
          </cell>
          <cell r="W47" t="str">
            <v/>
          </cell>
          <cell r="AD47">
            <v>0</v>
          </cell>
          <cell r="AE47">
            <v>0</v>
          </cell>
          <cell r="AF47">
            <v>2</v>
          </cell>
          <cell r="AG47">
            <v>0</v>
          </cell>
          <cell r="AH47">
            <v>0</v>
          </cell>
          <cell r="AI47">
            <v>0</v>
          </cell>
          <cell r="AP47" t="str">
            <v>Bluff+4,Diplomacy,Disguise+4,Intimidate,Listen,Sense Motive,Spot</v>
          </cell>
          <cell r="AT47" t="str">
            <v>Common</v>
          </cell>
          <cell r="AU47" t="str">
            <v>Auran, Dwarven, Elven, Gnome, Halfling, Giant, Terran</v>
          </cell>
          <cell r="AV47">
            <v>1</v>
          </cell>
          <cell r="AX47">
            <v>0</v>
          </cell>
          <cell r="AY47" t="str">
            <v>Rogue</v>
          </cell>
          <cell r="AZ47" t="str">
            <v>15+1d4/1d6/2d6</v>
          </cell>
          <cell r="BA47" t="str">
            <v>4'8"/4'8"+2d10</v>
          </cell>
          <cell r="BB47" t="str">
            <v>100/100+2d4</v>
          </cell>
          <cell r="BL47" t="str">
            <v>RoD</v>
          </cell>
          <cell r="BM47">
            <v>93</v>
          </cell>
          <cell r="BN47" t="str">
            <v>MM</v>
          </cell>
        </row>
        <row r="48">
          <cell r="A48" t="str">
            <v>Draconian, Baaz</v>
          </cell>
          <cell r="C48" t="str">
            <v>Medium</v>
          </cell>
          <cell r="D48" t="str">
            <v>Dragon</v>
          </cell>
          <cell r="F48">
            <v>2</v>
          </cell>
          <cell r="G48">
            <v>30</v>
          </cell>
          <cell r="M48">
            <v>2</v>
          </cell>
          <cell r="N48" t="str">
            <v>2 Claws+4+0+1,Bite+4+0+0</v>
          </cell>
          <cell r="P48" t="str">
            <v/>
          </cell>
          <cell r="S48" t="str">
            <v>normal</v>
          </cell>
          <cell r="T48">
            <v>60</v>
          </cell>
          <cell r="V48" t="str">
            <v>sleep, paralysis, disease</v>
          </cell>
          <cell r="W48" t="str">
            <v/>
          </cell>
          <cell r="Y48">
            <v>9</v>
          </cell>
          <cell r="AF48">
            <v>2</v>
          </cell>
          <cell r="AG48">
            <v>-2</v>
          </cell>
          <cell r="AH48">
            <v>-2</v>
          </cell>
          <cell r="AP48" t="str">
            <v>Disguise,Intimidate,Listen,Spot</v>
          </cell>
          <cell r="AR48" t="str">
            <v>Longsword</v>
          </cell>
          <cell r="AS48" t="str">
            <v>Run</v>
          </cell>
          <cell r="AT48" t="str">
            <v>Common</v>
          </cell>
          <cell r="AU48" t="str">
            <v>Goblin, Nerakese, Ogre</v>
          </cell>
          <cell r="AX48">
            <v>1</v>
          </cell>
          <cell r="AY48" t="str">
            <v>Fighter</v>
          </cell>
          <cell r="AZ48" t="str">
            <v/>
          </cell>
          <cell r="BA48" t="str">
            <v/>
          </cell>
          <cell r="BB48" t="str">
            <v/>
          </cell>
          <cell r="BL48" t="str">
            <v>DCS</v>
          </cell>
          <cell r="BM48">
            <v>215</v>
          </cell>
        </row>
        <row r="49">
          <cell r="A49" t="str">
            <v>Draconian, Flame</v>
          </cell>
          <cell r="C49" t="str">
            <v>Large</v>
          </cell>
          <cell r="D49" t="str">
            <v>Dragon</v>
          </cell>
          <cell r="E49" t="str">
            <v>Fire</v>
          </cell>
          <cell r="F49">
            <v>8</v>
          </cell>
          <cell r="G49">
            <v>30</v>
          </cell>
          <cell r="J49">
            <v>60</v>
          </cell>
          <cell r="K49" t="str">
            <v>poor</v>
          </cell>
          <cell r="M49">
            <v>6</v>
          </cell>
          <cell r="N49" t="str">
            <v>2 Claws+3+0+1,Bite+5+0+1</v>
          </cell>
          <cell r="P49" t="str">
            <v>Fireball (3/day, CL 8)</v>
          </cell>
          <cell r="S49" t="str">
            <v>normal</v>
          </cell>
          <cell r="T49">
            <v>60</v>
          </cell>
          <cell r="V49" t="str">
            <v>fire, sleep,paralysis effects, all diseases</v>
          </cell>
          <cell r="W49" t="str">
            <v>cold</v>
          </cell>
          <cell r="Y49">
            <v>21</v>
          </cell>
          <cell r="AD49">
            <v>4</v>
          </cell>
          <cell r="AE49">
            <v>2</v>
          </cell>
          <cell r="AF49">
            <v>2</v>
          </cell>
          <cell r="AP49" t="str">
            <v>Climb,Craft (armorsmithing),Craft (weaponsmithing),Intimidate,Jump,Listen,Survival</v>
          </cell>
          <cell r="AS49" t="str">
            <v>Draconian Breath Weapon</v>
          </cell>
          <cell r="AT49" t="str">
            <v>Common</v>
          </cell>
          <cell r="AV49">
            <v>8</v>
          </cell>
          <cell r="AX49">
            <v>3</v>
          </cell>
          <cell r="AY49" t="str">
            <v>Barbarian</v>
          </cell>
          <cell r="AZ49" t="str">
            <v/>
          </cell>
          <cell r="BA49" t="str">
            <v/>
          </cell>
          <cell r="BB49" t="str">
            <v/>
          </cell>
          <cell r="BL49" t="str">
            <v>BoK</v>
          </cell>
        </row>
        <row r="50">
          <cell r="A50" t="str">
            <v>Draconian, Frost</v>
          </cell>
          <cell r="C50" t="str">
            <v>Medium</v>
          </cell>
          <cell r="D50" t="str">
            <v>Dragon</v>
          </cell>
          <cell r="E50" t="str">
            <v>Cold</v>
          </cell>
          <cell r="F50">
            <v>2</v>
          </cell>
          <cell r="G50">
            <v>30</v>
          </cell>
          <cell r="M50">
            <v>3</v>
          </cell>
          <cell r="N50" t="str">
            <v>2 Claws+4+0+1,Bite+4+0+0</v>
          </cell>
          <cell r="P50" t="str">
            <v/>
          </cell>
          <cell r="S50" t="str">
            <v>normal</v>
          </cell>
          <cell r="T50">
            <v>60</v>
          </cell>
          <cell r="V50" t="str">
            <v>cold, sleep, paralysis, disease</v>
          </cell>
          <cell r="W50" t="str">
            <v>fire</v>
          </cell>
          <cell r="Y50">
            <v>9</v>
          </cell>
          <cell r="AD50">
            <v>2</v>
          </cell>
          <cell r="AF50">
            <v>2</v>
          </cell>
          <cell r="AG50">
            <v>-2</v>
          </cell>
          <cell r="AH50">
            <v>-2</v>
          </cell>
          <cell r="AP50" t="str">
            <v>Climb,Disguise,Intimidate,Listen,Spot</v>
          </cell>
          <cell r="AS50" t="str">
            <v>Run</v>
          </cell>
          <cell r="AT50" t="str">
            <v>Common</v>
          </cell>
          <cell r="AV50">
            <v>2</v>
          </cell>
          <cell r="AX50">
            <v>1</v>
          </cell>
          <cell r="AY50" t="str">
            <v>Fighter</v>
          </cell>
          <cell r="AZ50" t="str">
            <v/>
          </cell>
          <cell r="BA50" t="str">
            <v/>
          </cell>
          <cell r="BB50" t="str">
            <v/>
          </cell>
          <cell r="BL50" t="str">
            <v>BoK</v>
          </cell>
        </row>
        <row r="51">
          <cell r="A51" t="str">
            <v>Draconian, Kapak</v>
          </cell>
          <cell r="C51" t="str">
            <v>Medium</v>
          </cell>
          <cell r="D51" t="str">
            <v>Dragon</v>
          </cell>
          <cell r="F51">
            <v>2</v>
          </cell>
          <cell r="G51">
            <v>30</v>
          </cell>
          <cell r="M51">
            <v>2</v>
          </cell>
          <cell r="N51" t="str">
            <v>Bite+4+0+1</v>
          </cell>
          <cell r="P51" t="str">
            <v/>
          </cell>
          <cell r="S51" t="str">
            <v>normal</v>
          </cell>
          <cell r="T51">
            <v>60</v>
          </cell>
          <cell r="V51" t="str">
            <v>sleep, paralysis, disease</v>
          </cell>
          <cell r="W51" t="str">
            <v/>
          </cell>
          <cell r="Y51">
            <v>12</v>
          </cell>
          <cell r="AE51">
            <v>2</v>
          </cell>
          <cell r="AF51">
            <v>2</v>
          </cell>
          <cell r="AG51">
            <v>-2</v>
          </cell>
          <cell r="AH51">
            <v>-2</v>
          </cell>
          <cell r="AP51" t="str">
            <v>Hide,Listen,Move Silently,Search,Spot</v>
          </cell>
          <cell r="AR51" t="str">
            <v>Shortbow;Shortbow, Composite;Sword, Short</v>
          </cell>
          <cell r="AT51" t="str">
            <v>Common</v>
          </cell>
          <cell r="AU51" t="str">
            <v>Goblin, Nerakese, Ogre</v>
          </cell>
          <cell r="AX51">
            <v>2</v>
          </cell>
          <cell r="AY51" t="str">
            <v>Rogue</v>
          </cell>
          <cell r="AZ51" t="str">
            <v/>
          </cell>
          <cell r="BA51" t="str">
            <v/>
          </cell>
          <cell r="BB51" t="str">
            <v/>
          </cell>
          <cell r="BL51" t="str">
            <v>DCS</v>
          </cell>
          <cell r="BM51">
            <v>219</v>
          </cell>
        </row>
        <row r="52">
          <cell r="A52" t="str">
            <v>Draconian, Lightning</v>
          </cell>
          <cell r="C52" t="str">
            <v>Large</v>
          </cell>
          <cell r="D52" t="str">
            <v>Dragon</v>
          </cell>
          <cell r="F52">
            <v>6</v>
          </cell>
          <cell r="G52">
            <v>30</v>
          </cell>
          <cell r="J52">
            <v>60</v>
          </cell>
          <cell r="K52" t="str">
            <v>poor</v>
          </cell>
          <cell r="M52">
            <v>4</v>
          </cell>
          <cell r="N52" t="str">
            <v>2 Claws+3+0+0,Bite+5+0+1,Tail Slap+5+0+1</v>
          </cell>
          <cell r="P52" t="str">
            <v>Detect Evil (at will); Shocking Grasp (2/day, CL 6); Remove Disease (1/week)</v>
          </cell>
          <cell r="S52" t="str">
            <v>normal</v>
          </cell>
          <cell r="T52">
            <v>60</v>
          </cell>
          <cell r="V52" t="str">
            <v>electricity, sleep, paralysis, disease</v>
          </cell>
          <cell r="W52" t="str">
            <v/>
          </cell>
          <cell r="Y52">
            <v>17</v>
          </cell>
          <cell r="AD52">
            <v>4</v>
          </cell>
          <cell r="AF52">
            <v>4</v>
          </cell>
          <cell r="AH52">
            <v>2</v>
          </cell>
          <cell r="AI52">
            <v>2</v>
          </cell>
          <cell r="AP52" t="str">
            <v>Bluff,Climb,Concentration,Diplomacy,Disguise,Gather Information,Intimidate,Jump,Listen</v>
          </cell>
          <cell r="AS52" t="str">
            <v>Run</v>
          </cell>
          <cell r="AT52" t="str">
            <v>Common</v>
          </cell>
          <cell r="AV52">
            <v>7</v>
          </cell>
          <cell r="AX52">
            <v>5</v>
          </cell>
          <cell r="AY52" t="str">
            <v>Paladin</v>
          </cell>
          <cell r="AZ52" t="str">
            <v/>
          </cell>
          <cell r="BA52" t="str">
            <v/>
          </cell>
          <cell r="BB52" t="str">
            <v/>
          </cell>
          <cell r="BL52" t="str">
            <v>BoK</v>
          </cell>
        </row>
        <row r="53">
          <cell r="A53" t="str">
            <v>Draconian, Vapor</v>
          </cell>
          <cell r="C53" t="str">
            <v>Medium</v>
          </cell>
          <cell r="D53" t="str">
            <v>Dragon</v>
          </cell>
          <cell r="F53">
            <v>4</v>
          </cell>
          <cell r="G53">
            <v>30</v>
          </cell>
          <cell r="M53">
            <v>8</v>
          </cell>
          <cell r="N53" t="str">
            <v>2 Claws+4+0+1,Bite+4+0+1</v>
          </cell>
          <cell r="P53" t="str">
            <v/>
          </cell>
          <cell r="S53" t="str">
            <v>normal</v>
          </cell>
          <cell r="T53">
            <v>60</v>
          </cell>
          <cell r="V53" t="str">
            <v>sleep, paralysis, disease</v>
          </cell>
          <cell r="W53" t="str">
            <v/>
          </cell>
          <cell r="Y53">
            <v>15</v>
          </cell>
          <cell r="AD53">
            <v>2</v>
          </cell>
          <cell r="AG53">
            <v>2</v>
          </cell>
          <cell r="AH53">
            <v>2</v>
          </cell>
          <cell r="AP53" t="str">
            <v>Bluff,Concentration,Intimidate,Knowledge (nature),Listen,Search,Spellcraft,Spot,Survival</v>
          </cell>
          <cell r="AS53" t="str">
            <v>Run</v>
          </cell>
          <cell r="AT53" t="str">
            <v>Common</v>
          </cell>
          <cell r="AV53">
            <v>5</v>
          </cell>
          <cell r="AX53">
            <v>3</v>
          </cell>
          <cell r="AY53" t="str">
            <v>Mystic</v>
          </cell>
          <cell r="AZ53" t="str">
            <v/>
          </cell>
          <cell r="BA53" t="str">
            <v/>
          </cell>
          <cell r="BB53" t="str">
            <v/>
          </cell>
          <cell r="BL53" t="str">
            <v>BoK</v>
          </cell>
        </row>
        <row r="54">
          <cell r="A54" t="str">
            <v>Draconian, Venom</v>
          </cell>
          <cell r="C54" t="str">
            <v>Medium</v>
          </cell>
          <cell r="D54" t="str">
            <v>Dragon</v>
          </cell>
          <cell r="F54">
            <v>2</v>
          </cell>
          <cell r="G54">
            <v>30</v>
          </cell>
          <cell r="M54">
            <v>2</v>
          </cell>
          <cell r="N54" t="str">
            <v>Bite+5+0+1</v>
          </cell>
          <cell r="P54" t="str">
            <v/>
          </cell>
          <cell r="S54" t="str">
            <v>normal</v>
          </cell>
          <cell r="T54">
            <v>60</v>
          </cell>
          <cell r="V54" t="str">
            <v>sleep, paralysis, disease</v>
          </cell>
          <cell r="W54" t="str">
            <v/>
          </cell>
          <cell r="Y54">
            <v>12</v>
          </cell>
          <cell r="AE54">
            <v>2</v>
          </cell>
          <cell r="AH54">
            <v>-2</v>
          </cell>
          <cell r="AI54">
            <v>2</v>
          </cell>
          <cell r="AP54" t="str">
            <v>Hide,Listen,Move Silently,Search,Spot</v>
          </cell>
          <cell r="AT54" t="str">
            <v>Common</v>
          </cell>
          <cell r="AV54">
            <v>4</v>
          </cell>
          <cell r="AX54">
            <v>2</v>
          </cell>
          <cell r="AY54" t="str">
            <v>Rogue</v>
          </cell>
          <cell r="AZ54" t="str">
            <v/>
          </cell>
          <cell r="BA54" t="str">
            <v/>
          </cell>
          <cell r="BB54" t="str">
            <v/>
          </cell>
          <cell r="BL54" t="str">
            <v>BoK</v>
          </cell>
        </row>
        <row r="55">
          <cell r="A55" t="str">
            <v>Dracotaur</v>
          </cell>
          <cell r="C55" t="str">
            <v>Large(long)</v>
          </cell>
          <cell r="D55" t="str">
            <v>Dragon</v>
          </cell>
          <cell r="F55">
            <v>3</v>
          </cell>
          <cell r="G55">
            <v>50</v>
          </cell>
          <cell r="M55">
            <v>5</v>
          </cell>
          <cell r="N55" t="str">
            <v>Bite+5+0+0,Tail Slap+5+0+0</v>
          </cell>
          <cell r="P55" t="str">
            <v/>
          </cell>
          <cell r="S55" t="str">
            <v>normal</v>
          </cell>
          <cell r="T55">
            <v>60</v>
          </cell>
          <cell r="V55" t="str">
            <v>magic sleep effects, paralysis</v>
          </cell>
          <cell r="W55" t="str">
            <v/>
          </cell>
          <cell r="AD55">
            <v>8</v>
          </cell>
          <cell r="AE55">
            <v>2</v>
          </cell>
          <cell r="AF55">
            <v>6</v>
          </cell>
          <cell r="AG55">
            <v>2</v>
          </cell>
          <cell r="AI55">
            <v>2</v>
          </cell>
          <cell r="AP55" t="str">
            <v>Balance+4,Intimidate,Jump+4,Knowledge (arcana),Listen,Sense Motive,Spellcraft,Spot,Survival,Swim+4,Use Magic Device</v>
          </cell>
          <cell r="AT55" t="str">
            <v>Draconic</v>
          </cell>
          <cell r="AU55" t="str">
            <v>Any</v>
          </cell>
          <cell r="AV55">
            <v>3</v>
          </cell>
          <cell r="AX55">
            <v>5</v>
          </cell>
          <cell r="AY55" t="str">
            <v>Sorcerer</v>
          </cell>
          <cell r="AZ55" t="str">
            <v/>
          </cell>
          <cell r="BA55" t="str">
            <v/>
          </cell>
          <cell r="BB55" t="str">
            <v/>
          </cell>
          <cell r="BL55" t="str">
            <v>MM3</v>
          </cell>
          <cell r="BM55">
            <v>42</v>
          </cell>
        </row>
        <row r="56">
          <cell r="A56" t="str">
            <v>Draegloth</v>
          </cell>
          <cell r="C56" t="str">
            <v>Medium</v>
          </cell>
          <cell r="D56" t="str">
            <v>Outsider</v>
          </cell>
          <cell r="F56">
            <v>0</v>
          </cell>
          <cell r="G56">
            <v>30</v>
          </cell>
          <cell r="M56">
            <v>0</v>
          </cell>
          <cell r="N56" t="str">
            <v/>
          </cell>
          <cell r="P56" t="str">
            <v>Dancing Lights (CL 6)</v>
          </cell>
          <cell r="V56" t="str">
            <v>sleep</v>
          </cell>
          <cell r="W56" t="str">
            <v/>
          </cell>
          <cell r="X56" t="str">
            <v/>
          </cell>
          <cell r="AD56">
            <v>0</v>
          </cell>
          <cell r="AE56">
            <v>0</v>
          </cell>
          <cell r="AF56">
            <v>0</v>
          </cell>
          <cell r="AG56">
            <v>0</v>
          </cell>
          <cell r="AP56" t="str">
            <v>Climb,Concentration,Craft (any),Hide,Jump,Knowledge (arcana),Knowledge (religion),Knowledge (the planes),Listen,Move Silently,Search,Spellcraft,Spot,Survival</v>
          </cell>
          <cell r="AT56" t="str">
            <v>Abyssal, Elven, Undercommon</v>
          </cell>
          <cell r="AU56" t="str">
            <v>Auquan, Common, Draconic, Drow Sign Languages, Gnome, Goblin, Kuo-toan</v>
          </cell>
          <cell r="AV56">
            <v>1</v>
          </cell>
          <cell r="AX56">
            <v>1</v>
          </cell>
          <cell r="AY56" t="str">
            <v>Cleric</v>
          </cell>
          <cell r="AZ56" t="str">
            <v/>
          </cell>
          <cell r="BA56" t="str">
            <v/>
          </cell>
          <cell r="BB56" t="str">
            <v/>
          </cell>
          <cell r="BL56" t="str">
            <v>CR</v>
          </cell>
          <cell r="BM56">
            <v>8</v>
          </cell>
          <cell r="BN56" t="str">
            <v>Mon</v>
          </cell>
        </row>
        <row r="57">
          <cell r="A57" t="str">
            <v>Dragonborn of Bahamut</v>
          </cell>
          <cell r="C57" t="str">
            <v>Medium</v>
          </cell>
          <cell r="D57" t="str">
            <v>Humanoid</v>
          </cell>
          <cell r="E57" t="str">
            <v>Dragonblood</v>
          </cell>
          <cell r="F57" t="str">
            <v/>
          </cell>
          <cell r="G57">
            <v>0</v>
          </cell>
          <cell r="H57">
            <v>0</v>
          </cell>
          <cell r="I57">
            <v>0</v>
          </cell>
          <cell r="J57">
            <v>0</v>
          </cell>
          <cell r="K57" t="str">
            <v/>
          </cell>
          <cell r="L57">
            <v>0</v>
          </cell>
          <cell r="P57" t="str">
            <v/>
          </cell>
          <cell r="S57" t="str">
            <v/>
          </cell>
          <cell r="T57">
            <v>0</v>
          </cell>
          <cell r="V57" t="str">
            <v>frightful presence of dragons</v>
          </cell>
          <cell r="W57" t="str">
            <v/>
          </cell>
          <cell r="X57" t="str">
            <v/>
          </cell>
          <cell r="AD57">
            <v>0</v>
          </cell>
          <cell r="AE57">
            <v>-2</v>
          </cell>
          <cell r="AF57">
            <v>2</v>
          </cell>
          <cell r="AG57">
            <v>0</v>
          </cell>
          <cell r="AH57">
            <v>0</v>
          </cell>
          <cell r="AI57">
            <v>0</v>
          </cell>
          <cell r="AT57" t="str">
            <v>Draconic</v>
          </cell>
          <cell r="AU57" t="str">
            <v/>
          </cell>
          <cell r="AV57">
            <v>0</v>
          </cell>
          <cell r="AX57">
            <v>0</v>
          </cell>
          <cell r="AY57" t="str">
            <v/>
          </cell>
          <cell r="AZ57" t="str">
            <v/>
          </cell>
          <cell r="BA57" t="str">
            <v/>
          </cell>
          <cell r="BB57" t="str">
            <v/>
          </cell>
          <cell r="BL57" t="str">
            <v>RotD</v>
          </cell>
          <cell r="BM57">
            <v>5</v>
          </cell>
        </row>
        <row r="58">
          <cell r="A58" t="str">
            <v>Dromite</v>
          </cell>
          <cell r="C58" t="str">
            <v>Small</v>
          </cell>
          <cell r="D58" t="str">
            <v>Monstrous Humanoid</v>
          </cell>
          <cell r="G58">
            <v>20</v>
          </cell>
          <cell r="M58">
            <v>3</v>
          </cell>
          <cell r="P58" t="str">
            <v/>
          </cell>
          <cell r="W58" t="str">
            <v/>
          </cell>
          <cell r="X58" t="str">
            <v/>
          </cell>
          <cell r="AD58">
            <v>-2</v>
          </cell>
          <cell r="AH58">
            <v>-2</v>
          </cell>
          <cell r="AI58">
            <v>2</v>
          </cell>
          <cell r="AP58" t="str">
            <v>Spot+2</v>
          </cell>
          <cell r="AT58" t="str">
            <v>Common</v>
          </cell>
          <cell r="AU58" t="str">
            <v>Dwarven, Gnome, Goblin, Terran</v>
          </cell>
          <cell r="AX58">
            <v>1</v>
          </cell>
          <cell r="AY58" t="str">
            <v>Wilder</v>
          </cell>
          <cell r="AZ58" t="str">
            <v>13+1d4/1d6/2d6</v>
          </cell>
          <cell r="BA58" t="str">
            <v>2'8"/2'8"+2d4</v>
          </cell>
          <cell r="BB58" t="str">
            <v>30/30+1d1</v>
          </cell>
          <cell r="BL58" t="str">
            <v>XPH</v>
          </cell>
          <cell r="BM58">
            <v>194</v>
          </cell>
        </row>
        <row r="59">
          <cell r="A59" t="str">
            <v>Durzagon</v>
          </cell>
          <cell r="C59" t="str">
            <v>Medium</v>
          </cell>
          <cell r="D59" t="str">
            <v>Outsider</v>
          </cell>
          <cell r="E59" t="str">
            <v>Evil, Lawful</v>
          </cell>
          <cell r="F59">
            <v>5</v>
          </cell>
          <cell r="G59">
            <v>30</v>
          </cell>
          <cell r="M59">
            <v>1</v>
          </cell>
          <cell r="N59" t="str">
            <v>2 Claws+5+0+1,Bite+5+0+0,Beard+3+0+0</v>
          </cell>
          <cell r="P59" t="str">
            <v>Darkness (3/day); Desecrate, Enlarge(self only), Invisibility, Unholy Blight(DC 9+Spelllvl)</v>
          </cell>
          <cell r="V59" t="str">
            <v>paralyses, phantasms, poison</v>
          </cell>
          <cell r="W59" t="str">
            <v/>
          </cell>
          <cell r="X59" t="str">
            <v>acid 10, cold 10, electricity 10, fire 10</v>
          </cell>
          <cell r="Y59">
            <v>16</v>
          </cell>
          <cell r="Z59" t="str">
            <v>5/magic</v>
          </cell>
          <cell r="AD59">
            <v>4</v>
          </cell>
          <cell r="AE59">
            <v>4</v>
          </cell>
          <cell r="AF59">
            <v>4</v>
          </cell>
          <cell r="AG59">
            <v>4</v>
          </cell>
          <cell r="AH59">
            <v>0</v>
          </cell>
          <cell r="AI59">
            <v>-2</v>
          </cell>
          <cell r="AP59" t="str">
            <v>Appraise,Bluff,Diplomacy,Intimidate,Listen+1,Move Silently+4,Search,Sense Motive,Spot+1</v>
          </cell>
          <cell r="AS59" t="str">
            <v>Alertness</v>
          </cell>
          <cell r="AT59" t="str">
            <v>Dwarven, Undercommon</v>
          </cell>
          <cell r="AU59" t="str">
            <v>Infernal</v>
          </cell>
          <cell r="AV59">
            <v>4</v>
          </cell>
          <cell r="AX59">
            <v>3</v>
          </cell>
          <cell r="AY59" t="str">
            <v>Cleric</v>
          </cell>
          <cell r="AZ59" t="str">
            <v/>
          </cell>
          <cell r="BA59" t="str">
            <v/>
          </cell>
          <cell r="BB59" t="str">
            <v/>
          </cell>
          <cell r="BL59" t="str">
            <v>MM2</v>
          </cell>
          <cell r="BM59">
            <v>124</v>
          </cell>
        </row>
        <row r="60">
          <cell r="A60" t="str">
            <v>Duskling</v>
          </cell>
          <cell r="C60" t="str">
            <v>Medium</v>
          </cell>
          <cell r="D60" t="str">
            <v>Fey</v>
          </cell>
          <cell r="E60" t="str">
            <v>Extraplanar, Incarnum</v>
          </cell>
          <cell r="G60">
            <v>30</v>
          </cell>
          <cell r="S60" t="str">
            <v>normal</v>
          </cell>
          <cell r="AB60">
            <v>1</v>
          </cell>
          <cell r="AF60">
            <v>2</v>
          </cell>
          <cell r="AG60">
            <v>-2</v>
          </cell>
          <cell r="AT60" t="str">
            <v>Common, Sylvan</v>
          </cell>
          <cell r="AU60" t="str">
            <v>Elf, Gnoll, Gnome, Goblin, Halfling</v>
          </cell>
          <cell r="AY60" t="str">
            <v>Totemist</v>
          </cell>
          <cell r="AZ60" t="str">
            <v>75+3d6/4d6/5d6</v>
          </cell>
          <cell r="BA60" t="str">
            <v>4'6"/4'4"+2d4</v>
          </cell>
          <cell r="BB60" t="str">
            <v>100/90+2d4</v>
          </cell>
          <cell r="BL60" t="str">
            <v>MoI</v>
          </cell>
          <cell r="BM60">
            <v>10</v>
          </cell>
        </row>
        <row r="61">
          <cell r="A61" t="str">
            <v>Dvati</v>
          </cell>
          <cell r="C61" t="str">
            <v>Medium</v>
          </cell>
          <cell r="D61" t="str">
            <v>Humanoid</v>
          </cell>
          <cell r="G61">
            <v>30</v>
          </cell>
          <cell r="T61">
            <v>60</v>
          </cell>
          <cell r="AT61" t="str">
            <v>Common, Dvati</v>
          </cell>
          <cell r="AX61">
            <v>1</v>
          </cell>
          <cell r="AY61" t="str">
            <v>Bard</v>
          </cell>
          <cell r="BL61" t="str">
            <v>DC</v>
          </cell>
          <cell r="BM61">
            <v>15</v>
          </cell>
        </row>
        <row r="62">
          <cell r="A62" t="str">
            <v>Dwarf, Arctic</v>
          </cell>
          <cell r="C62" t="str">
            <v>Small</v>
          </cell>
          <cell r="D62" t="str">
            <v>Humanoid</v>
          </cell>
          <cell r="E62" t="str">
            <v>Dwarf</v>
          </cell>
          <cell r="G62">
            <v>20</v>
          </cell>
          <cell r="P62" t="str">
            <v/>
          </cell>
          <cell r="T62">
            <v>60</v>
          </cell>
          <cell r="V62" t="str">
            <v>cold</v>
          </cell>
          <cell r="W62" t="str">
            <v/>
          </cell>
          <cell r="X62" t="str">
            <v/>
          </cell>
          <cell r="AD62">
            <v>4</v>
          </cell>
          <cell r="AE62">
            <v>-2</v>
          </cell>
          <cell r="AF62">
            <v>2</v>
          </cell>
          <cell r="AI62">
            <v>-2</v>
          </cell>
          <cell r="AQ62" t="str">
            <v>Urgrosh, Dwarven;Waraxe, Dwarven</v>
          </cell>
          <cell r="AT62" t="str">
            <v>Common, Dwarven</v>
          </cell>
          <cell r="AU62" t="str">
            <v>By region</v>
          </cell>
          <cell r="AX62">
            <v>2</v>
          </cell>
          <cell r="AY62" t="str">
            <v>Ranger</v>
          </cell>
          <cell r="AZ62" t="str">
            <v>40+3d6/5d6/7d6</v>
          </cell>
          <cell r="BA62" t="str">
            <v>2'8"/2'4"+2d4</v>
          </cell>
          <cell r="BB62" t="str">
            <v>50/40+1d4</v>
          </cell>
          <cell r="BL62" t="str">
            <v>RoF</v>
          </cell>
        </row>
        <row r="63">
          <cell r="A63" t="str">
            <v>Dwarf, Badlands</v>
          </cell>
          <cell r="C63" t="str">
            <v>Medium</v>
          </cell>
          <cell r="D63" t="str">
            <v>Humanoid</v>
          </cell>
          <cell r="E63" t="str">
            <v>Dwarf</v>
          </cell>
          <cell r="G63">
            <v>20</v>
          </cell>
          <cell r="P63" t="str">
            <v/>
          </cell>
          <cell r="T63">
            <v>60</v>
          </cell>
          <cell r="W63" t="str">
            <v/>
          </cell>
          <cell r="X63" t="str">
            <v/>
          </cell>
          <cell r="AF63">
            <v>2</v>
          </cell>
          <cell r="AI63">
            <v>-2</v>
          </cell>
          <cell r="AQ63" t="str">
            <v>Urgrosh, Dwarven;Waraxe, Dwarven</v>
          </cell>
          <cell r="AT63" t="str">
            <v>Common, Dwarven</v>
          </cell>
          <cell r="AU63" t="str">
            <v>Giant, Gnome, Goblin, Orc, Terran, Undercommon</v>
          </cell>
          <cell r="AY63" t="str">
            <v>Fighter</v>
          </cell>
          <cell r="AZ63" t="str">
            <v/>
          </cell>
          <cell r="BA63" t="str">
            <v/>
          </cell>
          <cell r="BB63" t="str">
            <v/>
          </cell>
          <cell r="BL63" t="str">
            <v>Sand</v>
          </cell>
          <cell r="BN63" t="str">
            <v>LGCS</v>
          </cell>
        </row>
        <row r="64">
          <cell r="A64" t="str">
            <v>Dwarf, Dark</v>
          </cell>
          <cell r="C64" t="str">
            <v>Medium</v>
          </cell>
          <cell r="D64" t="str">
            <v>Humanoid</v>
          </cell>
          <cell r="E64" t="str">
            <v>Dwarf</v>
          </cell>
          <cell r="G64">
            <v>20</v>
          </cell>
          <cell r="P64" t="str">
            <v/>
          </cell>
          <cell r="T64">
            <v>120</v>
          </cell>
          <cell r="W64" t="str">
            <v/>
          </cell>
          <cell r="X64" t="str">
            <v/>
          </cell>
          <cell r="AF64">
            <v>2</v>
          </cell>
          <cell r="AI64">
            <v>-4</v>
          </cell>
          <cell r="AP64" t="str">
            <v>Hide+2,Listen+2,Move Silently+2</v>
          </cell>
          <cell r="AQ64" t="str">
            <v>Urgrosh, Dwarven;Waraxe, Dwarven</v>
          </cell>
          <cell r="AT64" t="str">
            <v>Common, Dwarven</v>
          </cell>
          <cell r="AU64" t="str">
            <v>Giant, Gnome, Goblin, Orc, Terran, Undercommon</v>
          </cell>
          <cell r="AY64" t="str">
            <v>Rogue</v>
          </cell>
          <cell r="AZ64" t="str">
            <v/>
          </cell>
          <cell r="BA64" t="str">
            <v/>
          </cell>
          <cell r="BB64" t="str">
            <v/>
          </cell>
          <cell r="BL64" t="str">
            <v>DCS</v>
          </cell>
        </row>
        <row r="65">
          <cell r="A65" t="str">
            <v>Dwarf, Deep</v>
          </cell>
          <cell r="C65" t="str">
            <v>Medium</v>
          </cell>
          <cell r="D65" t="str">
            <v>Humanoid</v>
          </cell>
          <cell r="E65" t="str">
            <v>Dwarf</v>
          </cell>
          <cell r="G65">
            <v>20</v>
          </cell>
          <cell r="P65" t="str">
            <v/>
          </cell>
          <cell r="T65">
            <v>90</v>
          </cell>
          <cell r="W65" t="str">
            <v/>
          </cell>
          <cell r="X65" t="str">
            <v/>
          </cell>
          <cell r="AF65">
            <v>2</v>
          </cell>
          <cell r="AI65">
            <v>-2</v>
          </cell>
          <cell r="AQ65" t="str">
            <v>Urgrosh, Dwarven;Waraxe, Dwarven</v>
          </cell>
          <cell r="AT65" t="str">
            <v>Common, Dwarven</v>
          </cell>
          <cell r="AU65" t="str">
            <v>Giant, Gnome, Goblin, Orc, Terran, Undercommon</v>
          </cell>
          <cell r="AY65" t="str">
            <v>Fighter</v>
          </cell>
          <cell r="AZ65" t="str">
            <v/>
          </cell>
          <cell r="BA65" t="str">
            <v/>
          </cell>
          <cell r="BB65" t="str">
            <v/>
          </cell>
          <cell r="BL65" t="str">
            <v>MM</v>
          </cell>
          <cell r="BM65">
            <v>92</v>
          </cell>
        </row>
        <row r="66">
          <cell r="A66" t="str">
            <v>Dwarf, Dream</v>
          </cell>
          <cell r="C66" t="str">
            <v>Medium</v>
          </cell>
          <cell r="D66" t="str">
            <v>Humanoid</v>
          </cell>
          <cell r="E66" t="str">
            <v>Dwarf</v>
          </cell>
          <cell r="G66">
            <v>20</v>
          </cell>
          <cell r="P66" t="str">
            <v/>
          </cell>
          <cell r="T66">
            <v>90</v>
          </cell>
          <cell r="W66" t="str">
            <v/>
          </cell>
          <cell r="X66" t="str">
            <v/>
          </cell>
          <cell r="AE66">
            <v>-2</v>
          </cell>
          <cell r="AF66">
            <v>2</v>
          </cell>
          <cell r="AQ66" t="str">
            <v>Urgrosh, Dwarven;Waraxe, Dwarven</v>
          </cell>
          <cell r="AT66" t="str">
            <v>Common, Dwarven</v>
          </cell>
          <cell r="AU66" t="str">
            <v>Draconic, Elven, Gnome, Terran, Undercommon</v>
          </cell>
          <cell r="AY66" t="str">
            <v>Druid</v>
          </cell>
          <cell r="AZ66" t="str">
            <v>60+4d6/6d6/9d6</v>
          </cell>
          <cell r="BA66" t="str">
            <v>3'6"/3'4"+2d4</v>
          </cell>
          <cell r="BB66" t="str">
            <v>100/80+2d6</v>
          </cell>
          <cell r="BL66" t="str">
            <v>RoS</v>
          </cell>
          <cell r="BM66">
            <v>88</v>
          </cell>
        </row>
        <row r="67">
          <cell r="A67" t="str">
            <v>Dwarf, Duergar</v>
          </cell>
          <cell r="C67" t="str">
            <v>Medium</v>
          </cell>
          <cell r="D67" t="str">
            <v>Humanoid</v>
          </cell>
          <cell r="E67" t="str">
            <v>Dwarf</v>
          </cell>
          <cell r="G67">
            <v>20</v>
          </cell>
          <cell r="P67" t="str">
            <v/>
          </cell>
          <cell r="T67">
            <v>120</v>
          </cell>
          <cell r="V67" t="str">
            <v>paralysis, phantasms, poison.</v>
          </cell>
          <cell r="W67" t="str">
            <v/>
          </cell>
          <cell r="X67" t="str">
            <v/>
          </cell>
          <cell r="AF67">
            <v>2</v>
          </cell>
          <cell r="AI67">
            <v>-4</v>
          </cell>
          <cell r="AP67" t="str">
            <v>Listen+1,Move Silently+4,Spot+1</v>
          </cell>
          <cell r="AT67" t="str">
            <v>Common, Dwarven, Undercommon</v>
          </cell>
          <cell r="AU67" t="str">
            <v>Draconic, Giant, Goblin, Orc, Terran</v>
          </cell>
          <cell r="AX67">
            <v>1</v>
          </cell>
          <cell r="AY67" t="str">
            <v>Fighter</v>
          </cell>
          <cell r="AZ67" t="str">
            <v>40+3d6/5d6/7d6</v>
          </cell>
          <cell r="BA67" t="str">
            <v>3'9"/3'7"+2d4</v>
          </cell>
          <cell r="BB67" t="str">
            <v>110/80+2d4</v>
          </cell>
          <cell r="BL67" t="str">
            <v>MM</v>
          </cell>
          <cell r="BM67">
            <v>92</v>
          </cell>
          <cell r="BN67" t="str">
            <v>XPH</v>
          </cell>
        </row>
        <row r="68">
          <cell r="A68" t="str">
            <v>Dwarf, Fireblood</v>
          </cell>
          <cell r="C68" t="str">
            <v>Medium</v>
          </cell>
          <cell r="D68" t="str">
            <v>Humanoid</v>
          </cell>
          <cell r="E68" t="str">
            <v>Dragonblood, Dwarf</v>
          </cell>
          <cell r="G68">
            <v>20</v>
          </cell>
          <cell r="P68" t="str">
            <v/>
          </cell>
          <cell r="T68">
            <v>60</v>
          </cell>
          <cell r="W68" t="str">
            <v/>
          </cell>
          <cell r="X68" t="str">
            <v>fire 5</v>
          </cell>
          <cell r="AF68">
            <v>2</v>
          </cell>
          <cell r="AI68">
            <v>-2</v>
          </cell>
          <cell r="AQ68" t="str">
            <v>Urgrosh, Dwarven;Waraxe, Dwarven</v>
          </cell>
          <cell r="AT68" t="str">
            <v>Common, Dwarven</v>
          </cell>
          <cell r="AU68" t="str">
            <v>Giant, Gnome, Goblin, Orc, Terran, Undercommon</v>
          </cell>
          <cell r="AY68" t="str">
            <v>Fighter</v>
          </cell>
          <cell r="AZ68" t="str">
            <v/>
          </cell>
          <cell r="BA68" t="str">
            <v/>
          </cell>
          <cell r="BB68" t="str">
            <v/>
          </cell>
          <cell r="BL68" t="str">
            <v>DrM</v>
          </cell>
        </row>
        <row r="69">
          <cell r="A69" t="str">
            <v>Dwarf, Glacier</v>
          </cell>
          <cell r="C69" t="str">
            <v>Medium</v>
          </cell>
          <cell r="D69" t="str">
            <v>Humanoid</v>
          </cell>
          <cell r="E69" t="str">
            <v>Dwarf</v>
          </cell>
          <cell r="G69">
            <v>20</v>
          </cell>
          <cell r="P69" t="str">
            <v/>
          </cell>
          <cell r="T69">
            <v>60</v>
          </cell>
          <cell r="W69" t="str">
            <v/>
          </cell>
          <cell r="X69" t="str">
            <v/>
          </cell>
          <cell r="AF69">
            <v>2</v>
          </cell>
          <cell r="AI69">
            <v>-2</v>
          </cell>
          <cell r="AQ69" t="str">
            <v>Urgrosh, Dwarven;Waraxe, Dwarven</v>
          </cell>
          <cell r="AT69" t="str">
            <v>Common, Dwarven</v>
          </cell>
          <cell r="AU69" t="str">
            <v>Giant, Gnome, Goblin, Orc, Terran, Undercommon</v>
          </cell>
          <cell r="AY69" t="str">
            <v>Fighter</v>
          </cell>
          <cell r="AZ69" t="str">
            <v>40+3d6/5d6/7d6</v>
          </cell>
          <cell r="BA69" t="str">
            <v>3'9"/3'7"+2d4</v>
          </cell>
          <cell r="BB69" t="str">
            <v>130/100+2d6</v>
          </cell>
          <cell r="BL69" t="str">
            <v>Frost</v>
          </cell>
          <cell r="BM69">
            <v>122</v>
          </cell>
        </row>
        <row r="70">
          <cell r="A70" t="str">
            <v>Dwarf, Gold</v>
          </cell>
          <cell r="C70" t="str">
            <v>Medium</v>
          </cell>
          <cell r="D70" t="str">
            <v>Humanoid</v>
          </cell>
          <cell r="E70" t="str">
            <v>Dwarf</v>
          </cell>
          <cell r="G70">
            <v>20</v>
          </cell>
          <cell r="P70" t="str">
            <v/>
          </cell>
          <cell r="T70">
            <v>60</v>
          </cell>
          <cell r="W70" t="str">
            <v/>
          </cell>
          <cell r="X70" t="str">
            <v/>
          </cell>
          <cell r="AE70">
            <v>-2</v>
          </cell>
          <cell r="AF70">
            <v>2</v>
          </cell>
          <cell r="AQ70" t="str">
            <v>Urgrosh, Dwarven;Waraxe, Dwarven</v>
          </cell>
          <cell r="AT70" t="str">
            <v>Common, Dwarven</v>
          </cell>
          <cell r="AU70" t="str">
            <v>Giant, Gnome, Goblin, Shaaran, Terran, Untheric</v>
          </cell>
          <cell r="AY70" t="str">
            <v>Fighter</v>
          </cell>
          <cell r="AZ70" t="str">
            <v>40+3d6/5d6/7d6</v>
          </cell>
          <cell r="BA70" t="str">
            <v>3'9"/3'7"+2d4</v>
          </cell>
          <cell r="BB70" t="str">
            <v>130/100+2d6</v>
          </cell>
          <cell r="BL70" t="str">
            <v>PGtF</v>
          </cell>
          <cell r="BN70" t="str">
            <v>FRCS</v>
          </cell>
        </row>
        <row r="71">
          <cell r="A71" t="str">
            <v>Dwarf, Gray</v>
          </cell>
          <cell r="C71" t="str">
            <v>Medium</v>
          </cell>
          <cell r="D71" t="str">
            <v>Humanoid</v>
          </cell>
          <cell r="E71" t="str">
            <v>Dwarf</v>
          </cell>
          <cell r="G71">
            <v>20</v>
          </cell>
          <cell r="P71" t="str">
            <v>Enlarge Person, Invisibility(self only)</v>
          </cell>
          <cell r="T71">
            <v>120</v>
          </cell>
          <cell r="V71" t="str">
            <v>paralysis, phantasms, magical/alchemical poison</v>
          </cell>
          <cell r="W71" t="str">
            <v/>
          </cell>
          <cell r="X71" t="str">
            <v/>
          </cell>
          <cell r="AF71">
            <v>2</v>
          </cell>
          <cell r="AI71">
            <v>-4</v>
          </cell>
          <cell r="AP71" t="str">
            <v>Listen+1,Move Silently+4,Spot+1</v>
          </cell>
          <cell r="AQ71" t="str">
            <v>Urgrosh, Dwarven;Waraxe, Dwarven</v>
          </cell>
          <cell r="AT71" t="str">
            <v>Dwarven, Undercommon</v>
          </cell>
          <cell r="AU71" t="str">
            <v>Common, Draconic, Giant, Goblin, Orc, Terran</v>
          </cell>
          <cell r="AX71">
            <v>2</v>
          </cell>
          <cell r="AY71" t="str">
            <v>Fighter</v>
          </cell>
          <cell r="AZ71" t="str">
            <v>40+3d6/5d6/7d6</v>
          </cell>
          <cell r="BA71" t="str">
            <v>3'9"/3'7"+2d4</v>
          </cell>
          <cell r="BB71" t="str">
            <v>110/80+2d4</v>
          </cell>
          <cell r="BL71" t="str">
            <v>PGtF</v>
          </cell>
          <cell r="BN71" t="str">
            <v>FRCS</v>
          </cell>
        </row>
        <row r="72">
          <cell r="A72" t="str">
            <v>Dwarf, Gully</v>
          </cell>
          <cell r="C72" t="str">
            <v>Small</v>
          </cell>
          <cell r="D72" t="str">
            <v>Humanoid</v>
          </cell>
          <cell r="E72" t="str">
            <v>Dwarf</v>
          </cell>
          <cell r="G72">
            <v>20</v>
          </cell>
          <cell r="P72" t="str">
            <v/>
          </cell>
          <cell r="T72">
            <v>60</v>
          </cell>
          <cell r="W72" t="str">
            <v/>
          </cell>
          <cell r="X72" t="str">
            <v/>
          </cell>
          <cell r="AE72">
            <v>2</v>
          </cell>
          <cell r="AF72">
            <v>2</v>
          </cell>
          <cell r="AG72">
            <v>-4</v>
          </cell>
          <cell r="AI72">
            <v>-4</v>
          </cell>
          <cell r="AP72" t="str">
            <v>Hide+2,Move Silently+2,Survival+2</v>
          </cell>
          <cell r="AT72" t="str">
            <v>Gullytalk, Common</v>
          </cell>
          <cell r="AY72" t="str">
            <v>Rogue</v>
          </cell>
          <cell r="AZ72" t="str">
            <v/>
          </cell>
          <cell r="BA72" t="str">
            <v/>
          </cell>
          <cell r="BB72" t="str">
            <v/>
          </cell>
          <cell r="BL72" t="str">
            <v>DCS</v>
          </cell>
        </row>
        <row r="73">
          <cell r="A73" t="str">
            <v>Dwarf, Hill</v>
          </cell>
          <cell r="C73" t="str">
            <v>Medium</v>
          </cell>
          <cell r="D73" t="str">
            <v>Humanoid</v>
          </cell>
          <cell r="E73" t="str">
            <v>Dwarf</v>
          </cell>
          <cell r="G73">
            <v>20</v>
          </cell>
          <cell r="P73" t="str">
            <v/>
          </cell>
          <cell r="T73">
            <v>60</v>
          </cell>
          <cell r="W73" t="str">
            <v/>
          </cell>
          <cell r="X73" t="str">
            <v/>
          </cell>
          <cell r="AF73">
            <v>2</v>
          </cell>
          <cell r="AI73">
            <v>-2</v>
          </cell>
          <cell r="AQ73" t="str">
            <v>Urgrosh, Dwarven;Waraxe, Dwarven</v>
          </cell>
          <cell r="AT73" t="str">
            <v>Common, Dwarven</v>
          </cell>
          <cell r="AU73" t="str">
            <v>Giant, Gnome, Goblin, Orc, Terran, Undercommon</v>
          </cell>
          <cell r="AY73" t="str">
            <v>Fighter</v>
          </cell>
          <cell r="AZ73" t="str">
            <v>40+3d6/5d6/7d6</v>
          </cell>
          <cell r="BA73" t="str">
            <v>3'9"/3'7"+2d4</v>
          </cell>
          <cell r="BB73" t="str">
            <v>130/100+2d6</v>
          </cell>
          <cell r="BL73" t="str">
            <v>PHB</v>
          </cell>
        </row>
        <row r="74">
          <cell r="A74" t="str">
            <v>Dwarf, Mountain</v>
          </cell>
          <cell r="C74" t="str">
            <v>Medium</v>
          </cell>
          <cell r="D74" t="str">
            <v>Humanoid</v>
          </cell>
          <cell r="E74" t="str">
            <v>Dwarf</v>
          </cell>
          <cell r="G74">
            <v>20</v>
          </cell>
          <cell r="P74" t="str">
            <v/>
          </cell>
          <cell r="T74">
            <v>60</v>
          </cell>
          <cell r="W74" t="str">
            <v/>
          </cell>
          <cell r="X74" t="str">
            <v/>
          </cell>
          <cell r="AF74">
            <v>2</v>
          </cell>
          <cell r="AI74">
            <v>-2</v>
          </cell>
          <cell r="AQ74" t="str">
            <v>Urgrosh, Dwarven;Waraxe, Dwarven</v>
          </cell>
          <cell r="AT74" t="str">
            <v>Common, Dwarven</v>
          </cell>
          <cell r="AU74" t="str">
            <v>Giant, Gnome, Goblin, Orc, Terran, Undercommon</v>
          </cell>
          <cell r="AY74" t="str">
            <v>Fighter</v>
          </cell>
          <cell r="AZ74" t="str">
            <v/>
          </cell>
          <cell r="BA74" t="str">
            <v/>
          </cell>
          <cell r="BB74" t="str">
            <v/>
          </cell>
          <cell r="BL74" t="str">
            <v>MM</v>
          </cell>
          <cell r="BM74">
            <v>93</v>
          </cell>
          <cell r="BN74" t="str">
            <v>DCS,LGCS</v>
          </cell>
        </row>
        <row r="75">
          <cell r="A75" t="str">
            <v>Dwarf, Seacliff</v>
          </cell>
          <cell r="C75" t="str">
            <v>Medium</v>
          </cell>
          <cell r="D75" t="str">
            <v>Humanoid</v>
          </cell>
          <cell r="E75" t="str">
            <v>Dwarf</v>
          </cell>
          <cell r="G75">
            <v>20</v>
          </cell>
          <cell r="P75" t="str">
            <v/>
          </cell>
          <cell r="T75">
            <v>60</v>
          </cell>
          <cell r="W75" t="str">
            <v/>
          </cell>
          <cell r="X75" t="str">
            <v/>
          </cell>
          <cell r="AF75">
            <v>2</v>
          </cell>
          <cell r="AI75">
            <v>-2</v>
          </cell>
          <cell r="AP75" t="str">
            <v>Swim+2</v>
          </cell>
          <cell r="AQ75" t="str">
            <v>Urgrosh, Dwarven;Waraxe, Dwarven</v>
          </cell>
          <cell r="AT75" t="str">
            <v>Common, Dwarven</v>
          </cell>
          <cell r="AU75" t="str">
            <v>Giant, Gnome, Goblin, Orc, Terran, Undercommon</v>
          </cell>
          <cell r="AY75" t="str">
            <v>Fighter</v>
          </cell>
          <cell r="AZ75" t="str">
            <v/>
          </cell>
          <cell r="BA75" t="str">
            <v/>
          </cell>
          <cell r="BB75" t="str">
            <v/>
          </cell>
          <cell r="BL75" t="str">
            <v>Sto</v>
          </cell>
        </row>
        <row r="76">
          <cell r="A76" t="str">
            <v>Dwarf, Shield</v>
          </cell>
          <cell r="C76" t="str">
            <v>Medium</v>
          </cell>
          <cell r="D76" t="str">
            <v>Humanoid</v>
          </cell>
          <cell r="E76" t="str">
            <v>Dwarf</v>
          </cell>
          <cell r="G76">
            <v>20</v>
          </cell>
          <cell r="P76" t="str">
            <v/>
          </cell>
          <cell r="T76">
            <v>60</v>
          </cell>
          <cell r="W76" t="str">
            <v/>
          </cell>
          <cell r="X76" t="str">
            <v/>
          </cell>
          <cell r="AF76">
            <v>2</v>
          </cell>
          <cell r="AI76">
            <v>-2</v>
          </cell>
          <cell r="AQ76" t="str">
            <v>Urgrosh, Dwarven;Waraxe, Dwarven</v>
          </cell>
          <cell r="AT76" t="str">
            <v>Common, Dwarven</v>
          </cell>
          <cell r="AU76" t="str">
            <v>Chondathan, Draconic, Giant, Goblin, Illuskan, Orc</v>
          </cell>
          <cell r="AY76" t="str">
            <v>Fighter</v>
          </cell>
          <cell r="AZ76" t="str">
            <v>40+3d6/5d6/7d6</v>
          </cell>
          <cell r="BA76" t="str">
            <v>4'2"/4'0"+2d4</v>
          </cell>
          <cell r="BB76" t="str">
            <v>145/110+2d6</v>
          </cell>
          <cell r="BL76" t="str">
            <v>PGtF</v>
          </cell>
          <cell r="BN76" t="str">
            <v>FRCS</v>
          </cell>
        </row>
        <row r="77">
          <cell r="A77" t="str">
            <v>Dwarf, Urdunnir</v>
          </cell>
          <cell r="C77" t="str">
            <v>Medium</v>
          </cell>
          <cell r="D77" t="str">
            <v>Humanoid</v>
          </cell>
          <cell r="E77" t="str">
            <v>Dwarf</v>
          </cell>
          <cell r="G77">
            <v>20</v>
          </cell>
          <cell r="P77" t="str">
            <v/>
          </cell>
          <cell r="T77">
            <v>60</v>
          </cell>
          <cell r="W77" t="str">
            <v/>
          </cell>
          <cell r="X77" t="str">
            <v/>
          </cell>
          <cell r="AF77">
            <v>2</v>
          </cell>
          <cell r="AI77">
            <v>-2</v>
          </cell>
          <cell r="AQ77" t="str">
            <v>Urgrosh, Dwarven;Waraxe, Dwarven</v>
          </cell>
          <cell r="AT77" t="str">
            <v>Dwarven, Undercommon</v>
          </cell>
          <cell r="AU77" t="str">
            <v>By region</v>
          </cell>
          <cell r="AX77">
            <v>4</v>
          </cell>
          <cell r="AY77" t="str">
            <v>Expert</v>
          </cell>
          <cell r="AZ77" t="str">
            <v>40+3d6/5d6/7d6</v>
          </cell>
          <cell r="BA77" t="str">
            <v>4'2"/4'0"+2d4</v>
          </cell>
          <cell r="BB77" t="str">
            <v>180/150+2d8</v>
          </cell>
          <cell r="BL77" t="str">
            <v>RoF</v>
          </cell>
        </row>
        <row r="78">
          <cell r="A78" t="str">
            <v>Dwarf, Wild</v>
          </cell>
          <cell r="C78" t="str">
            <v>Small</v>
          </cell>
          <cell r="D78" t="str">
            <v>Humanoid</v>
          </cell>
          <cell r="E78" t="str">
            <v>Dwarf</v>
          </cell>
          <cell r="G78">
            <v>20</v>
          </cell>
          <cell r="P78" t="str">
            <v/>
          </cell>
          <cell r="T78">
            <v>60</v>
          </cell>
          <cell r="W78" t="str">
            <v/>
          </cell>
          <cell r="X78" t="str">
            <v>fire 5.</v>
          </cell>
          <cell r="AF78">
            <v>2</v>
          </cell>
          <cell r="AI78">
            <v>-2</v>
          </cell>
          <cell r="AR78" t="str">
            <v>Blowgun;Handaxe</v>
          </cell>
          <cell r="AT78" t="str">
            <v>Common, Dwarven</v>
          </cell>
          <cell r="AU78" t="str">
            <v>Chultan, Draconic, Goblin, Tashalan, Yuan-Ti</v>
          </cell>
          <cell r="AY78" t="str">
            <v>Barbarian</v>
          </cell>
          <cell r="AZ78" t="str">
            <v>40+3d6/5d6/7d6</v>
          </cell>
          <cell r="BA78" t="str">
            <v>2'8"/2'6"+2d4</v>
          </cell>
          <cell r="BB78" t="str">
            <v>50/40+1d4</v>
          </cell>
          <cell r="BL78" t="str">
            <v>RoF</v>
          </cell>
          <cell r="BM78">
            <v>23</v>
          </cell>
        </row>
        <row r="79">
          <cell r="A79" t="str">
            <v>Elan</v>
          </cell>
          <cell r="C79" t="str">
            <v>Medium</v>
          </cell>
          <cell r="D79" t="str">
            <v>Aberration</v>
          </cell>
          <cell r="G79">
            <v>30</v>
          </cell>
          <cell r="P79" t="str">
            <v/>
          </cell>
          <cell r="W79" t="str">
            <v/>
          </cell>
          <cell r="X79" t="str">
            <v/>
          </cell>
          <cell r="AI79">
            <v>-2</v>
          </cell>
          <cell r="AT79" t="str">
            <v>Common</v>
          </cell>
          <cell r="AU79" t="str">
            <v>Any</v>
          </cell>
          <cell r="AY79" t="str">
            <v>Psion</v>
          </cell>
          <cell r="AZ79" t="str">
            <v>20+2d4/2d6/3d6</v>
          </cell>
          <cell r="BA79" t="str">
            <v>4'10"/4'5"+2d10</v>
          </cell>
          <cell r="BB79" t="str">
            <v>120/85+2d4</v>
          </cell>
          <cell r="BL79" t="str">
            <v>XPH</v>
          </cell>
          <cell r="BM79">
            <v>196</v>
          </cell>
        </row>
        <row r="80">
          <cell r="A80" t="str">
            <v>Elf, Aquatic</v>
          </cell>
          <cell r="C80" t="str">
            <v>Medium</v>
          </cell>
          <cell r="D80" t="str">
            <v>Humanoid</v>
          </cell>
          <cell r="E80" t="str">
            <v>Aquatic, Elf</v>
          </cell>
          <cell r="G80">
            <v>30</v>
          </cell>
          <cell r="L80">
            <v>40</v>
          </cell>
          <cell r="P80" t="str">
            <v/>
          </cell>
          <cell r="S80" t="str">
            <v>superior</v>
          </cell>
          <cell r="V80" t="str">
            <v>sleep effects</v>
          </cell>
          <cell r="W80" t="str">
            <v/>
          </cell>
          <cell r="X80" t="str">
            <v/>
          </cell>
          <cell r="AE80">
            <v>2</v>
          </cell>
          <cell r="AG80">
            <v>-2</v>
          </cell>
          <cell r="AP80" t="str">
            <v>Listen+2,Search+2,Spot+2,Swim+8</v>
          </cell>
          <cell r="AR80" t="str">
            <v>Longspear;Net;Trident</v>
          </cell>
          <cell r="AT80" t="str">
            <v>Common, Elven</v>
          </cell>
          <cell r="AU80" t="str">
            <v>Aquan, Draconic, Giant</v>
          </cell>
          <cell r="AY80" t="str">
            <v>Fighter</v>
          </cell>
          <cell r="AZ80" t="str">
            <v>110+4d6/6d6/10d6</v>
          </cell>
          <cell r="BA80" t="str">
            <v>4'10"/4'5"+2d10</v>
          </cell>
          <cell r="BB80" t="str">
            <v>100/80+2d4</v>
          </cell>
          <cell r="BL80" t="str">
            <v>MM</v>
          </cell>
          <cell r="BM80">
            <v>103</v>
          </cell>
          <cell r="BN80" t="str">
            <v>Sto,RoF</v>
          </cell>
        </row>
        <row r="81">
          <cell r="A81" t="str">
            <v>Elf, Deepwyrm Drow</v>
          </cell>
          <cell r="C81" t="str">
            <v>Medium</v>
          </cell>
          <cell r="D81" t="str">
            <v>Humanoid</v>
          </cell>
          <cell r="E81" t="str">
            <v>Dragonblood, Elf</v>
          </cell>
          <cell r="G81">
            <v>30</v>
          </cell>
          <cell r="P81" t="str">
            <v>Detect Magic (3/day); Disguise Self, Dancing Lights, Darkness</v>
          </cell>
          <cell r="T81">
            <v>120</v>
          </cell>
          <cell r="V81" t="str">
            <v>sleep effects</v>
          </cell>
          <cell r="W81" t="str">
            <v/>
          </cell>
          <cell r="X81" t="str">
            <v/>
          </cell>
          <cell r="Y81">
            <v>12</v>
          </cell>
          <cell r="AE81">
            <v>2</v>
          </cell>
          <cell r="AF81">
            <v>-2</v>
          </cell>
          <cell r="AG81">
            <v>2</v>
          </cell>
          <cell r="AI81">
            <v>2</v>
          </cell>
          <cell r="AP81" t="str">
            <v>Bluff+2,Listen+2,Search+2,Spot+2</v>
          </cell>
          <cell r="AR81" t="str">
            <v>Crossbow, Hand;Rapier;Sword, Short</v>
          </cell>
          <cell r="AT81" t="str">
            <v>Common, Elven, Undercommon</v>
          </cell>
          <cell r="AU81" t="str">
            <v>Abyssal, Aquan, Draconic, Drow Sign Language, Gnome, Goblin, Kuo-Toan</v>
          </cell>
          <cell r="AV81">
            <v>1</v>
          </cell>
          <cell r="AX81">
            <v>2</v>
          </cell>
          <cell r="AY81" t="str">
            <v>Cleric</v>
          </cell>
          <cell r="AZ81" t="str">
            <v/>
          </cell>
          <cell r="BA81" t="str">
            <v/>
          </cell>
          <cell r="BB81" t="str">
            <v/>
          </cell>
          <cell r="BL81" t="str">
            <v>DrM</v>
          </cell>
        </row>
        <row r="82">
          <cell r="A82" t="str">
            <v>Elf, Drow</v>
          </cell>
          <cell r="C82" t="str">
            <v>Medium</v>
          </cell>
          <cell r="D82" t="str">
            <v>Humanoid</v>
          </cell>
          <cell r="E82" t="str">
            <v>Elf</v>
          </cell>
          <cell r="G82">
            <v>30</v>
          </cell>
          <cell r="P82" t="str">
            <v>Dancing Lights, Darkness, Faerie Fire</v>
          </cell>
          <cell r="T82">
            <v>120</v>
          </cell>
          <cell r="V82" t="str">
            <v>sleep effects</v>
          </cell>
          <cell r="W82" t="str">
            <v/>
          </cell>
          <cell r="X82" t="str">
            <v/>
          </cell>
          <cell r="Y82">
            <v>12</v>
          </cell>
          <cell r="AE82">
            <v>2</v>
          </cell>
          <cell r="AF82">
            <v>-2</v>
          </cell>
          <cell r="AG82">
            <v>2</v>
          </cell>
          <cell r="AI82">
            <v>2</v>
          </cell>
          <cell r="AP82" t="str">
            <v>Listen+2,Search+2,Spot+2</v>
          </cell>
          <cell r="AR82" t="str">
            <v>Crossbow, Hand;Rapier;Sword, Short</v>
          </cell>
          <cell r="AT82" t="str">
            <v>Common, Elven, Undercommon</v>
          </cell>
          <cell r="AU82" t="str">
            <v>Abyssal, Aquan, Draconic, Drow Sign Language, Gnome, Goblin, Kuo-Toan</v>
          </cell>
          <cell r="AV82">
            <v>1</v>
          </cell>
          <cell r="AX82">
            <v>2</v>
          </cell>
          <cell r="AY82" t="str">
            <v>Cleric</v>
          </cell>
          <cell r="AZ82" t="str">
            <v>110+4d6/6d6/10d6</v>
          </cell>
          <cell r="BA82" t="str">
            <v>4'5"/2'5"+2d6</v>
          </cell>
          <cell r="BB82" t="str">
            <v>85/80+1d6</v>
          </cell>
          <cell r="BL82" t="str">
            <v>MM</v>
          </cell>
          <cell r="BM82">
            <v>103</v>
          </cell>
          <cell r="BN82" t="str">
            <v>PGtF</v>
          </cell>
        </row>
        <row r="83">
          <cell r="A83" t="str">
            <v>Elf, Forestlord</v>
          </cell>
          <cell r="C83" t="str">
            <v>Medium</v>
          </cell>
          <cell r="D83" t="str">
            <v>Humanoid</v>
          </cell>
          <cell r="E83" t="str">
            <v>Dragonblood, Elf</v>
          </cell>
          <cell r="G83">
            <v>30</v>
          </cell>
          <cell r="P83" t="str">
            <v/>
          </cell>
          <cell r="S83" t="str">
            <v>normal</v>
          </cell>
          <cell r="V83" t="str">
            <v>sleep effects</v>
          </cell>
          <cell r="W83" t="str">
            <v/>
          </cell>
          <cell r="X83" t="str">
            <v/>
          </cell>
          <cell r="AE83">
            <v>2</v>
          </cell>
          <cell r="AF83">
            <v>-2</v>
          </cell>
          <cell r="AP83" t="str">
            <v>Listen+2,Search+2,Spot+2</v>
          </cell>
          <cell r="AR83" t="str">
            <v>Longbow;Longbow, Composite;Shortbow;Shortbow, Composite</v>
          </cell>
          <cell r="AT83" t="str">
            <v>Common, Elven</v>
          </cell>
          <cell r="AU83" t="str">
            <v>Draconic, Gnoll, Gnome, Goblin, Orc, Sylvan</v>
          </cell>
          <cell r="AY83" t="str">
            <v>Sorcerer</v>
          </cell>
          <cell r="AZ83" t="str">
            <v/>
          </cell>
          <cell r="BA83" t="str">
            <v/>
          </cell>
          <cell r="BB83" t="str">
            <v/>
          </cell>
          <cell r="BL83" t="str">
            <v>DrM</v>
          </cell>
        </row>
        <row r="84">
          <cell r="A84" t="str">
            <v>Elf, Gray</v>
          </cell>
          <cell r="C84" t="str">
            <v>Medium</v>
          </cell>
          <cell r="D84" t="str">
            <v>Humanoid</v>
          </cell>
          <cell r="E84" t="str">
            <v>Elf</v>
          </cell>
          <cell r="G84">
            <v>30</v>
          </cell>
          <cell r="P84" t="str">
            <v/>
          </cell>
          <cell r="S84" t="str">
            <v>normal</v>
          </cell>
          <cell r="V84" t="str">
            <v>sleep effects</v>
          </cell>
          <cell r="W84" t="str">
            <v/>
          </cell>
          <cell r="X84" t="str">
            <v/>
          </cell>
          <cell r="AD84">
            <v>-2</v>
          </cell>
          <cell r="AE84">
            <v>2</v>
          </cell>
          <cell r="AF84">
            <v>-2</v>
          </cell>
          <cell r="AG84">
            <v>2</v>
          </cell>
          <cell r="AP84" t="str">
            <v>Listen+2,Search+2,Spot+2</v>
          </cell>
          <cell r="AR84" t="str">
            <v>Longbow;Longbow, Composite;Longsword;Rapier;Shortbow;Shortbow, Composite</v>
          </cell>
          <cell r="AT84" t="str">
            <v>Common, Elven</v>
          </cell>
          <cell r="AU84" t="str">
            <v>Draconic, Gnoll, Gnome, Goblin, Orc, Sylvan</v>
          </cell>
          <cell r="AY84" t="str">
            <v>Wizard</v>
          </cell>
          <cell r="AZ84" t="str">
            <v/>
          </cell>
          <cell r="BA84" t="str">
            <v/>
          </cell>
          <cell r="BB84" t="str">
            <v/>
          </cell>
          <cell r="BL84" t="str">
            <v>MM</v>
          </cell>
          <cell r="BM84">
            <v>104</v>
          </cell>
        </row>
        <row r="85">
          <cell r="A85" t="str">
            <v>Elf, High</v>
          </cell>
          <cell r="C85" t="str">
            <v>Medium</v>
          </cell>
          <cell r="D85" t="str">
            <v>Humanoid</v>
          </cell>
          <cell r="E85" t="str">
            <v>Elf</v>
          </cell>
          <cell r="G85">
            <v>30</v>
          </cell>
          <cell r="P85" t="str">
            <v/>
          </cell>
          <cell r="S85" t="str">
            <v>normal</v>
          </cell>
          <cell r="V85" t="str">
            <v>sleep effects</v>
          </cell>
          <cell r="W85" t="str">
            <v/>
          </cell>
          <cell r="X85" t="str">
            <v/>
          </cell>
          <cell r="AE85">
            <v>2</v>
          </cell>
          <cell r="AF85">
            <v>-2</v>
          </cell>
          <cell r="AP85" t="str">
            <v>Listen+2,Search+2,Spot+2</v>
          </cell>
          <cell r="AR85" t="str">
            <v>Longbow;Longbow, Composite;Longsword;Rapier;Shortbow;Shortbow, Composite</v>
          </cell>
          <cell r="AT85" t="str">
            <v>Common, Elven</v>
          </cell>
          <cell r="AU85" t="str">
            <v>Draconic, Gnoll, Gnome, Goblin, Orc, Sylvan</v>
          </cell>
          <cell r="AY85" t="str">
            <v>Wizard</v>
          </cell>
          <cell r="AZ85" t="str">
            <v>110+4d6/6d6/10d6</v>
          </cell>
          <cell r="BA85" t="str">
            <v>4'5"/4'5"+2d6</v>
          </cell>
          <cell r="BB85" t="str">
            <v>85/80+1d6</v>
          </cell>
          <cell r="BL85" t="str">
            <v>PHB</v>
          </cell>
        </row>
        <row r="86">
          <cell r="A86" t="str">
            <v>Elf, Kagonesti</v>
          </cell>
          <cell r="C86" t="str">
            <v>Medium</v>
          </cell>
          <cell r="D86" t="str">
            <v>Humanoid</v>
          </cell>
          <cell r="E86" t="str">
            <v>Elf</v>
          </cell>
          <cell r="G86">
            <v>30</v>
          </cell>
          <cell r="P86" t="str">
            <v/>
          </cell>
          <cell r="S86" t="str">
            <v>normal</v>
          </cell>
          <cell r="V86" t="str">
            <v>sleep effects</v>
          </cell>
          <cell r="W86" t="str">
            <v/>
          </cell>
          <cell r="X86" t="str">
            <v/>
          </cell>
          <cell r="AE86">
            <v>2</v>
          </cell>
          <cell r="AG86">
            <v>-2</v>
          </cell>
          <cell r="AI86">
            <v>-2</v>
          </cell>
          <cell r="AP86" t="str">
            <v>Knowledge (nature)+1,Listen+2,Search+2,Spot+2,Survival+1</v>
          </cell>
          <cell r="AR86" t="str">
            <v>Longbow;Longbow, Composite;Longspear;Shortbow;Shortbow, Composite;Sword, Short</v>
          </cell>
          <cell r="AT86" t="str">
            <v>Elven, Sylvan</v>
          </cell>
          <cell r="AU86" t="str">
            <v>Common, Ergot, Gnoll, Goblin, Ogre, Solamnic</v>
          </cell>
          <cell r="AY86" t="str">
            <v>Ranger</v>
          </cell>
          <cell r="AZ86" t="str">
            <v/>
          </cell>
          <cell r="BA86" t="str">
            <v/>
          </cell>
          <cell r="BB86" t="str">
            <v/>
          </cell>
          <cell r="BL86" t="str">
            <v>DCS</v>
          </cell>
        </row>
        <row r="87">
          <cell r="A87" t="str">
            <v>Elf, Moon</v>
          </cell>
          <cell r="C87" t="str">
            <v>Medium</v>
          </cell>
          <cell r="D87" t="str">
            <v>Humanoid</v>
          </cell>
          <cell r="E87" t="str">
            <v>Elf</v>
          </cell>
          <cell r="G87">
            <v>30</v>
          </cell>
          <cell r="P87" t="str">
            <v/>
          </cell>
          <cell r="S87" t="str">
            <v>normal</v>
          </cell>
          <cell r="V87" t="str">
            <v>sleep effects</v>
          </cell>
          <cell r="W87" t="str">
            <v/>
          </cell>
          <cell r="X87" t="str">
            <v/>
          </cell>
          <cell r="AE87">
            <v>2</v>
          </cell>
          <cell r="AF87">
            <v>-2</v>
          </cell>
          <cell r="AP87" t="str">
            <v>Listen+2,Search+2,Spot+2</v>
          </cell>
          <cell r="AR87" t="str">
            <v>Longbow;Longbow, Composite;Longsword;Rapier;Shortbow;Shortbow, Composite</v>
          </cell>
          <cell r="AT87" t="str">
            <v>Common, Elven</v>
          </cell>
          <cell r="AU87" t="str">
            <v>Auran, Chondathan, Gnoll, Gnome, Halfling, Illuskan, Sylvan</v>
          </cell>
          <cell r="AY87" t="str">
            <v>Wizard</v>
          </cell>
          <cell r="AZ87" t="str">
            <v>110+4d6/6d6/10d6</v>
          </cell>
          <cell r="BA87" t="str">
            <v>4'10"/4'5"+2d10</v>
          </cell>
          <cell r="BB87" t="str">
            <v>90/70+2d4</v>
          </cell>
          <cell r="BL87" t="str">
            <v>PGtF</v>
          </cell>
          <cell r="BN87" t="str">
            <v>FRCS</v>
          </cell>
        </row>
        <row r="88">
          <cell r="A88" t="str">
            <v>Elf, Painted</v>
          </cell>
          <cell r="C88" t="str">
            <v>Medium</v>
          </cell>
          <cell r="D88" t="str">
            <v>Humanoid</v>
          </cell>
          <cell r="E88" t="str">
            <v>Elf</v>
          </cell>
          <cell r="G88">
            <v>30</v>
          </cell>
          <cell r="P88" t="str">
            <v/>
          </cell>
          <cell r="S88" t="str">
            <v>normal</v>
          </cell>
          <cell r="W88" t="str">
            <v/>
          </cell>
          <cell r="X88" t="str">
            <v/>
          </cell>
          <cell r="AE88">
            <v>2</v>
          </cell>
          <cell r="AG88">
            <v>-2</v>
          </cell>
          <cell r="AP88" t="str">
            <v>Listen+2,Search+2,Spot+2</v>
          </cell>
          <cell r="AR88" t="str">
            <v>Longbow;Longbow, Composite;Longsword;Rapier;Shortbow;Shortbow, Composite</v>
          </cell>
          <cell r="AT88" t="str">
            <v>Common, Elven</v>
          </cell>
          <cell r="AU88" t="str">
            <v>Draconic, Gnoll, Gnome, Goblin, Orc, Sylvan</v>
          </cell>
          <cell r="AY88" t="str">
            <v>Druid</v>
          </cell>
          <cell r="AZ88" t="str">
            <v/>
          </cell>
          <cell r="BA88" t="str">
            <v/>
          </cell>
          <cell r="BB88" t="str">
            <v/>
          </cell>
          <cell r="BL88" t="str">
            <v>Sand</v>
          </cell>
        </row>
        <row r="89">
          <cell r="A89" t="str">
            <v>Elf, Qualinesti</v>
          </cell>
          <cell r="C89" t="str">
            <v>Medium</v>
          </cell>
          <cell r="D89" t="str">
            <v>Humanoid</v>
          </cell>
          <cell r="E89" t="str">
            <v>Elf</v>
          </cell>
          <cell r="G89">
            <v>30</v>
          </cell>
          <cell r="P89" t="str">
            <v/>
          </cell>
          <cell r="S89" t="str">
            <v>normal</v>
          </cell>
          <cell r="V89" t="str">
            <v>sleep effects</v>
          </cell>
          <cell r="W89" t="str">
            <v/>
          </cell>
          <cell r="X89" t="str">
            <v/>
          </cell>
          <cell r="AE89">
            <v>2</v>
          </cell>
          <cell r="AF89">
            <v>-2</v>
          </cell>
          <cell r="AP89" t="str">
            <v>Diplomacy+1,Listen+2,Search+2,Sense Motive+1,Spot+2</v>
          </cell>
          <cell r="AR89" t="str">
            <v>Longbow;Longbow, Composite;Longsword;Rapier;Shortbow;Shortbow, Composite</v>
          </cell>
          <cell r="AT89" t="str">
            <v>Common, Elven</v>
          </cell>
          <cell r="AU89" t="str">
            <v>Abanasinian, Dwarven, Ergot, Goblin, Ogre, Sylvan</v>
          </cell>
          <cell r="AY89" t="str">
            <v>Wizard</v>
          </cell>
          <cell r="AZ89" t="str">
            <v/>
          </cell>
          <cell r="BA89" t="str">
            <v/>
          </cell>
          <cell r="BB89" t="str">
            <v/>
          </cell>
          <cell r="BL89" t="str">
            <v>DCS</v>
          </cell>
        </row>
        <row r="90">
          <cell r="A90" t="str">
            <v>Elf, Sea (Dargonesti)</v>
          </cell>
          <cell r="C90" t="str">
            <v>Medium</v>
          </cell>
          <cell r="D90" t="str">
            <v>Humanoid</v>
          </cell>
          <cell r="E90" t="str">
            <v>Elf</v>
          </cell>
          <cell r="G90">
            <v>30</v>
          </cell>
          <cell r="L90">
            <v>30</v>
          </cell>
          <cell r="P90" t="str">
            <v>Blur, Dancing Lights, Darkness, Obscuring Mist</v>
          </cell>
          <cell r="S90" t="str">
            <v>normal</v>
          </cell>
          <cell r="T90">
            <v>60</v>
          </cell>
          <cell r="V90" t="str">
            <v>sleep effects</v>
          </cell>
          <cell r="W90" t="str">
            <v/>
          </cell>
          <cell r="X90" t="str">
            <v/>
          </cell>
          <cell r="AD90">
            <v>2</v>
          </cell>
          <cell r="AE90">
            <v>2</v>
          </cell>
          <cell r="AI90">
            <v>-2</v>
          </cell>
          <cell r="AP90" t="str">
            <v>Listen+2,Spot+2</v>
          </cell>
          <cell r="AR90" t="str">
            <v>Longspear;Net;Trident</v>
          </cell>
          <cell r="AT90" t="str">
            <v>Aquan, Dargonesti</v>
          </cell>
          <cell r="AU90" t="str">
            <v>Common, Elven, Ergot</v>
          </cell>
          <cell r="AX90">
            <v>1</v>
          </cell>
          <cell r="AY90" t="str">
            <v>Fighter</v>
          </cell>
          <cell r="AZ90" t="str">
            <v/>
          </cell>
          <cell r="BA90" t="str">
            <v/>
          </cell>
          <cell r="BB90" t="str">
            <v/>
          </cell>
          <cell r="BL90" t="str">
            <v>DCS</v>
          </cell>
        </row>
        <row r="91">
          <cell r="A91" t="str">
            <v>Elf, Sea (Dimernesti)</v>
          </cell>
          <cell r="C91" t="str">
            <v>Medium</v>
          </cell>
          <cell r="D91" t="str">
            <v>Humanoid</v>
          </cell>
          <cell r="E91" t="str">
            <v>Elf</v>
          </cell>
          <cell r="G91">
            <v>30</v>
          </cell>
          <cell r="L91">
            <v>30</v>
          </cell>
          <cell r="P91" t="str">
            <v/>
          </cell>
          <cell r="S91" t="str">
            <v>normal</v>
          </cell>
          <cell r="V91" t="str">
            <v>sleep effects</v>
          </cell>
          <cell r="W91" t="str">
            <v/>
          </cell>
          <cell r="X91" t="str">
            <v/>
          </cell>
          <cell r="AE91">
            <v>2</v>
          </cell>
          <cell r="AG91">
            <v>2</v>
          </cell>
          <cell r="AH91">
            <v>-2</v>
          </cell>
          <cell r="AI91">
            <v>-2</v>
          </cell>
          <cell r="AP91" t="str">
            <v>Listen+2,Spot+2</v>
          </cell>
          <cell r="AR91" t="str">
            <v>Longspear;Net;Trident</v>
          </cell>
          <cell r="AT91" t="str">
            <v>Elven, Dimernesti</v>
          </cell>
          <cell r="AU91" t="str">
            <v>Aquan, Common, Ergot,Kothian</v>
          </cell>
          <cell r="AX91">
            <v>1</v>
          </cell>
          <cell r="AY91" t="str">
            <v>Barbarian</v>
          </cell>
          <cell r="AZ91" t="str">
            <v/>
          </cell>
          <cell r="BA91" t="str">
            <v/>
          </cell>
          <cell r="BB91" t="str">
            <v/>
          </cell>
          <cell r="BL91" t="str">
            <v>DCS</v>
          </cell>
        </row>
        <row r="92">
          <cell r="A92" t="str">
            <v>Elf, Silvanesti</v>
          </cell>
          <cell r="C92" t="str">
            <v>Medium</v>
          </cell>
          <cell r="D92" t="str">
            <v>Humanoid</v>
          </cell>
          <cell r="E92" t="str">
            <v>Elf</v>
          </cell>
          <cell r="G92">
            <v>30</v>
          </cell>
          <cell r="P92" t="str">
            <v/>
          </cell>
          <cell r="S92" t="str">
            <v>normal</v>
          </cell>
          <cell r="V92" t="str">
            <v>sleep effects</v>
          </cell>
          <cell r="W92" t="str">
            <v/>
          </cell>
          <cell r="X92" t="str">
            <v/>
          </cell>
          <cell r="AE92">
            <v>2</v>
          </cell>
          <cell r="AF92">
            <v>-2</v>
          </cell>
          <cell r="AG92">
            <v>2</v>
          </cell>
          <cell r="AI92">
            <v>-2</v>
          </cell>
          <cell r="AP92" t="str">
            <v>Knowledge (arcana)+1,Listen+2,Search+2,Spellcraft+1,Spot+2</v>
          </cell>
          <cell r="AR92" t="str">
            <v>Longbow;Longbow, Composite;Longsword;Rapier;Shortbow;Shortbow, Composite</v>
          </cell>
          <cell r="AT92" t="str">
            <v>Elven</v>
          </cell>
          <cell r="AU92" t="str">
            <v>Common, Dwarven, Ergot, Kenderspeak, Kharolian, Khur, Goblin, Ogre, Sylvan</v>
          </cell>
          <cell r="AY92" t="str">
            <v>Wizard</v>
          </cell>
          <cell r="AZ92" t="str">
            <v/>
          </cell>
          <cell r="BA92" t="str">
            <v/>
          </cell>
          <cell r="BB92" t="str">
            <v/>
          </cell>
          <cell r="BL92" t="str">
            <v>DCS</v>
          </cell>
        </row>
        <row r="93">
          <cell r="A93" t="str">
            <v>Elf, Snow</v>
          </cell>
          <cell r="C93" t="str">
            <v>Medium</v>
          </cell>
          <cell r="D93" t="str">
            <v>Humanoid</v>
          </cell>
          <cell r="E93" t="str">
            <v>Elf</v>
          </cell>
          <cell r="G93">
            <v>30</v>
          </cell>
          <cell r="P93" t="str">
            <v/>
          </cell>
          <cell r="S93" t="str">
            <v>normal</v>
          </cell>
          <cell r="V93" t="str">
            <v>sleep effects</v>
          </cell>
          <cell r="W93" t="str">
            <v/>
          </cell>
          <cell r="X93" t="str">
            <v/>
          </cell>
          <cell r="AE93">
            <v>2</v>
          </cell>
          <cell r="AI93">
            <v>-2</v>
          </cell>
          <cell r="AP93" t="str">
            <v>Listen+2,Search+2,Spot+2</v>
          </cell>
          <cell r="AR93" t="str">
            <v>Longbow;Longbow, Composite;Longsword;Rapier;Shortbow;Shortbow, Composite</v>
          </cell>
          <cell r="AT93" t="str">
            <v>Common, Elven</v>
          </cell>
          <cell r="AU93" t="str">
            <v>Draconic, Gnoll, Gnome, Goblin, Orc, Sylvan</v>
          </cell>
          <cell r="AY93" t="str">
            <v>Wizard</v>
          </cell>
          <cell r="AZ93" t="str">
            <v>110+4d6/6d6/10d6</v>
          </cell>
          <cell r="BA93" t="str">
            <v>4'5"/4'5"+2d6</v>
          </cell>
          <cell r="BB93" t="str">
            <v>85/80+1d6</v>
          </cell>
          <cell r="BL93" t="str">
            <v>Frost</v>
          </cell>
        </row>
        <row r="94">
          <cell r="A94" t="str">
            <v>Elf, Sun</v>
          </cell>
          <cell r="C94" t="str">
            <v>Medium</v>
          </cell>
          <cell r="D94" t="str">
            <v>Humanoid</v>
          </cell>
          <cell r="E94" t="str">
            <v>Elf</v>
          </cell>
          <cell r="G94">
            <v>30</v>
          </cell>
          <cell r="P94" t="str">
            <v/>
          </cell>
          <cell r="S94" t="str">
            <v>normal</v>
          </cell>
          <cell r="V94" t="str">
            <v>sleep effects</v>
          </cell>
          <cell r="W94" t="str">
            <v/>
          </cell>
          <cell r="X94" t="str">
            <v/>
          </cell>
          <cell r="AF94">
            <v>-2</v>
          </cell>
          <cell r="AG94">
            <v>2</v>
          </cell>
          <cell r="AP94" t="str">
            <v>Listen+2,Search+2,Spot+2</v>
          </cell>
          <cell r="AR94" t="str">
            <v>Longbow;Longbow, Composite;Longsword;Rapier;Shortbow;Shortbow, Composite</v>
          </cell>
          <cell r="AT94" t="str">
            <v>Common, Elven</v>
          </cell>
          <cell r="AU94" t="str">
            <v>Auran, Celestial, Chondathan, Gnome, Halfling, Illuskan, Sylvan</v>
          </cell>
          <cell r="AY94" t="str">
            <v>Wizard</v>
          </cell>
          <cell r="AZ94" t="str">
            <v>110+4d6/6d6/10d6</v>
          </cell>
          <cell r="BA94" t="str">
            <v>4'10"/4'5"+2d10</v>
          </cell>
          <cell r="BB94" t="str">
            <v>90/70+2d4</v>
          </cell>
          <cell r="BL94" t="str">
            <v>PGtF</v>
          </cell>
          <cell r="BN94" t="str">
            <v>FRCS</v>
          </cell>
        </row>
        <row r="95">
          <cell r="A95" t="str">
            <v>Elf, Umbragen</v>
          </cell>
          <cell r="C95" t="str">
            <v>Medium</v>
          </cell>
          <cell r="D95" t="str">
            <v>Humanoid</v>
          </cell>
          <cell r="E95" t="str">
            <v>Elf</v>
          </cell>
          <cell r="G95">
            <v>30</v>
          </cell>
          <cell r="P95" t="str">
            <v>Dancing Lights, Darkness, Faerie Fire</v>
          </cell>
          <cell r="T95">
            <v>120</v>
          </cell>
          <cell r="V95" t="str">
            <v>sleep effects</v>
          </cell>
          <cell r="W95" t="str">
            <v/>
          </cell>
          <cell r="X95" t="str">
            <v/>
          </cell>
          <cell r="Y95">
            <v>12</v>
          </cell>
          <cell r="AE95">
            <v>2</v>
          </cell>
          <cell r="AF95">
            <v>-2</v>
          </cell>
          <cell r="AG95">
            <v>2</v>
          </cell>
          <cell r="AI95">
            <v>2</v>
          </cell>
          <cell r="AP95" t="str">
            <v>Hide+2,Listen+2,Move Silently+2,Search+2,Spot+2</v>
          </cell>
          <cell r="AR95" t="str">
            <v>Longbow;Longbow, Composite;Longsword;Rapier;Shortbow;Shortbow, Composite</v>
          </cell>
          <cell r="AT95" t="str">
            <v>Elven, Undercommon</v>
          </cell>
          <cell r="AU95" t="str">
            <v>Common, Draconic, Giant, Terran</v>
          </cell>
          <cell r="AV95">
            <v>1</v>
          </cell>
          <cell r="AX95">
            <v>2</v>
          </cell>
          <cell r="AY95" t="str">
            <v>Sorcerer</v>
          </cell>
          <cell r="AZ95" t="str">
            <v/>
          </cell>
          <cell r="BA95" t="str">
            <v/>
          </cell>
          <cell r="BB95" t="str">
            <v/>
          </cell>
          <cell r="BL95" t="str">
            <v>SoX</v>
          </cell>
        </row>
        <row r="96">
          <cell r="A96" t="str">
            <v>Elf, Wild</v>
          </cell>
          <cell r="C96" t="str">
            <v>Medium</v>
          </cell>
          <cell r="D96" t="str">
            <v>Humanoid</v>
          </cell>
          <cell r="E96" t="str">
            <v>Elf</v>
          </cell>
          <cell r="G96">
            <v>30</v>
          </cell>
          <cell r="P96" t="str">
            <v/>
          </cell>
          <cell r="S96" t="str">
            <v>normal</v>
          </cell>
          <cell r="V96" t="str">
            <v>sleep effects</v>
          </cell>
          <cell r="W96" t="str">
            <v/>
          </cell>
          <cell r="X96" t="str">
            <v/>
          </cell>
          <cell r="AE96">
            <v>2</v>
          </cell>
          <cell r="AG96">
            <v>-2</v>
          </cell>
          <cell r="AP96" t="str">
            <v>Listen+2,Search+2,Spot+2</v>
          </cell>
          <cell r="AR96" t="str">
            <v>Longbow;Longbow, Composite;Longsword;Rapier;Shortbow;Shortbow, Composite</v>
          </cell>
          <cell r="AT96" t="str">
            <v>Common, Elven</v>
          </cell>
          <cell r="AU96" t="str">
            <v>Draconic, Gnoll, Gnome, Goblin, Orc, Sylvan</v>
          </cell>
          <cell r="AY96" t="str">
            <v>Sorcerer</v>
          </cell>
          <cell r="AZ96" t="str">
            <v>110+4d6/6d6/10d6</v>
          </cell>
          <cell r="BA96" t="str">
            <v>4'10"/4'5"+2d10</v>
          </cell>
          <cell r="BB96" t="str">
            <v>100/80+2d4</v>
          </cell>
          <cell r="BL96" t="str">
            <v>MM</v>
          </cell>
          <cell r="BM96">
            <v>104</v>
          </cell>
          <cell r="BN96" t="str">
            <v>FRCS,PGtF</v>
          </cell>
        </row>
        <row r="97">
          <cell r="A97" t="str">
            <v>Elf, Winged</v>
          </cell>
          <cell r="C97" t="str">
            <v>Medium</v>
          </cell>
          <cell r="D97" t="str">
            <v>Humanoid</v>
          </cell>
          <cell r="E97" t="str">
            <v>Elf</v>
          </cell>
          <cell r="G97">
            <v>30</v>
          </cell>
          <cell r="J97">
            <v>50</v>
          </cell>
          <cell r="K97" t="str">
            <v>average</v>
          </cell>
          <cell r="P97" t="str">
            <v/>
          </cell>
          <cell r="S97" t="str">
            <v>normal</v>
          </cell>
          <cell r="V97" t="str">
            <v>sleep effects</v>
          </cell>
          <cell r="W97" t="str">
            <v/>
          </cell>
          <cell r="X97" t="str">
            <v/>
          </cell>
          <cell r="AE97">
            <v>4</v>
          </cell>
          <cell r="AF97">
            <v>-2</v>
          </cell>
          <cell r="AG97">
            <v>2</v>
          </cell>
          <cell r="AH97">
            <v>2</v>
          </cell>
          <cell r="AP97" t="str">
            <v>Jump+4,Listen+2,Search+2,Spot+4</v>
          </cell>
          <cell r="AR97" t="str">
            <v>Bolas;Lasso;Longsword;Rapier</v>
          </cell>
          <cell r="AT97" t="str">
            <v>Common, Elven</v>
          </cell>
          <cell r="AU97" t="str">
            <v>By region</v>
          </cell>
          <cell r="AX97">
            <v>3</v>
          </cell>
          <cell r="AY97" t="str">
            <v>Cleric</v>
          </cell>
          <cell r="AZ97" t="str">
            <v>40+4d6/6d6/9d6</v>
          </cell>
          <cell r="BA97" t="str">
            <v>5'0"/4'8"+2d8</v>
          </cell>
          <cell r="BB97" t="str">
            <v>70/65+1d6</v>
          </cell>
          <cell r="BL97" t="str">
            <v>RoF</v>
          </cell>
        </row>
        <row r="98">
          <cell r="A98" t="str">
            <v>Elf, Wood</v>
          </cell>
          <cell r="C98" t="str">
            <v>Medium</v>
          </cell>
          <cell r="D98" t="str">
            <v>Humanoid</v>
          </cell>
          <cell r="E98" t="str">
            <v>Elf</v>
          </cell>
          <cell r="G98">
            <v>30</v>
          </cell>
          <cell r="P98" t="str">
            <v/>
          </cell>
          <cell r="S98" t="str">
            <v>normal</v>
          </cell>
          <cell r="V98" t="str">
            <v>sleep effects</v>
          </cell>
          <cell r="W98" t="str">
            <v/>
          </cell>
          <cell r="X98" t="str">
            <v/>
          </cell>
          <cell r="AD98">
            <v>2</v>
          </cell>
          <cell r="AE98">
            <v>2</v>
          </cell>
          <cell r="AF98">
            <v>-2</v>
          </cell>
          <cell r="AG98">
            <v>-2</v>
          </cell>
          <cell r="AP98" t="str">
            <v>Listen+2,Search+2,Spot+2</v>
          </cell>
          <cell r="AR98" t="str">
            <v>Longbow;Longbow, Composite;Longsword;Rapier;Shortbow;Shortbow, Composite</v>
          </cell>
          <cell r="AT98" t="str">
            <v>Common, Elven</v>
          </cell>
          <cell r="AU98" t="str">
            <v>Draconic, Gnoll, Gnome, Goblin, Orc, Sylvan</v>
          </cell>
          <cell r="AY98" t="str">
            <v>Ranger</v>
          </cell>
          <cell r="AZ98" t="str">
            <v>110+4d6/6d6/10d6</v>
          </cell>
          <cell r="BA98" t="str">
            <v>4'10"/4'5"+2d10</v>
          </cell>
          <cell r="BB98" t="str">
            <v>100/80+2d4</v>
          </cell>
          <cell r="BL98" t="str">
            <v>MM</v>
          </cell>
          <cell r="BM98">
            <v>104</v>
          </cell>
          <cell r="BN98" t="str">
            <v>FRCS,PGtF</v>
          </cell>
        </row>
        <row r="99">
          <cell r="A99" t="str">
            <v>Erinyes</v>
          </cell>
          <cell r="C99" t="str">
            <v>Medium</v>
          </cell>
          <cell r="D99" t="str">
            <v>Outsider</v>
          </cell>
          <cell r="E99" t="str">
            <v>Evil, Extraplanar, Lawful</v>
          </cell>
          <cell r="F99">
            <v>9</v>
          </cell>
          <cell r="G99">
            <v>30</v>
          </cell>
          <cell r="J99">
            <v>50</v>
          </cell>
          <cell r="K99" t="str">
            <v>good</v>
          </cell>
          <cell r="M99">
            <v>8</v>
          </cell>
          <cell r="P99" t="str">
            <v>Greater Teleport (at will), Charm Monster (at will, DC 12), Minor Image (at will, DC 10), Unholy Blight (at will, DC 12).</v>
          </cell>
          <cell r="T99">
            <v>60</v>
          </cell>
          <cell r="V99" t="str">
            <v>fire, poison</v>
          </cell>
          <cell r="X99" t="str">
            <v>acid 10, cold 10</v>
          </cell>
          <cell r="Y99">
            <v>20</v>
          </cell>
          <cell r="Z99" t="str">
            <v>5/good</v>
          </cell>
          <cell r="AD99">
            <v>10</v>
          </cell>
          <cell r="AE99">
            <v>10</v>
          </cell>
          <cell r="AF99">
            <v>10</v>
          </cell>
          <cell r="AG99">
            <v>4</v>
          </cell>
          <cell r="AH99">
            <v>8</v>
          </cell>
          <cell r="AI99">
            <v>10</v>
          </cell>
          <cell r="AP99" t="str">
            <v>Concentration,Diplomacy,Escape Artist,Hide,Knowledge (any),Listen,Move Silently,Search,Sense Motive,Spot,Survival,Use Rope</v>
          </cell>
          <cell r="AS99" t="str">
            <v>Dodge,Mobility</v>
          </cell>
          <cell r="AT99" t="str">
            <v>Infernal, Celestial, Draconic</v>
          </cell>
          <cell r="AV99">
            <v>8</v>
          </cell>
          <cell r="AX99">
            <v>7</v>
          </cell>
          <cell r="BL99" t="str">
            <v>MM</v>
          </cell>
        </row>
        <row r="100">
          <cell r="A100" t="str">
            <v>Ethergaunt, Black</v>
          </cell>
          <cell r="C100" t="str">
            <v>Medium</v>
          </cell>
          <cell r="D100" t="str">
            <v>Aberration</v>
          </cell>
          <cell r="E100" t="str">
            <v>Extraplanar</v>
          </cell>
          <cell r="F100">
            <v>16</v>
          </cell>
          <cell r="G100">
            <v>30</v>
          </cell>
          <cell r="M100">
            <v>15</v>
          </cell>
          <cell r="P100" t="str">
            <v/>
          </cell>
          <cell r="T100">
            <v>60</v>
          </cell>
          <cell r="W100" t="str">
            <v/>
          </cell>
          <cell r="X100" t="str">
            <v/>
          </cell>
          <cell r="AD100">
            <v>2</v>
          </cell>
          <cell r="AE100">
            <v>8</v>
          </cell>
          <cell r="AF100">
            <v>4</v>
          </cell>
          <cell r="AG100">
            <v>20</v>
          </cell>
          <cell r="AH100">
            <v>4</v>
          </cell>
          <cell r="AI100">
            <v>4</v>
          </cell>
          <cell r="AP100" t="str">
            <v>Concentration,Diplomacy,Heal,Knowledge (any),Listen,Move Silently,Sense Motive,Spellcraft,Spot</v>
          </cell>
          <cell r="AR100" t="str">
            <v>Etherblade</v>
          </cell>
          <cell r="AT100" t="str">
            <v>Khen-zai</v>
          </cell>
          <cell r="AU100" t="str">
            <v>Common, Draconic, Dwarven, Elven</v>
          </cell>
          <cell r="AV100">
            <v>17</v>
          </cell>
          <cell r="AX100">
            <v>4</v>
          </cell>
          <cell r="AY100" t="str">
            <v>Wizard</v>
          </cell>
          <cell r="AZ100" t="str">
            <v/>
          </cell>
          <cell r="BA100" t="str">
            <v/>
          </cell>
          <cell r="BB100" t="str">
            <v/>
          </cell>
          <cell r="BL100" t="str">
            <v>FF</v>
          </cell>
          <cell r="BM100">
            <v>65</v>
          </cell>
        </row>
        <row r="101">
          <cell r="A101" t="str">
            <v>Ethergaunt, Red</v>
          </cell>
          <cell r="C101" t="str">
            <v>Medium</v>
          </cell>
          <cell r="D101" t="str">
            <v>Aberration</v>
          </cell>
          <cell r="E101" t="str">
            <v>Extraplanar</v>
          </cell>
          <cell r="F101">
            <v>5</v>
          </cell>
          <cell r="G101">
            <v>30</v>
          </cell>
          <cell r="M101">
            <v>4</v>
          </cell>
          <cell r="P101" t="str">
            <v/>
          </cell>
          <cell r="T101">
            <v>60</v>
          </cell>
          <cell r="W101" t="str">
            <v/>
          </cell>
          <cell r="X101" t="str">
            <v/>
          </cell>
          <cell r="AD101">
            <v>4</v>
          </cell>
          <cell r="AE101">
            <v>4</v>
          </cell>
          <cell r="AF101">
            <v>2</v>
          </cell>
          <cell r="AG101">
            <v>12</v>
          </cell>
          <cell r="AH101">
            <v>4</v>
          </cell>
          <cell r="AI101">
            <v>2</v>
          </cell>
          <cell r="AP101" t="str">
            <v>Concentration,Heal,Knowledge (arcana),Listen,Move Silently,Spellcraft,Spot,Survival</v>
          </cell>
          <cell r="AR101" t="str">
            <v>Etherblade</v>
          </cell>
          <cell r="AT101" t="str">
            <v>Khen-zai</v>
          </cell>
          <cell r="AU101" t="str">
            <v>Common, Draconic, Dwarven, Elven</v>
          </cell>
          <cell r="AV101">
            <v>9</v>
          </cell>
          <cell r="AX101">
            <v>7</v>
          </cell>
          <cell r="AY101" t="str">
            <v>Wizard</v>
          </cell>
          <cell r="AZ101" t="str">
            <v/>
          </cell>
          <cell r="BA101" t="str">
            <v/>
          </cell>
          <cell r="BB101" t="str">
            <v/>
          </cell>
          <cell r="BL101" t="str">
            <v>FF</v>
          </cell>
          <cell r="BM101">
            <v>66</v>
          </cell>
        </row>
        <row r="102">
          <cell r="A102" t="str">
            <v>Ethergaunt, White</v>
          </cell>
          <cell r="C102" t="str">
            <v>Medium</v>
          </cell>
          <cell r="D102" t="str">
            <v>Aberration</v>
          </cell>
          <cell r="E102" t="str">
            <v>Extraplanar</v>
          </cell>
          <cell r="F102">
            <v>11</v>
          </cell>
          <cell r="G102">
            <v>30</v>
          </cell>
          <cell r="M102">
            <v>10</v>
          </cell>
          <cell r="P102" t="str">
            <v/>
          </cell>
          <cell r="T102">
            <v>60</v>
          </cell>
          <cell r="W102" t="str">
            <v/>
          </cell>
          <cell r="X102" t="str">
            <v/>
          </cell>
          <cell r="AD102">
            <v>2</v>
          </cell>
          <cell r="AE102">
            <v>6</v>
          </cell>
          <cell r="AF102">
            <v>4</v>
          </cell>
          <cell r="AG102">
            <v>16</v>
          </cell>
          <cell r="AH102">
            <v>4</v>
          </cell>
          <cell r="AI102">
            <v>2</v>
          </cell>
          <cell r="AP102" t="str">
            <v>Concentration,Diplomacy,Heal,Knowledge (arcana),Knowledge (the planes),Listen,Move Silently,Sense Motive,Spellcraft,Spot,Survival</v>
          </cell>
          <cell r="AR102" t="str">
            <v>Etherblade</v>
          </cell>
          <cell r="AT102" t="str">
            <v>Khen-zai</v>
          </cell>
          <cell r="AU102" t="str">
            <v>Common, Draconic, Dwarven, Elven</v>
          </cell>
          <cell r="AV102">
            <v>13</v>
          </cell>
          <cell r="AX102">
            <v>5</v>
          </cell>
          <cell r="AY102" t="str">
            <v>Wizard</v>
          </cell>
          <cell r="AZ102" t="str">
            <v/>
          </cell>
          <cell r="BA102" t="str">
            <v/>
          </cell>
          <cell r="BB102" t="str">
            <v/>
          </cell>
          <cell r="BL102" t="str">
            <v>FF</v>
          </cell>
          <cell r="BM102">
            <v>67</v>
          </cell>
        </row>
        <row r="103">
          <cell r="A103" t="str">
            <v>Ettin</v>
          </cell>
          <cell r="C103" t="str">
            <v>Large</v>
          </cell>
          <cell r="D103" t="str">
            <v>Giant</v>
          </cell>
          <cell r="F103">
            <v>10</v>
          </cell>
          <cell r="G103">
            <v>40</v>
          </cell>
          <cell r="P103" t="str">
            <v/>
          </cell>
          <cell r="W103" t="str">
            <v/>
          </cell>
          <cell r="X103" t="str">
            <v/>
          </cell>
          <cell r="AD103">
            <v>12</v>
          </cell>
          <cell r="AE103">
            <v>-2</v>
          </cell>
          <cell r="AF103">
            <v>4</v>
          </cell>
          <cell r="AG103">
            <v>-4</v>
          </cell>
          <cell r="AH103">
            <v>-2</v>
          </cell>
          <cell r="AP103" t="str">
            <v>Listen+2,Search+2,Spot+2</v>
          </cell>
          <cell r="AT103" t="str">
            <v>Giant</v>
          </cell>
          <cell r="AU103" t="str">
            <v>Common, Orc, Goblin</v>
          </cell>
          <cell r="AV103">
            <v>6</v>
          </cell>
          <cell r="AX103">
            <v>5</v>
          </cell>
          <cell r="AY103" t="str">
            <v>Barbarian</v>
          </cell>
          <cell r="AZ103" t="str">
            <v/>
          </cell>
          <cell r="BA103" t="str">
            <v/>
          </cell>
          <cell r="BB103" t="str">
            <v/>
          </cell>
          <cell r="BL103" t="str">
            <v>MM</v>
          </cell>
          <cell r="BM103">
            <v>106</v>
          </cell>
        </row>
        <row r="104">
          <cell r="A104" t="str">
            <v>Extaminaar</v>
          </cell>
          <cell r="C104" t="str">
            <v>Medium</v>
          </cell>
          <cell r="D104" t="str">
            <v>Humanoid</v>
          </cell>
          <cell r="G104">
            <v>30</v>
          </cell>
          <cell r="P104" t="str">
            <v>Speak With Animals ( at will, snakes only ); Charm Animals ( 3/day, snakes only ).</v>
          </cell>
          <cell r="W104" t="str">
            <v/>
          </cell>
          <cell r="X104" t="str">
            <v/>
          </cell>
          <cell r="AD104">
            <v>-2</v>
          </cell>
          <cell r="AE104">
            <v>2</v>
          </cell>
          <cell r="AP104" t="str">
            <v>Escape Artist+2,Swim+4</v>
          </cell>
          <cell r="AT104" t="str">
            <v>Common, Yuan-Ti</v>
          </cell>
          <cell r="AU104" t="str">
            <v>Abyssal, Draconic</v>
          </cell>
          <cell r="AY104" t="str">
            <v>Rogue</v>
          </cell>
          <cell r="AZ104" t="str">
            <v/>
          </cell>
          <cell r="BA104" t="str">
            <v/>
          </cell>
          <cell r="BB104" t="str">
            <v/>
          </cell>
          <cell r="BL104" t="str">
            <v>CR</v>
          </cell>
        </row>
        <row r="105">
          <cell r="A105" t="str">
            <v>Falxugon (Harvester Devil)</v>
          </cell>
          <cell r="C105" t="str">
            <v>Medium</v>
          </cell>
          <cell r="D105" t="str">
            <v>Outsider</v>
          </cell>
          <cell r="E105" t="str">
            <v>Baatezu, Evil, Extraplanar, Lawful</v>
          </cell>
          <cell r="F105">
            <v>9</v>
          </cell>
          <cell r="G105">
            <v>30</v>
          </cell>
          <cell r="M105">
            <v>7</v>
          </cell>
          <cell r="P105" t="str">
            <v>Disguise Self, Greater Teleport (at will), Mirror Image (1/day), Dispel Magic (DC 11), Vampiric Touch (3/day).</v>
          </cell>
          <cell r="V105" t="str">
            <v>fire, poison</v>
          </cell>
          <cell r="X105" t="str">
            <v>acid 10, cold 10</v>
          </cell>
          <cell r="Y105">
            <v>17</v>
          </cell>
          <cell r="Z105" t="str">
            <v>5/good or magic</v>
          </cell>
          <cell r="AD105">
            <v>4</v>
          </cell>
          <cell r="AE105">
            <v>10</v>
          </cell>
          <cell r="AF105">
            <v>6</v>
          </cell>
          <cell r="AG105">
            <v>4</v>
          </cell>
          <cell r="AH105">
            <v>4</v>
          </cell>
          <cell r="AI105">
            <v>12</v>
          </cell>
          <cell r="AP105" t="str">
            <v>Balance,Bluff,Concentration,Decipher Script,Diplomacy,Disguise,Escape Artist,Forgery,Hide,Intimidate,Jump,Listen,Senst Motive,Sleight of Hand,Spot,Tumble,Use Rope</v>
          </cell>
          <cell r="AT105" t="str">
            <v>Common, Celestial, Infernal</v>
          </cell>
          <cell r="AV105">
            <v>7</v>
          </cell>
          <cell r="AX105">
            <v>4</v>
          </cell>
          <cell r="AY105" t="str">
            <v>Rogue</v>
          </cell>
          <cell r="BL105" t="str">
            <v>FCII</v>
          </cell>
          <cell r="BM105">
            <v>117</v>
          </cell>
        </row>
        <row r="106">
          <cell r="A106" t="str">
            <v>Fensir</v>
          </cell>
          <cell r="C106" t="str">
            <v>Large</v>
          </cell>
          <cell r="D106" t="str">
            <v>Giant</v>
          </cell>
          <cell r="E106" t="str">
            <v>Extraplanar</v>
          </cell>
          <cell r="F106">
            <v>4</v>
          </cell>
          <cell r="G106">
            <v>40</v>
          </cell>
          <cell r="M106">
            <v>6</v>
          </cell>
          <cell r="P106" t="str">
            <v>Transmute Mud To Rock, Transmute Rock To Mud (at will)</v>
          </cell>
          <cell r="S106" t="str">
            <v>normal</v>
          </cell>
          <cell r="T106">
            <v>60</v>
          </cell>
          <cell r="W106" t="str">
            <v/>
          </cell>
          <cell r="X106" t="str">
            <v/>
          </cell>
          <cell r="AD106">
            <v>10</v>
          </cell>
          <cell r="AE106">
            <v>2</v>
          </cell>
          <cell r="AF106">
            <v>4</v>
          </cell>
          <cell r="AG106">
            <v>2</v>
          </cell>
          <cell r="AH106">
            <v>2</v>
          </cell>
          <cell r="AI106">
            <v>-4</v>
          </cell>
          <cell r="AP106" t="str">
            <v>Climb,Hide,Listen,Spot,Survival</v>
          </cell>
          <cell r="AS106" t="str">
            <v>Brew Potion</v>
          </cell>
          <cell r="AT106" t="str">
            <v>Giant, Common</v>
          </cell>
          <cell r="AV106">
            <v>5</v>
          </cell>
          <cell r="AX106">
            <v>5</v>
          </cell>
          <cell r="AY106" t="str">
            <v>Wizard</v>
          </cell>
          <cell r="AZ106" t="str">
            <v/>
          </cell>
          <cell r="BA106" t="str">
            <v/>
          </cell>
          <cell r="BB106" t="str">
            <v/>
          </cell>
          <cell r="BL106" t="str">
            <v>FF</v>
          </cell>
          <cell r="BM106">
            <v>68</v>
          </cell>
        </row>
        <row r="107">
          <cell r="A107" t="str">
            <v>Feral Gargun</v>
          </cell>
          <cell r="C107" t="str">
            <v>Medium</v>
          </cell>
          <cell r="D107" t="str">
            <v>Monstrous Humanoid</v>
          </cell>
          <cell r="F107">
            <v>1</v>
          </cell>
          <cell r="G107">
            <v>30</v>
          </cell>
          <cell r="M107">
            <v>0</v>
          </cell>
          <cell r="N107" t="str">
            <v>2 Claws+4+0+1</v>
          </cell>
          <cell r="P107" t="str">
            <v/>
          </cell>
          <cell r="T107">
            <v>60</v>
          </cell>
          <cell r="W107" t="str">
            <v/>
          </cell>
          <cell r="X107" t="str">
            <v>cold 5</v>
          </cell>
          <cell r="AD107">
            <v>2</v>
          </cell>
          <cell r="AE107">
            <v>0</v>
          </cell>
          <cell r="AF107">
            <v>0</v>
          </cell>
          <cell r="AG107">
            <v>-2</v>
          </cell>
          <cell r="AI107">
            <v>-2</v>
          </cell>
          <cell r="AP107" t="str">
            <v>Climb,Hide,Jump,Listen,Search,Spot,Survival</v>
          </cell>
          <cell r="AT107" t="str">
            <v>Gol-Kaa</v>
          </cell>
          <cell r="AU107" t="str">
            <v>none</v>
          </cell>
          <cell r="AV107">
            <v>1</v>
          </cell>
          <cell r="AX107">
            <v>0</v>
          </cell>
          <cell r="AY107" t="str">
            <v>Barbarian</v>
          </cell>
          <cell r="AZ107" t="str">
            <v>14+1d4/1d6/2d6</v>
          </cell>
          <cell r="BA107" t="str">
            <v>6'0"/6'0"+2d12</v>
          </cell>
          <cell r="BB107" t="str">
            <v>220/220+2d6</v>
          </cell>
          <cell r="BL107" t="str">
            <v>RoS</v>
          </cell>
        </row>
        <row r="108">
          <cell r="A108" t="str">
            <v>Fey'ri</v>
          </cell>
          <cell r="C108" t="str">
            <v>Medium</v>
          </cell>
          <cell r="D108" t="str">
            <v>Outsider</v>
          </cell>
          <cell r="E108" t="str">
            <v>Native</v>
          </cell>
          <cell r="G108">
            <v>30</v>
          </cell>
          <cell r="J108">
            <v>40</v>
          </cell>
          <cell r="K108" t="str">
            <v>poor</v>
          </cell>
          <cell r="P108" t="str">
            <v>Alter Self (at will)</v>
          </cell>
          <cell r="S108" t="str">
            <v>normal</v>
          </cell>
          <cell r="V108" t="str">
            <v>sleep effects</v>
          </cell>
          <cell r="W108" t="str">
            <v/>
          </cell>
          <cell r="X108" t="str">
            <v/>
          </cell>
          <cell r="Z108" t="str">
            <v/>
          </cell>
          <cell r="AE108">
            <v>2</v>
          </cell>
          <cell r="AF108">
            <v>-2</v>
          </cell>
          <cell r="AG108">
            <v>2</v>
          </cell>
          <cell r="AP108" t="str">
            <v>Bluff+2,Hide+2,Listen+2,Search+2,Spot+2</v>
          </cell>
          <cell r="AT108" t="str">
            <v>Common, Elven, Abyssal</v>
          </cell>
          <cell r="AU108" t="str">
            <v>Gnoll, Goblin, Sylvan, Draconic</v>
          </cell>
          <cell r="AX108">
            <v>2</v>
          </cell>
          <cell r="AY108" t="str">
            <v>Sorcerer</v>
          </cell>
          <cell r="AZ108" t="str">
            <v/>
          </cell>
          <cell r="BA108" t="str">
            <v/>
          </cell>
          <cell r="BB108" t="str">
            <v/>
          </cell>
          <cell r="BL108" t="str">
            <v>RoF</v>
          </cell>
          <cell r="BN108" t="str">
            <v>Mon</v>
          </cell>
        </row>
        <row r="109">
          <cell r="A109" t="str">
            <v>Feytouched</v>
          </cell>
          <cell r="C109" t="str">
            <v>Medium</v>
          </cell>
          <cell r="D109" t="str">
            <v>Fey</v>
          </cell>
          <cell r="G109">
            <v>30</v>
          </cell>
          <cell r="P109" t="str">
            <v>Charm Person (DC 9)</v>
          </cell>
          <cell r="V109" t="str">
            <v>mind-affecting effects &amp; spells</v>
          </cell>
          <cell r="W109" t="str">
            <v/>
          </cell>
          <cell r="X109" t="str">
            <v/>
          </cell>
          <cell r="AE109">
            <v>2</v>
          </cell>
          <cell r="AF109">
            <v>-2</v>
          </cell>
          <cell r="AI109">
            <v>2</v>
          </cell>
          <cell r="AP109" t="str">
            <v>Bluff,Handle Animal,Hide+2,Move Silently+2,Sense Motive,Spot,Survival</v>
          </cell>
          <cell r="AT109" t="str">
            <v>Common</v>
          </cell>
          <cell r="AX109">
            <v>1</v>
          </cell>
          <cell r="AY109" t="str">
            <v>Bard</v>
          </cell>
          <cell r="AZ109" t="str">
            <v/>
          </cell>
          <cell r="BA109" t="str">
            <v/>
          </cell>
          <cell r="BB109" t="str">
            <v/>
          </cell>
          <cell r="BL109" t="str">
            <v>FF</v>
          </cell>
          <cell r="BM109">
            <v>71</v>
          </cell>
        </row>
        <row r="110">
          <cell r="A110" t="str">
            <v>Firbolg</v>
          </cell>
          <cell r="C110" t="str">
            <v>Large</v>
          </cell>
          <cell r="D110" t="str">
            <v>Giant</v>
          </cell>
          <cell r="F110">
            <v>13</v>
          </cell>
          <cell r="G110">
            <v>40</v>
          </cell>
          <cell r="M110">
            <v>12</v>
          </cell>
          <cell r="N110" t="str">
            <v>Trample+7+0+2</v>
          </cell>
          <cell r="P110" t="str">
            <v>Disguise Self, Detect Magic, Feeblemind, Know Direction</v>
          </cell>
          <cell r="W110" t="str">
            <v/>
          </cell>
          <cell r="X110" t="str">
            <v/>
          </cell>
          <cell r="AD110">
            <v>26</v>
          </cell>
          <cell r="AE110">
            <v>2</v>
          </cell>
          <cell r="AF110">
            <v>12</v>
          </cell>
          <cell r="AG110">
            <v>4</v>
          </cell>
          <cell r="AH110">
            <v>4</v>
          </cell>
          <cell r="AI110">
            <v>4</v>
          </cell>
          <cell r="AP110" t="str">
            <v>Knowledge (nature),Move Silently,Spot,Survival</v>
          </cell>
          <cell r="AT110" t="str">
            <v>Giant</v>
          </cell>
          <cell r="AU110" t="str">
            <v>Common</v>
          </cell>
          <cell r="AV110">
            <v>12</v>
          </cell>
          <cell r="AX110">
            <v>5</v>
          </cell>
          <cell r="AY110" t="str">
            <v>Druid</v>
          </cell>
          <cell r="AZ110" t="str">
            <v/>
          </cell>
          <cell r="BA110" t="str">
            <v/>
          </cell>
          <cell r="BB110" t="str">
            <v/>
          </cell>
          <cell r="BL110" t="str">
            <v>MM2</v>
          </cell>
          <cell r="BM110">
            <v>101</v>
          </cell>
        </row>
        <row r="111">
          <cell r="A111" t="str">
            <v>Fomorian</v>
          </cell>
          <cell r="C111" t="str">
            <v>Huge</v>
          </cell>
          <cell r="D111" t="str">
            <v>Giant</v>
          </cell>
          <cell r="F111">
            <v>15</v>
          </cell>
          <cell r="G111">
            <v>40</v>
          </cell>
          <cell r="M111">
            <v>9</v>
          </cell>
          <cell r="N111" t="str">
            <v>Slam+4+0+1</v>
          </cell>
          <cell r="P111" t="str">
            <v/>
          </cell>
          <cell r="W111" t="str">
            <v/>
          </cell>
          <cell r="X111" t="str">
            <v/>
          </cell>
          <cell r="Z111" t="str">
            <v>5/-</v>
          </cell>
          <cell r="AD111">
            <v>24</v>
          </cell>
          <cell r="AE111">
            <v>2</v>
          </cell>
          <cell r="AF111">
            <v>12</v>
          </cell>
          <cell r="AH111">
            <v>2</v>
          </cell>
          <cell r="AI111">
            <v>-2</v>
          </cell>
          <cell r="AP111" t="str">
            <v>Listen,Move Silently+10,Spot</v>
          </cell>
          <cell r="AT111" t="str">
            <v>Giant</v>
          </cell>
          <cell r="AU111" t="str">
            <v>Common</v>
          </cell>
          <cell r="AV111">
            <v>11</v>
          </cell>
          <cell r="AX111">
            <v>4</v>
          </cell>
          <cell r="AY111" t="str">
            <v>Barbarian</v>
          </cell>
          <cell r="AZ111" t="str">
            <v/>
          </cell>
          <cell r="BA111" t="str">
            <v/>
          </cell>
          <cell r="BB111" t="str">
            <v/>
          </cell>
          <cell r="BL111" t="str">
            <v>MM2</v>
          </cell>
          <cell r="BM111">
            <v>105</v>
          </cell>
        </row>
        <row r="112">
          <cell r="A112" t="str">
            <v>Frost Folk</v>
          </cell>
          <cell r="C112" t="str">
            <v>Medium</v>
          </cell>
          <cell r="D112" t="str">
            <v>Monstrous Humanoid</v>
          </cell>
          <cell r="E112" t="str">
            <v>Cold</v>
          </cell>
          <cell r="F112">
            <v>4</v>
          </cell>
          <cell r="G112">
            <v>30</v>
          </cell>
          <cell r="M112">
            <v>2</v>
          </cell>
          <cell r="P112" t="str">
            <v/>
          </cell>
          <cell r="T112">
            <v>60</v>
          </cell>
          <cell r="W112" t="str">
            <v/>
          </cell>
          <cell r="X112" t="str">
            <v/>
          </cell>
          <cell r="AD112">
            <v>4</v>
          </cell>
          <cell r="AE112">
            <v>2</v>
          </cell>
          <cell r="AF112">
            <v>2</v>
          </cell>
          <cell r="AI112">
            <v>-2</v>
          </cell>
          <cell r="AR112" t="str">
            <v>Battleaxe;Longbow;Longbow, Composite</v>
          </cell>
          <cell r="AT112" t="str">
            <v>Common</v>
          </cell>
          <cell r="AU112" t="str">
            <v>Auran, Draconic, Dwarven, Giant, Goblin, Orc</v>
          </cell>
          <cell r="AX112">
            <v>1</v>
          </cell>
          <cell r="AY112" t="str">
            <v>Barbarian</v>
          </cell>
          <cell r="AZ112" t="str">
            <v/>
          </cell>
          <cell r="BA112" t="str">
            <v/>
          </cell>
          <cell r="BB112" t="str">
            <v/>
          </cell>
          <cell r="BL112" t="str">
            <v>Frost</v>
          </cell>
          <cell r="BM112">
            <v>130</v>
          </cell>
        </row>
        <row r="113">
          <cell r="A113" t="str">
            <v>Gargoyle</v>
          </cell>
          <cell r="C113" t="str">
            <v>Medium</v>
          </cell>
          <cell r="D113" t="str">
            <v>Monstrous Humanoid</v>
          </cell>
          <cell r="E113" t="str">
            <v>Earth</v>
          </cell>
          <cell r="F113">
            <v>4</v>
          </cell>
          <cell r="G113">
            <v>40</v>
          </cell>
          <cell r="J113">
            <v>60</v>
          </cell>
          <cell r="K113" t="str">
            <v>average</v>
          </cell>
          <cell r="M113">
            <v>4</v>
          </cell>
          <cell r="N113" t="str">
            <v>2 Claws+4+0+1,Bite+5+0+0,Gore+5+0+0</v>
          </cell>
          <cell r="P113" t="str">
            <v/>
          </cell>
          <cell r="T113">
            <v>60</v>
          </cell>
          <cell r="W113" t="str">
            <v/>
          </cell>
          <cell r="X113" t="str">
            <v/>
          </cell>
          <cell r="Z113" t="str">
            <v>10/magic</v>
          </cell>
          <cell r="AD113">
            <v>4</v>
          </cell>
          <cell r="AE113">
            <v>4</v>
          </cell>
          <cell r="AF113">
            <v>8</v>
          </cell>
          <cell r="AG113">
            <v>-4</v>
          </cell>
          <cell r="AI113">
            <v>-4</v>
          </cell>
          <cell r="AP113" t="str">
            <v>Hide+2,Listen+2,Spot+2</v>
          </cell>
          <cell r="AT113" t="str">
            <v>Common</v>
          </cell>
          <cell r="AU113" t="str">
            <v>Auran, Dwarven, Elven, Gnome, Halfling, Giant, Terran</v>
          </cell>
          <cell r="AV113">
            <v>4</v>
          </cell>
          <cell r="AX113">
            <v>5</v>
          </cell>
          <cell r="AY113" t="str">
            <v>Fighter</v>
          </cell>
          <cell r="AZ113" t="str">
            <v/>
          </cell>
          <cell r="BA113" t="str">
            <v/>
          </cell>
          <cell r="BB113" t="str">
            <v/>
          </cell>
          <cell r="BL113" t="str">
            <v>MM</v>
          </cell>
          <cell r="BM113">
            <v>113</v>
          </cell>
        </row>
        <row r="114">
          <cell r="A114" t="str">
            <v>Genasi, Air</v>
          </cell>
          <cell r="C114" t="str">
            <v>Medium</v>
          </cell>
          <cell r="D114" t="str">
            <v>Outsider</v>
          </cell>
          <cell r="E114" t="str">
            <v>Native</v>
          </cell>
          <cell r="G114">
            <v>30</v>
          </cell>
          <cell r="P114" t="str">
            <v>Levitate</v>
          </cell>
          <cell r="W114" t="str">
            <v/>
          </cell>
          <cell r="X114" t="str">
            <v/>
          </cell>
          <cell r="AE114">
            <v>2</v>
          </cell>
          <cell r="AG114">
            <v>2</v>
          </cell>
          <cell r="AH114">
            <v>-2</v>
          </cell>
          <cell r="AI114">
            <v>-2</v>
          </cell>
          <cell r="AT114" t="str">
            <v>Common</v>
          </cell>
          <cell r="AU114" t="str">
            <v>Any</v>
          </cell>
          <cell r="AX114">
            <v>1</v>
          </cell>
          <cell r="AY114" t="str">
            <v>Fighter</v>
          </cell>
          <cell r="AZ114" t="str">
            <v>15+1d6/1d8/2d8</v>
          </cell>
          <cell r="BA114" t="str">
            <v>4'10"/4'5"+2d10</v>
          </cell>
          <cell r="BB114" t="str">
            <v>120/85+1d6</v>
          </cell>
          <cell r="BL114" t="str">
            <v>PGtF</v>
          </cell>
          <cell r="BN114" t="str">
            <v>FRCS</v>
          </cell>
        </row>
        <row r="115">
          <cell r="A115" t="str">
            <v>Genasi, Earth</v>
          </cell>
          <cell r="C115" t="str">
            <v>Medium</v>
          </cell>
          <cell r="D115" t="str">
            <v>Outsider</v>
          </cell>
          <cell r="E115" t="str">
            <v>Native</v>
          </cell>
          <cell r="G115">
            <v>30</v>
          </cell>
          <cell r="P115" t="str">
            <v/>
          </cell>
          <cell r="W115" t="str">
            <v/>
          </cell>
          <cell r="X115" t="str">
            <v/>
          </cell>
          <cell r="AD115">
            <v>2</v>
          </cell>
          <cell r="AF115">
            <v>2</v>
          </cell>
          <cell r="AH115">
            <v>-2</v>
          </cell>
          <cell r="AI115">
            <v>-2</v>
          </cell>
          <cell r="AT115" t="str">
            <v>Common</v>
          </cell>
          <cell r="AU115" t="str">
            <v>Any</v>
          </cell>
          <cell r="AX115">
            <v>1</v>
          </cell>
          <cell r="AY115" t="str">
            <v>Fighter</v>
          </cell>
          <cell r="AZ115" t="str">
            <v>15+1d6/1d8/2d8</v>
          </cell>
          <cell r="BA115" t="str">
            <v>4'10"/4'5"+2d10</v>
          </cell>
          <cell r="BB115" t="str">
            <v>120/85+2d6</v>
          </cell>
          <cell r="BL115" t="str">
            <v>PGtF</v>
          </cell>
          <cell r="BN115" t="str">
            <v>FRCS</v>
          </cell>
        </row>
        <row r="116">
          <cell r="A116" t="str">
            <v>Genasi, Fire</v>
          </cell>
          <cell r="C116" t="str">
            <v>Medium</v>
          </cell>
          <cell r="D116" t="str">
            <v>Outsider</v>
          </cell>
          <cell r="E116" t="str">
            <v>Native</v>
          </cell>
          <cell r="G116">
            <v>30</v>
          </cell>
          <cell r="P116" t="str">
            <v/>
          </cell>
          <cell r="W116" t="str">
            <v/>
          </cell>
          <cell r="X116" t="str">
            <v/>
          </cell>
          <cell r="AG116">
            <v>2</v>
          </cell>
          <cell r="AI116">
            <v>-2</v>
          </cell>
          <cell r="AT116" t="str">
            <v>Common</v>
          </cell>
          <cell r="AU116" t="str">
            <v>Any</v>
          </cell>
          <cell r="AX116">
            <v>1</v>
          </cell>
          <cell r="AY116" t="str">
            <v>Fighter</v>
          </cell>
          <cell r="AZ116" t="str">
            <v>15+1d6/1d8/2d8</v>
          </cell>
          <cell r="BA116" t="str">
            <v>4'10"/4'5"+2d12</v>
          </cell>
          <cell r="BB116" t="str">
            <v>120/85+2d4</v>
          </cell>
          <cell r="BL116" t="str">
            <v>PGtF</v>
          </cell>
          <cell r="BN116" t="str">
            <v>FRCS</v>
          </cell>
        </row>
        <row r="117">
          <cell r="A117" t="str">
            <v>Genasi, Water</v>
          </cell>
          <cell r="C117" t="str">
            <v>Medium</v>
          </cell>
          <cell r="D117" t="str">
            <v>Outsider</v>
          </cell>
          <cell r="E117" t="str">
            <v>Native</v>
          </cell>
          <cell r="G117">
            <v>30</v>
          </cell>
          <cell r="L117">
            <v>30</v>
          </cell>
          <cell r="P117" t="str">
            <v/>
          </cell>
          <cell r="W117" t="str">
            <v/>
          </cell>
          <cell r="X117" t="str">
            <v/>
          </cell>
          <cell r="AF117">
            <v>2</v>
          </cell>
          <cell r="AI117">
            <v>-2</v>
          </cell>
          <cell r="AT117" t="str">
            <v>Common</v>
          </cell>
          <cell r="AU117" t="str">
            <v>Any</v>
          </cell>
          <cell r="AX117">
            <v>1</v>
          </cell>
          <cell r="AY117" t="str">
            <v>Fighter</v>
          </cell>
          <cell r="AZ117" t="str">
            <v>15+1d6/1d8/2d8</v>
          </cell>
          <cell r="BA117" t="str">
            <v>4'10"/4'5"+2d8</v>
          </cell>
          <cell r="BB117" t="str">
            <v>120/85+2d4</v>
          </cell>
          <cell r="BL117" t="str">
            <v>PGtF</v>
          </cell>
          <cell r="BN117" t="str">
            <v>FRCS</v>
          </cell>
        </row>
        <row r="118">
          <cell r="A118" t="str">
            <v>Giant, Fire</v>
          </cell>
          <cell r="C118" t="str">
            <v>Large</v>
          </cell>
          <cell r="D118" t="str">
            <v>Giant</v>
          </cell>
          <cell r="E118" t="str">
            <v>Fire</v>
          </cell>
          <cell r="F118">
            <v>15</v>
          </cell>
          <cell r="G118">
            <v>40</v>
          </cell>
          <cell r="M118">
            <v>8</v>
          </cell>
          <cell r="N118" t="str">
            <v>Slam+3+0+1</v>
          </cell>
          <cell r="P118" t="str">
            <v/>
          </cell>
          <cell r="S118" t="str">
            <v>normal</v>
          </cell>
          <cell r="V118" t="str">
            <v>fire</v>
          </cell>
          <cell r="W118" t="str">
            <v>cold</v>
          </cell>
          <cell r="X118" t="str">
            <v/>
          </cell>
          <cell r="AD118">
            <v>20</v>
          </cell>
          <cell r="AE118">
            <v>-2</v>
          </cell>
          <cell r="AF118">
            <v>10</v>
          </cell>
          <cell r="AH118">
            <v>4</v>
          </cell>
          <cell r="AP118" t="str">
            <v>Climb,Craft (any),Intimidate,Jump,Spot</v>
          </cell>
          <cell r="AT118" t="str">
            <v>Giant</v>
          </cell>
          <cell r="AU118" t="str">
            <v>Common, Draconic, Elven, Goblin, Orc</v>
          </cell>
          <cell r="AV118">
            <v>10</v>
          </cell>
          <cell r="AX118">
            <v>4</v>
          </cell>
          <cell r="AY118" t="str">
            <v>Barbarian</v>
          </cell>
          <cell r="AZ118" t="str">
            <v/>
          </cell>
          <cell r="BA118" t="str">
            <v/>
          </cell>
          <cell r="BB118" t="str">
            <v/>
          </cell>
          <cell r="BL118" t="str">
            <v>MM</v>
          </cell>
          <cell r="BM118">
            <v>121</v>
          </cell>
        </row>
        <row r="119">
          <cell r="A119" t="str">
            <v>Giant, Forest</v>
          </cell>
          <cell r="C119" t="str">
            <v>Huge</v>
          </cell>
          <cell r="D119" t="str">
            <v>Giant</v>
          </cell>
          <cell r="F119">
            <v>13</v>
          </cell>
          <cell r="G119">
            <v>40</v>
          </cell>
          <cell r="M119">
            <v>11</v>
          </cell>
          <cell r="P119" t="str">
            <v/>
          </cell>
          <cell r="S119" t="str">
            <v>normal</v>
          </cell>
          <cell r="W119" t="str">
            <v/>
          </cell>
          <cell r="X119" t="str">
            <v/>
          </cell>
          <cell r="AD119">
            <v>22</v>
          </cell>
          <cell r="AE119">
            <v>2</v>
          </cell>
          <cell r="AF119">
            <v>12</v>
          </cell>
          <cell r="AG119">
            <v>4</v>
          </cell>
          <cell r="AH119">
            <v>6</v>
          </cell>
          <cell r="AI119">
            <v>10</v>
          </cell>
          <cell r="AP119" t="str">
            <v>Diplomacy,Hide+4,Listen,Sense Motive,Spot</v>
          </cell>
          <cell r="AT119" t="str">
            <v>Giant</v>
          </cell>
          <cell r="AU119" t="str">
            <v>Common</v>
          </cell>
          <cell r="AV119">
            <v>11</v>
          </cell>
          <cell r="AX119">
            <v>4</v>
          </cell>
          <cell r="AY119" t="str">
            <v>Ranger</v>
          </cell>
          <cell r="AZ119" t="str">
            <v/>
          </cell>
          <cell r="BA119" t="str">
            <v/>
          </cell>
          <cell r="BB119" t="str">
            <v/>
          </cell>
          <cell r="BL119" t="str">
            <v>MM2</v>
          </cell>
          <cell r="BM119">
            <v>110</v>
          </cell>
        </row>
        <row r="120">
          <cell r="A120" t="str">
            <v>Giant, Frost</v>
          </cell>
          <cell r="C120" t="str">
            <v>Large</v>
          </cell>
          <cell r="D120" t="str">
            <v>Giant</v>
          </cell>
          <cell r="E120" t="str">
            <v>Cold</v>
          </cell>
          <cell r="F120">
            <v>14</v>
          </cell>
          <cell r="G120">
            <v>40</v>
          </cell>
          <cell r="M120">
            <v>9</v>
          </cell>
          <cell r="N120" t="str">
            <v>Slam+3+0+1</v>
          </cell>
          <cell r="P120" t="str">
            <v/>
          </cell>
          <cell r="S120" t="str">
            <v>normal</v>
          </cell>
          <cell r="V120" t="str">
            <v>cold</v>
          </cell>
          <cell r="W120" t="str">
            <v>fire</v>
          </cell>
          <cell r="X120" t="str">
            <v/>
          </cell>
          <cell r="AD120">
            <v>18</v>
          </cell>
          <cell r="AE120">
            <v>-2</v>
          </cell>
          <cell r="AF120">
            <v>10</v>
          </cell>
          <cell r="AH120">
            <v>4</v>
          </cell>
          <cell r="AP120" t="str">
            <v>Climb,Craft (any),Intimidate,Jump,Spot</v>
          </cell>
          <cell r="AT120" t="str">
            <v>Giant</v>
          </cell>
          <cell r="AU120" t="str">
            <v>Common, Draconic, Elven, Goblin, Orc</v>
          </cell>
          <cell r="AV120">
            <v>9</v>
          </cell>
          <cell r="AX120">
            <v>4</v>
          </cell>
          <cell r="AY120" t="str">
            <v>Barbarian</v>
          </cell>
          <cell r="AZ120" t="str">
            <v/>
          </cell>
          <cell r="BA120" t="str">
            <v/>
          </cell>
          <cell r="BB120" t="str">
            <v/>
          </cell>
          <cell r="BL120" t="str">
            <v>MM</v>
          </cell>
          <cell r="BM120">
            <v>122</v>
          </cell>
          <cell r="BN120" t="str">
            <v>Frost</v>
          </cell>
        </row>
        <row r="121">
          <cell r="A121" t="str">
            <v>Giant, Hill</v>
          </cell>
          <cell r="C121" t="str">
            <v>Large</v>
          </cell>
          <cell r="D121" t="str">
            <v>Giant</v>
          </cell>
          <cell r="F121">
            <v>12</v>
          </cell>
          <cell r="G121">
            <v>40</v>
          </cell>
          <cell r="M121">
            <v>9</v>
          </cell>
          <cell r="N121" t="str">
            <v>Slam+3+0+1</v>
          </cell>
          <cell r="P121" t="str">
            <v/>
          </cell>
          <cell r="S121" t="str">
            <v>normal</v>
          </cell>
          <cell r="W121" t="str">
            <v/>
          </cell>
          <cell r="X121" t="str">
            <v/>
          </cell>
          <cell r="AD121">
            <v>14</v>
          </cell>
          <cell r="AE121">
            <v>-2</v>
          </cell>
          <cell r="AF121">
            <v>8</v>
          </cell>
          <cell r="AG121">
            <v>-4</v>
          </cell>
          <cell r="AI121">
            <v>-4</v>
          </cell>
          <cell r="AP121" t="str">
            <v>Climb,Jump,Listen,Spot</v>
          </cell>
          <cell r="AT121" t="str">
            <v>Giant</v>
          </cell>
          <cell r="AU121" t="str">
            <v>Common, Draconic, Elven, Goblin, Orc</v>
          </cell>
          <cell r="AV121">
            <v>7</v>
          </cell>
          <cell r="AX121">
            <v>4</v>
          </cell>
          <cell r="AY121" t="str">
            <v>Barbarian</v>
          </cell>
          <cell r="AZ121" t="str">
            <v/>
          </cell>
          <cell r="BA121" t="str">
            <v/>
          </cell>
          <cell r="BB121" t="str">
            <v/>
          </cell>
          <cell r="BL121" t="str">
            <v>MM</v>
          </cell>
        </row>
        <row r="122">
          <cell r="A122" t="str">
            <v>Giant, Jungle</v>
          </cell>
          <cell r="C122" t="str">
            <v>Large</v>
          </cell>
          <cell r="D122" t="str">
            <v>Giant</v>
          </cell>
          <cell r="F122">
            <v>11</v>
          </cell>
          <cell r="G122">
            <v>40</v>
          </cell>
          <cell r="M122">
            <v>5</v>
          </cell>
          <cell r="P122" t="str">
            <v>Entangle, Snare; Pass Without Trace, Woodshape (3/day)</v>
          </cell>
          <cell r="S122" t="str">
            <v>normal</v>
          </cell>
          <cell r="W122" t="str">
            <v/>
          </cell>
          <cell r="X122" t="str">
            <v/>
          </cell>
          <cell r="AD122">
            <v>10</v>
          </cell>
          <cell r="AE122">
            <v>18</v>
          </cell>
          <cell r="AF122">
            <v>3</v>
          </cell>
          <cell r="AG122">
            <v>2</v>
          </cell>
          <cell r="AH122">
            <v>2</v>
          </cell>
          <cell r="AI122">
            <v>-4</v>
          </cell>
          <cell r="AP122" t="str">
            <v>Craft (any),Hide,Listen,Move Silently,Spellcraft,Spot</v>
          </cell>
          <cell r="AT122" t="str">
            <v>Giant</v>
          </cell>
          <cell r="AU122" t="str">
            <v>Common, Drow, Sylvan</v>
          </cell>
          <cell r="AV122">
            <v>8</v>
          </cell>
          <cell r="AX122">
            <v>5</v>
          </cell>
          <cell r="AY122" t="str">
            <v>Ranger</v>
          </cell>
          <cell r="AZ122" t="str">
            <v/>
          </cell>
          <cell r="BA122" t="str">
            <v/>
          </cell>
          <cell r="BB122" t="str">
            <v/>
          </cell>
          <cell r="BL122" t="str">
            <v>SoX</v>
          </cell>
        </row>
        <row r="123">
          <cell r="A123" t="str">
            <v>Giant, Sand</v>
          </cell>
          <cell r="C123" t="str">
            <v>Large</v>
          </cell>
          <cell r="D123" t="str">
            <v>Giant</v>
          </cell>
          <cell r="E123" t="str">
            <v>Earth, Fire</v>
          </cell>
          <cell r="F123">
            <v>15</v>
          </cell>
          <cell r="G123">
            <v>40</v>
          </cell>
          <cell r="H123">
            <v>10</v>
          </cell>
          <cell r="M123">
            <v>11</v>
          </cell>
          <cell r="N123" t="str">
            <v/>
          </cell>
          <cell r="P123" t="str">
            <v>Meld Into Stone, Statue</v>
          </cell>
          <cell r="S123" t="str">
            <v>normal</v>
          </cell>
          <cell r="V123" t="str">
            <v>fire</v>
          </cell>
          <cell r="W123" t="str">
            <v>cold</v>
          </cell>
          <cell r="X123" t="str">
            <v/>
          </cell>
          <cell r="AD123">
            <v>16</v>
          </cell>
          <cell r="AE123">
            <v>10</v>
          </cell>
          <cell r="AF123">
            <v>10</v>
          </cell>
          <cell r="AH123">
            <v>6</v>
          </cell>
          <cell r="AI123">
            <v>2</v>
          </cell>
          <cell r="AP123" t="str">
            <v>Hide,Knowledge (nature),Listen,Spot,Survival</v>
          </cell>
          <cell r="AR123" t="str">
            <v>Sandblaster</v>
          </cell>
          <cell r="AT123" t="str">
            <v>Common, Giant</v>
          </cell>
          <cell r="AU123" t="str">
            <v>Draconic, Elven, Goblin, Orc</v>
          </cell>
          <cell r="AV123">
            <v>10</v>
          </cell>
          <cell r="AX123">
            <v>4</v>
          </cell>
          <cell r="AY123" t="str">
            <v>Fighter</v>
          </cell>
          <cell r="AZ123" t="str">
            <v/>
          </cell>
          <cell r="BA123" t="str">
            <v/>
          </cell>
          <cell r="BB123" t="str">
            <v/>
          </cell>
          <cell r="BL123" t="str">
            <v>MM3</v>
          </cell>
          <cell r="BM123">
            <v>58</v>
          </cell>
        </row>
        <row r="124">
          <cell r="A124" t="str">
            <v>Giant, Stone</v>
          </cell>
          <cell r="C124" t="str">
            <v>Large</v>
          </cell>
          <cell r="D124" t="str">
            <v>Giant</v>
          </cell>
          <cell r="E124" t="str">
            <v>Earth</v>
          </cell>
          <cell r="F124">
            <v>14</v>
          </cell>
          <cell r="G124">
            <v>40</v>
          </cell>
          <cell r="M124">
            <v>11</v>
          </cell>
          <cell r="N124" t="str">
            <v>Slam+3+0+1</v>
          </cell>
          <cell r="P124" t="str">
            <v/>
          </cell>
          <cell r="S124" t="str">
            <v>normal</v>
          </cell>
          <cell r="T124">
            <v>60</v>
          </cell>
          <cell r="W124" t="str">
            <v/>
          </cell>
          <cell r="X124" t="str">
            <v/>
          </cell>
          <cell r="AD124">
            <v>16</v>
          </cell>
          <cell r="AE124">
            <v>4</v>
          </cell>
          <cell r="AF124">
            <v>8</v>
          </cell>
          <cell r="AH124">
            <v>2</v>
          </cell>
          <cell r="AP124" t="str">
            <v>Climb,Hide,Jump,Spot</v>
          </cell>
          <cell r="AT124" t="str">
            <v>Giant</v>
          </cell>
          <cell r="AU124" t="str">
            <v>Common, Draconic, Elven, Goblin, Orc</v>
          </cell>
          <cell r="AV124">
            <v>8</v>
          </cell>
          <cell r="AX124">
            <v>4</v>
          </cell>
          <cell r="AY124" t="str">
            <v>Barbarian</v>
          </cell>
          <cell r="AZ124" t="str">
            <v/>
          </cell>
          <cell r="BA124" t="str">
            <v/>
          </cell>
          <cell r="BB124" t="str">
            <v/>
          </cell>
          <cell r="BL124" t="str">
            <v>MM</v>
          </cell>
          <cell r="BM124">
            <v>124</v>
          </cell>
        </row>
        <row r="125">
          <cell r="A125" t="str">
            <v>Giant, Sun</v>
          </cell>
          <cell r="C125" t="str">
            <v>Huge</v>
          </cell>
          <cell r="D125" t="str">
            <v>Giant</v>
          </cell>
          <cell r="E125" t="str">
            <v>Fire</v>
          </cell>
          <cell r="F125">
            <v>13</v>
          </cell>
          <cell r="G125">
            <v>40</v>
          </cell>
          <cell r="M125">
            <v>10</v>
          </cell>
          <cell r="P125" t="str">
            <v>Spike Stones, Stone Shape, Wall Of Stone (at will, CL 13, Save DC 12+Spell Lvl)</v>
          </cell>
          <cell r="S125" t="str">
            <v>normal</v>
          </cell>
          <cell r="V125" t="str">
            <v>fire</v>
          </cell>
          <cell r="W125" t="str">
            <v>cold</v>
          </cell>
          <cell r="X125" t="str">
            <v/>
          </cell>
          <cell r="AD125">
            <v>26</v>
          </cell>
          <cell r="AE125">
            <v>4</v>
          </cell>
          <cell r="AF125">
            <v>14</v>
          </cell>
          <cell r="AG125">
            <v>4</v>
          </cell>
          <cell r="AH125">
            <v>8</v>
          </cell>
          <cell r="AI125">
            <v>4</v>
          </cell>
          <cell r="AP125" t="str">
            <v>Handle Animal,Hide+4,Listen,Ride,Spot</v>
          </cell>
          <cell r="AT125" t="str">
            <v>Giant</v>
          </cell>
          <cell r="AU125" t="str">
            <v>Common</v>
          </cell>
          <cell r="AV125">
            <v>12</v>
          </cell>
          <cell r="AX125">
            <v>4</v>
          </cell>
          <cell r="AY125" t="str">
            <v>Ranger</v>
          </cell>
          <cell r="AZ125" t="str">
            <v/>
          </cell>
          <cell r="BA125" t="str">
            <v/>
          </cell>
          <cell r="BB125" t="str">
            <v/>
          </cell>
          <cell r="BL125" t="str">
            <v>MM2</v>
          </cell>
          <cell r="BM125">
            <v>110</v>
          </cell>
        </row>
        <row r="126">
          <cell r="A126" t="str">
            <v>Githyanki</v>
          </cell>
          <cell r="C126" t="str">
            <v>Medium</v>
          </cell>
          <cell r="D126" t="str">
            <v>Humanoid</v>
          </cell>
          <cell r="E126" t="str">
            <v>Extraplanar</v>
          </cell>
          <cell r="G126">
            <v>30</v>
          </cell>
          <cell r="P126" t="str">
            <v/>
          </cell>
          <cell r="T126">
            <v>60</v>
          </cell>
          <cell r="W126" t="str">
            <v/>
          </cell>
          <cell r="X126" t="str">
            <v/>
          </cell>
          <cell r="AE126">
            <v>2</v>
          </cell>
          <cell r="AF126">
            <v>2</v>
          </cell>
          <cell r="AH126">
            <v>-2</v>
          </cell>
          <cell r="AT126" t="str">
            <v>Gith</v>
          </cell>
          <cell r="AU126" t="str">
            <v>Common, Infernal, Draconic, Undercommon</v>
          </cell>
          <cell r="AX126">
            <v>2</v>
          </cell>
          <cell r="AY126" t="str">
            <v>Fighter</v>
          </cell>
          <cell r="AZ126" t="str">
            <v>15+1d4/1d6/2d6</v>
          </cell>
          <cell r="BA126" t="str">
            <v>5'3"/5'2"+2d10</v>
          </cell>
          <cell r="BB126" t="str">
            <v>120/85+2d4</v>
          </cell>
          <cell r="BL126" t="str">
            <v>MM</v>
          </cell>
          <cell r="BM126">
            <v>127</v>
          </cell>
          <cell r="BN126" t="str">
            <v>MotP,XPH</v>
          </cell>
        </row>
        <row r="127">
          <cell r="A127" t="str">
            <v>Githzerai</v>
          </cell>
          <cell r="C127" t="str">
            <v>Medium</v>
          </cell>
          <cell r="D127" t="str">
            <v>Humanoid</v>
          </cell>
          <cell r="E127" t="str">
            <v>Extraplanar</v>
          </cell>
          <cell r="G127">
            <v>30</v>
          </cell>
          <cell r="P127" t="str">
            <v/>
          </cell>
          <cell r="T127">
            <v>60</v>
          </cell>
          <cell r="W127" t="str">
            <v/>
          </cell>
          <cell r="X127" t="str">
            <v/>
          </cell>
          <cell r="AE127">
            <v>6</v>
          </cell>
          <cell r="AG127">
            <v>-2</v>
          </cell>
          <cell r="AH127">
            <v>2</v>
          </cell>
          <cell r="AT127" t="str">
            <v>Gith</v>
          </cell>
          <cell r="AU127" t="str">
            <v>Common, Slaad, Undercommon</v>
          </cell>
          <cell r="AX127">
            <v>2</v>
          </cell>
          <cell r="AY127" t="str">
            <v>Monk</v>
          </cell>
          <cell r="AZ127" t="str">
            <v>15+1d4/1d6/2d6</v>
          </cell>
          <cell r="BA127" t="str">
            <v>5'2"/5'1"+2d10</v>
          </cell>
          <cell r="BB127" t="str">
            <v>110/80+2d4</v>
          </cell>
          <cell r="BL127" t="str">
            <v>MM</v>
          </cell>
          <cell r="BM127">
            <v>129</v>
          </cell>
          <cell r="BN127" t="str">
            <v>MotP,XPH</v>
          </cell>
        </row>
        <row r="128">
          <cell r="A128" t="str">
            <v>Gloaming</v>
          </cell>
          <cell r="C128" t="str">
            <v>Small</v>
          </cell>
          <cell r="D128" t="str">
            <v>Outsider</v>
          </cell>
          <cell r="E128" t="str">
            <v>Native</v>
          </cell>
          <cell r="G128">
            <v>20</v>
          </cell>
          <cell r="N128" t="str">
            <v/>
          </cell>
          <cell r="P128" t="str">
            <v/>
          </cell>
          <cell r="S128" t="str">
            <v>normal</v>
          </cell>
          <cell r="W128" t="str">
            <v/>
          </cell>
          <cell r="X128" t="str">
            <v/>
          </cell>
          <cell r="AD128">
            <v>-2</v>
          </cell>
          <cell r="AE128">
            <v>2</v>
          </cell>
          <cell r="AG128">
            <v>-2</v>
          </cell>
          <cell r="AH128">
            <v>-2</v>
          </cell>
          <cell r="AI128">
            <v>2</v>
          </cell>
          <cell r="AP128" t="str">
            <v>Move Silently+4</v>
          </cell>
          <cell r="AS128" t="str">
            <v>Portal Sensitive</v>
          </cell>
          <cell r="AT128" t="str">
            <v>Undercommon</v>
          </cell>
          <cell r="AU128" t="str">
            <v>By Character Region</v>
          </cell>
          <cell r="AX128">
            <v>2</v>
          </cell>
          <cell r="AY128" t="str">
            <v>Sorcerer</v>
          </cell>
          <cell r="AZ128" t="str">
            <v/>
          </cell>
          <cell r="BA128" t="str">
            <v/>
          </cell>
          <cell r="BB128" t="str">
            <v/>
          </cell>
          <cell r="BL128" t="str">
            <v>Und</v>
          </cell>
        </row>
        <row r="129">
          <cell r="A129" t="str">
            <v>Gnoll</v>
          </cell>
          <cell r="C129" t="str">
            <v>Medium</v>
          </cell>
          <cell r="D129" t="str">
            <v>Humanoid</v>
          </cell>
          <cell r="E129" t="str">
            <v>Gnoll</v>
          </cell>
          <cell r="F129">
            <v>1</v>
          </cell>
          <cell r="G129">
            <v>30</v>
          </cell>
          <cell r="M129">
            <v>0</v>
          </cell>
          <cell r="P129" t="str">
            <v/>
          </cell>
          <cell r="T129">
            <v>60</v>
          </cell>
          <cell r="W129" t="str">
            <v/>
          </cell>
          <cell r="X129" t="str">
            <v/>
          </cell>
          <cell r="AD129">
            <v>2</v>
          </cell>
          <cell r="AF129">
            <v>0</v>
          </cell>
          <cell r="AG129">
            <v>-2</v>
          </cell>
          <cell r="AI129">
            <v>-2</v>
          </cell>
          <cell r="AP129" t="str">
            <v>Listen,Spot</v>
          </cell>
          <cell r="AT129" t="str">
            <v>Gnoll</v>
          </cell>
          <cell r="AU129" t="str">
            <v>Common, Draconic, Elven, Goblin, Orc</v>
          </cell>
          <cell r="AX129">
            <v>0</v>
          </cell>
          <cell r="AY129" t="str">
            <v>Ranger</v>
          </cell>
          <cell r="AZ129" t="str">
            <v>14+1d4/1d6/2d6</v>
          </cell>
          <cell r="BA129" t="str">
            <v>5'4"/5'2"+2d12</v>
          </cell>
          <cell r="BB129" t="str">
            <v>200/180+2d6</v>
          </cell>
          <cell r="BL129" t="str">
            <v>MM</v>
          </cell>
          <cell r="BM129">
            <v>130</v>
          </cell>
          <cell r="BN129" t="str">
            <v>RotW</v>
          </cell>
        </row>
        <row r="130">
          <cell r="A130" t="str">
            <v>Gnoll, Flind</v>
          </cell>
          <cell r="C130" t="str">
            <v>Medium</v>
          </cell>
          <cell r="D130" t="str">
            <v>Humanoid</v>
          </cell>
          <cell r="E130" t="str">
            <v>Gnoll</v>
          </cell>
          <cell r="F130">
            <v>2</v>
          </cell>
          <cell r="G130">
            <v>30</v>
          </cell>
          <cell r="M130">
            <v>2</v>
          </cell>
          <cell r="P130" t="str">
            <v/>
          </cell>
          <cell r="T130">
            <v>60</v>
          </cell>
          <cell r="W130" t="str">
            <v/>
          </cell>
          <cell r="X130" t="str">
            <v/>
          </cell>
          <cell r="AD130">
            <v>6</v>
          </cell>
          <cell r="AE130">
            <v>2</v>
          </cell>
          <cell r="AF130">
            <v>4</v>
          </cell>
          <cell r="AP130" t="str">
            <v>Listen,Spot</v>
          </cell>
          <cell r="AR130" t="str">
            <v>Flindbar</v>
          </cell>
          <cell r="AT130" t="str">
            <v>Common, Gnoll</v>
          </cell>
          <cell r="AU130" t="str">
            <v>Draconic, Elven, Goblin, Orc</v>
          </cell>
          <cell r="AV130">
            <v>2</v>
          </cell>
          <cell r="AX130">
            <v>2</v>
          </cell>
          <cell r="AY130" t="str">
            <v>Ranger</v>
          </cell>
          <cell r="AZ130" t="str">
            <v/>
          </cell>
          <cell r="BA130" t="str">
            <v/>
          </cell>
          <cell r="BB130" t="str">
            <v/>
          </cell>
          <cell r="BL130" t="str">
            <v>MM3</v>
          </cell>
          <cell r="BM130">
            <v>62</v>
          </cell>
        </row>
        <row r="131">
          <cell r="A131" t="str">
            <v>Gnome, Chaos</v>
          </cell>
          <cell r="C131" t="str">
            <v>Small</v>
          </cell>
          <cell r="D131" t="str">
            <v>Humanoid</v>
          </cell>
          <cell r="E131" t="str">
            <v>Gnome</v>
          </cell>
          <cell r="G131">
            <v>20</v>
          </cell>
          <cell r="P131" t="str">
            <v>Entropic Shield</v>
          </cell>
          <cell r="S131" t="str">
            <v>normal</v>
          </cell>
          <cell r="V131" t="str">
            <v>confusion</v>
          </cell>
          <cell r="W131" t="str">
            <v/>
          </cell>
          <cell r="X131" t="str">
            <v/>
          </cell>
          <cell r="AD131">
            <v>-2</v>
          </cell>
          <cell r="AE131">
            <v>2</v>
          </cell>
          <cell r="AF131">
            <v>2</v>
          </cell>
          <cell r="AI131">
            <v>2</v>
          </cell>
          <cell r="AP131" t="str">
            <v>Listen+2</v>
          </cell>
          <cell r="AQ131" t="str">
            <v>Hammer, Gnome Hooked</v>
          </cell>
          <cell r="AT131" t="str">
            <v>Common, Gnome</v>
          </cell>
          <cell r="AU131" t="str">
            <v>any</v>
          </cell>
          <cell r="AX131">
            <v>1</v>
          </cell>
          <cell r="AY131" t="str">
            <v>Sorcerer</v>
          </cell>
          <cell r="AZ131" t="str">
            <v>30+2d6/4d6/6d6</v>
          </cell>
          <cell r="BA131" t="str">
            <v>2'8"/2'6"+2d4</v>
          </cell>
          <cell r="BB131" t="str">
            <v>30/25+1d1</v>
          </cell>
          <cell r="BL131" t="str">
            <v>RoS</v>
          </cell>
          <cell r="BM131">
            <v>86</v>
          </cell>
        </row>
        <row r="132">
          <cell r="A132" t="str">
            <v>Gnome, Deep</v>
          </cell>
          <cell r="C132" t="str">
            <v>Small</v>
          </cell>
          <cell r="D132" t="str">
            <v>Humanoid</v>
          </cell>
          <cell r="E132" t="str">
            <v>Gnome</v>
          </cell>
          <cell r="G132">
            <v>20</v>
          </cell>
          <cell r="P132" t="str">
            <v>Blindness/Deafness, Blur, Disguise Self</v>
          </cell>
          <cell r="T132">
            <v>60</v>
          </cell>
          <cell r="W132" t="str">
            <v/>
          </cell>
          <cell r="X132" t="str">
            <v/>
          </cell>
          <cell r="Y132">
            <v>12</v>
          </cell>
          <cell r="AD132">
            <v>-2</v>
          </cell>
          <cell r="AE132">
            <v>2</v>
          </cell>
          <cell r="AH132">
            <v>2</v>
          </cell>
          <cell r="AI132">
            <v>2</v>
          </cell>
          <cell r="AP132" t="str">
            <v>Craft (alchemy)+2,Hide+2,Listen+2</v>
          </cell>
          <cell r="AQ132" t="str">
            <v>Hammer, Gnome Hooked</v>
          </cell>
          <cell r="AT132" t="str">
            <v>Gnome, Undercommon</v>
          </cell>
          <cell r="AU132" t="str">
            <v>Common, Draconic, Dwarven, Elven, Illuskan, Terran</v>
          </cell>
          <cell r="AV132">
            <v>1</v>
          </cell>
          <cell r="AX132">
            <v>3</v>
          </cell>
          <cell r="AY132" t="str">
            <v>Wizard</v>
          </cell>
          <cell r="AZ132" t="str">
            <v>20+4d6/6d6/9d6</v>
          </cell>
          <cell r="BA132" t="str">
            <v>2'10"/2'8"+2d4</v>
          </cell>
          <cell r="BB132" t="str">
            <v>40/35+1d1</v>
          </cell>
          <cell r="BL132" t="str">
            <v>PGtF</v>
          </cell>
          <cell r="BN132" t="str">
            <v>FRCS</v>
          </cell>
        </row>
        <row r="133">
          <cell r="A133" t="str">
            <v>Gnome, Forest</v>
          </cell>
          <cell r="C133" t="str">
            <v>Small</v>
          </cell>
          <cell r="D133" t="str">
            <v>Humanoid</v>
          </cell>
          <cell r="E133" t="str">
            <v>Gnome</v>
          </cell>
          <cell r="G133">
            <v>20</v>
          </cell>
          <cell r="P133" t="str">
            <v>Speak With Animals (burrowing)</v>
          </cell>
          <cell r="S133" t="str">
            <v>normal</v>
          </cell>
          <cell r="W133" t="str">
            <v/>
          </cell>
          <cell r="X133" t="str">
            <v/>
          </cell>
          <cell r="AD133">
            <v>-2</v>
          </cell>
          <cell r="AF133">
            <v>2</v>
          </cell>
          <cell r="AP133" t="str">
            <v>Craft (alchemy)+2,Hide+4,Listen+2</v>
          </cell>
          <cell r="AQ133" t="str">
            <v>Hammer, Gnome Hooked</v>
          </cell>
          <cell r="AT133" t="str">
            <v>Gnome, Elven, Sylvan</v>
          </cell>
          <cell r="AU133" t="str">
            <v>Common, Draconic, Dwarven, Giant, Goblin, Orc</v>
          </cell>
          <cell r="AY133" t="str">
            <v>Illusionist</v>
          </cell>
          <cell r="AZ133" t="str">
            <v>40+4d6/6d6/9d6</v>
          </cell>
          <cell r="BA133" t="str">
            <v>2'0"/2'0"+1d10</v>
          </cell>
          <cell r="BB133" t="str">
            <v>25/20+1d1</v>
          </cell>
          <cell r="BL133" t="str">
            <v>MM</v>
          </cell>
          <cell r="BM133">
            <v>132</v>
          </cell>
          <cell r="BN133" t="str">
            <v>RoF</v>
          </cell>
        </row>
        <row r="134">
          <cell r="A134" t="str">
            <v>Gnome, Ice</v>
          </cell>
          <cell r="C134" t="str">
            <v>Small</v>
          </cell>
          <cell r="D134" t="str">
            <v>Humanoid</v>
          </cell>
          <cell r="E134" t="str">
            <v>Gnome</v>
          </cell>
          <cell r="G134">
            <v>20</v>
          </cell>
          <cell r="P134" t="str">
            <v>Speak With Animals (arctic)</v>
          </cell>
          <cell r="S134" t="str">
            <v>normal</v>
          </cell>
          <cell r="W134" t="str">
            <v/>
          </cell>
          <cell r="X134" t="str">
            <v/>
          </cell>
          <cell r="AD134">
            <v>-2</v>
          </cell>
          <cell r="AF134">
            <v>2</v>
          </cell>
          <cell r="AP134" t="str">
            <v>Craft (alchemy)+2,Listen+2</v>
          </cell>
          <cell r="AQ134" t="str">
            <v>Hammer, Gnome Hooked</v>
          </cell>
          <cell r="AT134" t="str">
            <v>Common, Gnome</v>
          </cell>
          <cell r="AU134" t="str">
            <v>Draconic, Dwarven, Elven, Giant, Goblin, Orc</v>
          </cell>
          <cell r="AY134" t="str">
            <v>Bard</v>
          </cell>
          <cell r="AZ134" t="str">
            <v>40+4d6/6d6/9d6</v>
          </cell>
          <cell r="BA134" t="str">
            <v>3'0"/2'10"+2d4</v>
          </cell>
          <cell r="BB134" t="str">
            <v>40/35+1d1</v>
          </cell>
          <cell r="BL134" t="str">
            <v>Frost</v>
          </cell>
        </row>
        <row r="135">
          <cell r="A135" t="str">
            <v>Gnome, Rock</v>
          </cell>
          <cell r="C135" t="str">
            <v>Small</v>
          </cell>
          <cell r="D135" t="str">
            <v>Humanoid</v>
          </cell>
          <cell r="E135" t="str">
            <v>Gnome</v>
          </cell>
          <cell r="G135">
            <v>20</v>
          </cell>
          <cell r="P135" t="str">
            <v>Speak With Animals (burrowing)</v>
          </cell>
          <cell r="S135" t="str">
            <v>normal</v>
          </cell>
          <cell r="W135" t="str">
            <v/>
          </cell>
          <cell r="X135" t="str">
            <v/>
          </cell>
          <cell r="AD135">
            <v>-2</v>
          </cell>
          <cell r="AF135">
            <v>2</v>
          </cell>
          <cell r="AP135" t="str">
            <v>Craft (alchemy)+2,Listen+2</v>
          </cell>
          <cell r="AQ135" t="str">
            <v>Hammer, Gnome Hooked</v>
          </cell>
          <cell r="AT135" t="str">
            <v>Common, Gnome</v>
          </cell>
          <cell r="AU135" t="str">
            <v>Draconic, Dwarven, Elven, Giant, Goblin, Orc</v>
          </cell>
          <cell r="AY135" t="str">
            <v>Bard</v>
          </cell>
          <cell r="AZ135" t="str">
            <v>40+4d6/6d6/9d6</v>
          </cell>
          <cell r="BA135" t="str">
            <v>3'0"/2'10"+2d4</v>
          </cell>
          <cell r="BB135" t="str">
            <v>40/35+1d1</v>
          </cell>
          <cell r="BL135" t="str">
            <v>PHB</v>
          </cell>
        </row>
        <row r="136">
          <cell r="A136" t="str">
            <v>Gnome, Stonehunter</v>
          </cell>
          <cell r="C136" t="str">
            <v>Small</v>
          </cell>
          <cell r="D136" t="str">
            <v>Humanoid</v>
          </cell>
          <cell r="E136" t="str">
            <v>Dragonblood, Gnome</v>
          </cell>
          <cell r="G136">
            <v>20</v>
          </cell>
          <cell r="P136" t="str">
            <v>Speak With Animals (burrowing)</v>
          </cell>
          <cell r="S136" t="str">
            <v>normal</v>
          </cell>
          <cell r="W136" t="str">
            <v/>
          </cell>
          <cell r="X136" t="str">
            <v/>
          </cell>
          <cell r="AD136">
            <v>-2</v>
          </cell>
          <cell r="AF136">
            <v>2</v>
          </cell>
          <cell r="AP136" t="str">
            <v>Climb+2,Craft (alchemy)+2,Listen+2,Survival+2</v>
          </cell>
          <cell r="AQ136" t="str">
            <v>Hammer, Gnome Hooked</v>
          </cell>
          <cell r="AT136" t="str">
            <v>Common, Gnome</v>
          </cell>
          <cell r="AU136" t="str">
            <v>Draconic, Dwarven, Elven, Giant, Goblin, Orc</v>
          </cell>
          <cell r="AY136" t="str">
            <v>Ranger</v>
          </cell>
          <cell r="AZ136" t="str">
            <v/>
          </cell>
          <cell r="BA136" t="str">
            <v/>
          </cell>
          <cell r="BB136" t="str">
            <v/>
          </cell>
          <cell r="BL136" t="str">
            <v>DrM</v>
          </cell>
        </row>
        <row r="137">
          <cell r="A137" t="str">
            <v>Gnome, Svirfneblin</v>
          </cell>
          <cell r="C137" t="str">
            <v>Small</v>
          </cell>
          <cell r="D137" t="str">
            <v>Humanoid</v>
          </cell>
          <cell r="E137" t="str">
            <v>Gnome</v>
          </cell>
          <cell r="G137">
            <v>20</v>
          </cell>
          <cell r="P137" t="str">
            <v>Blindness/Deafness, Blur, Disguise Self</v>
          </cell>
          <cell r="S137" t="str">
            <v>normal</v>
          </cell>
          <cell r="T137">
            <v>120</v>
          </cell>
          <cell r="W137" t="str">
            <v/>
          </cell>
          <cell r="X137" t="str">
            <v/>
          </cell>
          <cell r="Y137">
            <v>12</v>
          </cell>
          <cell r="AD137">
            <v>-2</v>
          </cell>
          <cell r="AE137">
            <v>2</v>
          </cell>
          <cell r="AH137">
            <v>2</v>
          </cell>
          <cell r="AI137">
            <v>-4</v>
          </cell>
          <cell r="AP137" t="str">
            <v>Craft (alchemy)+2,Hide+2,Listen+2</v>
          </cell>
          <cell r="AQ137" t="str">
            <v>Hammer, Gnome Hooked</v>
          </cell>
          <cell r="AT137" t="str">
            <v>Undercommon, Gnome, Common</v>
          </cell>
          <cell r="AU137" t="str">
            <v>Dwarven, Elven, Giant, Goblin, Orc, Terran</v>
          </cell>
          <cell r="AV137">
            <v>1</v>
          </cell>
          <cell r="AX137">
            <v>3</v>
          </cell>
          <cell r="AY137" t="str">
            <v>Rogue</v>
          </cell>
          <cell r="AZ137" t="str">
            <v/>
          </cell>
          <cell r="BA137" t="str">
            <v/>
          </cell>
          <cell r="BB137" t="str">
            <v/>
          </cell>
          <cell r="BL137" t="str">
            <v>MM</v>
          </cell>
          <cell r="BM137">
            <v>132</v>
          </cell>
        </row>
        <row r="138">
          <cell r="A138" t="str">
            <v>Gnome, Thinker</v>
          </cell>
          <cell r="C138" t="str">
            <v>Small</v>
          </cell>
          <cell r="D138" t="str">
            <v>Humanoid</v>
          </cell>
          <cell r="E138" t="str">
            <v>Gnome</v>
          </cell>
          <cell r="G138">
            <v>20</v>
          </cell>
          <cell r="P138" t="str">
            <v/>
          </cell>
          <cell r="S138" t="str">
            <v>normal</v>
          </cell>
          <cell r="W138" t="str">
            <v/>
          </cell>
          <cell r="X138" t="str">
            <v/>
          </cell>
          <cell r="AD138">
            <v>-2</v>
          </cell>
          <cell r="AE138">
            <v>2</v>
          </cell>
          <cell r="AP138" t="str">
            <v>Craft (alchemy)+2,Disable Device+2,Open Lock+2</v>
          </cell>
          <cell r="AQ138" t="str">
            <v>Hammer, Gnome Hooked</v>
          </cell>
          <cell r="AT138" t="str">
            <v>Common, Gnome</v>
          </cell>
          <cell r="AU138" t="str">
            <v>Dwarven, Ergot, Ogre, Solamnic</v>
          </cell>
          <cell r="AY138" t="str">
            <v>First class chosen</v>
          </cell>
          <cell r="AZ138" t="str">
            <v/>
          </cell>
          <cell r="BA138" t="str">
            <v/>
          </cell>
          <cell r="BB138" t="str">
            <v/>
          </cell>
          <cell r="BL138" t="str">
            <v>DCS</v>
          </cell>
        </row>
        <row r="139">
          <cell r="A139" t="str">
            <v>Gnome, Tinker</v>
          </cell>
          <cell r="C139" t="str">
            <v>Small</v>
          </cell>
          <cell r="D139" t="str">
            <v>Humanoid</v>
          </cell>
          <cell r="E139" t="str">
            <v>Gnome</v>
          </cell>
          <cell r="G139">
            <v>20</v>
          </cell>
          <cell r="P139" t="str">
            <v/>
          </cell>
          <cell r="S139" t="str">
            <v>normal</v>
          </cell>
          <cell r="W139" t="str">
            <v/>
          </cell>
          <cell r="X139" t="str">
            <v/>
          </cell>
          <cell r="AD139">
            <v>-2</v>
          </cell>
          <cell r="AE139">
            <v>2</v>
          </cell>
          <cell r="AG139">
            <v>2</v>
          </cell>
          <cell r="AH139">
            <v>-2</v>
          </cell>
          <cell r="AP139" t="str">
            <v>Craft (alchemy)+3,</v>
          </cell>
          <cell r="AQ139" t="str">
            <v>Hammer, Gnome Hooked</v>
          </cell>
          <cell r="AT139" t="str">
            <v>Common, Gnome</v>
          </cell>
          <cell r="AU139" t="str">
            <v>Dwarven, Ergot, Ogre, Solamnic</v>
          </cell>
          <cell r="AY139" t="str">
            <v>First class chosen</v>
          </cell>
          <cell r="AZ139" t="str">
            <v/>
          </cell>
          <cell r="BA139" t="str">
            <v/>
          </cell>
          <cell r="BB139" t="str">
            <v/>
          </cell>
          <cell r="BL139" t="str">
            <v>DCS</v>
          </cell>
        </row>
        <row r="140">
          <cell r="A140" t="str">
            <v>Gnome, Wavecrest</v>
          </cell>
          <cell r="C140" t="str">
            <v>Small</v>
          </cell>
          <cell r="D140" t="str">
            <v>Humanoid</v>
          </cell>
          <cell r="E140" t="str">
            <v>Gnome</v>
          </cell>
          <cell r="G140">
            <v>20</v>
          </cell>
          <cell r="P140" t="str">
            <v>Speak With Animals (sea birds)</v>
          </cell>
          <cell r="S140" t="str">
            <v>normal</v>
          </cell>
          <cell r="W140" t="str">
            <v/>
          </cell>
          <cell r="X140" t="str">
            <v/>
          </cell>
          <cell r="AD140">
            <v>-2</v>
          </cell>
          <cell r="AF140">
            <v>2</v>
          </cell>
          <cell r="AP140" t="str">
            <v>Listen+2</v>
          </cell>
          <cell r="AQ140" t="str">
            <v>Hammer, Gnome Hooked</v>
          </cell>
          <cell r="AT140" t="str">
            <v>Common, Gnome</v>
          </cell>
          <cell r="AU140" t="str">
            <v>Draconic, Dwarven, Elven, Giant, Goblin, Orc</v>
          </cell>
          <cell r="AY140" t="str">
            <v>Bard</v>
          </cell>
          <cell r="AZ140" t="str">
            <v/>
          </cell>
          <cell r="BA140" t="str">
            <v/>
          </cell>
          <cell r="BB140" t="str">
            <v/>
          </cell>
          <cell r="BL140" t="str">
            <v>Sto</v>
          </cell>
        </row>
        <row r="141">
          <cell r="A141" t="str">
            <v>Gnome, Whisper</v>
          </cell>
          <cell r="C141" t="str">
            <v>Small</v>
          </cell>
          <cell r="D141" t="str">
            <v>Humanoid</v>
          </cell>
          <cell r="E141" t="str">
            <v>Gnome</v>
          </cell>
          <cell r="G141">
            <v>30</v>
          </cell>
          <cell r="P141" t="str">
            <v>Silence</v>
          </cell>
          <cell r="S141" t="str">
            <v>normal</v>
          </cell>
          <cell r="T141">
            <v>60</v>
          </cell>
          <cell r="W141" t="str">
            <v/>
          </cell>
          <cell r="X141" t="str">
            <v/>
          </cell>
          <cell r="AD141">
            <v>-2</v>
          </cell>
          <cell r="AE141">
            <v>2</v>
          </cell>
          <cell r="AF141">
            <v>2</v>
          </cell>
          <cell r="AI141">
            <v>-2</v>
          </cell>
          <cell r="AP141" t="str">
            <v>Hide+4,Listen+2,Move Silently+4,Spot+2</v>
          </cell>
          <cell r="AQ141" t="str">
            <v>Hammer, Gnome Hooked</v>
          </cell>
          <cell r="AT141" t="str">
            <v>Gnome</v>
          </cell>
          <cell r="AU141" t="str">
            <v>Terran</v>
          </cell>
          <cell r="AZ141" t="str">
            <v>50+3d6/5d6/7d6</v>
          </cell>
          <cell r="BA141" t="str">
            <v>3'0"/2'10"+2d4</v>
          </cell>
          <cell r="BB141" t="str">
            <v>45/35+1d1</v>
          </cell>
          <cell r="BL141" t="str">
            <v>RoS</v>
          </cell>
          <cell r="BM141">
            <v>94</v>
          </cell>
        </row>
        <row r="142">
          <cell r="A142" t="str">
            <v>Goatfolk</v>
          </cell>
          <cell r="C142" t="str">
            <v>Medium</v>
          </cell>
          <cell r="D142" t="str">
            <v>Monstrous Humanoid</v>
          </cell>
          <cell r="F142">
            <v>3</v>
          </cell>
          <cell r="G142">
            <v>30</v>
          </cell>
          <cell r="M142">
            <v>2</v>
          </cell>
          <cell r="N142" t="str">
            <v>Head Butt+5+0+1</v>
          </cell>
          <cell r="P142" t="str">
            <v/>
          </cell>
          <cell r="T142">
            <v>60</v>
          </cell>
          <cell r="W142" t="str">
            <v/>
          </cell>
          <cell r="X142" t="str">
            <v/>
          </cell>
          <cell r="AD142">
            <v>2</v>
          </cell>
          <cell r="AE142">
            <v>2</v>
          </cell>
          <cell r="AG142">
            <v>-2</v>
          </cell>
          <cell r="AH142">
            <v>-2</v>
          </cell>
          <cell r="AP142" t="str">
            <v>Intimidate+4,Listen,Spot,Survival</v>
          </cell>
          <cell r="AR142" t="str">
            <v>Greataxe</v>
          </cell>
          <cell r="AT142" t="str">
            <v>Common, Ibixian</v>
          </cell>
          <cell r="AU142" t="str">
            <v>Elven, Giant, Gnome, Goblin, Sylvan</v>
          </cell>
          <cell r="AV142">
            <v>2</v>
          </cell>
          <cell r="AX142">
            <v>1</v>
          </cell>
          <cell r="AY142" t="str">
            <v>Barbarian</v>
          </cell>
          <cell r="AZ142" t="str">
            <v/>
          </cell>
          <cell r="BA142" t="str">
            <v/>
          </cell>
          <cell r="BB142" t="str">
            <v/>
          </cell>
          <cell r="BL142" t="str">
            <v>MM3</v>
          </cell>
          <cell r="BM142">
            <v>63</v>
          </cell>
        </row>
        <row r="143">
          <cell r="A143" t="str">
            <v>Goblin</v>
          </cell>
          <cell r="C143" t="str">
            <v>Small</v>
          </cell>
          <cell r="D143" t="str">
            <v>Humanoid</v>
          </cell>
          <cell r="E143" t="str">
            <v>Goblinoid</v>
          </cell>
          <cell r="G143">
            <v>30</v>
          </cell>
          <cell r="P143" t="str">
            <v/>
          </cell>
          <cell r="T143">
            <v>60</v>
          </cell>
          <cell r="W143" t="str">
            <v/>
          </cell>
          <cell r="X143" t="str">
            <v/>
          </cell>
          <cell r="AD143">
            <v>-2</v>
          </cell>
          <cell r="AE143">
            <v>2</v>
          </cell>
          <cell r="AI143">
            <v>-2</v>
          </cell>
          <cell r="AP143" t="str">
            <v>Move Silently+4,Ride+4</v>
          </cell>
          <cell r="AT143" t="str">
            <v>Common, Goblin</v>
          </cell>
          <cell r="AU143" t="str">
            <v>Draconic, Elven, Giant, Gnoll, Orc</v>
          </cell>
          <cell r="AY143" t="str">
            <v>Rogue</v>
          </cell>
          <cell r="AZ143" t="str">
            <v/>
          </cell>
          <cell r="BA143" t="str">
            <v/>
          </cell>
          <cell r="BB143" t="str">
            <v/>
          </cell>
          <cell r="BL143" t="str">
            <v>MM</v>
          </cell>
          <cell r="BM143">
            <v>133</v>
          </cell>
          <cell r="BN143" t="str">
            <v>RoF</v>
          </cell>
        </row>
        <row r="144">
          <cell r="A144" t="str">
            <v>Goblin, Dekanter</v>
          </cell>
          <cell r="C144" t="str">
            <v>Medium</v>
          </cell>
          <cell r="D144" t="str">
            <v>Monstrous Humanoid</v>
          </cell>
          <cell r="E144" t="str">
            <v>Goblinoid</v>
          </cell>
          <cell r="F144">
            <v>2</v>
          </cell>
          <cell r="G144">
            <v>20</v>
          </cell>
          <cell r="M144">
            <v>4</v>
          </cell>
          <cell r="N144" t="str">
            <v>Horn+5+0+1,2 Claws+4+0+0</v>
          </cell>
          <cell r="P144" t="str">
            <v/>
          </cell>
          <cell r="T144">
            <v>60</v>
          </cell>
          <cell r="W144" t="str">
            <v/>
          </cell>
          <cell r="X144" t="str">
            <v>cold 5</v>
          </cell>
          <cell r="AD144">
            <v>6</v>
          </cell>
          <cell r="AE144">
            <v>2</v>
          </cell>
          <cell r="AF144">
            <v>4</v>
          </cell>
          <cell r="AG144">
            <v>2</v>
          </cell>
          <cell r="AH144">
            <v>2</v>
          </cell>
          <cell r="AI144">
            <v>-2</v>
          </cell>
          <cell r="AP144" t="str">
            <v>Climb,Intimidate,Jump,Listen,Sense Motive,Spot</v>
          </cell>
          <cell r="AT144" t="str">
            <v>Goblin, Undercommon, Common</v>
          </cell>
          <cell r="AU144" t="str">
            <v>By region</v>
          </cell>
          <cell r="AX144">
            <v>4</v>
          </cell>
          <cell r="AY144" t="str">
            <v>Barbarian</v>
          </cell>
          <cell r="AZ144" t="str">
            <v/>
          </cell>
          <cell r="BA144" t="str">
            <v/>
          </cell>
          <cell r="BB144" t="str">
            <v/>
          </cell>
          <cell r="BL144" t="str">
            <v>RoF</v>
          </cell>
          <cell r="BN144" t="str">
            <v>Mon</v>
          </cell>
        </row>
        <row r="145">
          <cell r="A145" t="str">
            <v>Goblin, Forestkith</v>
          </cell>
          <cell r="C145" t="str">
            <v>Small</v>
          </cell>
          <cell r="D145" t="str">
            <v>Humanoid</v>
          </cell>
          <cell r="E145" t="str">
            <v>Goblinoid</v>
          </cell>
          <cell r="G145">
            <v>30</v>
          </cell>
          <cell r="I145">
            <v>20</v>
          </cell>
          <cell r="M145">
            <v>1</v>
          </cell>
          <cell r="N145" t="str">
            <v>Bite+5+0+2</v>
          </cell>
          <cell r="P145" t="str">
            <v/>
          </cell>
          <cell r="T145">
            <v>60</v>
          </cell>
          <cell r="W145" t="str">
            <v/>
          </cell>
          <cell r="X145" t="str">
            <v/>
          </cell>
          <cell r="AE145">
            <v>2</v>
          </cell>
          <cell r="AG145">
            <v>-2</v>
          </cell>
          <cell r="AP145" t="str">
            <v>Climb+8,Hide+4,Jump+2,Move Silently+4</v>
          </cell>
          <cell r="AR145" t="str">
            <v>Net</v>
          </cell>
          <cell r="AT145" t="str">
            <v>Goblin</v>
          </cell>
          <cell r="AU145" t="str">
            <v>Common, Elven, Giant, Orc</v>
          </cell>
          <cell r="AX145">
            <v>1</v>
          </cell>
          <cell r="AY145" t="str">
            <v>Barbarian</v>
          </cell>
          <cell r="AZ145" t="str">
            <v/>
          </cell>
          <cell r="BA145" t="str">
            <v/>
          </cell>
          <cell r="BB145" t="str">
            <v/>
          </cell>
          <cell r="BL145" t="str">
            <v>MM3</v>
          </cell>
          <cell r="BM145">
            <v>64</v>
          </cell>
        </row>
        <row r="146">
          <cell r="A146" t="str">
            <v>Goblin, Snow</v>
          </cell>
          <cell r="C146" t="str">
            <v>Small</v>
          </cell>
          <cell r="D146" t="str">
            <v>Humanoid</v>
          </cell>
          <cell r="E146" t="str">
            <v>Goblinoid</v>
          </cell>
          <cell r="G146">
            <v>30</v>
          </cell>
          <cell r="I146">
            <v>20</v>
          </cell>
          <cell r="P146" t="str">
            <v/>
          </cell>
          <cell r="T146">
            <v>60</v>
          </cell>
          <cell r="W146" t="str">
            <v/>
          </cell>
          <cell r="X146" t="str">
            <v/>
          </cell>
          <cell r="AE146">
            <v>2</v>
          </cell>
          <cell r="AG146">
            <v>-2</v>
          </cell>
          <cell r="AI146">
            <v>-2</v>
          </cell>
          <cell r="AP146" t="str">
            <v>Climb+8,Intimidate+4,Move Silently+4</v>
          </cell>
          <cell r="AT146" t="str">
            <v>Common, Goblin</v>
          </cell>
          <cell r="AU146" t="str">
            <v>Draconic, Giant, Orc</v>
          </cell>
          <cell r="AY146" t="str">
            <v>Fighter</v>
          </cell>
          <cell r="AZ146" t="str">
            <v/>
          </cell>
          <cell r="BA146" t="str">
            <v/>
          </cell>
          <cell r="BB146" t="str">
            <v/>
          </cell>
          <cell r="BL146" t="str">
            <v>Frost</v>
          </cell>
          <cell r="BM146">
            <v>136</v>
          </cell>
        </row>
        <row r="147">
          <cell r="A147" t="str">
            <v>Goliath</v>
          </cell>
          <cell r="C147" t="str">
            <v>Medium</v>
          </cell>
          <cell r="D147" t="str">
            <v>Monstrous Humanoid</v>
          </cell>
          <cell r="G147">
            <v>30</v>
          </cell>
          <cell r="P147" t="str">
            <v/>
          </cell>
          <cell r="T147">
            <v>60</v>
          </cell>
          <cell r="W147" t="str">
            <v/>
          </cell>
          <cell r="X147" t="str">
            <v/>
          </cell>
          <cell r="AD147">
            <v>4</v>
          </cell>
          <cell r="AE147">
            <v>-2</v>
          </cell>
          <cell r="AF147">
            <v>2</v>
          </cell>
          <cell r="AP147" t="str">
            <v>Sense Motive+2</v>
          </cell>
          <cell r="AT147" t="str">
            <v>Common, Gol-Kaa</v>
          </cell>
          <cell r="AU147" t="str">
            <v>Dwarven, Giant, Gnoll, Terran</v>
          </cell>
          <cell r="AX147">
            <v>1</v>
          </cell>
          <cell r="AY147" t="str">
            <v>Barbarian</v>
          </cell>
          <cell r="AZ147" t="str">
            <v/>
          </cell>
          <cell r="BA147" t="str">
            <v/>
          </cell>
          <cell r="BB147" t="str">
            <v/>
          </cell>
          <cell r="BL147" t="str">
            <v>RoS</v>
          </cell>
        </row>
        <row r="148">
          <cell r="A148" t="str">
            <v>Grig</v>
          </cell>
          <cell r="C148" t="str">
            <v>Tiny</v>
          </cell>
          <cell r="D148" t="str">
            <v>Fey</v>
          </cell>
          <cell r="G148">
            <v>20</v>
          </cell>
          <cell r="J148">
            <v>40</v>
          </cell>
          <cell r="K148" t="str">
            <v>poor</v>
          </cell>
          <cell r="M148">
            <v>2</v>
          </cell>
          <cell r="P148" t="str">
            <v>Disguise Self, Entangle (DC 10), Invisibility(self only), Pyrotechnics (DC 11), Ventriloquism (DC 10) (3/day)</v>
          </cell>
          <cell r="W148" t="str">
            <v/>
          </cell>
          <cell r="X148" t="str">
            <v/>
          </cell>
          <cell r="Y148">
            <v>18</v>
          </cell>
          <cell r="Z148" t="str">
            <v>5/cold iron</v>
          </cell>
          <cell r="AD148">
            <v>-6</v>
          </cell>
          <cell r="AE148">
            <v>8</v>
          </cell>
          <cell r="AF148">
            <v>2</v>
          </cell>
          <cell r="AH148">
            <v>2</v>
          </cell>
          <cell r="AI148">
            <v>4</v>
          </cell>
          <cell r="AP148" t="str">
            <v>Jump+8</v>
          </cell>
          <cell r="AR148" t="str">
            <v>Longbow;Longbow, Composite;Sword, Short</v>
          </cell>
          <cell r="AS148" t="str">
            <v>Dodge</v>
          </cell>
          <cell r="AT148" t="str">
            <v>Common, Sylvan</v>
          </cell>
          <cell r="AU148" t="str">
            <v>Elven, Gnome, Halfling</v>
          </cell>
          <cell r="AV148">
            <v>1</v>
          </cell>
          <cell r="AX148">
            <v>3</v>
          </cell>
          <cell r="AY148" t="str">
            <v>Rogue</v>
          </cell>
          <cell r="AZ148" t="str">
            <v/>
          </cell>
          <cell r="BA148" t="str">
            <v/>
          </cell>
          <cell r="BB148" t="str">
            <v/>
          </cell>
          <cell r="BL148" t="str">
            <v>MM</v>
          </cell>
          <cell r="BM148">
            <v>235</v>
          </cell>
        </row>
        <row r="149">
          <cell r="A149" t="str">
            <v>Grimlock</v>
          </cell>
          <cell r="C149" t="str">
            <v>Medium</v>
          </cell>
          <cell r="D149" t="str">
            <v>Monstrous Humanoid</v>
          </cell>
          <cell r="F149">
            <v>2</v>
          </cell>
          <cell r="G149">
            <v>30</v>
          </cell>
          <cell r="M149">
            <v>4</v>
          </cell>
          <cell r="P149" t="str">
            <v/>
          </cell>
          <cell r="V149" t="str">
            <v>gaze attacks, visual effects, illusions, other attack forms
  that rely on sight.</v>
          </cell>
          <cell r="W149" t="str">
            <v/>
          </cell>
          <cell r="X149" t="str">
            <v/>
          </cell>
          <cell r="AD149">
            <v>4</v>
          </cell>
          <cell r="AE149">
            <v>2</v>
          </cell>
          <cell r="AF149">
            <v>2</v>
          </cell>
          <cell r="AH149">
            <v>-2</v>
          </cell>
          <cell r="AI149">
            <v>-4</v>
          </cell>
          <cell r="AP149" t="str">
            <v>Climb,Hide,Listen,Spot</v>
          </cell>
          <cell r="AR149" t="str">
            <v>Battleaxe</v>
          </cell>
          <cell r="AS149" t="str">
            <v>Track</v>
          </cell>
          <cell r="AT149" t="str">
            <v>Common, Grimlock</v>
          </cell>
          <cell r="AU149" t="str">
            <v>Draconic, Dwarven, Gnome, Terran, Undercommon</v>
          </cell>
          <cell r="AV149">
            <v>1</v>
          </cell>
          <cell r="AX149">
            <v>2</v>
          </cell>
          <cell r="AY149" t="str">
            <v>Barbarian</v>
          </cell>
          <cell r="AZ149" t="str">
            <v/>
          </cell>
          <cell r="BA149" t="str">
            <v/>
          </cell>
          <cell r="BB149" t="str">
            <v/>
          </cell>
          <cell r="BL149" t="str">
            <v>MM</v>
          </cell>
          <cell r="BM149">
            <v>140</v>
          </cell>
        </row>
        <row r="150">
          <cell r="A150" t="str">
            <v>Guardinal, Cervidal</v>
          </cell>
          <cell r="C150" t="str">
            <v>Medium</v>
          </cell>
          <cell r="D150" t="str">
            <v>Outsider</v>
          </cell>
          <cell r="E150" t="str">
            <v>Good, Guardinal</v>
          </cell>
          <cell r="F150">
            <v>4</v>
          </cell>
          <cell r="G150">
            <v>50</v>
          </cell>
          <cell r="M150">
            <v>4</v>
          </cell>
          <cell r="N150" t="str">
            <v>2 Slams+5+0+1, Butt+3+0+0</v>
          </cell>
          <cell r="P150" t="str">
            <v>Bless, Command, Detect Poison, Light (at will); Hold Person, Magic Missile, Suggestion (CL 9, DC 13+Spell Lvl)</v>
          </cell>
          <cell r="S150" t="str">
            <v>normal</v>
          </cell>
          <cell r="V150" t="str">
            <v>electricity, petrification</v>
          </cell>
          <cell r="W150" t="str">
            <v/>
          </cell>
          <cell r="X150" t="str">
            <v>cold 10, sonic10</v>
          </cell>
          <cell r="AD150">
            <v>8</v>
          </cell>
          <cell r="AE150">
            <v>6</v>
          </cell>
          <cell r="AF150">
            <v>4</v>
          </cell>
          <cell r="AG150">
            <v>2</v>
          </cell>
          <cell r="AH150">
            <v>6</v>
          </cell>
          <cell r="AI150">
            <v>6</v>
          </cell>
          <cell r="AP150" t="str">
            <v>Balance,Concentration,Heal,Intimidate,Jump+8,Knowledge (the planes),Listen,Spellcraft,Spot</v>
          </cell>
          <cell r="AT150" t="str">
            <v>Celestial, Infernal, Draconic</v>
          </cell>
          <cell r="AU150" t="str">
            <v>Common</v>
          </cell>
          <cell r="AV150">
            <v>3</v>
          </cell>
          <cell r="AX150">
            <v>5</v>
          </cell>
          <cell r="AY150" t="str">
            <v>Ranger</v>
          </cell>
          <cell r="AZ150" t="str">
            <v/>
          </cell>
          <cell r="BA150" t="str">
            <v/>
          </cell>
          <cell r="BB150" t="str">
            <v/>
          </cell>
          <cell r="BL150" t="str">
            <v>MM2</v>
          </cell>
        </row>
        <row r="151">
          <cell r="A151" t="str">
            <v>Guardinal, Lupinal</v>
          </cell>
          <cell r="C151" t="str">
            <v>Medium</v>
          </cell>
          <cell r="D151" t="str">
            <v>Outsider</v>
          </cell>
          <cell r="E151" t="str">
            <v>Good, Guardinal</v>
          </cell>
          <cell r="F151">
            <v>8</v>
          </cell>
          <cell r="G151">
            <v>50</v>
          </cell>
          <cell r="M151">
            <v>3</v>
          </cell>
          <cell r="N151" t="str">
            <v>2 Claws+4+0+1,Bite+5+0+0</v>
          </cell>
          <cell r="P151" t="str">
            <v>Blink, Blur, Change Self, Darkness, Ethereal Jaunt (at will); Cone Of Cold, Cure Light Wounds, Fly, Magic Missile (3/day, CL 8, DC12+spell lvl)</v>
          </cell>
          <cell r="S151" t="str">
            <v>normal</v>
          </cell>
          <cell r="V151" t="str">
            <v>electricity, petrification</v>
          </cell>
          <cell r="W151" t="str">
            <v/>
          </cell>
          <cell r="X151" t="str">
            <v>cold 10, sonic10</v>
          </cell>
          <cell r="Z151" t="str">
            <v>5/evil</v>
          </cell>
          <cell r="AD151">
            <v>12</v>
          </cell>
          <cell r="AE151">
            <v>10</v>
          </cell>
          <cell r="AF151">
            <v>2</v>
          </cell>
          <cell r="AG151">
            <v>6</v>
          </cell>
          <cell r="AH151">
            <v>8</v>
          </cell>
          <cell r="AI151">
            <v>4</v>
          </cell>
          <cell r="AP151" t="str">
            <v>Balance,Climb,Concentration,Diplomacy,Hide,Jump,Listen,Move Silently,Spot,Survival,Tumble</v>
          </cell>
          <cell r="AT151" t="str">
            <v>Celestial, Infernal, Draconic</v>
          </cell>
          <cell r="AU151" t="str">
            <v>Common</v>
          </cell>
          <cell r="AV151">
            <v>5</v>
          </cell>
          <cell r="AX151">
            <v>7</v>
          </cell>
          <cell r="AY151" t="str">
            <v>Ranger</v>
          </cell>
          <cell r="AZ151" t="str">
            <v/>
          </cell>
          <cell r="BA151" t="str">
            <v/>
          </cell>
          <cell r="BB151" t="str">
            <v/>
          </cell>
          <cell r="BL151" t="str">
            <v>MM2</v>
          </cell>
        </row>
        <row r="152">
          <cell r="A152" t="str">
            <v>Hadozee</v>
          </cell>
          <cell r="C152" t="str">
            <v>Medium</v>
          </cell>
          <cell r="D152" t="str">
            <v>Humanoid</v>
          </cell>
          <cell r="G152">
            <v>30</v>
          </cell>
          <cell r="P152" t="str">
            <v/>
          </cell>
          <cell r="W152" t="str">
            <v/>
          </cell>
          <cell r="X152" t="str">
            <v/>
          </cell>
          <cell r="AE152">
            <v>2</v>
          </cell>
          <cell r="AI152">
            <v>-2</v>
          </cell>
          <cell r="AP152" t="str">
            <v>Balance+4,Climb+4</v>
          </cell>
          <cell r="AT152" t="str">
            <v>Common, Hadozee</v>
          </cell>
          <cell r="AU152" t="str">
            <v>Aquan, Elven, Halfling</v>
          </cell>
          <cell r="AY152" t="str">
            <v>Rogue</v>
          </cell>
          <cell r="AZ152" t="str">
            <v>13+1d3/1d4/1d6</v>
          </cell>
          <cell r="BA152" t="str">
            <v>5'0"/4'10"+2d8</v>
          </cell>
          <cell r="BB152" t="str">
            <v>150/120+2d4</v>
          </cell>
          <cell r="BL152" t="str">
            <v>Sto</v>
          </cell>
          <cell r="BM152">
            <v>151</v>
          </cell>
        </row>
        <row r="153">
          <cell r="A153" t="str">
            <v>Half-Elf</v>
          </cell>
          <cell r="C153" t="str">
            <v>Medium</v>
          </cell>
          <cell r="D153" t="str">
            <v>Humanoid</v>
          </cell>
          <cell r="E153" t="str">
            <v>Elf</v>
          </cell>
          <cell r="G153">
            <v>30</v>
          </cell>
          <cell r="P153" t="str">
            <v/>
          </cell>
          <cell r="S153" t="str">
            <v>normal</v>
          </cell>
          <cell r="V153" t="str">
            <v>sleep effects</v>
          </cell>
          <cell r="W153" t="str">
            <v/>
          </cell>
          <cell r="X153" t="str">
            <v/>
          </cell>
          <cell r="AP153" t="str">
            <v>Diplomacy+2,Gather Information+2,Listen+1,Search+1,Spot+1</v>
          </cell>
          <cell r="AT153" t="str">
            <v>Common, Elven</v>
          </cell>
          <cell r="AU153" t="str">
            <v>Any</v>
          </cell>
          <cell r="AY153" t="str">
            <v>Any</v>
          </cell>
          <cell r="AZ153" t="str">
            <v>20+1d6/2d6/3d6</v>
          </cell>
          <cell r="BA153" t="str">
            <v>4'7"/4'5"+2d8</v>
          </cell>
          <cell r="BB153" t="str">
            <v>100/80+2d4</v>
          </cell>
          <cell r="BL153" t="str">
            <v>PHB</v>
          </cell>
          <cell r="BN153" t="str">
            <v>MM</v>
          </cell>
        </row>
        <row r="154">
          <cell r="A154" t="str">
            <v>Half-Elf, Aquatic</v>
          </cell>
          <cell r="C154" t="str">
            <v>Medium</v>
          </cell>
          <cell r="D154" t="str">
            <v>Humanoid</v>
          </cell>
          <cell r="E154" t="str">
            <v>Aquatic, Elf</v>
          </cell>
          <cell r="G154">
            <v>30</v>
          </cell>
          <cell r="L154">
            <v>15</v>
          </cell>
          <cell r="P154" t="str">
            <v/>
          </cell>
          <cell r="S154" t="str">
            <v>normal</v>
          </cell>
          <cell r="V154" t="str">
            <v>sleep effects</v>
          </cell>
          <cell r="W154" t="str">
            <v/>
          </cell>
          <cell r="X154" t="str">
            <v/>
          </cell>
          <cell r="AP154" t="str">
            <v>Listen+1,Search+1,Spot+1,Swim+8</v>
          </cell>
          <cell r="AT154" t="str">
            <v>Common, Elven</v>
          </cell>
          <cell r="AU154" t="str">
            <v>Any</v>
          </cell>
          <cell r="AY154" t="str">
            <v>Any</v>
          </cell>
          <cell r="AZ154" t="str">
            <v>20+1d6/2d6/3d6</v>
          </cell>
          <cell r="BA154" t="str">
            <v>4'10"/4'5"+2d10</v>
          </cell>
          <cell r="BB154" t="str">
            <v>120/85+2d4</v>
          </cell>
          <cell r="BL154" t="str">
            <v>RoF</v>
          </cell>
          <cell r="BN154" t="str">
            <v>Sto</v>
          </cell>
        </row>
        <row r="155">
          <cell r="A155" t="str">
            <v>Half-Elf, Deepwyrm Drow</v>
          </cell>
          <cell r="C155" t="str">
            <v>Medium</v>
          </cell>
          <cell r="D155" t="str">
            <v>Humanoid</v>
          </cell>
          <cell r="E155" t="str">
            <v>Dragonblood, Elf</v>
          </cell>
          <cell r="G155">
            <v>30</v>
          </cell>
          <cell r="P155" t="str">
            <v>Detect Magic (3/day); Disguise Self</v>
          </cell>
          <cell r="S155" t="str">
            <v>normal</v>
          </cell>
          <cell r="T155">
            <v>120</v>
          </cell>
          <cell r="V155" t="str">
            <v>sleep effects</v>
          </cell>
          <cell r="W155" t="str">
            <v/>
          </cell>
          <cell r="X155" t="str">
            <v/>
          </cell>
          <cell r="AP155" t="str">
            <v>Bluff+2,Gather Information+2,Listen+1,Search+1,Spot+1</v>
          </cell>
          <cell r="AT155" t="str">
            <v>Common, Elven, Undercommon</v>
          </cell>
          <cell r="AU155" t="str">
            <v>Chondathan, Dwarven, Giant, Goblin, Illuskan, Sylvan</v>
          </cell>
          <cell r="AY155" t="str">
            <v>Any</v>
          </cell>
          <cell r="AZ155" t="str">
            <v/>
          </cell>
          <cell r="BA155" t="str">
            <v/>
          </cell>
          <cell r="BB155" t="str">
            <v/>
          </cell>
          <cell r="BL155" t="str">
            <v>DrM</v>
          </cell>
        </row>
        <row r="156">
          <cell r="A156" t="str">
            <v>Half-Elf, Drow</v>
          </cell>
          <cell r="C156" t="str">
            <v>Medium</v>
          </cell>
          <cell r="D156" t="str">
            <v>Humanoid</v>
          </cell>
          <cell r="E156" t="str">
            <v>Elf</v>
          </cell>
          <cell r="G156">
            <v>30</v>
          </cell>
          <cell r="P156" t="str">
            <v/>
          </cell>
          <cell r="S156" t="str">
            <v>normal</v>
          </cell>
          <cell r="T156">
            <v>120</v>
          </cell>
          <cell r="V156" t="str">
            <v>sleep effects</v>
          </cell>
          <cell r="W156" t="str">
            <v/>
          </cell>
          <cell r="X156" t="str">
            <v/>
          </cell>
          <cell r="AP156" t="str">
            <v>Diplomacy+2,Gather Information+2,Listen+1,Search+1,Spot+1</v>
          </cell>
          <cell r="AT156" t="str">
            <v>Common, Elven, Undercommon</v>
          </cell>
          <cell r="AU156" t="str">
            <v>Chondathan, Dwarven, Giant, Goblin, Illuskan, Sylvan</v>
          </cell>
          <cell r="AY156" t="str">
            <v>Any</v>
          </cell>
          <cell r="AZ156" t="str">
            <v>20+1d6/2d6/3d6</v>
          </cell>
          <cell r="BA156" t="str">
            <v>4'7"/4'5"+2d8</v>
          </cell>
          <cell r="BB156" t="str">
            <v>100/80+2d4</v>
          </cell>
          <cell r="BL156" t="str">
            <v>PGtF</v>
          </cell>
        </row>
        <row r="157">
          <cell r="A157" t="str">
            <v>Half-Elf, Forestlord</v>
          </cell>
          <cell r="C157" t="str">
            <v>Medium</v>
          </cell>
          <cell r="D157" t="str">
            <v>Humanoid</v>
          </cell>
          <cell r="E157" t="str">
            <v>Dragonblood, Elf</v>
          </cell>
          <cell r="G157">
            <v>30</v>
          </cell>
          <cell r="P157" t="str">
            <v/>
          </cell>
          <cell r="S157" t="str">
            <v>normal</v>
          </cell>
          <cell r="V157" t="str">
            <v>sleep effects</v>
          </cell>
          <cell r="W157" t="str">
            <v/>
          </cell>
          <cell r="X157" t="str">
            <v/>
          </cell>
          <cell r="AP157" t="str">
            <v>Listen+1,Search+1,Spot+1</v>
          </cell>
          <cell r="AT157" t="str">
            <v>Common, Elven</v>
          </cell>
          <cell r="AU157" t="str">
            <v>Any</v>
          </cell>
          <cell r="AY157" t="str">
            <v>Any</v>
          </cell>
          <cell r="AZ157" t="str">
            <v/>
          </cell>
          <cell r="BA157" t="str">
            <v/>
          </cell>
          <cell r="BB157" t="str">
            <v/>
          </cell>
          <cell r="BL157" t="str">
            <v>DrM</v>
          </cell>
        </row>
        <row r="158">
          <cell r="A158" t="str">
            <v>Half-Giant</v>
          </cell>
          <cell r="C158" t="str">
            <v>Medium</v>
          </cell>
          <cell r="D158" t="str">
            <v>Giant</v>
          </cell>
          <cell r="G158">
            <v>30</v>
          </cell>
          <cell r="P158" t="str">
            <v/>
          </cell>
          <cell r="S158" t="str">
            <v>normal</v>
          </cell>
          <cell r="W158" t="str">
            <v/>
          </cell>
          <cell r="X158" t="str">
            <v/>
          </cell>
          <cell r="AD158">
            <v>2</v>
          </cell>
          <cell r="AE158">
            <v>-2</v>
          </cell>
          <cell r="AF158">
            <v>2</v>
          </cell>
          <cell r="AT158" t="str">
            <v>Common</v>
          </cell>
          <cell r="AU158" t="str">
            <v>Draconic, Giant, Gnoll, Ignan</v>
          </cell>
          <cell r="AX158">
            <v>1</v>
          </cell>
          <cell r="AY158" t="str">
            <v>Psychic Warrior</v>
          </cell>
          <cell r="AZ158" t="str">
            <v>30+3d6/2d6/4d6</v>
          </cell>
          <cell r="BA158" t="str">
            <v>6'4"/6'1"+2d12</v>
          </cell>
          <cell r="BB158" t="str">
            <v>220/180+2d6</v>
          </cell>
          <cell r="BL158" t="str">
            <v>XPH</v>
          </cell>
          <cell r="BM158">
            <v>200</v>
          </cell>
          <cell r="BN158" t="str">
            <v>SoX</v>
          </cell>
        </row>
        <row r="159">
          <cell r="A159" t="str">
            <v>Half-Kender</v>
          </cell>
          <cell r="C159" t="str">
            <v>Medium</v>
          </cell>
          <cell r="D159" t="str">
            <v>Humanoid</v>
          </cell>
          <cell r="E159" t="str">
            <v>Kender</v>
          </cell>
          <cell r="G159">
            <v>30</v>
          </cell>
          <cell r="P159" t="str">
            <v/>
          </cell>
          <cell r="W159" t="str">
            <v/>
          </cell>
          <cell r="X159" t="str">
            <v/>
          </cell>
          <cell r="AP159" t="str">
            <v>Open Lock+1,Sleight of Hand+1,Spot+1</v>
          </cell>
          <cell r="AT159" t="str">
            <v>Kenderspeak, Common</v>
          </cell>
          <cell r="AU159" t="str">
            <v>Any</v>
          </cell>
          <cell r="AY159" t="str">
            <v>Any</v>
          </cell>
          <cell r="AZ159" t="str">
            <v/>
          </cell>
          <cell r="BA159" t="str">
            <v/>
          </cell>
          <cell r="BB159" t="str">
            <v/>
          </cell>
          <cell r="BL159" t="str">
            <v>AoM</v>
          </cell>
        </row>
        <row r="160">
          <cell r="A160" t="str">
            <v>Halfling, Deep</v>
          </cell>
          <cell r="C160" t="str">
            <v>Small</v>
          </cell>
          <cell r="D160" t="str">
            <v>Humanoid</v>
          </cell>
          <cell r="E160" t="str">
            <v>Halfling</v>
          </cell>
          <cell r="G160">
            <v>20</v>
          </cell>
          <cell r="P160" t="str">
            <v/>
          </cell>
          <cell r="T160">
            <v>60</v>
          </cell>
          <cell r="W160" t="str">
            <v/>
          </cell>
          <cell r="X160" t="str">
            <v/>
          </cell>
          <cell r="AD160">
            <v>-2</v>
          </cell>
          <cell r="AE160">
            <v>2</v>
          </cell>
          <cell r="AP160" t="str">
            <v>Listen+2</v>
          </cell>
          <cell r="AT160" t="str">
            <v>Common, Halfling, Dwarven</v>
          </cell>
          <cell r="AU160" t="str">
            <v>Dwarven, Elven, Gnome, Goblin, Orc</v>
          </cell>
          <cell r="AY160" t="str">
            <v>Rogue</v>
          </cell>
          <cell r="AZ160" t="str">
            <v/>
          </cell>
          <cell r="BA160" t="str">
            <v/>
          </cell>
          <cell r="BB160" t="str">
            <v/>
          </cell>
          <cell r="BL160" t="str">
            <v>MM</v>
          </cell>
          <cell r="BM160">
            <v>150</v>
          </cell>
        </row>
        <row r="161">
          <cell r="A161" t="str">
            <v>Halfling, Ghostwise</v>
          </cell>
          <cell r="C161" t="str">
            <v>Small</v>
          </cell>
          <cell r="D161" t="str">
            <v>Humanoid</v>
          </cell>
          <cell r="E161" t="str">
            <v>Halfling</v>
          </cell>
          <cell r="G161">
            <v>20</v>
          </cell>
          <cell r="P161" t="str">
            <v/>
          </cell>
          <cell r="W161" t="str">
            <v/>
          </cell>
          <cell r="X161" t="str">
            <v/>
          </cell>
          <cell r="AD161">
            <v>-2</v>
          </cell>
          <cell r="AE161">
            <v>2</v>
          </cell>
          <cell r="AP161" t="str">
            <v>Climb+2,Jump+2,Listen+2,Move Silently+2</v>
          </cell>
          <cell r="AT161" t="str">
            <v>Common, Halfling</v>
          </cell>
          <cell r="AU161" t="str">
            <v>Chondathan, Elven, Gnoll, Shaaran, Sylvan</v>
          </cell>
          <cell r="AY161" t="str">
            <v>Barbarian</v>
          </cell>
          <cell r="AZ161" t="str">
            <v>20+2d4/3d6/4d6</v>
          </cell>
          <cell r="BA161" t="str">
            <v>2'8"/2'6"+2d4</v>
          </cell>
          <cell r="BB161" t="str">
            <v>30/25+1d1</v>
          </cell>
          <cell r="BL161" t="str">
            <v>RoF</v>
          </cell>
        </row>
        <row r="162">
          <cell r="A162" t="str">
            <v>Halfling, Glimmerskin</v>
          </cell>
          <cell r="C162" t="str">
            <v>Small</v>
          </cell>
          <cell r="D162" t="str">
            <v>Humanoid</v>
          </cell>
          <cell r="E162" t="str">
            <v>Dragonblood, Halfling</v>
          </cell>
          <cell r="G162">
            <v>20</v>
          </cell>
          <cell r="P162" t="str">
            <v/>
          </cell>
          <cell r="W162" t="str">
            <v/>
          </cell>
          <cell r="X162" t="str">
            <v/>
          </cell>
          <cell r="AD162">
            <v>-2</v>
          </cell>
          <cell r="AE162">
            <v>2</v>
          </cell>
          <cell r="AP162" t="str">
            <v>Climb+2,Jump+2,Listen+2</v>
          </cell>
          <cell r="AT162" t="str">
            <v>Common, Halfling</v>
          </cell>
          <cell r="AU162" t="str">
            <v>Dwarven, Elven, Gnome, Goblin, Orc</v>
          </cell>
          <cell r="AY162" t="str">
            <v>Rogue</v>
          </cell>
          <cell r="AZ162" t="str">
            <v/>
          </cell>
          <cell r="BA162" t="str">
            <v/>
          </cell>
          <cell r="BB162" t="str">
            <v/>
          </cell>
          <cell r="BL162" t="str">
            <v>DrM</v>
          </cell>
        </row>
        <row r="163">
          <cell r="A163" t="str">
            <v>Halfling, Lightfoot</v>
          </cell>
          <cell r="C163" t="str">
            <v>Small</v>
          </cell>
          <cell r="D163" t="str">
            <v>Humanoid</v>
          </cell>
          <cell r="E163" t="str">
            <v>Halfling</v>
          </cell>
          <cell r="G163">
            <v>20</v>
          </cell>
          <cell r="P163" t="str">
            <v/>
          </cell>
          <cell r="W163" t="str">
            <v/>
          </cell>
          <cell r="X163" t="str">
            <v/>
          </cell>
          <cell r="AD163">
            <v>-2</v>
          </cell>
          <cell r="AE163">
            <v>2</v>
          </cell>
          <cell r="AP163" t="str">
            <v>Climb+2,Jump+2,Listen+2,Move Silently+2</v>
          </cell>
          <cell r="AT163" t="str">
            <v>Common, Halfling</v>
          </cell>
          <cell r="AU163" t="str">
            <v>Dwarven, Elven, Gnome, Goblin, Orc</v>
          </cell>
          <cell r="AY163" t="str">
            <v>Rogue</v>
          </cell>
          <cell r="AZ163" t="str">
            <v>20+2d4/3d6/4d6</v>
          </cell>
          <cell r="BA163" t="str">
            <v>2'8"/2'6"+2d4</v>
          </cell>
          <cell r="BB163" t="str">
            <v>30/25+1d1</v>
          </cell>
          <cell r="BL163" t="str">
            <v>PHB</v>
          </cell>
        </row>
        <row r="164">
          <cell r="A164" t="str">
            <v>Halfling, Shoal</v>
          </cell>
          <cell r="C164" t="str">
            <v>Small</v>
          </cell>
          <cell r="D164" t="str">
            <v>Humanoid</v>
          </cell>
          <cell r="E164" t="str">
            <v>Aquatic, Halfling</v>
          </cell>
          <cell r="G164">
            <v>20</v>
          </cell>
          <cell r="L164">
            <v>20</v>
          </cell>
          <cell r="P164" t="str">
            <v/>
          </cell>
          <cell r="W164" t="str">
            <v/>
          </cell>
          <cell r="X164" t="str">
            <v/>
          </cell>
          <cell r="AD164">
            <v>-2</v>
          </cell>
          <cell r="AE164">
            <v>2</v>
          </cell>
          <cell r="AP164" t="str">
            <v>Listen+2,Swim+8</v>
          </cell>
          <cell r="AT164" t="str">
            <v>Common, Halfling</v>
          </cell>
          <cell r="AU164" t="str">
            <v>Dwarven, Elven, Gnome, Goblin, Orc</v>
          </cell>
          <cell r="AY164" t="str">
            <v>Rogue</v>
          </cell>
          <cell r="AZ164" t="str">
            <v/>
          </cell>
          <cell r="BA164" t="str">
            <v/>
          </cell>
          <cell r="BB164" t="str">
            <v/>
          </cell>
          <cell r="BL164" t="str">
            <v>Sto</v>
          </cell>
        </row>
        <row r="165">
          <cell r="A165" t="str">
            <v>Halfling, Strongheart</v>
          </cell>
          <cell r="C165" t="str">
            <v>Small</v>
          </cell>
          <cell r="D165" t="str">
            <v>Humanoid</v>
          </cell>
          <cell r="E165" t="str">
            <v>Halfling</v>
          </cell>
          <cell r="G165">
            <v>20</v>
          </cell>
          <cell r="P165" t="str">
            <v/>
          </cell>
          <cell r="W165" t="str">
            <v/>
          </cell>
          <cell r="X165" t="str">
            <v/>
          </cell>
          <cell r="AD165">
            <v>-2</v>
          </cell>
          <cell r="AE165">
            <v>2</v>
          </cell>
          <cell r="AP165" t="str">
            <v>Climb+2,Jump+2,Listen+2,Move Silently+2</v>
          </cell>
          <cell r="AT165" t="str">
            <v>Common, Halfling</v>
          </cell>
          <cell r="AU165" t="str">
            <v>Dwarven, Gnoll, Goblin, Halruaan, Shaaran</v>
          </cell>
          <cell r="AY165" t="str">
            <v>Rogue</v>
          </cell>
          <cell r="AZ165" t="str">
            <v>20+2d4/3d6/4d6</v>
          </cell>
          <cell r="BA165" t="str">
            <v>2'8"/2'6"+2d4</v>
          </cell>
          <cell r="BB165" t="str">
            <v>30/25+1d1</v>
          </cell>
          <cell r="BL165" t="str">
            <v>RoF</v>
          </cell>
        </row>
        <row r="166">
          <cell r="A166" t="str">
            <v>Halfling, Tallfellow</v>
          </cell>
          <cell r="C166" t="str">
            <v>Small</v>
          </cell>
          <cell r="D166" t="str">
            <v>Humanoid</v>
          </cell>
          <cell r="E166" t="str">
            <v>Halfling</v>
          </cell>
          <cell r="G166">
            <v>20</v>
          </cell>
          <cell r="P166" t="str">
            <v/>
          </cell>
          <cell r="W166" t="str">
            <v/>
          </cell>
          <cell r="X166" t="str">
            <v/>
          </cell>
          <cell r="AD166">
            <v>-2</v>
          </cell>
          <cell r="AE166">
            <v>2</v>
          </cell>
          <cell r="AP166" t="str">
            <v>Listen+2,Search+2,Spot+2</v>
          </cell>
          <cell r="AT166" t="str">
            <v>Common, Halfling</v>
          </cell>
          <cell r="AU166" t="str">
            <v>Dwarven, Elven, Gnome, Goblin, Orc</v>
          </cell>
          <cell r="AY166" t="str">
            <v>Rogue</v>
          </cell>
          <cell r="AZ166" t="str">
            <v/>
          </cell>
          <cell r="BA166" t="str">
            <v/>
          </cell>
          <cell r="BB166" t="str">
            <v/>
          </cell>
          <cell r="BL166" t="str">
            <v>MM</v>
          </cell>
          <cell r="BM166">
            <v>149</v>
          </cell>
        </row>
        <row r="167">
          <cell r="A167" t="str">
            <v>Halfling, Tundra</v>
          </cell>
          <cell r="C167" t="str">
            <v>Small</v>
          </cell>
          <cell r="D167" t="str">
            <v>Humanoid</v>
          </cell>
          <cell r="E167" t="str">
            <v>Halfling</v>
          </cell>
          <cell r="G167">
            <v>20</v>
          </cell>
          <cell r="P167" t="str">
            <v/>
          </cell>
          <cell r="W167" t="str">
            <v/>
          </cell>
          <cell r="X167" t="str">
            <v/>
          </cell>
          <cell r="AD167">
            <v>-2</v>
          </cell>
          <cell r="AE167">
            <v>2</v>
          </cell>
          <cell r="AP167" t="str">
            <v>Jump+2,Listen+2,Move Silently+2,Survival+2</v>
          </cell>
          <cell r="AT167" t="str">
            <v>Common, Halfling</v>
          </cell>
          <cell r="AU167" t="str">
            <v>Dwarven, Elven, Gnome, Goblin, Orc</v>
          </cell>
          <cell r="AY167" t="str">
            <v>Ranger</v>
          </cell>
          <cell r="AZ167" t="str">
            <v>20+2d4/3d6/4d6</v>
          </cell>
          <cell r="BA167" t="str">
            <v>2'8"/2'6"+2d4</v>
          </cell>
          <cell r="BB167" t="str">
            <v>30/25+1d1</v>
          </cell>
          <cell r="BL167" t="str">
            <v>Frost</v>
          </cell>
        </row>
        <row r="168">
          <cell r="A168" t="str">
            <v>Half-Ogre</v>
          </cell>
          <cell r="C168" t="str">
            <v>Large</v>
          </cell>
          <cell r="D168" t="str">
            <v>Giant</v>
          </cell>
          <cell r="G168">
            <v>30</v>
          </cell>
          <cell r="M168">
            <v>4</v>
          </cell>
          <cell r="P168" t="str">
            <v/>
          </cell>
          <cell r="S168" t="str">
            <v/>
          </cell>
          <cell r="T168">
            <v>60</v>
          </cell>
          <cell r="W168" t="str">
            <v/>
          </cell>
          <cell r="X168" t="str">
            <v/>
          </cell>
          <cell r="AD168">
            <v>6</v>
          </cell>
          <cell r="AE168">
            <v>-2</v>
          </cell>
          <cell r="AF168">
            <v>2</v>
          </cell>
          <cell r="AG168">
            <v>-2</v>
          </cell>
          <cell r="AI168">
            <v>-2</v>
          </cell>
          <cell r="AT168" t="str">
            <v>Common, Giant</v>
          </cell>
          <cell r="AU168" t="str">
            <v>Draconic, Gnoll, Goblin, Orc, Abyssal</v>
          </cell>
          <cell r="AX168">
            <v>2</v>
          </cell>
          <cell r="AY168" t="str">
            <v>Barbarian</v>
          </cell>
          <cell r="AZ168" t="str">
            <v>14+1d4/1d6/2d6</v>
          </cell>
          <cell r="BA168" t="str">
            <v>6'10"/6'5"+2d12</v>
          </cell>
          <cell r="BB168" t="str">
            <v>250/210+3d8</v>
          </cell>
          <cell r="BL168" t="str">
            <v>RoD</v>
          </cell>
          <cell r="BM168">
            <v>96</v>
          </cell>
          <cell r="BN168" t="str">
            <v>DCS,MM</v>
          </cell>
        </row>
        <row r="169">
          <cell r="A169" t="str">
            <v>Half-Orc</v>
          </cell>
          <cell r="C169" t="str">
            <v>Medium</v>
          </cell>
          <cell r="D169" t="str">
            <v>Humanoid</v>
          </cell>
          <cell r="E169" t="str">
            <v>Orc</v>
          </cell>
          <cell r="G169">
            <v>30</v>
          </cell>
          <cell r="P169" t="str">
            <v/>
          </cell>
          <cell r="T169">
            <v>60</v>
          </cell>
          <cell r="W169" t="str">
            <v/>
          </cell>
          <cell r="X169" t="str">
            <v/>
          </cell>
          <cell r="AD169">
            <v>2</v>
          </cell>
          <cell r="AG169">
            <v>-2</v>
          </cell>
          <cell r="AI169">
            <v>-2</v>
          </cell>
          <cell r="AT169" t="str">
            <v>Common, Orc</v>
          </cell>
          <cell r="AU169" t="str">
            <v>Draconic, Giant, Gnoll, Goblin, Abyssal</v>
          </cell>
          <cell r="AY169" t="str">
            <v>Barbarian</v>
          </cell>
          <cell r="AZ169" t="str">
            <v>14+1d4/1d6/2d6</v>
          </cell>
          <cell r="BA169" t="str">
            <v>4'10"/4'5"+2d12</v>
          </cell>
          <cell r="BB169" t="str">
            <v>150/110+2d6</v>
          </cell>
          <cell r="BL169" t="str">
            <v>PHB</v>
          </cell>
        </row>
        <row r="170">
          <cell r="A170" t="str">
            <v>Half-Orc, Frostblood</v>
          </cell>
          <cell r="C170" t="str">
            <v>Medium</v>
          </cell>
          <cell r="D170" t="str">
            <v>Humanoid</v>
          </cell>
          <cell r="E170" t="str">
            <v>Dragonblood, Orc</v>
          </cell>
          <cell r="G170">
            <v>30</v>
          </cell>
          <cell r="P170" t="str">
            <v/>
          </cell>
          <cell r="W170" t="str">
            <v>fire</v>
          </cell>
          <cell r="X170" t="str">
            <v>cold 10</v>
          </cell>
          <cell r="AD170">
            <v>2</v>
          </cell>
          <cell r="AG170">
            <v>-2</v>
          </cell>
          <cell r="AI170">
            <v>-2</v>
          </cell>
          <cell r="AS170" t="str">
            <v>Endurance</v>
          </cell>
          <cell r="AT170" t="str">
            <v>Common, Orc</v>
          </cell>
          <cell r="AU170" t="str">
            <v>Draconic, Giant, Gnoll, Goblin, Abyssal</v>
          </cell>
          <cell r="AY170" t="str">
            <v>Barbarian</v>
          </cell>
          <cell r="AZ170" t="str">
            <v/>
          </cell>
          <cell r="BA170" t="str">
            <v/>
          </cell>
          <cell r="BB170" t="str">
            <v/>
          </cell>
          <cell r="BL170" t="str">
            <v>DrM</v>
          </cell>
        </row>
        <row r="171">
          <cell r="A171" t="str">
            <v>Half-Orc, Scablands</v>
          </cell>
          <cell r="C171" t="str">
            <v>Medium</v>
          </cell>
          <cell r="D171" t="str">
            <v>Humanoid</v>
          </cell>
          <cell r="E171" t="str">
            <v>Orc</v>
          </cell>
          <cell r="G171">
            <v>30</v>
          </cell>
          <cell r="P171" t="str">
            <v/>
          </cell>
          <cell r="S171" t="str">
            <v>normal</v>
          </cell>
          <cell r="T171">
            <v>60</v>
          </cell>
          <cell r="W171" t="str">
            <v/>
          </cell>
          <cell r="X171" t="str">
            <v/>
          </cell>
          <cell r="AD171">
            <v>2</v>
          </cell>
          <cell r="AG171">
            <v>-2</v>
          </cell>
          <cell r="AI171">
            <v>-2</v>
          </cell>
          <cell r="AT171" t="str">
            <v>Common, Orc</v>
          </cell>
          <cell r="AU171" t="str">
            <v>Draconic, Giant, Gnoll, Goblin, Abyssal</v>
          </cell>
          <cell r="AY171" t="str">
            <v>Barbarian</v>
          </cell>
          <cell r="AZ171" t="str">
            <v/>
          </cell>
          <cell r="BA171" t="str">
            <v/>
          </cell>
          <cell r="BB171" t="str">
            <v/>
          </cell>
          <cell r="BL171" t="str">
            <v>Sa</v>
          </cell>
        </row>
        <row r="172">
          <cell r="A172" t="str">
            <v>Half-Vistani, Canjar</v>
          </cell>
          <cell r="C172" t="str">
            <v>Medium</v>
          </cell>
          <cell r="D172" t="str">
            <v>Humanoid</v>
          </cell>
          <cell r="G172">
            <v>30</v>
          </cell>
          <cell r="P172" t="str">
            <v/>
          </cell>
          <cell r="W172" t="str">
            <v/>
          </cell>
          <cell r="X172" t="str">
            <v/>
          </cell>
          <cell r="AH172">
            <v>2</v>
          </cell>
          <cell r="AI172">
            <v>-2</v>
          </cell>
          <cell r="AP172" t="str">
            <v>Spellcraft+2,Survival+2</v>
          </cell>
          <cell r="AT172" t="str">
            <v>Common</v>
          </cell>
          <cell r="AU172" t="str">
            <v>Balok, Darkonese, Mordentish, Vaasi, Draconic</v>
          </cell>
          <cell r="AY172" t="str">
            <v>Wizard</v>
          </cell>
          <cell r="AZ172" t="str">
            <v/>
          </cell>
          <cell r="BA172" t="str">
            <v/>
          </cell>
          <cell r="BB172" t="str">
            <v/>
          </cell>
          <cell r="BL172" t="str">
            <v>RCS</v>
          </cell>
        </row>
        <row r="173">
          <cell r="A173" t="str">
            <v>Half-Vistani, Corvara</v>
          </cell>
          <cell r="C173" t="str">
            <v>Medium</v>
          </cell>
          <cell r="D173" t="str">
            <v>Humanoid</v>
          </cell>
          <cell r="G173">
            <v>30</v>
          </cell>
          <cell r="P173" t="str">
            <v/>
          </cell>
          <cell r="W173" t="str">
            <v/>
          </cell>
          <cell r="X173" t="str">
            <v/>
          </cell>
          <cell r="AH173">
            <v>2</v>
          </cell>
          <cell r="AI173">
            <v>-2</v>
          </cell>
          <cell r="AP173" t="str">
            <v>Open Lock+2,Sense Motive+2,Survival+2</v>
          </cell>
          <cell r="AT173" t="str">
            <v>Common</v>
          </cell>
          <cell r="AU173" t="str">
            <v>Balok, Darkonese, Mordentish, Vaasi, Draconic</v>
          </cell>
          <cell r="AY173" t="str">
            <v>Rogue</v>
          </cell>
          <cell r="AZ173" t="str">
            <v/>
          </cell>
          <cell r="BA173" t="str">
            <v/>
          </cell>
          <cell r="BB173" t="str">
            <v/>
          </cell>
          <cell r="BL173" t="str">
            <v>RCS</v>
          </cell>
        </row>
        <row r="174">
          <cell r="A174" t="str">
            <v>Half-Vistani, Equaar</v>
          </cell>
          <cell r="C174" t="str">
            <v>Medium</v>
          </cell>
          <cell r="D174" t="str">
            <v>Humanoid</v>
          </cell>
          <cell r="G174">
            <v>30</v>
          </cell>
          <cell r="P174" t="str">
            <v/>
          </cell>
          <cell r="W174" t="str">
            <v/>
          </cell>
          <cell r="X174" t="str">
            <v/>
          </cell>
          <cell r="AH174">
            <v>2</v>
          </cell>
          <cell r="AI174">
            <v>-2</v>
          </cell>
          <cell r="AP174" t="str">
            <v>Handle Animal+2,Ride+2,Survival+2</v>
          </cell>
          <cell r="AT174" t="str">
            <v>Common</v>
          </cell>
          <cell r="AU174" t="str">
            <v>Balok, Darkonese, Mordentish, Vaasi, Draconic</v>
          </cell>
          <cell r="AY174" t="str">
            <v>Ranger</v>
          </cell>
          <cell r="AZ174" t="str">
            <v/>
          </cell>
          <cell r="BA174" t="str">
            <v/>
          </cell>
          <cell r="BB174" t="str">
            <v/>
          </cell>
          <cell r="BL174" t="str">
            <v>RCS</v>
          </cell>
        </row>
        <row r="175">
          <cell r="A175" t="str">
            <v>Half-Vistani, Kamii</v>
          </cell>
          <cell r="C175" t="str">
            <v>Medium</v>
          </cell>
          <cell r="D175" t="str">
            <v>Humanoid</v>
          </cell>
          <cell r="G175">
            <v>30</v>
          </cell>
          <cell r="P175" t="str">
            <v/>
          </cell>
          <cell r="W175" t="str">
            <v/>
          </cell>
          <cell r="X175" t="str">
            <v/>
          </cell>
          <cell r="AH175">
            <v>2</v>
          </cell>
          <cell r="AI175">
            <v>-2</v>
          </cell>
          <cell r="AP175" t="str">
            <v>Survival+2</v>
          </cell>
          <cell r="AT175" t="str">
            <v>Common</v>
          </cell>
          <cell r="AU175" t="str">
            <v>Balok, Darkonese, Mordentish, Vaasi, Draconic</v>
          </cell>
          <cell r="AY175" t="str">
            <v>Rogue</v>
          </cell>
          <cell r="AZ175" t="str">
            <v/>
          </cell>
          <cell r="BA175" t="str">
            <v/>
          </cell>
          <cell r="BB175" t="str">
            <v/>
          </cell>
          <cell r="BL175" t="str">
            <v>RCS</v>
          </cell>
        </row>
        <row r="176">
          <cell r="A176" t="str">
            <v>Half-Vistani, Naiat</v>
          </cell>
          <cell r="C176" t="str">
            <v>Medium</v>
          </cell>
          <cell r="D176" t="str">
            <v>Humanoid</v>
          </cell>
          <cell r="G176">
            <v>30</v>
          </cell>
          <cell r="P176" t="str">
            <v/>
          </cell>
          <cell r="W176" t="str">
            <v/>
          </cell>
          <cell r="X176" t="str">
            <v/>
          </cell>
          <cell r="AH176">
            <v>2</v>
          </cell>
          <cell r="AI176">
            <v>-2</v>
          </cell>
          <cell r="AP176" t="str">
            <v>Perform (any)+2,Survival+2</v>
          </cell>
          <cell r="AT176" t="str">
            <v>Common</v>
          </cell>
          <cell r="AU176" t="str">
            <v>Balok, Darkonese, Mordentish, Vaasi, Draconic</v>
          </cell>
          <cell r="AY176" t="str">
            <v>Bard</v>
          </cell>
          <cell r="AZ176" t="str">
            <v/>
          </cell>
          <cell r="BA176" t="str">
            <v/>
          </cell>
          <cell r="BB176" t="str">
            <v/>
          </cell>
          <cell r="BL176" t="str">
            <v>RCS</v>
          </cell>
        </row>
        <row r="177">
          <cell r="A177" t="str">
            <v>Half-Vistani, Vatmska</v>
          </cell>
          <cell r="C177" t="str">
            <v>Medium</v>
          </cell>
          <cell r="D177" t="str">
            <v>Humanoid</v>
          </cell>
          <cell r="G177">
            <v>30</v>
          </cell>
          <cell r="P177" t="str">
            <v/>
          </cell>
          <cell r="W177" t="str">
            <v/>
          </cell>
          <cell r="X177" t="str">
            <v/>
          </cell>
          <cell r="AH177">
            <v>2</v>
          </cell>
          <cell r="AI177">
            <v>-2</v>
          </cell>
          <cell r="AP177" t="str">
            <v>Profesion (herbalism)+2,Survival+2</v>
          </cell>
          <cell r="AT177" t="str">
            <v>Common</v>
          </cell>
          <cell r="AU177" t="str">
            <v>Balok, Darkonese, Mordentish, Vaasi, Draconic</v>
          </cell>
          <cell r="AY177" t="str">
            <v>Cleric</v>
          </cell>
          <cell r="AZ177" t="str">
            <v/>
          </cell>
          <cell r="BA177" t="str">
            <v/>
          </cell>
          <cell r="BB177" t="str">
            <v/>
          </cell>
          <cell r="BL177" t="str">
            <v>RCS</v>
          </cell>
        </row>
        <row r="178">
          <cell r="A178" t="str">
            <v>Half-Vistani, Zarovan</v>
          </cell>
          <cell r="C178" t="str">
            <v>Medium</v>
          </cell>
          <cell r="D178" t="str">
            <v>Humanoid</v>
          </cell>
          <cell r="G178">
            <v>30</v>
          </cell>
          <cell r="P178" t="str">
            <v/>
          </cell>
          <cell r="W178" t="str">
            <v/>
          </cell>
          <cell r="X178" t="str">
            <v/>
          </cell>
          <cell r="AH178">
            <v>2</v>
          </cell>
          <cell r="AI178">
            <v>-2</v>
          </cell>
          <cell r="AP178" t="str">
            <v>Survival+2</v>
          </cell>
          <cell r="AT178" t="str">
            <v>Common</v>
          </cell>
          <cell r="AU178" t="str">
            <v>Balok, Darkonese, Mordentish, Vaasi, Draconic</v>
          </cell>
          <cell r="AY178" t="str">
            <v>Sorcerer</v>
          </cell>
          <cell r="AZ178" t="str">
            <v/>
          </cell>
          <cell r="BA178" t="str">
            <v/>
          </cell>
          <cell r="BB178" t="str">
            <v/>
          </cell>
          <cell r="BL178" t="str">
            <v>RCS</v>
          </cell>
        </row>
        <row r="179">
          <cell r="A179" t="str">
            <v>Harssaf</v>
          </cell>
          <cell r="C179" t="str">
            <v>Medium</v>
          </cell>
          <cell r="D179" t="str">
            <v>Monstrous Humanoid</v>
          </cell>
          <cell r="E179" t="str">
            <v>Fire</v>
          </cell>
          <cell r="F179">
            <v>6</v>
          </cell>
          <cell r="G179">
            <v>30</v>
          </cell>
          <cell r="H179">
            <v>10</v>
          </cell>
          <cell r="M179">
            <v>3</v>
          </cell>
          <cell r="P179" t="str">
            <v/>
          </cell>
          <cell r="V179" t="str">
            <v>blindness, fire</v>
          </cell>
          <cell r="W179" t="str">
            <v>cold</v>
          </cell>
          <cell r="X179" t="str">
            <v/>
          </cell>
          <cell r="Y179">
            <v>18</v>
          </cell>
          <cell r="Z179" t="str">
            <v>5/bludgeoning</v>
          </cell>
          <cell r="AD179">
            <v>4</v>
          </cell>
          <cell r="AE179">
            <v>6</v>
          </cell>
          <cell r="AF179">
            <v>6</v>
          </cell>
          <cell r="AI179">
            <v>2</v>
          </cell>
          <cell r="AP179" t="str">
            <v>Climb,Hide,Jump,Knowledge (nature),Listen,Move Silently,Spot</v>
          </cell>
          <cell r="AS179" t="str">
            <v>Alertness, Lightning Reflexes</v>
          </cell>
          <cell r="AT179" t="str">
            <v>Common, Ignan</v>
          </cell>
          <cell r="AU179" t="str">
            <v>Draconic, Dwarven, Elven, Giant, Halfling, Orc, Terran</v>
          </cell>
          <cell r="AV179">
            <v>5</v>
          </cell>
          <cell r="AX179">
            <v>4</v>
          </cell>
          <cell r="AY179" t="str">
            <v>Monk</v>
          </cell>
          <cell r="AZ179" t="str">
            <v/>
          </cell>
          <cell r="BA179" t="str">
            <v/>
          </cell>
          <cell r="BB179" t="str">
            <v/>
          </cell>
          <cell r="BL179" t="str">
            <v>MM3</v>
          </cell>
          <cell r="BM179">
            <v>82</v>
          </cell>
        </row>
        <row r="180">
          <cell r="A180" t="str">
            <v>Hellbred</v>
          </cell>
          <cell r="C180" t="str">
            <v>Medium</v>
          </cell>
          <cell r="D180" t="str">
            <v>Humanoid</v>
          </cell>
          <cell r="E180" t="str">
            <v>Hellbred</v>
          </cell>
          <cell r="G180">
            <v>30</v>
          </cell>
          <cell r="T180">
            <v>0</v>
          </cell>
          <cell r="AF180">
            <v>0</v>
          </cell>
          <cell r="AG180">
            <v>0</v>
          </cell>
          <cell r="AI180">
            <v>0</v>
          </cell>
          <cell r="AP180" t="str">
            <v>Intimidate+2</v>
          </cell>
          <cell r="AS180" t="str">
            <v>Devil's Favor</v>
          </cell>
          <cell r="AT180" t="str">
            <v>Common, Infernal</v>
          </cell>
          <cell r="AU180" t="str">
            <v>Any</v>
          </cell>
          <cell r="AY180" t="str">
            <v>Paladin</v>
          </cell>
          <cell r="BL180" t="str">
            <v>FCII</v>
          </cell>
          <cell r="BM180">
            <v>77</v>
          </cell>
        </row>
        <row r="181">
          <cell r="A181" t="str">
            <v>Hengeyokai</v>
          </cell>
          <cell r="C181" t="str">
            <v>Medium</v>
          </cell>
          <cell r="D181" t="str">
            <v>Humanoid</v>
          </cell>
          <cell r="E181" t="str">
            <v>Shapechanger</v>
          </cell>
          <cell r="G181">
            <v>30</v>
          </cell>
          <cell r="H181">
            <v>0</v>
          </cell>
          <cell r="I181">
            <v>0</v>
          </cell>
          <cell r="J181">
            <v>0</v>
          </cell>
          <cell r="K181">
            <v>0</v>
          </cell>
          <cell r="L181">
            <v>0</v>
          </cell>
          <cell r="M181">
            <v>0</v>
          </cell>
          <cell r="N181" t="str">
            <v/>
          </cell>
          <cell r="S181" t="str">
            <v/>
          </cell>
          <cell r="AD181">
            <v>0</v>
          </cell>
          <cell r="AE181">
            <v>0</v>
          </cell>
          <cell r="AF181">
            <v>0</v>
          </cell>
          <cell r="AP181" t="str">
            <v/>
          </cell>
          <cell r="AT181" t="str">
            <v>Common, Hengeyokai</v>
          </cell>
          <cell r="AU181" t="str">
            <v>Giant, Goblin, Nezumi, Spirit Tongue</v>
          </cell>
          <cell r="AY181" t="str">
            <v>Wu Jen</v>
          </cell>
          <cell r="AZ181" t="str">
            <v>40+4d6/6d6/9d6</v>
          </cell>
          <cell r="BA181" t="str">
            <v>4'10"/4'5"+2d8</v>
          </cell>
          <cell r="BB181" t="str">
            <v>120/85+2d4</v>
          </cell>
          <cell r="BL181" t="str">
            <v>OA</v>
          </cell>
          <cell r="BM181">
            <v>10</v>
          </cell>
        </row>
        <row r="182">
          <cell r="A182" t="str">
            <v>Hobgoblin</v>
          </cell>
          <cell r="C182" t="str">
            <v>Medium</v>
          </cell>
          <cell r="D182" t="str">
            <v>Humanoid</v>
          </cell>
          <cell r="E182" t="str">
            <v>Goblinoid</v>
          </cell>
          <cell r="G182">
            <v>30</v>
          </cell>
          <cell r="P182" t="str">
            <v/>
          </cell>
          <cell r="T182">
            <v>60</v>
          </cell>
          <cell r="W182" t="str">
            <v/>
          </cell>
          <cell r="X182" t="str">
            <v/>
          </cell>
          <cell r="AE182">
            <v>2</v>
          </cell>
          <cell r="AF182">
            <v>2</v>
          </cell>
          <cell r="AP182" t="str">
            <v>Move Silently+4</v>
          </cell>
          <cell r="AT182" t="str">
            <v>Common, Goblin</v>
          </cell>
          <cell r="AU182" t="str">
            <v>Draconic, Dwarven, Infernal, Giant, Orc</v>
          </cell>
          <cell r="AX182">
            <v>1</v>
          </cell>
          <cell r="AY182" t="str">
            <v>Fighter</v>
          </cell>
          <cell r="AZ182" t="str">
            <v/>
          </cell>
          <cell r="BA182" t="str">
            <v/>
          </cell>
          <cell r="BB182" t="str">
            <v/>
          </cell>
          <cell r="BL182" t="str">
            <v>MM</v>
          </cell>
          <cell r="BM182">
            <v>153</v>
          </cell>
          <cell r="BN182" t="str">
            <v>RoF</v>
          </cell>
        </row>
        <row r="183">
          <cell r="A183" t="str">
            <v>Hobgoblin, Sunscorch</v>
          </cell>
          <cell r="C183" t="str">
            <v>Medium</v>
          </cell>
          <cell r="D183" t="str">
            <v>Humanoid</v>
          </cell>
          <cell r="E183" t="str">
            <v>Dragonblood, Goblinoid</v>
          </cell>
          <cell r="G183">
            <v>30</v>
          </cell>
          <cell r="P183" t="str">
            <v/>
          </cell>
          <cell r="T183">
            <v>60</v>
          </cell>
          <cell r="W183" t="str">
            <v/>
          </cell>
          <cell r="X183" t="str">
            <v/>
          </cell>
          <cell r="AF183">
            <v>2</v>
          </cell>
          <cell r="AH183">
            <v>2</v>
          </cell>
          <cell r="AP183" t="str">
            <v>Bluff+2,Move Silently+4</v>
          </cell>
          <cell r="AT183" t="str">
            <v>Common, Goblin</v>
          </cell>
          <cell r="AU183" t="str">
            <v>Draconic, Dwarven, Infernal, Giant, Orc</v>
          </cell>
          <cell r="AX183">
            <v>1</v>
          </cell>
          <cell r="AY183" t="str">
            <v>Fighter</v>
          </cell>
          <cell r="AZ183" t="str">
            <v/>
          </cell>
          <cell r="BA183" t="str">
            <v/>
          </cell>
          <cell r="BB183" t="str">
            <v/>
          </cell>
          <cell r="BL183" t="str">
            <v>DrM</v>
          </cell>
        </row>
        <row r="184">
          <cell r="A184" t="str">
            <v>Human</v>
          </cell>
          <cell r="C184" t="str">
            <v>Medium</v>
          </cell>
          <cell r="D184" t="str">
            <v>Humanoid</v>
          </cell>
          <cell r="E184" t="str">
            <v>Human</v>
          </cell>
          <cell r="G184">
            <v>30</v>
          </cell>
          <cell r="P184" t="str">
            <v/>
          </cell>
          <cell r="W184" t="str">
            <v/>
          </cell>
          <cell r="X184" t="str">
            <v/>
          </cell>
          <cell r="AJ184">
            <v>0</v>
          </cell>
          <cell r="AK184">
            <v>0</v>
          </cell>
          <cell r="AL184">
            <v>0</v>
          </cell>
          <cell r="AM184">
            <v>0</v>
          </cell>
          <cell r="AN184">
            <v>0</v>
          </cell>
          <cell r="AO184">
            <v>0</v>
          </cell>
          <cell r="AS184" t="str">
            <v>1st level bonus feat</v>
          </cell>
          <cell r="AT184" t="str">
            <v>Common</v>
          </cell>
          <cell r="AU184" t="str">
            <v>Any</v>
          </cell>
          <cell r="AY184" t="str">
            <v>Any</v>
          </cell>
          <cell r="AZ184" t="str">
            <v>15+1d4/1d6/2d6</v>
          </cell>
          <cell r="BA184" t="str">
            <v>4'10"/4'5"+2d10</v>
          </cell>
          <cell r="BB184" t="str">
            <v>120/85+2d4</v>
          </cell>
          <cell r="BL184" t="str">
            <v>PHB</v>
          </cell>
        </row>
        <row r="185">
          <cell r="A185" t="str">
            <v>Human, Silverbrow</v>
          </cell>
          <cell r="C185" t="str">
            <v>Medium</v>
          </cell>
          <cell r="D185" t="str">
            <v>Humanoid</v>
          </cell>
          <cell r="E185" t="str">
            <v>Dragonblood, Human</v>
          </cell>
          <cell r="G185">
            <v>30</v>
          </cell>
          <cell r="P185" t="str">
            <v>Feather Fall (3/day)</v>
          </cell>
          <cell r="W185" t="str">
            <v/>
          </cell>
          <cell r="X185" t="str">
            <v/>
          </cell>
          <cell r="AP185" t="str">
            <v>Disguise+2</v>
          </cell>
          <cell r="AS185" t="str">
            <v>1st level bonus feat</v>
          </cell>
          <cell r="AT185" t="str">
            <v>Common</v>
          </cell>
          <cell r="AU185" t="str">
            <v>Any</v>
          </cell>
          <cell r="AY185" t="str">
            <v>Any</v>
          </cell>
          <cell r="AZ185" t="str">
            <v/>
          </cell>
          <cell r="BA185" t="str">
            <v/>
          </cell>
          <cell r="BB185" t="str">
            <v/>
          </cell>
          <cell r="BL185" t="str">
            <v>DrM</v>
          </cell>
        </row>
        <row r="186">
          <cell r="A186" t="str">
            <v>Illumian</v>
          </cell>
          <cell r="C186" t="str">
            <v>Medium</v>
          </cell>
          <cell r="D186" t="str">
            <v>Humanoid</v>
          </cell>
          <cell r="E186" t="str">
            <v>Human</v>
          </cell>
          <cell r="G186">
            <v>30</v>
          </cell>
          <cell r="P186" t="str">
            <v/>
          </cell>
          <cell r="W186" t="str">
            <v/>
          </cell>
          <cell r="X186" t="str">
            <v/>
          </cell>
          <cell r="AT186" t="str">
            <v>Common, Illumian</v>
          </cell>
          <cell r="AU186" t="str">
            <v>Any</v>
          </cell>
          <cell r="AY186" t="str">
            <v>Any</v>
          </cell>
          <cell r="AZ186" t="str">
            <v>20+2d4/3d6/4d6</v>
          </cell>
          <cell r="BA186" t="str">
            <v>4'11"/4'6"+2d10</v>
          </cell>
          <cell r="BB186" t="str">
            <v>110/80+2d4</v>
          </cell>
          <cell r="BL186" t="str">
            <v>RoD</v>
          </cell>
          <cell r="BM186">
            <v>51</v>
          </cell>
        </row>
        <row r="187">
          <cell r="A187" t="str">
            <v>Jackal Lord</v>
          </cell>
          <cell r="C187" t="str">
            <v>Medium</v>
          </cell>
          <cell r="D187" t="str">
            <v>Monstrous Humanoid</v>
          </cell>
          <cell r="F187">
            <v>8</v>
          </cell>
          <cell r="G187">
            <v>30</v>
          </cell>
          <cell r="M187">
            <v>4</v>
          </cell>
          <cell r="N187" t="str">
            <v>2 Claws+4+0+1,Bite+7+0+0</v>
          </cell>
          <cell r="P187" t="str">
            <v>Cat's Grace, Change Self, Detect Magic, Detect Good, Suggestion (at will); Shadow Walk (3/day)</v>
          </cell>
          <cell r="T187">
            <v>60</v>
          </cell>
          <cell r="W187" t="str">
            <v/>
          </cell>
          <cell r="X187" t="str">
            <v/>
          </cell>
          <cell r="Z187" t="str">
            <v>10/magic</v>
          </cell>
          <cell r="AD187">
            <v>2</v>
          </cell>
          <cell r="AE187">
            <v>4</v>
          </cell>
          <cell r="AF187">
            <v>4</v>
          </cell>
          <cell r="AG187">
            <v>2</v>
          </cell>
          <cell r="AH187">
            <v>8</v>
          </cell>
          <cell r="AI187">
            <v>6</v>
          </cell>
          <cell r="AP187" t="str">
            <v>Bluff,Diplomacy,Disguise,Intimidate,Knowledge (religion),Listen,Move Silently,Sense Motive,Spot</v>
          </cell>
          <cell r="AT187" t="str">
            <v>Common</v>
          </cell>
          <cell r="AU187" t="str">
            <v>Infernal</v>
          </cell>
          <cell r="AV187">
            <v>8</v>
          </cell>
          <cell r="AX187">
            <v>4</v>
          </cell>
          <cell r="AY187" t="str">
            <v>Cleric</v>
          </cell>
          <cell r="AZ187" t="str">
            <v/>
          </cell>
          <cell r="BA187" t="str">
            <v/>
          </cell>
          <cell r="BB187" t="str">
            <v/>
          </cell>
          <cell r="BL187" t="str">
            <v>FF</v>
          </cell>
          <cell r="BM187">
            <v>105</v>
          </cell>
        </row>
        <row r="188">
          <cell r="A188" t="str">
            <v>Janni</v>
          </cell>
          <cell r="C188" t="str">
            <v>Medium</v>
          </cell>
          <cell r="D188" t="str">
            <v>Outsider</v>
          </cell>
          <cell r="E188" t="str">
            <v>Native</v>
          </cell>
          <cell r="F188">
            <v>6</v>
          </cell>
          <cell r="G188">
            <v>30</v>
          </cell>
          <cell r="J188">
            <v>20</v>
          </cell>
          <cell r="K188" t="str">
            <v>perfect</v>
          </cell>
          <cell r="M188">
            <v>1</v>
          </cell>
          <cell r="P188" t="str">
            <v>Invisibility (self only), Speak With Animals (3/day);Create Food And Water, Ethereal Jaunt</v>
          </cell>
          <cell r="W188" t="str">
            <v/>
          </cell>
          <cell r="X188" t="str">
            <v>fire 10</v>
          </cell>
          <cell r="AD188">
            <v>6</v>
          </cell>
          <cell r="AE188">
            <v>4</v>
          </cell>
          <cell r="AF188">
            <v>2</v>
          </cell>
          <cell r="AG188">
            <v>4</v>
          </cell>
          <cell r="AH188">
            <v>4</v>
          </cell>
          <cell r="AI188">
            <v>2</v>
          </cell>
          <cell r="AP188" t="str">
            <v>Appraise,Concentration,Craft (any),Escape Artist,Listen,Move Silently,Ride,Sense Motive,Spot</v>
          </cell>
          <cell r="AS188" t="str">
            <v>Improved Initiative</v>
          </cell>
          <cell r="AT188" t="str">
            <v>Common</v>
          </cell>
          <cell r="AU188" t="str">
            <v>Aquan, Auran, Ignan, Terran, Abyssal, Celestial, Infernal</v>
          </cell>
          <cell r="AV188">
            <v>4</v>
          </cell>
          <cell r="AX188">
            <v>5</v>
          </cell>
          <cell r="AY188" t="str">
            <v>Rogue</v>
          </cell>
          <cell r="AZ188" t="str">
            <v/>
          </cell>
          <cell r="BA188" t="str">
            <v/>
          </cell>
          <cell r="BB188" t="str">
            <v/>
          </cell>
          <cell r="BL188" t="str">
            <v>MM</v>
          </cell>
          <cell r="BM188">
            <v>116</v>
          </cell>
        </row>
        <row r="189">
          <cell r="A189" t="str">
            <v>Kalashtar</v>
          </cell>
          <cell r="C189" t="str">
            <v>Medium</v>
          </cell>
          <cell r="D189" t="str">
            <v>Humanoid</v>
          </cell>
          <cell r="G189">
            <v>30</v>
          </cell>
          <cell r="P189" t="str">
            <v/>
          </cell>
          <cell r="W189" t="str">
            <v/>
          </cell>
          <cell r="X189" t="str">
            <v/>
          </cell>
          <cell r="AP189" t="str">
            <v>Bluff+2,Diplomacy+2,Intimidate+2</v>
          </cell>
          <cell r="AT189" t="str">
            <v>Common, Quor</v>
          </cell>
          <cell r="AU189" t="str">
            <v>Draconic, Riedran</v>
          </cell>
          <cell r="AY189" t="str">
            <v>Psion</v>
          </cell>
          <cell r="AZ189" t="str">
            <v>40+2d6/3d6/5d6</v>
          </cell>
          <cell r="BA189" t="str">
            <v>5'4"/5'2"+2d6</v>
          </cell>
          <cell r="BB189" t="str">
            <v>135/105+1d6</v>
          </cell>
          <cell r="BL189" t="str">
            <v>ECS</v>
          </cell>
        </row>
        <row r="190">
          <cell r="A190" t="str">
            <v>Kaorti</v>
          </cell>
          <cell r="C190" t="str">
            <v>Medium</v>
          </cell>
          <cell r="D190" t="str">
            <v>Outsider</v>
          </cell>
          <cell r="E190" t="str">
            <v>Evil, Extraplanar</v>
          </cell>
          <cell r="F190">
            <v>2</v>
          </cell>
          <cell r="G190">
            <v>30</v>
          </cell>
          <cell r="M190">
            <v>2</v>
          </cell>
          <cell r="N190" t="str">
            <v>Bite+5+0+0</v>
          </cell>
          <cell r="P190" t="str">
            <v>Color Spray, Disguise Self, Featherfall, Ray of Feeblemind, Reduce, Spider Climb</v>
          </cell>
          <cell r="V190" t="str">
            <v>poison</v>
          </cell>
          <cell r="W190" t="str">
            <v/>
          </cell>
          <cell r="X190" t="str">
            <v/>
          </cell>
          <cell r="AD190">
            <v>-4</v>
          </cell>
          <cell r="AE190">
            <v>4</v>
          </cell>
          <cell r="AG190">
            <v>4</v>
          </cell>
          <cell r="AI190">
            <v>6</v>
          </cell>
          <cell r="AP190" t="str">
            <v>Concentration,Craft (any),Heal+8,Intimidate,Knowledge (arcana),Knowledge (the planes),Spellcraft,Survival,Use Magic Device</v>
          </cell>
          <cell r="AR190" t="str">
            <v>Dagger, Ribbon</v>
          </cell>
          <cell r="AT190" t="str">
            <v>Kaorti</v>
          </cell>
          <cell r="AU190" t="str">
            <v>Common, Sylvan</v>
          </cell>
          <cell r="AV190">
            <v>1</v>
          </cell>
          <cell r="AX190">
            <v>2</v>
          </cell>
          <cell r="AY190" t="str">
            <v>Sorcerer</v>
          </cell>
          <cell r="AZ190" t="str">
            <v/>
          </cell>
          <cell r="BA190" t="str">
            <v/>
          </cell>
          <cell r="BB190" t="str">
            <v/>
          </cell>
          <cell r="BL190" t="str">
            <v>FF</v>
          </cell>
        </row>
        <row r="191">
          <cell r="A191" t="str">
            <v>Karsite</v>
          </cell>
          <cell r="C191" t="str">
            <v>Medium</v>
          </cell>
          <cell r="D191" t="str">
            <v>Humanoid</v>
          </cell>
          <cell r="E191" t="str">
            <v>Human</v>
          </cell>
          <cell r="G191">
            <v>30</v>
          </cell>
          <cell r="P191" t="str">
            <v/>
          </cell>
          <cell r="W191" t="str">
            <v/>
          </cell>
          <cell r="X191" t="str">
            <v/>
          </cell>
          <cell r="Y191">
            <v>11</v>
          </cell>
          <cell r="Z191" t="str">
            <v>5/magic</v>
          </cell>
          <cell r="AF191">
            <v>2</v>
          </cell>
          <cell r="AI191">
            <v>2</v>
          </cell>
          <cell r="AS191" t="str">
            <v>1st level bonus feat</v>
          </cell>
          <cell r="AT191" t="str">
            <v>Common</v>
          </cell>
          <cell r="AU191" t="str">
            <v>Any</v>
          </cell>
          <cell r="AV191">
            <v>1</v>
          </cell>
          <cell r="AX191">
            <v>2</v>
          </cell>
          <cell r="AY191" t="str">
            <v>Binder</v>
          </cell>
          <cell r="AZ191" t="str">
            <v>15+1d4/1d6/2d6</v>
          </cell>
          <cell r="BA191" t="str">
            <v>4'10"/4'5"+2d10</v>
          </cell>
          <cell r="BB191" t="str">
            <v>120/85+2d4</v>
          </cell>
          <cell r="BL191" t="str">
            <v>TM</v>
          </cell>
          <cell r="BM191">
            <v>84</v>
          </cell>
        </row>
        <row r="192">
          <cell r="A192" t="str">
            <v>Keeper</v>
          </cell>
          <cell r="C192" t="str">
            <v>Medium</v>
          </cell>
          <cell r="D192" t="str">
            <v>Outsider</v>
          </cell>
          <cell r="E192" t="str">
            <v>Extraplanar</v>
          </cell>
          <cell r="F192">
            <v>4</v>
          </cell>
          <cell r="G192">
            <v>40</v>
          </cell>
          <cell r="I192">
            <v>20</v>
          </cell>
          <cell r="M192">
            <v>4</v>
          </cell>
          <cell r="P192" t="str">
            <v/>
          </cell>
          <cell r="V192" t="str">
            <v>mind-affecting effects, poison, sleep, paralysis, stunning, disease, death effects, necromantic effects, any effect requiring a Fort save unless it works on objects. You are also not subject to critical hits, sneak attacks, subdual damage, ability damage, ability drain, energy drain, death from massive damage.</v>
          </cell>
          <cell r="W192" t="str">
            <v/>
          </cell>
          <cell r="X192" t="str">
            <v>acid 10, cold 10, fire 10, electricity 10, sonic 10</v>
          </cell>
          <cell r="Y192">
            <v>13</v>
          </cell>
          <cell r="Z192" t="str">
            <v>10/magic</v>
          </cell>
          <cell r="AD192">
            <v>8</v>
          </cell>
          <cell r="AE192">
            <v>6</v>
          </cell>
          <cell r="AF192">
            <v>4</v>
          </cell>
          <cell r="AG192">
            <v>4</v>
          </cell>
          <cell r="AH192">
            <v>-2</v>
          </cell>
          <cell r="AI192">
            <v>-4</v>
          </cell>
          <cell r="AP192" t="str">
            <v>Climb+8,Escape Artist+8,Hide,Jump+8,Knowledge (any),Listen,Move Silently,Open Lock,Spot</v>
          </cell>
          <cell r="AS192" t="str">
            <v>Spring Attack</v>
          </cell>
          <cell r="AT192" t="str">
            <v>Common, Celestial, Infernal</v>
          </cell>
          <cell r="AV192">
            <v>7</v>
          </cell>
          <cell r="AX192">
            <v>3</v>
          </cell>
          <cell r="AY192" t="str">
            <v>Rogue</v>
          </cell>
          <cell r="AZ192" t="str">
            <v/>
          </cell>
          <cell r="BA192" t="str">
            <v/>
          </cell>
          <cell r="BB192" t="str">
            <v/>
          </cell>
          <cell r="BL192" t="str">
            <v>FF</v>
          </cell>
          <cell r="BM192">
            <v>111</v>
          </cell>
        </row>
        <row r="193">
          <cell r="A193" t="str">
            <v>Kender</v>
          </cell>
          <cell r="C193" t="str">
            <v>Small</v>
          </cell>
          <cell r="D193" t="str">
            <v>Humanoid</v>
          </cell>
          <cell r="E193" t="str">
            <v>Kender</v>
          </cell>
          <cell r="G193">
            <v>20</v>
          </cell>
          <cell r="P193" t="str">
            <v/>
          </cell>
          <cell r="V193" t="str">
            <v>fear</v>
          </cell>
          <cell r="W193" t="str">
            <v/>
          </cell>
          <cell r="X193" t="str">
            <v/>
          </cell>
          <cell r="AD193">
            <v>-2</v>
          </cell>
          <cell r="AE193">
            <v>2</v>
          </cell>
          <cell r="AH193">
            <v>-2</v>
          </cell>
          <cell r="AP193" t="str">
            <v>Concentration,Open Lock+2,Sleight of Hand+2,Spot+2</v>
          </cell>
          <cell r="AT193" t="str">
            <v>Kenderspeak, Common</v>
          </cell>
          <cell r="AU193" t="str">
            <v>Dwarven, Ergot, Elven, Goblin, Solamnic</v>
          </cell>
          <cell r="AY193" t="str">
            <v>Rogue</v>
          </cell>
          <cell r="AZ193" t="str">
            <v/>
          </cell>
          <cell r="BA193" t="str">
            <v/>
          </cell>
          <cell r="BB193" t="str">
            <v/>
          </cell>
          <cell r="BL193" t="str">
            <v>DCS</v>
          </cell>
        </row>
        <row r="194">
          <cell r="A194" t="str">
            <v>Kender, Afflicted</v>
          </cell>
          <cell r="C194" t="str">
            <v>Small</v>
          </cell>
          <cell r="D194" t="str">
            <v>Humanoid</v>
          </cell>
          <cell r="E194" t="str">
            <v>Kender</v>
          </cell>
          <cell r="G194">
            <v>20</v>
          </cell>
          <cell r="P194" t="str">
            <v/>
          </cell>
          <cell r="W194" t="str">
            <v/>
          </cell>
          <cell r="X194" t="str">
            <v/>
          </cell>
          <cell r="AD194">
            <v>-2</v>
          </cell>
          <cell r="AE194">
            <v>2</v>
          </cell>
          <cell r="AH194">
            <v>-2</v>
          </cell>
          <cell r="AP194" t="str">
            <v>Climb+2,Hide+2,Jump+2,Open Lock+2,Sleight of Hand+2,Spot+2</v>
          </cell>
          <cell r="AT194" t="str">
            <v>Kenderspeak, Common</v>
          </cell>
          <cell r="AU194" t="str">
            <v>Dwarven, Ergot, Elven, Goblin, Solamnic</v>
          </cell>
          <cell r="AY194" t="str">
            <v>Rogue</v>
          </cell>
          <cell r="AZ194" t="str">
            <v/>
          </cell>
          <cell r="BA194" t="str">
            <v/>
          </cell>
          <cell r="BB194" t="str">
            <v/>
          </cell>
          <cell r="BL194" t="str">
            <v>DCS</v>
          </cell>
        </row>
        <row r="195">
          <cell r="A195" t="str">
            <v>Kenku</v>
          </cell>
          <cell r="C195" t="str">
            <v>Medium</v>
          </cell>
          <cell r="D195" t="str">
            <v>Humanoid</v>
          </cell>
          <cell r="G195">
            <v>30</v>
          </cell>
          <cell r="N195" t="str">
            <v>2 Claws+3+0+1</v>
          </cell>
          <cell r="P195" t="str">
            <v/>
          </cell>
          <cell r="S195" t="str">
            <v>normal</v>
          </cell>
          <cell r="W195" t="str">
            <v/>
          </cell>
          <cell r="X195" t="str">
            <v/>
          </cell>
          <cell r="AD195">
            <v>-2</v>
          </cell>
          <cell r="AE195">
            <v>2</v>
          </cell>
          <cell r="AP195" t="str">
            <v>Hide+2,Move Silently+2</v>
          </cell>
          <cell r="AT195" t="str">
            <v>Common, Kenku</v>
          </cell>
          <cell r="AU195" t="str">
            <v>Auran, Dwarven, Gnome, Goblin, Halfling</v>
          </cell>
          <cell r="AY195" t="str">
            <v>Rogue</v>
          </cell>
          <cell r="AZ195" t="str">
            <v/>
          </cell>
          <cell r="BA195" t="str">
            <v/>
          </cell>
          <cell r="BB195" t="str">
            <v/>
          </cell>
          <cell r="BL195" t="str">
            <v>MM3</v>
          </cell>
          <cell r="BM195">
            <v>86</v>
          </cell>
        </row>
        <row r="196">
          <cell r="A196" t="str">
            <v>Khaasta</v>
          </cell>
          <cell r="C196" t="str">
            <v>Medium</v>
          </cell>
          <cell r="D196" t="str">
            <v>Monstrous Humanoid</v>
          </cell>
          <cell r="E196" t="str">
            <v>Extraplanar, Reptilian</v>
          </cell>
          <cell r="F196">
            <v>3</v>
          </cell>
          <cell r="G196">
            <v>30</v>
          </cell>
          <cell r="M196">
            <v>6</v>
          </cell>
          <cell r="N196" t="str">
            <v>Bite+5+0+2</v>
          </cell>
          <cell r="P196" t="str">
            <v/>
          </cell>
          <cell r="T196">
            <v>60</v>
          </cell>
          <cell r="W196" t="str">
            <v/>
          </cell>
          <cell r="X196" t="str">
            <v/>
          </cell>
          <cell r="AD196">
            <v>8</v>
          </cell>
          <cell r="AE196">
            <v>2</v>
          </cell>
          <cell r="AF196">
            <v>4</v>
          </cell>
          <cell r="AG196">
            <v>2</v>
          </cell>
          <cell r="AP196" t="str">
            <v>Climb,Handle Animal,Intimidate,Knowledge (the planes),Ride,Spot,Survival</v>
          </cell>
          <cell r="AT196" t="str">
            <v>Common, Draconic</v>
          </cell>
          <cell r="AV196">
            <v>3</v>
          </cell>
          <cell r="AX196">
            <v>3</v>
          </cell>
          <cell r="AY196" t="str">
            <v>Fighter</v>
          </cell>
          <cell r="AZ196" t="str">
            <v/>
          </cell>
          <cell r="BA196" t="str">
            <v/>
          </cell>
          <cell r="BB196" t="str">
            <v/>
          </cell>
          <cell r="BL196" t="str">
            <v>FF</v>
          </cell>
          <cell r="BM196">
            <v>115</v>
          </cell>
        </row>
        <row r="197">
          <cell r="A197" t="str">
            <v>Killoren</v>
          </cell>
          <cell r="C197" t="str">
            <v>Medium</v>
          </cell>
          <cell r="D197" t="str">
            <v>Fey</v>
          </cell>
          <cell r="G197">
            <v>30</v>
          </cell>
          <cell r="P197" t="str">
            <v/>
          </cell>
          <cell r="V197" t="str">
            <v>magic sleep effects</v>
          </cell>
          <cell r="W197" t="str">
            <v/>
          </cell>
          <cell r="X197" t="str">
            <v/>
          </cell>
          <cell r="AP197" t="str">
            <v>Handle Animal+2,Survival+2</v>
          </cell>
          <cell r="AT197" t="str">
            <v>Common, Sylvan</v>
          </cell>
          <cell r="AU197" t="str">
            <v>Aquan, Auran, Elven, Gnome, Ignan, Terran</v>
          </cell>
          <cell r="AY197" t="str">
            <v>Druid</v>
          </cell>
          <cell r="AZ197" t="str">
            <v>10+1d4/1d6/2d6</v>
          </cell>
          <cell r="BA197" t="str">
            <v>5'0"/5'0"+2d6</v>
          </cell>
          <cell r="BB197" t="str">
            <v>100/90+2d4</v>
          </cell>
          <cell r="BL197" t="str">
            <v>RotW</v>
          </cell>
        </row>
        <row r="198">
          <cell r="A198" t="str">
            <v>Kir-Lanan</v>
          </cell>
          <cell r="C198" t="str">
            <v>Medium</v>
          </cell>
          <cell r="D198" t="str">
            <v>Monstrous Humanoid</v>
          </cell>
          <cell r="F198">
            <v>4</v>
          </cell>
          <cell r="G198">
            <v>30</v>
          </cell>
          <cell r="J198">
            <v>90</v>
          </cell>
          <cell r="K198" t="str">
            <v>good</v>
          </cell>
          <cell r="M198">
            <v>3</v>
          </cell>
          <cell r="N198" t="str">
            <v>2 Claws+4+0+1</v>
          </cell>
          <cell r="P198" t="str">
            <v>Ray of Enfeeblement (3/day)</v>
          </cell>
          <cell r="T198">
            <v>60</v>
          </cell>
          <cell r="W198" t="str">
            <v/>
          </cell>
          <cell r="X198" t="str">
            <v/>
          </cell>
          <cell r="AD198">
            <v>4</v>
          </cell>
          <cell r="AE198">
            <v>2</v>
          </cell>
          <cell r="AH198">
            <v>-2</v>
          </cell>
          <cell r="AP198" t="str">
            <v>Escape Artist,Hide,+4Listen,Move Silently,Spot,Use Magic Device</v>
          </cell>
          <cell r="AT198" t="str">
            <v>Kir-Lanan, Common</v>
          </cell>
          <cell r="AU198" t="str">
            <v>By region</v>
          </cell>
          <cell r="AX198">
            <v>4</v>
          </cell>
          <cell r="AY198" t="str">
            <v>Fighter</v>
          </cell>
          <cell r="AZ198" t="str">
            <v/>
          </cell>
          <cell r="BA198" t="str">
            <v/>
          </cell>
          <cell r="BB198" t="str">
            <v/>
          </cell>
          <cell r="BL198" t="str">
            <v>RoF</v>
          </cell>
        </row>
        <row r="199">
          <cell r="A199" t="str">
            <v>Kobold</v>
          </cell>
          <cell r="C199" t="str">
            <v>Small</v>
          </cell>
          <cell r="D199" t="str">
            <v>Humanoid</v>
          </cell>
          <cell r="E199" t="str">
            <v>Dragonblood, Reptilian</v>
          </cell>
          <cell r="G199">
            <v>30</v>
          </cell>
          <cell r="M199">
            <v>1</v>
          </cell>
          <cell r="P199" t="str">
            <v/>
          </cell>
          <cell r="T199">
            <v>60</v>
          </cell>
          <cell r="W199" t="str">
            <v/>
          </cell>
          <cell r="X199" t="str">
            <v/>
          </cell>
          <cell r="AD199">
            <v>-4</v>
          </cell>
          <cell r="AE199">
            <v>2</v>
          </cell>
          <cell r="AF199">
            <v>-2</v>
          </cell>
          <cell r="AP199" t="str">
            <v>Craft (trapmaking)+2,Profession (miner)+2,Search+2</v>
          </cell>
          <cell r="AT199" t="str">
            <v>Draconic</v>
          </cell>
          <cell r="AU199" t="str">
            <v>Common, Undercommon</v>
          </cell>
          <cell r="AY199" t="str">
            <v>Sorcerer</v>
          </cell>
          <cell r="AZ199" t="str">
            <v>6+1d3/1d4/2d4</v>
          </cell>
          <cell r="BA199" t="str">
            <v>2'1"/1'10"+2d4</v>
          </cell>
          <cell r="BB199" t="str">
            <v>40/30+1d1</v>
          </cell>
          <cell r="BL199" t="str">
            <v>MM</v>
          </cell>
          <cell r="BM199">
            <v>161</v>
          </cell>
          <cell r="BN199" t="str">
            <v>RotD</v>
          </cell>
        </row>
        <row r="200">
          <cell r="A200" t="str">
            <v>Korobokuru</v>
          </cell>
          <cell r="C200" t="str">
            <v>Small</v>
          </cell>
          <cell r="D200" t="str">
            <v>Humanoid</v>
          </cell>
          <cell r="G200">
            <v>20</v>
          </cell>
          <cell r="T200">
            <v>60</v>
          </cell>
          <cell r="AF200">
            <v>2</v>
          </cell>
          <cell r="AG200">
            <v>-2</v>
          </cell>
          <cell r="AP200" t="str">
            <v>Survival+2</v>
          </cell>
          <cell r="AT200" t="str">
            <v>Common, Dwarven</v>
          </cell>
          <cell r="AU200" t="str">
            <v>Giant, Goblin, Hengeyokai, Sylvan</v>
          </cell>
          <cell r="AY200" t="str">
            <v>Barbarian</v>
          </cell>
          <cell r="AZ200" t="str">
            <v>40+3d6/5d6/7d6</v>
          </cell>
          <cell r="BA200" t="str">
            <v>3'9"/3'7"+2d4</v>
          </cell>
          <cell r="BB200" t="str">
            <v>100/70+2d4</v>
          </cell>
          <cell r="BL200" t="str">
            <v>OA</v>
          </cell>
          <cell r="BM200">
            <v>11</v>
          </cell>
        </row>
        <row r="201">
          <cell r="A201" t="str">
            <v>Krinth</v>
          </cell>
          <cell r="C201" t="str">
            <v>Medium</v>
          </cell>
          <cell r="D201" t="str">
            <v>Humanoid</v>
          </cell>
          <cell r="E201" t="str">
            <v/>
          </cell>
          <cell r="G201">
            <v>30</v>
          </cell>
          <cell r="P201" t="str">
            <v/>
          </cell>
          <cell r="W201" t="str">
            <v/>
          </cell>
          <cell r="X201" t="str">
            <v/>
          </cell>
          <cell r="AF201">
            <v>2</v>
          </cell>
          <cell r="AI201">
            <v>-2</v>
          </cell>
          <cell r="AT201" t="str">
            <v>Common, Netherese</v>
          </cell>
          <cell r="AU201" t="str">
            <v>Abyssal, Chondathan, Damaran, Undercommon</v>
          </cell>
          <cell r="AY201" t="str">
            <v>Fighter</v>
          </cell>
          <cell r="AZ201" t="str">
            <v/>
          </cell>
          <cell r="BA201" t="str">
            <v/>
          </cell>
          <cell r="BB201" t="str">
            <v/>
          </cell>
          <cell r="BL201" t="str">
            <v>CR</v>
          </cell>
        </row>
        <row r="202">
          <cell r="A202" t="str">
            <v>Kuo-Toa</v>
          </cell>
          <cell r="C202" t="str">
            <v>Medium</v>
          </cell>
          <cell r="D202" t="str">
            <v>Monstrous Humanoid</v>
          </cell>
          <cell r="E202" t="str">
            <v>Aquatic</v>
          </cell>
          <cell r="F202">
            <v>2</v>
          </cell>
          <cell r="G202">
            <v>20</v>
          </cell>
          <cell r="L202">
            <v>50</v>
          </cell>
          <cell r="M202">
            <v>6</v>
          </cell>
          <cell r="N202" t="str">
            <v>Bite+5+0+2</v>
          </cell>
          <cell r="P202" t="str">
            <v/>
          </cell>
          <cell r="V202" t="str">
            <v>poison, paralysis</v>
          </cell>
          <cell r="W202" t="str">
            <v/>
          </cell>
          <cell r="X202" t="str">
            <v>electricity 10.</v>
          </cell>
          <cell r="AD202">
            <v>2</v>
          </cell>
          <cell r="AF202">
            <v>2</v>
          </cell>
          <cell r="AG202">
            <v>2</v>
          </cell>
          <cell r="AH202">
            <v>2</v>
          </cell>
          <cell r="AI202">
            <v>-2</v>
          </cell>
          <cell r="AP202" t="str">
            <v>Craft (any),Escape Artist+8,Knowledge (any),Listen,Move Silently,Search+4,Spot+4,Swim+8</v>
          </cell>
          <cell r="AR202" t="str">
            <v>Shortspear</v>
          </cell>
          <cell r="AS202" t="str">
            <v>Alertness</v>
          </cell>
          <cell r="AT202" t="str">
            <v>Kuo-Toan</v>
          </cell>
          <cell r="AU202" t="str">
            <v>Undercommon, Aquan</v>
          </cell>
          <cell r="AV202">
            <v>2</v>
          </cell>
          <cell r="AX202">
            <v>3</v>
          </cell>
          <cell r="AY202" t="str">
            <v>Rogue</v>
          </cell>
          <cell r="AZ202" t="str">
            <v/>
          </cell>
          <cell r="BA202" t="str">
            <v/>
          </cell>
          <cell r="BB202" t="str">
            <v/>
          </cell>
          <cell r="BL202" t="str">
            <v>MM</v>
          </cell>
          <cell r="BM202">
            <v>163</v>
          </cell>
        </row>
        <row r="203">
          <cell r="A203" t="str">
            <v>Kyrie</v>
          </cell>
          <cell r="C203" t="str">
            <v>Medium</v>
          </cell>
          <cell r="D203" t="str">
            <v>Monstrous Humanoid</v>
          </cell>
          <cell r="F203">
            <v>4</v>
          </cell>
          <cell r="G203">
            <v>20</v>
          </cell>
          <cell r="J203">
            <v>50</v>
          </cell>
          <cell r="K203" t="str">
            <v>good</v>
          </cell>
          <cell r="M203">
            <v>2</v>
          </cell>
          <cell r="N203" t="str">
            <v>2 Claws+4+0+1</v>
          </cell>
          <cell r="P203" t="str">
            <v/>
          </cell>
          <cell r="T203">
            <v>60</v>
          </cell>
          <cell r="W203" t="str">
            <v/>
          </cell>
          <cell r="X203" t="str">
            <v/>
          </cell>
          <cell r="AD203">
            <v>-2</v>
          </cell>
          <cell r="AE203">
            <v>6</v>
          </cell>
          <cell r="AH203">
            <v>2</v>
          </cell>
          <cell r="AP203" t="str">
            <v>Handle Animal,Knowledge (nature),Listen,Survival</v>
          </cell>
          <cell r="AT203" t="str">
            <v>Auran, Kothian</v>
          </cell>
          <cell r="AU203" t="str">
            <v>Common,Kalinese,Nordmaarian</v>
          </cell>
          <cell r="AV203">
            <v>2</v>
          </cell>
          <cell r="AX203">
            <v>3</v>
          </cell>
          <cell r="AY203" t="str">
            <v>Mystic</v>
          </cell>
          <cell r="AZ203" t="str">
            <v/>
          </cell>
          <cell r="BA203" t="str">
            <v/>
          </cell>
          <cell r="BB203" t="str">
            <v/>
          </cell>
          <cell r="BL203" t="str">
            <v>BoK</v>
          </cell>
        </row>
        <row r="204">
          <cell r="A204" t="str">
            <v>Kyton (Chain Devil)</v>
          </cell>
          <cell r="C204" t="str">
            <v>Medium</v>
          </cell>
          <cell r="D204" t="str">
            <v>Outsider</v>
          </cell>
          <cell r="E204" t="str">
            <v>Evil, Extraplanar, Lawful</v>
          </cell>
          <cell r="F204">
            <v>8</v>
          </cell>
          <cell r="G204">
            <v>30</v>
          </cell>
          <cell r="M204">
            <v>8</v>
          </cell>
          <cell r="N204" t="str">
            <v>2 Chains+9+0+1</v>
          </cell>
          <cell r="T204">
            <v>60</v>
          </cell>
          <cell r="V204" t="str">
            <v>cold</v>
          </cell>
          <cell r="Y204">
            <v>18</v>
          </cell>
          <cell r="Z204" t="str">
            <v>5/silver or good</v>
          </cell>
          <cell r="AD204">
            <v>4</v>
          </cell>
          <cell r="AE204">
            <v>4</v>
          </cell>
          <cell r="AF204">
            <v>4</v>
          </cell>
          <cell r="AG204">
            <v>-4</v>
          </cell>
          <cell r="AI204">
            <v>2</v>
          </cell>
          <cell r="AP204" t="str">
            <v>Climb,Craft (blacksmithing),Escape Artist,Intimidate,Listen,Spot,Use Rope</v>
          </cell>
          <cell r="AT204" t="str">
            <v>Common, Infernal</v>
          </cell>
          <cell r="AV204">
            <v>6</v>
          </cell>
          <cell r="AX204">
            <v>6</v>
          </cell>
          <cell r="BL204" t="str">
            <v>MM</v>
          </cell>
        </row>
        <row r="205">
          <cell r="A205" t="str">
            <v>Lizardfolk</v>
          </cell>
          <cell r="C205" t="str">
            <v>Medium</v>
          </cell>
          <cell r="D205" t="str">
            <v>Humanoid</v>
          </cell>
          <cell r="E205" t="str">
            <v>Reptilian</v>
          </cell>
          <cell r="F205">
            <v>2</v>
          </cell>
          <cell r="G205">
            <v>30</v>
          </cell>
          <cell r="M205">
            <v>5</v>
          </cell>
          <cell r="N205" t="str">
            <v>2 Claws+4+0+1,Bite+4+0+0</v>
          </cell>
          <cell r="P205" t="str">
            <v/>
          </cell>
          <cell r="W205" t="str">
            <v/>
          </cell>
          <cell r="X205" t="str">
            <v/>
          </cell>
          <cell r="AD205">
            <v>2</v>
          </cell>
          <cell r="AF205">
            <v>2</v>
          </cell>
          <cell r="AG205">
            <v>-2</v>
          </cell>
          <cell r="AP205" t="str">
            <v>Balance+4,Jump+4,Swim+4</v>
          </cell>
          <cell r="AT205" t="str">
            <v>Common, Draconic</v>
          </cell>
          <cell r="AU205" t="str">
            <v>Aquan, Goblin, Gnoll, Orc</v>
          </cell>
          <cell r="AV205">
            <v>1</v>
          </cell>
          <cell r="AX205">
            <v>1</v>
          </cell>
          <cell r="AY205" t="str">
            <v>Druid</v>
          </cell>
          <cell r="AZ205" t="str">
            <v/>
          </cell>
          <cell r="BA205" t="str">
            <v/>
          </cell>
          <cell r="BB205" t="str">
            <v/>
          </cell>
          <cell r="BL205" t="str">
            <v>MM</v>
          </cell>
          <cell r="BM205">
            <v>169</v>
          </cell>
          <cell r="BN205" t="str">
            <v>RoF</v>
          </cell>
        </row>
        <row r="206">
          <cell r="A206" t="str">
            <v>Lizardfolk, Blackscale</v>
          </cell>
          <cell r="C206" t="str">
            <v>Large</v>
          </cell>
          <cell r="D206" t="str">
            <v>Monstrous Humanoid</v>
          </cell>
          <cell r="E206" t="str">
            <v>Reptilian</v>
          </cell>
          <cell r="F206">
            <v>3</v>
          </cell>
          <cell r="G206">
            <v>40</v>
          </cell>
          <cell r="M206">
            <v>7</v>
          </cell>
          <cell r="N206" t="str">
            <v>2 Claws+4+0+1,Bite+4+0+0</v>
          </cell>
          <cell r="P206" t="str">
            <v/>
          </cell>
          <cell r="T206">
            <v>60</v>
          </cell>
          <cell r="W206" t="str">
            <v/>
          </cell>
          <cell r="X206" t="str">
            <v>acid 5</v>
          </cell>
          <cell r="AD206">
            <v>8</v>
          </cell>
          <cell r="AF206">
            <v>4</v>
          </cell>
          <cell r="AG206">
            <v>-2</v>
          </cell>
          <cell r="AI206">
            <v>-4</v>
          </cell>
          <cell r="AP206" t="str">
            <v>Balance+4,Jump+4,Swim+8</v>
          </cell>
          <cell r="AT206" t="str">
            <v>Draconic</v>
          </cell>
          <cell r="AV206">
            <v>3</v>
          </cell>
          <cell r="AX206">
            <v>3</v>
          </cell>
          <cell r="AY206" t="str">
            <v>Barbarian</v>
          </cell>
          <cell r="AZ206" t="str">
            <v/>
          </cell>
          <cell r="BA206" t="str">
            <v/>
          </cell>
          <cell r="BB206" t="str">
            <v/>
          </cell>
          <cell r="BL206" t="str">
            <v>MM3</v>
          </cell>
          <cell r="BM206">
            <v>95</v>
          </cell>
        </row>
        <row r="207">
          <cell r="A207" t="str">
            <v>Lizardfolk, Poison Dusk</v>
          </cell>
          <cell r="C207" t="str">
            <v>Small</v>
          </cell>
          <cell r="D207" t="str">
            <v>Humanoid</v>
          </cell>
          <cell r="E207" t="str">
            <v>Reptilian</v>
          </cell>
          <cell r="G207">
            <v>30</v>
          </cell>
          <cell r="M207">
            <v>3</v>
          </cell>
          <cell r="N207" t="str">
            <v>2 Claws+4+0+1,Bite+4+0+0</v>
          </cell>
          <cell r="P207" t="str">
            <v/>
          </cell>
          <cell r="S207" t="str">
            <v>normal</v>
          </cell>
          <cell r="W207" t="str">
            <v/>
          </cell>
          <cell r="X207" t="str">
            <v/>
          </cell>
          <cell r="AE207">
            <v>2</v>
          </cell>
          <cell r="AF207">
            <v>2</v>
          </cell>
          <cell r="AI207">
            <v>-2</v>
          </cell>
          <cell r="AP207" t="str">
            <v>Balance+4,Hide+5,Jump+4,Swim+8</v>
          </cell>
          <cell r="AS207" t="str">
            <v>Multiattack</v>
          </cell>
          <cell r="AT207" t="str">
            <v>Common, Draconic</v>
          </cell>
          <cell r="AU207" t="str">
            <v>Halfling, Sylvan</v>
          </cell>
          <cell r="AV207">
            <v>1</v>
          </cell>
          <cell r="AX207">
            <v>1</v>
          </cell>
          <cell r="AY207" t="str">
            <v>Ranger</v>
          </cell>
          <cell r="AZ207" t="str">
            <v/>
          </cell>
          <cell r="BA207" t="str">
            <v/>
          </cell>
          <cell r="BB207" t="str">
            <v/>
          </cell>
          <cell r="BL207" t="str">
            <v>MM3</v>
          </cell>
          <cell r="BM207">
            <v>96</v>
          </cell>
        </row>
        <row r="208">
          <cell r="A208" t="str">
            <v>Lizardfolk, Viletooth</v>
          </cell>
          <cell r="C208" t="str">
            <v>Medium</v>
          </cell>
          <cell r="D208" t="str">
            <v>Humanoid</v>
          </cell>
          <cell r="E208" t="str">
            <v>Dragonblood, Reptilian</v>
          </cell>
          <cell r="F208">
            <v>2</v>
          </cell>
          <cell r="G208">
            <v>30</v>
          </cell>
          <cell r="M208">
            <v>5</v>
          </cell>
          <cell r="N208" t="str">
            <v>2 Claws+4+0+1,Bite+4+0+0</v>
          </cell>
          <cell r="P208" t="str">
            <v/>
          </cell>
          <cell r="W208" t="str">
            <v/>
          </cell>
          <cell r="X208" t="str">
            <v/>
          </cell>
          <cell r="AF208">
            <v>2</v>
          </cell>
          <cell r="AP208" t="str">
            <v>Balance+4,Jump+4,Swim+4</v>
          </cell>
          <cell r="AT208" t="str">
            <v>Common, Draconic</v>
          </cell>
          <cell r="AU208" t="str">
            <v>Aquan, Goblin, Gnoll, Orc</v>
          </cell>
          <cell r="AV208">
            <v>1</v>
          </cell>
          <cell r="AX208">
            <v>1</v>
          </cell>
          <cell r="AY208" t="str">
            <v>Druid</v>
          </cell>
          <cell r="AZ208" t="str">
            <v/>
          </cell>
          <cell r="BA208" t="str">
            <v/>
          </cell>
          <cell r="BB208" t="str">
            <v/>
          </cell>
          <cell r="BL208" t="str">
            <v>DrM</v>
          </cell>
        </row>
        <row r="209">
          <cell r="A209" t="str">
            <v>Locathah</v>
          </cell>
          <cell r="C209" t="str">
            <v>Medium</v>
          </cell>
          <cell r="D209" t="str">
            <v>Humanoid</v>
          </cell>
          <cell r="E209" t="str">
            <v>Aquatic</v>
          </cell>
          <cell r="F209">
            <v>2</v>
          </cell>
          <cell r="G209">
            <v>10</v>
          </cell>
          <cell r="L209">
            <v>60</v>
          </cell>
          <cell r="M209">
            <v>3</v>
          </cell>
          <cell r="P209" t="str">
            <v/>
          </cell>
          <cell r="W209" t="str">
            <v/>
          </cell>
          <cell r="X209" t="str">
            <v/>
          </cell>
          <cell r="AE209">
            <v>2</v>
          </cell>
          <cell r="AG209">
            <v>2</v>
          </cell>
          <cell r="AH209">
            <v>2</v>
          </cell>
          <cell r="AP209" t="str">
            <v>Craft (any),Listen,Spot,Swim+8</v>
          </cell>
          <cell r="AT209" t="str">
            <v>Aquan</v>
          </cell>
          <cell r="AX209">
            <v>1</v>
          </cell>
          <cell r="AY209" t="str">
            <v>Barbarian</v>
          </cell>
          <cell r="AZ209" t="str">
            <v/>
          </cell>
          <cell r="BA209" t="str">
            <v/>
          </cell>
          <cell r="BB209" t="str">
            <v/>
          </cell>
          <cell r="BL209" t="str">
            <v>MM</v>
          </cell>
          <cell r="BM209">
            <v>169</v>
          </cell>
        </row>
        <row r="210">
          <cell r="A210" t="str">
            <v>Loxo</v>
          </cell>
          <cell r="C210" t="str">
            <v>Large</v>
          </cell>
          <cell r="D210" t="str">
            <v>Monstrous Humanoid</v>
          </cell>
          <cell r="F210">
            <v>5</v>
          </cell>
          <cell r="G210">
            <v>30</v>
          </cell>
          <cell r="M210">
            <v>4</v>
          </cell>
          <cell r="N210" t="str">
            <v>2 Slams+4+0+1,Trample+5+0+2</v>
          </cell>
          <cell r="P210" t="str">
            <v/>
          </cell>
          <cell r="T210">
            <v>60</v>
          </cell>
          <cell r="W210" t="str">
            <v/>
          </cell>
          <cell r="X210" t="str">
            <v/>
          </cell>
          <cell r="AD210">
            <v>8</v>
          </cell>
          <cell r="AE210">
            <v>2</v>
          </cell>
          <cell r="AF210">
            <v>2</v>
          </cell>
          <cell r="AI210">
            <v>-2</v>
          </cell>
          <cell r="AP210" t="str">
            <v>Climb,Listen,Spot,Survival</v>
          </cell>
          <cell r="AT210" t="str">
            <v>Loxo</v>
          </cell>
          <cell r="AU210" t="str">
            <v>Common</v>
          </cell>
          <cell r="AV210">
            <v>2</v>
          </cell>
          <cell r="AX210">
            <v>2</v>
          </cell>
          <cell r="AY210" t="str">
            <v>Ranger</v>
          </cell>
          <cell r="AZ210" t="str">
            <v/>
          </cell>
          <cell r="BA210" t="str">
            <v/>
          </cell>
          <cell r="BB210" t="str">
            <v/>
          </cell>
          <cell r="BL210" t="str">
            <v>MM2</v>
          </cell>
          <cell r="BM210">
            <v>144</v>
          </cell>
          <cell r="BN210" t="str">
            <v>ShS,Sand</v>
          </cell>
        </row>
        <row r="211">
          <cell r="A211" t="str">
            <v>Lumi</v>
          </cell>
          <cell r="C211" t="str">
            <v>Medium</v>
          </cell>
          <cell r="D211" t="str">
            <v>Outsider</v>
          </cell>
          <cell r="E211" t="str">
            <v>Extraplanar</v>
          </cell>
          <cell r="F211">
            <v>2</v>
          </cell>
          <cell r="G211">
            <v>30</v>
          </cell>
          <cell r="N211" t="str">
            <v/>
          </cell>
          <cell r="P211" t="str">
            <v>Disrupt Undead (DC10), Light (at will); Cure Light Wounds, Glitterdust (DC12) (3/day)</v>
          </cell>
          <cell r="W211" t="str">
            <v/>
          </cell>
          <cell r="X211" t="str">
            <v/>
          </cell>
          <cell r="AD211">
            <v>2</v>
          </cell>
          <cell r="AE211">
            <v>-2</v>
          </cell>
          <cell r="AF211">
            <v>4</v>
          </cell>
          <cell r="AH211">
            <v>4</v>
          </cell>
          <cell r="AP211" t="str">
            <v>Concentration,Diplomacy,Heal,Knowledge (the planes),Listen,Search+2,Sense Motive+2,Spot+2</v>
          </cell>
          <cell r="AS211" t="str">
            <v>Improved Initiative</v>
          </cell>
          <cell r="AT211" t="str">
            <v>Common, Lumi</v>
          </cell>
          <cell r="AU211" t="str">
            <v>Abyssal, Celestial, Dwarven, Infernal</v>
          </cell>
          <cell r="AV211">
            <v>2</v>
          </cell>
          <cell r="AX211">
            <v>2</v>
          </cell>
          <cell r="AY211" t="str">
            <v>Cleric</v>
          </cell>
          <cell r="AZ211" t="str">
            <v/>
          </cell>
          <cell r="BA211" t="str">
            <v/>
          </cell>
          <cell r="BB211" t="str">
            <v/>
          </cell>
          <cell r="BL211" t="str">
            <v>MM3</v>
          </cell>
          <cell r="BM211">
            <v>98</v>
          </cell>
        </row>
        <row r="212">
          <cell r="A212" t="str">
            <v>Maeluth</v>
          </cell>
          <cell r="C212" t="str">
            <v>Medium</v>
          </cell>
          <cell r="D212" t="str">
            <v>Outsider</v>
          </cell>
          <cell r="E212" t="str">
            <v>Native</v>
          </cell>
          <cell r="G212">
            <v>20</v>
          </cell>
          <cell r="P212" t="str">
            <v/>
          </cell>
          <cell r="W212" t="str">
            <v/>
          </cell>
          <cell r="X212" t="str">
            <v/>
          </cell>
          <cell r="AE212">
            <v>-2</v>
          </cell>
          <cell r="AF212">
            <v>4</v>
          </cell>
          <cell r="AT212" t="str">
            <v>Common, Dwarven, Undercommon</v>
          </cell>
          <cell r="AX212">
            <v>1</v>
          </cell>
          <cell r="AY212" t="str">
            <v>Cleric</v>
          </cell>
          <cell r="AZ212" t="str">
            <v/>
          </cell>
          <cell r="BA212" t="str">
            <v/>
          </cell>
          <cell r="BB212" t="str">
            <v/>
          </cell>
          <cell r="BL212" t="str">
            <v>FF</v>
          </cell>
        </row>
        <row r="213">
          <cell r="A213" t="str">
            <v>Maenad</v>
          </cell>
          <cell r="C213" t="str">
            <v>Medium</v>
          </cell>
          <cell r="D213" t="str">
            <v>Humanoid</v>
          </cell>
          <cell r="G213">
            <v>30</v>
          </cell>
          <cell r="P213" t="str">
            <v/>
          </cell>
          <cell r="W213" t="str">
            <v/>
          </cell>
          <cell r="X213" t="str">
            <v/>
          </cell>
          <cell r="AT213" t="str">
            <v>Common, Maenad</v>
          </cell>
          <cell r="AU213" t="str">
            <v>Aquan, Draconic, Dwarven, Elven, Goblin</v>
          </cell>
          <cell r="AY213" t="str">
            <v>Wilder</v>
          </cell>
          <cell r="AZ213" t="str">
            <v>40+1d6/4d6/6d6</v>
          </cell>
          <cell r="BA213" t="str">
            <v>5'4"/5'3"+2d10</v>
          </cell>
          <cell r="BB213" t="str">
            <v>150/120+2d4</v>
          </cell>
          <cell r="BL213" t="str">
            <v>XPH</v>
          </cell>
          <cell r="BM213">
            <v>203</v>
          </cell>
        </row>
        <row r="214">
          <cell r="A214" t="str">
            <v>Marrash</v>
          </cell>
          <cell r="C214" t="str">
            <v>Medium</v>
          </cell>
          <cell r="D214" t="str">
            <v>Outsider</v>
          </cell>
          <cell r="E214" t="str">
            <v>Evil, Lawful</v>
          </cell>
          <cell r="F214">
            <v>7</v>
          </cell>
          <cell r="G214">
            <v>30</v>
          </cell>
          <cell r="J214">
            <v>70</v>
          </cell>
          <cell r="K214" t="str">
            <v>good</v>
          </cell>
          <cell r="M214">
            <v>6</v>
          </cell>
          <cell r="N214" t="str">
            <v>2 Claws+4+0+1,Bite+5+0+0</v>
          </cell>
          <cell r="P214" t="str">
            <v>Protection From Arrows (at will, CL 10)</v>
          </cell>
          <cell r="W214" t="str">
            <v/>
          </cell>
          <cell r="X214" t="str">
            <v/>
          </cell>
          <cell r="AD214">
            <v>2</v>
          </cell>
          <cell r="AE214">
            <v>6</v>
          </cell>
          <cell r="AF214">
            <v>2</v>
          </cell>
          <cell r="AG214">
            <v>-2</v>
          </cell>
          <cell r="AH214">
            <v>2</v>
          </cell>
          <cell r="AI214">
            <v>-2</v>
          </cell>
          <cell r="AP214" t="str">
            <v>Balance,Jump,Knowledge (the planes),Listen,Search,Spot,Tumble</v>
          </cell>
          <cell r="AT214" t="str">
            <v>Infernal</v>
          </cell>
          <cell r="AU214" t="str">
            <v>Common</v>
          </cell>
          <cell r="AV214">
            <v>5</v>
          </cell>
          <cell r="AX214">
            <v>6</v>
          </cell>
          <cell r="AY214" t="str">
            <v>Fighter</v>
          </cell>
          <cell r="AZ214" t="str">
            <v/>
          </cell>
          <cell r="BA214" t="str">
            <v/>
          </cell>
          <cell r="BB214" t="str">
            <v/>
          </cell>
          <cell r="BL214" t="str">
            <v>MM2</v>
          </cell>
          <cell r="BM214">
            <v>145</v>
          </cell>
        </row>
        <row r="215">
          <cell r="A215" t="str">
            <v>Maug</v>
          </cell>
          <cell r="C215" t="str">
            <v>Large</v>
          </cell>
          <cell r="D215" t="str">
            <v>Construct</v>
          </cell>
          <cell r="E215" t="str">
            <v>Extraplanar</v>
          </cell>
          <cell r="F215">
            <v>2</v>
          </cell>
          <cell r="G215">
            <v>40</v>
          </cell>
          <cell r="M215">
            <v>7</v>
          </cell>
          <cell r="N215" t="str">
            <v>Slam+5+0+2</v>
          </cell>
          <cell r="P215" t="str">
            <v/>
          </cell>
          <cell r="T215">
            <v>60</v>
          </cell>
          <cell r="V215" t="str">
            <v>mind-affecting effects, poison, sleep, paralysis, stunning, disease, death effects, necromantic effects, any effect requiring a Fort save unless it works on objects. You are also not subject to critical hits, sneak attacks, subdual damage, ability damage, ability drain, energy drain, death from massive damage.</v>
          </cell>
          <cell r="W215" t="str">
            <v/>
          </cell>
          <cell r="X215" t="str">
            <v/>
          </cell>
          <cell r="Y215">
            <v>15</v>
          </cell>
          <cell r="AD215">
            <v>10</v>
          </cell>
          <cell r="AE215">
            <v>4</v>
          </cell>
          <cell r="AG215">
            <v>2</v>
          </cell>
          <cell r="AI215">
            <v>2</v>
          </cell>
          <cell r="AP215" t="str">
            <v>Craft (any),Craft (stonemeasonery)+4,Intimidate,Knowledge (arch &amp; eng)+4,Listen,Profession (any),Spot,Survival</v>
          </cell>
          <cell r="AS215" t="str">
            <v>Alertness</v>
          </cell>
          <cell r="AT215" t="str">
            <v>Common, Draconic, Giant</v>
          </cell>
          <cell r="AV215">
            <v>3</v>
          </cell>
          <cell r="AX215">
            <v>3</v>
          </cell>
          <cell r="AY215" t="str">
            <v>Fighter</v>
          </cell>
          <cell r="AZ215" t="str">
            <v/>
          </cell>
          <cell r="BA215" t="str">
            <v/>
          </cell>
          <cell r="BB215" t="str">
            <v/>
          </cell>
          <cell r="BL215" t="str">
            <v>FF</v>
          </cell>
          <cell r="BM215">
            <v>121</v>
          </cell>
        </row>
        <row r="216">
          <cell r="A216" t="str">
            <v>Mechanatrix</v>
          </cell>
          <cell r="C216" t="str">
            <v>Medium</v>
          </cell>
          <cell r="D216" t="str">
            <v>Outsider</v>
          </cell>
          <cell r="E216" t="str">
            <v>Native</v>
          </cell>
          <cell r="G216">
            <v>20</v>
          </cell>
          <cell r="M216">
            <v>1</v>
          </cell>
          <cell r="P216" t="str">
            <v>Shocking Grasp</v>
          </cell>
          <cell r="W216" t="str">
            <v/>
          </cell>
          <cell r="X216" t="str">
            <v>cold 5, fire 5</v>
          </cell>
          <cell r="AE216">
            <v>-2</v>
          </cell>
          <cell r="AF216">
            <v>2</v>
          </cell>
          <cell r="AG216">
            <v>2</v>
          </cell>
          <cell r="AI216">
            <v>-2</v>
          </cell>
          <cell r="AP216" t="str">
            <v>Knowledge (arch &amp; eng)+4,Listen,Search,Spot+2</v>
          </cell>
          <cell r="AT216" t="str">
            <v>Common</v>
          </cell>
          <cell r="AX216">
            <v>1</v>
          </cell>
          <cell r="AY216" t="str">
            <v>Fighter</v>
          </cell>
          <cell r="AZ216" t="str">
            <v/>
          </cell>
          <cell r="BA216" t="str">
            <v/>
          </cell>
          <cell r="BB216" t="str">
            <v/>
          </cell>
          <cell r="BL216" t="str">
            <v>FF</v>
          </cell>
        </row>
        <row r="217">
          <cell r="A217" t="str">
            <v>Mephling, Air</v>
          </cell>
          <cell r="C217" t="str">
            <v>Small</v>
          </cell>
          <cell r="D217" t="str">
            <v>Humanoid</v>
          </cell>
          <cell r="E217" t="str">
            <v>Extraplanar</v>
          </cell>
          <cell r="G217">
            <v>30</v>
          </cell>
          <cell r="J217">
            <v>10</v>
          </cell>
          <cell r="K217" t="str">
            <v>perfect</v>
          </cell>
          <cell r="P217" t="str">
            <v/>
          </cell>
          <cell r="W217" t="str">
            <v/>
          </cell>
          <cell r="X217" t="str">
            <v/>
          </cell>
          <cell r="AE217">
            <v>2</v>
          </cell>
          <cell r="AG217">
            <v>-2</v>
          </cell>
          <cell r="AI217">
            <v>2</v>
          </cell>
          <cell r="AT217" t="str">
            <v>Common, Auran</v>
          </cell>
          <cell r="AU217" t="str">
            <v>Aquan, Auran, Ignan, Terran</v>
          </cell>
          <cell r="AX217">
            <v>1</v>
          </cell>
          <cell r="AY217" t="str">
            <v>Bard</v>
          </cell>
          <cell r="AZ217" t="str">
            <v>50+4d4/4d6/6d6</v>
          </cell>
          <cell r="BA217" t="str">
            <v>2'7"/2'9"+2d4</v>
          </cell>
          <cell r="BB217" t="str">
            <v>25/30+1d1</v>
          </cell>
          <cell r="BL217" t="str">
            <v>PlH</v>
          </cell>
        </row>
        <row r="218">
          <cell r="A218" t="str">
            <v>Mephling, Earth</v>
          </cell>
          <cell r="C218" t="str">
            <v>Small</v>
          </cell>
          <cell r="D218" t="str">
            <v>Humanoid</v>
          </cell>
          <cell r="E218" t="str">
            <v>Extraplanar</v>
          </cell>
          <cell r="G218">
            <v>30</v>
          </cell>
          <cell r="H218">
            <v>10</v>
          </cell>
          <cell r="P218" t="str">
            <v/>
          </cell>
          <cell r="W218" t="str">
            <v/>
          </cell>
          <cell r="X218" t="str">
            <v/>
          </cell>
          <cell r="AD218">
            <v>2</v>
          </cell>
          <cell r="AE218">
            <v>-2</v>
          </cell>
          <cell r="AG218">
            <v>-2</v>
          </cell>
          <cell r="AI218">
            <v>2</v>
          </cell>
          <cell r="AT218" t="str">
            <v>Common, Terran</v>
          </cell>
          <cell r="AU218" t="str">
            <v>Aquan, Auran, Ignan, Terran</v>
          </cell>
          <cell r="AX218">
            <v>1</v>
          </cell>
          <cell r="AY218" t="str">
            <v>Druid</v>
          </cell>
          <cell r="AZ218" t="str">
            <v>51+4d4/4d6/6d7</v>
          </cell>
          <cell r="BA218" t="str">
            <v>2'7"/2'9"+2d4</v>
          </cell>
          <cell r="BB218" t="str">
            <v>25/30+1d1</v>
          </cell>
          <cell r="BL218" t="str">
            <v>PlH</v>
          </cell>
        </row>
        <row r="219">
          <cell r="A219" t="str">
            <v>Mephling, Fire</v>
          </cell>
          <cell r="C219" t="str">
            <v>Small</v>
          </cell>
          <cell r="D219" t="str">
            <v>Humanoid</v>
          </cell>
          <cell r="E219" t="str">
            <v>Extraplanar</v>
          </cell>
          <cell r="G219">
            <v>30</v>
          </cell>
          <cell r="P219" t="str">
            <v/>
          </cell>
          <cell r="W219" t="str">
            <v/>
          </cell>
          <cell r="X219" t="str">
            <v/>
          </cell>
          <cell r="AE219">
            <v>2</v>
          </cell>
          <cell r="AG219">
            <v>-2</v>
          </cell>
          <cell r="AI219">
            <v>2</v>
          </cell>
          <cell r="AT219" t="str">
            <v>Common, Ignan</v>
          </cell>
          <cell r="AU219" t="str">
            <v>Aquan, Auran, Ignan, Terran</v>
          </cell>
          <cell r="AX219">
            <v>1</v>
          </cell>
          <cell r="AY219" t="str">
            <v>Sorcerer</v>
          </cell>
          <cell r="AZ219" t="str">
            <v>52+4d4/4d6/6d8</v>
          </cell>
          <cell r="BA219" t="str">
            <v>2'7"/2'9"+2d4</v>
          </cell>
          <cell r="BB219" t="str">
            <v>25/30+1d1</v>
          </cell>
          <cell r="BL219" t="str">
            <v>PlH</v>
          </cell>
        </row>
        <row r="220">
          <cell r="A220" t="str">
            <v>Mephling, Water</v>
          </cell>
          <cell r="C220" t="str">
            <v>Small</v>
          </cell>
          <cell r="D220" t="str">
            <v>Humanoid</v>
          </cell>
          <cell r="E220" t="str">
            <v>Extraplanar</v>
          </cell>
          <cell r="G220">
            <v>30</v>
          </cell>
          <cell r="L220">
            <v>30</v>
          </cell>
          <cell r="P220" t="str">
            <v/>
          </cell>
          <cell r="W220" t="str">
            <v/>
          </cell>
          <cell r="X220" t="str">
            <v/>
          </cell>
          <cell r="AF220">
            <v>2</v>
          </cell>
          <cell r="AG220">
            <v>-2</v>
          </cell>
          <cell r="AI220">
            <v>2</v>
          </cell>
          <cell r="AT220" t="str">
            <v>Common, Aquan</v>
          </cell>
          <cell r="AU220" t="str">
            <v>Aquan, Auran, Ignan, Terran</v>
          </cell>
          <cell r="AX220">
            <v>1</v>
          </cell>
          <cell r="AY220" t="str">
            <v>Monk</v>
          </cell>
          <cell r="AZ220" t="str">
            <v>53+4d4/4d6/6d9</v>
          </cell>
          <cell r="BA220" t="str">
            <v>2'7"/2'9"+2d4</v>
          </cell>
          <cell r="BB220" t="str">
            <v>25/30+1d1</v>
          </cell>
          <cell r="BL220" t="str">
            <v>PlH</v>
          </cell>
        </row>
        <row r="221">
          <cell r="A221" t="str">
            <v>Merfolk</v>
          </cell>
          <cell r="C221" t="str">
            <v>Medium</v>
          </cell>
          <cell r="D221" t="str">
            <v>Humanoid</v>
          </cell>
          <cell r="E221" t="str">
            <v>Aquatic</v>
          </cell>
          <cell r="G221">
            <v>5</v>
          </cell>
          <cell r="L221">
            <v>50</v>
          </cell>
          <cell r="P221" t="str">
            <v/>
          </cell>
          <cell r="S221" t="str">
            <v>normal</v>
          </cell>
          <cell r="W221" t="str">
            <v/>
          </cell>
          <cell r="X221" t="str">
            <v/>
          </cell>
          <cell r="AD221">
            <v>2</v>
          </cell>
          <cell r="AE221">
            <v>2</v>
          </cell>
          <cell r="AF221">
            <v>4</v>
          </cell>
          <cell r="AH221">
            <v>-2</v>
          </cell>
          <cell r="AP221" t="str">
            <v>Swim+8</v>
          </cell>
          <cell r="AT221" t="str">
            <v>Common, Aquan</v>
          </cell>
          <cell r="AX221">
            <v>1</v>
          </cell>
          <cell r="AY221" t="str">
            <v>Bard</v>
          </cell>
          <cell r="AZ221" t="str">
            <v/>
          </cell>
          <cell r="BA221" t="str">
            <v/>
          </cell>
          <cell r="BB221" t="str">
            <v/>
          </cell>
          <cell r="BL221" t="str">
            <v>MM</v>
          </cell>
          <cell r="BM221">
            <v>185</v>
          </cell>
        </row>
        <row r="222">
          <cell r="A222" t="str">
            <v>Merregon (Legion Devil)</v>
          </cell>
          <cell r="C222" t="str">
            <v>Medium</v>
          </cell>
          <cell r="D222" t="str">
            <v>Outsider</v>
          </cell>
          <cell r="E222" t="str">
            <v>Baatezu, Evil, Extraplanar, Lawful</v>
          </cell>
          <cell r="F222">
            <v>3</v>
          </cell>
          <cell r="G222">
            <v>30</v>
          </cell>
          <cell r="M222">
            <v>2</v>
          </cell>
          <cell r="V222" t="str">
            <v>fire, poison, fear</v>
          </cell>
          <cell r="X222" t="str">
            <v>acid 10, cold 10</v>
          </cell>
          <cell r="Z222" t="str">
            <v>5/magic</v>
          </cell>
          <cell r="AD222">
            <v>6</v>
          </cell>
          <cell r="AE222">
            <v>6</v>
          </cell>
          <cell r="AF222">
            <v>4</v>
          </cell>
          <cell r="AG222">
            <v>-4</v>
          </cell>
          <cell r="AP222" t="str">
            <v>Climb,Craft (weaponsmithing),Heal,Intimidate,Jump,Ride</v>
          </cell>
          <cell r="AS222" t="str">
            <v>Mobility</v>
          </cell>
          <cell r="AT222" t="str">
            <v>Infernal</v>
          </cell>
          <cell r="AV222">
            <v>3</v>
          </cell>
          <cell r="AX222">
            <v>5</v>
          </cell>
          <cell r="AY222" t="str">
            <v>Fighter</v>
          </cell>
          <cell r="BL222" t="str">
            <v>FCII</v>
          </cell>
          <cell r="BM222">
            <v>122</v>
          </cell>
        </row>
        <row r="223">
          <cell r="A223" t="str">
            <v>Mind Flayer</v>
          </cell>
          <cell r="C223" t="str">
            <v>Medium</v>
          </cell>
          <cell r="D223" t="str">
            <v>Aberration</v>
          </cell>
          <cell r="F223">
            <v>8</v>
          </cell>
          <cell r="G223">
            <v>30</v>
          </cell>
          <cell r="M223">
            <v>3</v>
          </cell>
          <cell r="N223" t="str">
            <v>4 Tentacles+4+0+1</v>
          </cell>
          <cell r="P223" t="str">
            <v>× Psionics (Sp): At Will: Charm Monster(DC 13), Detect Thoughts(DC 11), Levitate, Plane Shift, Suggestion(DC 12).</v>
          </cell>
          <cell r="T223">
            <v>60</v>
          </cell>
          <cell r="W223" t="str">
            <v/>
          </cell>
          <cell r="X223" t="str">
            <v/>
          </cell>
          <cell r="Y223">
            <v>26</v>
          </cell>
          <cell r="AD223">
            <v>2</v>
          </cell>
          <cell r="AE223">
            <v>4</v>
          </cell>
          <cell r="AF223">
            <v>2</v>
          </cell>
          <cell r="AG223">
            <v>8</v>
          </cell>
          <cell r="AH223">
            <v>6</v>
          </cell>
          <cell r="AI223">
            <v>6</v>
          </cell>
          <cell r="AP223" t="str">
            <v>Bluff,Concentration,Diplomacy,Disguise,Hide,Intimidate,Knowledge (any),Listen,Move Silently,Sense Motive,Spot</v>
          </cell>
          <cell r="AT223" t="str">
            <v>Common, Undercommon</v>
          </cell>
          <cell r="AU223" t="str">
            <v>Abyssal, Aquan, Draconic, Dwarven, Elven, Gnome, Infernal, Terran</v>
          </cell>
          <cell r="AV223">
            <v>8</v>
          </cell>
          <cell r="AX223">
            <v>7</v>
          </cell>
          <cell r="AY223" t="str">
            <v>Wizard</v>
          </cell>
          <cell r="AZ223" t="str">
            <v/>
          </cell>
          <cell r="BA223" t="str">
            <v/>
          </cell>
          <cell r="BB223" t="str">
            <v/>
          </cell>
          <cell r="BL223" t="str">
            <v>MM</v>
          </cell>
          <cell r="BM223">
            <v>186</v>
          </cell>
        </row>
        <row r="224">
          <cell r="A224" t="str">
            <v>Minotaur</v>
          </cell>
          <cell r="C224" t="str">
            <v>Large</v>
          </cell>
          <cell r="D224" t="str">
            <v>Monstrous Humanoid</v>
          </cell>
          <cell r="F224">
            <v>6</v>
          </cell>
          <cell r="G224">
            <v>30</v>
          </cell>
          <cell r="M224">
            <v>5</v>
          </cell>
          <cell r="N224" t="str">
            <v>Gore+5+0+1</v>
          </cell>
          <cell r="P224" t="str">
            <v/>
          </cell>
          <cell r="T224">
            <v>60</v>
          </cell>
          <cell r="W224" t="str">
            <v/>
          </cell>
          <cell r="X224" t="str">
            <v/>
          </cell>
          <cell r="AD224">
            <v>8</v>
          </cell>
          <cell r="AE224">
            <v>2</v>
          </cell>
          <cell r="AF224">
            <v>4</v>
          </cell>
          <cell r="AG224">
            <v>-4</v>
          </cell>
          <cell r="AI224">
            <v>-2</v>
          </cell>
          <cell r="AP224" t="str">
            <v>Intimidate,Listen+4,Search+4,Spot+4</v>
          </cell>
          <cell r="AR224" t="str">
            <v>Greataxe</v>
          </cell>
          <cell r="AT224" t="str">
            <v>Common, Giant</v>
          </cell>
          <cell r="AU224" t="str">
            <v>Orc, Goblin, Terran</v>
          </cell>
          <cell r="AV224">
            <v>4</v>
          </cell>
          <cell r="AX224">
            <v>2</v>
          </cell>
          <cell r="AY224" t="str">
            <v>Barbarian</v>
          </cell>
          <cell r="AZ224" t="str">
            <v/>
          </cell>
          <cell r="BA224" t="str">
            <v/>
          </cell>
          <cell r="BB224" t="str">
            <v/>
          </cell>
          <cell r="BL224" t="str">
            <v>MM</v>
          </cell>
          <cell r="BM224">
            <v>188</v>
          </cell>
          <cell r="BN224" t="str">
            <v>DCS</v>
          </cell>
        </row>
        <row r="225">
          <cell r="A225" t="str">
            <v>Mongrelfolk</v>
          </cell>
          <cell r="C225" t="str">
            <v>Medium</v>
          </cell>
          <cell r="D225" t="str">
            <v>Humanoid</v>
          </cell>
          <cell r="E225" t="str">
            <v>Human</v>
          </cell>
          <cell r="G225">
            <v>30</v>
          </cell>
          <cell r="P225" t="str">
            <v/>
          </cell>
          <cell r="V225" t="str">
            <v>sleep effects</v>
          </cell>
          <cell r="W225" t="str">
            <v/>
          </cell>
          <cell r="X225" t="str">
            <v/>
          </cell>
          <cell r="AF225">
            <v>4</v>
          </cell>
          <cell r="AG225">
            <v>-2</v>
          </cell>
          <cell r="AI225">
            <v>-4</v>
          </cell>
          <cell r="AP225" t="str">
            <v>Appraise+1,Climb+1,Hide+4,Jump+1,Listen+1,Move Silently+1,Search+1,Sleight of Hand+4,Spot+1</v>
          </cell>
          <cell r="AT225" t="str">
            <v>Common</v>
          </cell>
          <cell r="AU225" t="str">
            <v>Any</v>
          </cell>
          <cell r="AY225" t="str">
            <v>Rogue</v>
          </cell>
          <cell r="AZ225" t="str">
            <v>15+1d4/1d6/2d6</v>
          </cell>
          <cell r="BA225" t="str">
            <v>4'4"/4'3"+2d6</v>
          </cell>
          <cell r="BB225" t="str">
            <v>100/85+2d6</v>
          </cell>
          <cell r="BL225" t="str">
            <v>RoD</v>
          </cell>
          <cell r="BM225">
            <v>98</v>
          </cell>
          <cell r="BN225" t="str">
            <v>FF</v>
          </cell>
        </row>
        <row r="226">
          <cell r="A226" t="str">
            <v>Narzugon</v>
          </cell>
          <cell r="C226" t="str">
            <v>Medium</v>
          </cell>
          <cell r="D226" t="str">
            <v>Outsider</v>
          </cell>
          <cell r="E226" t="str">
            <v>Baatezu, Evil, Extraplanar, Lawful</v>
          </cell>
          <cell r="F226">
            <v>7</v>
          </cell>
          <cell r="G226">
            <v>30</v>
          </cell>
          <cell r="M226">
            <v>2</v>
          </cell>
          <cell r="P226" t="str">
            <v>Scorching Ray (at will), Mount (3/day).</v>
          </cell>
          <cell r="V226" t="str">
            <v>fire, poison</v>
          </cell>
          <cell r="X226" t="str">
            <v>acid 10, cold 10</v>
          </cell>
          <cell r="Y226">
            <v>15</v>
          </cell>
          <cell r="Z226" t="str">
            <v>10/good</v>
          </cell>
          <cell r="AD226">
            <v>6</v>
          </cell>
          <cell r="AE226">
            <v>2</v>
          </cell>
          <cell r="AF226">
            <v>4</v>
          </cell>
          <cell r="AH226">
            <v>2</v>
          </cell>
          <cell r="AI226">
            <v>2</v>
          </cell>
          <cell r="AP226" t="str">
            <v>Balance,Climb,Escape Artist,Handle Animal,Intimidate,Knowledge (the planes),Listen,Ride,Spot,Survival,Use Rope</v>
          </cell>
          <cell r="AT226" t="str">
            <v>Common, Celestial, Draconic, Infernal</v>
          </cell>
          <cell r="AV226">
            <v>5</v>
          </cell>
          <cell r="AX226">
            <v>4</v>
          </cell>
          <cell r="AY226" t="str">
            <v>Fighter</v>
          </cell>
          <cell r="BL226" t="str">
            <v>FCII</v>
          </cell>
          <cell r="BM226">
            <v>125</v>
          </cell>
        </row>
        <row r="227">
          <cell r="A227" t="str">
            <v>Neanderthal</v>
          </cell>
          <cell r="C227" t="str">
            <v>Medium</v>
          </cell>
          <cell r="D227" t="str">
            <v>Humanoid</v>
          </cell>
          <cell r="E227" t="str">
            <v>Human</v>
          </cell>
          <cell r="G227">
            <v>30</v>
          </cell>
          <cell r="P227" t="str">
            <v/>
          </cell>
          <cell r="W227" t="str">
            <v/>
          </cell>
          <cell r="X227" t="str">
            <v/>
          </cell>
          <cell r="AD227">
            <v>2</v>
          </cell>
          <cell r="AE227">
            <v>-2</v>
          </cell>
          <cell r="AF227">
            <v>2</v>
          </cell>
          <cell r="AG227">
            <v>-2</v>
          </cell>
          <cell r="AP227" t="str">
            <v>Listen+2,Spot+2,Survival+2</v>
          </cell>
          <cell r="AT227" t="str">
            <v>Common</v>
          </cell>
          <cell r="AU227" t="str">
            <v>Dwarven, Giant, Orc</v>
          </cell>
          <cell r="AY227" t="str">
            <v>Barbarian</v>
          </cell>
          <cell r="AZ227" t="str">
            <v>14+1d4/1d6/3d6</v>
          </cell>
          <cell r="BA227" t="str">
            <v>6'6"/6'6"+2d8</v>
          </cell>
          <cell r="BB227" t="str">
            <v>200/150+2d4</v>
          </cell>
          <cell r="BL227" t="str">
            <v>Frost</v>
          </cell>
          <cell r="BM227">
            <v>145</v>
          </cell>
        </row>
        <row r="228">
          <cell r="A228" t="str">
            <v>Neraph</v>
          </cell>
          <cell r="C228" t="str">
            <v>Medium</v>
          </cell>
          <cell r="D228" t="str">
            <v>Outsider</v>
          </cell>
          <cell r="E228" t="str">
            <v>Extraplanar</v>
          </cell>
          <cell r="G228">
            <v>30</v>
          </cell>
          <cell r="M228">
            <v>2</v>
          </cell>
          <cell r="P228" t="str">
            <v/>
          </cell>
          <cell r="T228">
            <v>60</v>
          </cell>
          <cell r="W228" t="str">
            <v/>
          </cell>
          <cell r="X228" t="str">
            <v/>
          </cell>
          <cell r="AP228" t="str">
            <v>Jump+5,Search+2,Spot+2</v>
          </cell>
          <cell r="AQ228" t="str">
            <v>Annulat</v>
          </cell>
          <cell r="AT228" t="str">
            <v>Neraph, Slaad</v>
          </cell>
          <cell r="AU228" t="str">
            <v>Common, Celestial, Abyssal</v>
          </cell>
          <cell r="AY228" t="str">
            <v>Ranger</v>
          </cell>
          <cell r="AZ228" t="str">
            <v>40+3d6/5d6/7d6</v>
          </cell>
          <cell r="BA228" t="str">
            <v>4'10"/4'5"+2d10</v>
          </cell>
          <cell r="BB228" t="str">
            <v>120/85+2d4</v>
          </cell>
          <cell r="BL228" t="str">
            <v>PlH</v>
          </cell>
        </row>
        <row r="229">
          <cell r="A229" t="str">
            <v>Nerra, Kalareem</v>
          </cell>
          <cell r="C229" t="str">
            <v>Medium</v>
          </cell>
          <cell r="D229" t="str">
            <v>Outsider</v>
          </cell>
          <cell r="E229" t="str">
            <v>Extraplanar</v>
          </cell>
          <cell r="F229">
            <v>3</v>
          </cell>
          <cell r="G229">
            <v>30</v>
          </cell>
          <cell r="M229">
            <v>5</v>
          </cell>
          <cell r="P229" t="str">
            <v>Mirror Image</v>
          </cell>
          <cell r="V229" t="str">
            <v>gaze attacks</v>
          </cell>
          <cell r="W229" t="str">
            <v>sonic</v>
          </cell>
          <cell r="X229" t="str">
            <v>cold 10, electricity 10, fire10</v>
          </cell>
          <cell r="AD229">
            <v>2</v>
          </cell>
          <cell r="AE229">
            <v>6</v>
          </cell>
          <cell r="AF229">
            <v>4</v>
          </cell>
          <cell r="AH229">
            <v>4</v>
          </cell>
          <cell r="AI229">
            <v>2</v>
          </cell>
          <cell r="AP229" t="str">
            <v>Bluff,Diplomacy,Disguise,Hide,Intimidate,Knowledge (any),Listen,Move Silently,Sense Motive,Spot</v>
          </cell>
          <cell r="AS229" t="str">
            <v>Exotic Weapon Proficiency(shard longsword), Weapon Focus(shard longsword)</v>
          </cell>
          <cell r="AT229" t="str">
            <v>Common, Nerran</v>
          </cell>
          <cell r="AV229">
            <v>3</v>
          </cell>
          <cell r="AX229">
            <v>6</v>
          </cell>
          <cell r="AY229" t="str">
            <v>Fighter</v>
          </cell>
          <cell r="AZ229" t="str">
            <v/>
          </cell>
          <cell r="BA229" t="str">
            <v/>
          </cell>
          <cell r="BB229" t="str">
            <v/>
          </cell>
          <cell r="BL229" t="str">
            <v>FF</v>
          </cell>
          <cell r="BM229">
            <v>128</v>
          </cell>
        </row>
        <row r="230">
          <cell r="A230" t="str">
            <v>Nerra, Sillit</v>
          </cell>
          <cell r="C230" t="str">
            <v>Medium</v>
          </cell>
          <cell r="D230" t="str">
            <v>Outsider</v>
          </cell>
          <cell r="E230" t="str">
            <v>Extraplanar</v>
          </cell>
          <cell r="F230">
            <v>7</v>
          </cell>
          <cell r="G230">
            <v>30</v>
          </cell>
          <cell r="M230">
            <v>5</v>
          </cell>
          <cell r="P230" t="str">
            <v>Change Self, False Vision, Mirror Image (at will); Mislead (3/day)</v>
          </cell>
          <cell r="V230" t="str">
            <v>gaze attacks</v>
          </cell>
          <cell r="W230" t="str">
            <v>sonic</v>
          </cell>
          <cell r="X230" t="str">
            <v>cold 15, electricity 15, fire15</v>
          </cell>
          <cell r="AD230">
            <v>2</v>
          </cell>
          <cell r="AE230">
            <v>4</v>
          </cell>
          <cell r="AF230">
            <v>4</v>
          </cell>
          <cell r="AG230">
            <v>6</v>
          </cell>
          <cell r="AH230">
            <v>4</v>
          </cell>
          <cell r="AI230">
            <v>8</v>
          </cell>
          <cell r="AP230" t="str">
            <v>Bluff,Diplomacy,Disguise,Gather Information,Hide,Intimidate,Knowledge (the planes),Listen,Move Silently,Search,Sense Motive,Spot,Survival</v>
          </cell>
          <cell r="AS230" t="str">
            <v>Exotic Weapon Proficiency(shard longsword), Weapon Focus(shard longsword)</v>
          </cell>
          <cell r="AT230" t="str">
            <v>Common, Nerran</v>
          </cell>
          <cell r="AV230">
            <v>6</v>
          </cell>
          <cell r="AX230">
            <v>18</v>
          </cell>
          <cell r="AY230" t="str">
            <v>Wizard</v>
          </cell>
          <cell r="AZ230" t="str">
            <v/>
          </cell>
          <cell r="BA230" t="str">
            <v/>
          </cell>
          <cell r="BB230" t="str">
            <v/>
          </cell>
          <cell r="BL230" t="str">
            <v>FF</v>
          </cell>
          <cell r="BM230">
            <v>129</v>
          </cell>
        </row>
        <row r="231">
          <cell r="A231" t="str">
            <v>Nerra, Varoot</v>
          </cell>
          <cell r="C231" t="str">
            <v>Medium</v>
          </cell>
          <cell r="D231" t="str">
            <v>Outsider</v>
          </cell>
          <cell r="E231" t="str">
            <v>Extraplanar</v>
          </cell>
          <cell r="G231">
            <v>30</v>
          </cell>
          <cell r="M231">
            <v>3</v>
          </cell>
          <cell r="P231" t="str">
            <v>Change Self; Mirror Image (3/day)</v>
          </cell>
          <cell r="V231" t="str">
            <v>gaze attacks</v>
          </cell>
          <cell r="W231" t="str">
            <v>sonic</v>
          </cell>
          <cell r="X231" t="str">
            <v>cold 5, electricity 5, fire 5</v>
          </cell>
          <cell r="AE231">
            <v>4</v>
          </cell>
          <cell r="AF231">
            <v>2</v>
          </cell>
          <cell r="AH231">
            <v>4</v>
          </cell>
          <cell r="AI231">
            <v>6</v>
          </cell>
          <cell r="AP231" t="str">
            <v>Bluff,Diplomacy,Disguise,Gather Information,Intimidate,Knowledge (any),Listen,Sense Motive,Sleight of Hand,Spot</v>
          </cell>
          <cell r="AS231" t="str">
            <v>Exotic Weapon Proficiency(shard longsword), Exotic Weapon Proficiency(shard dagger)</v>
          </cell>
          <cell r="AT231" t="str">
            <v>Common, Nerran</v>
          </cell>
          <cell r="AV231">
            <v>1</v>
          </cell>
          <cell r="AX231">
            <v>3</v>
          </cell>
          <cell r="AY231" t="str">
            <v>Rogue</v>
          </cell>
          <cell r="AZ231" t="str">
            <v/>
          </cell>
          <cell r="BA231" t="str">
            <v/>
          </cell>
          <cell r="BB231" t="str">
            <v/>
          </cell>
          <cell r="BL231" t="str">
            <v>FF</v>
          </cell>
          <cell r="BM231">
            <v>130</v>
          </cell>
        </row>
        <row r="232">
          <cell r="A232" t="str">
            <v>Nezumi</v>
          </cell>
          <cell r="C232" t="str">
            <v>Medium</v>
          </cell>
          <cell r="D232" t="str">
            <v>Humanoid</v>
          </cell>
          <cell r="G232">
            <v>40</v>
          </cell>
          <cell r="N232" t="str">
            <v>Bite+4+0+1,Claw+4+0+1</v>
          </cell>
          <cell r="S232" t="str">
            <v>normal</v>
          </cell>
          <cell r="V232" t="str">
            <v>Shadowlands Taint</v>
          </cell>
          <cell r="AF232">
            <v>2</v>
          </cell>
          <cell r="AI232">
            <v>-2</v>
          </cell>
          <cell r="AP232" t="str">
            <v>Hide+2,Move Silently+2</v>
          </cell>
          <cell r="AT232" t="str">
            <v>Common, Nezumi</v>
          </cell>
          <cell r="AU232" t="str">
            <v>Bakemono, Shadowlands</v>
          </cell>
          <cell r="AY232" t="str">
            <v>Rogue</v>
          </cell>
          <cell r="AZ232" t="str">
            <v>5+1d2/1d4/1d8</v>
          </cell>
          <cell r="BA232" t="str">
            <v>5'2"/4'9"+2d4</v>
          </cell>
          <cell r="BB232" t="str">
            <v>140/105+1d6</v>
          </cell>
          <cell r="BL232" t="str">
            <v>OA</v>
          </cell>
          <cell r="BM232">
            <v>13</v>
          </cell>
        </row>
        <row r="233">
          <cell r="A233" t="str">
            <v>Nixie</v>
          </cell>
          <cell r="C233" t="str">
            <v>Small</v>
          </cell>
          <cell r="D233" t="str">
            <v>Fey</v>
          </cell>
          <cell r="E233" t="str">
            <v>Aquatic</v>
          </cell>
          <cell r="G233">
            <v>20</v>
          </cell>
          <cell r="L233">
            <v>30</v>
          </cell>
          <cell r="P233" t="str">
            <v/>
          </cell>
          <cell r="W233" t="str">
            <v/>
          </cell>
          <cell r="X233" t="str">
            <v/>
          </cell>
          <cell r="Y233">
            <v>17</v>
          </cell>
          <cell r="Z233" t="str">
            <v>5/cold iron</v>
          </cell>
          <cell r="AD233">
            <v>-4</v>
          </cell>
          <cell r="AE233">
            <v>6</v>
          </cell>
          <cell r="AG233">
            <v>2</v>
          </cell>
          <cell r="AH233">
            <v>2</v>
          </cell>
          <cell r="AI233">
            <v>8</v>
          </cell>
          <cell r="AP233" t="str">
            <v>Swim+8</v>
          </cell>
          <cell r="AR233" t="str">
            <v>Crossbow, Light;Sword, Short</v>
          </cell>
          <cell r="AS233" t="str">
            <v>Dodge</v>
          </cell>
          <cell r="AT233" t="str">
            <v>Aquan, Sylvan</v>
          </cell>
          <cell r="AU233" t="str">
            <v>Common, Elven, Gnome, Halfling</v>
          </cell>
          <cell r="AV233">
            <v>1</v>
          </cell>
          <cell r="AX233">
            <v>3</v>
          </cell>
          <cell r="AY233" t="str">
            <v>Sorcerer</v>
          </cell>
          <cell r="AZ233" t="str">
            <v/>
          </cell>
          <cell r="BA233" t="str">
            <v/>
          </cell>
          <cell r="BB233" t="str">
            <v/>
          </cell>
          <cell r="BL233" t="str">
            <v>MM</v>
          </cell>
          <cell r="BM233">
            <v>235</v>
          </cell>
        </row>
        <row r="234">
          <cell r="A234" t="str">
            <v>Nycter</v>
          </cell>
          <cell r="C234" t="str">
            <v>Small</v>
          </cell>
          <cell r="D234" t="str">
            <v>Monstrous Humanoid</v>
          </cell>
          <cell r="F234">
            <v>3</v>
          </cell>
          <cell r="G234">
            <v>20</v>
          </cell>
          <cell r="J234">
            <v>40</v>
          </cell>
          <cell r="K234" t="str">
            <v>good</v>
          </cell>
          <cell r="M234">
            <v>3</v>
          </cell>
          <cell r="N234" t="str">
            <v>Bite+5+0+1</v>
          </cell>
          <cell r="P234" t="str">
            <v/>
          </cell>
          <cell r="T234">
            <v>60</v>
          </cell>
          <cell r="W234" t="str">
            <v>sonic</v>
          </cell>
          <cell r="X234" t="str">
            <v/>
          </cell>
          <cell r="AD234">
            <v>-2</v>
          </cell>
          <cell r="AE234">
            <v>4</v>
          </cell>
          <cell r="AH234">
            <v>2</v>
          </cell>
          <cell r="AI234">
            <v>-2</v>
          </cell>
          <cell r="AP234" t="str">
            <v>Craft (any),Listen+2,Spot+2,Survival</v>
          </cell>
          <cell r="AT234" t="str">
            <v>Nycter</v>
          </cell>
          <cell r="AU234" t="str">
            <v>Common, Draconic, Dwarven, Giant, Goblin, Orc</v>
          </cell>
          <cell r="AV234">
            <v>2</v>
          </cell>
          <cell r="AX234">
            <v>2</v>
          </cell>
          <cell r="AY234" t="str">
            <v>Druid</v>
          </cell>
          <cell r="AZ234" t="str">
            <v/>
          </cell>
          <cell r="BA234" t="str">
            <v/>
          </cell>
          <cell r="BB234" t="str">
            <v/>
          </cell>
          <cell r="BL234" t="str">
            <v>MM3</v>
          </cell>
          <cell r="BM234">
            <v>112</v>
          </cell>
        </row>
        <row r="235">
          <cell r="A235" t="str">
            <v>Ogre</v>
          </cell>
          <cell r="C235" t="str">
            <v>Large</v>
          </cell>
          <cell r="D235" t="str">
            <v>Giant</v>
          </cell>
          <cell r="F235">
            <v>4</v>
          </cell>
          <cell r="G235">
            <v>40</v>
          </cell>
          <cell r="M235">
            <v>5</v>
          </cell>
          <cell r="P235" t="str">
            <v/>
          </cell>
          <cell r="S235" t="str">
            <v>normal</v>
          </cell>
          <cell r="W235" t="str">
            <v/>
          </cell>
          <cell r="X235" t="str">
            <v/>
          </cell>
          <cell r="AD235">
            <v>10</v>
          </cell>
          <cell r="AE235">
            <v>-2</v>
          </cell>
          <cell r="AF235">
            <v>4</v>
          </cell>
          <cell r="AG235">
            <v>-4</v>
          </cell>
          <cell r="AI235">
            <v>-4</v>
          </cell>
          <cell r="AP235" t="str">
            <v>Climb,Listen,Spot</v>
          </cell>
          <cell r="AT235" t="str">
            <v>Common, Giant</v>
          </cell>
          <cell r="AU235" t="str">
            <v>Dwarven, Orc, Goblin, Terran</v>
          </cell>
          <cell r="AV235">
            <v>3</v>
          </cell>
          <cell r="AX235">
            <v>2</v>
          </cell>
          <cell r="AY235" t="str">
            <v>Barbarian</v>
          </cell>
          <cell r="AZ235" t="str">
            <v/>
          </cell>
          <cell r="BA235" t="str">
            <v/>
          </cell>
          <cell r="BB235" t="str">
            <v/>
          </cell>
          <cell r="BL235" t="str">
            <v>MM</v>
          </cell>
          <cell r="BM235">
            <v>198</v>
          </cell>
          <cell r="BN235" t="str">
            <v>DCS</v>
          </cell>
        </row>
        <row r="236">
          <cell r="A236" t="str">
            <v>Ogre Mage</v>
          </cell>
          <cell r="C236" t="str">
            <v>Large</v>
          </cell>
          <cell r="D236" t="str">
            <v>Giant</v>
          </cell>
          <cell r="F236">
            <v>5</v>
          </cell>
          <cell r="G236">
            <v>40</v>
          </cell>
          <cell r="J236">
            <v>40</v>
          </cell>
          <cell r="K236" t="str">
            <v>good</v>
          </cell>
          <cell r="M236">
            <v>5</v>
          </cell>
          <cell r="P236" t="str">
            <v>Darkness, Invisibility (at will); Charm Person (DC 10), Cone Of Cold (DC 14), Gaseous Form, Sleep (DC 10)</v>
          </cell>
          <cell r="S236" t="str">
            <v>normal</v>
          </cell>
          <cell r="T236">
            <v>90</v>
          </cell>
          <cell r="W236" t="str">
            <v/>
          </cell>
          <cell r="X236" t="str">
            <v/>
          </cell>
          <cell r="Y236">
            <v>20</v>
          </cell>
          <cell r="AD236">
            <v>10</v>
          </cell>
          <cell r="AF236">
            <v>6</v>
          </cell>
          <cell r="AG236">
            <v>4</v>
          </cell>
          <cell r="AH236">
            <v>4</v>
          </cell>
          <cell r="AI236">
            <v>6</v>
          </cell>
          <cell r="AP236" t="str">
            <v>Concentration,Listen,Spellcraft,Spot</v>
          </cell>
          <cell r="AT236" t="str">
            <v>Common, Giant</v>
          </cell>
          <cell r="AU236" t="str">
            <v>Dwarven, Goblin, Infernal, Orc</v>
          </cell>
          <cell r="AV236">
            <v>8</v>
          </cell>
          <cell r="AX236">
            <v>7</v>
          </cell>
          <cell r="AY236" t="str">
            <v>Sorcerer</v>
          </cell>
          <cell r="AZ236" t="str">
            <v/>
          </cell>
          <cell r="BA236" t="str">
            <v/>
          </cell>
          <cell r="BB236" t="str">
            <v/>
          </cell>
          <cell r="BL236" t="str">
            <v>MM</v>
          </cell>
          <cell r="BM236">
            <v>200</v>
          </cell>
        </row>
        <row r="237">
          <cell r="A237" t="str">
            <v>Ogre, Irda</v>
          </cell>
          <cell r="C237" t="str">
            <v>Medium</v>
          </cell>
          <cell r="D237" t="str">
            <v>Humanoid</v>
          </cell>
          <cell r="E237" t="str">
            <v>Shapechanger</v>
          </cell>
          <cell r="G237">
            <v>30</v>
          </cell>
          <cell r="P237" t="str">
            <v>Dancing Lights, Detect Magic, Flare, Ghost Sound, Light, Mage Hand. (DC 9)</v>
          </cell>
          <cell r="S237" t="str">
            <v>normal</v>
          </cell>
          <cell r="W237" t="str">
            <v/>
          </cell>
          <cell r="X237" t="str">
            <v/>
          </cell>
          <cell r="AF237">
            <v>-2</v>
          </cell>
          <cell r="AG237">
            <v>2</v>
          </cell>
          <cell r="AI237">
            <v>2</v>
          </cell>
          <cell r="AT237" t="str">
            <v>Common, High Ogre</v>
          </cell>
          <cell r="AU237" t="str">
            <v>Dwarven, Elven, Kothian, Sylvan</v>
          </cell>
          <cell r="AX237">
            <v>2</v>
          </cell>
          <cell r="AY237" t="str">
            <v>Wizard</v>
          </cell>
          <cell r="AZ237" t="str">
            <v/>
          </cell>
          <cell r="BA237" t="str">
            <v/>
          </cell>
          <cell r="BB237" t="str">
            <v/>
          </cell>
          <cell r="BL237" t="str">
            <v>DCS</v>
          </cell>
        </row>
        <row r="238">
          <cell r="A238" t="str">
            <v>Ogre, Skullcrusher</v>
          </cell>
          <cell r="C238" t="str">
            <v>Large</v>
          </cell>
          <cell r="D238" t="str">
            <v>Giant</v>
          </cell>
          <cell r="F238">
            <v>8</v>
          </cell>
          <cell r="G238">
            <v>40</v>
          </cell>
          <cell r="M238">
            <v>2</v>
          </cell>
          <cell r="P238" t="str">
            <v/>
          </cell>
          <cell r="S238" t="str">
            <v>normal</v>
          </cell>
          <cell r="W238" t="str">
            <v/>
          </cell>
          <cell r="X238" t="str">
            <v/>
          </cell>
          <cell r="AD238">
            <v>14</v>
          </cell>
          <cell r="AF238">
            <v>6</v>
          </cell>
          <cell r="AI238">
            <v>-2</v>
          </cell>
          <cell r="AP238" t="str">
            <v>Craft (any),Handle Animal,Intimidate,Knowledge (arch &amp; eng),Ride</v>
          </cell>
          <cell r="AS238" t="str">
            <v>Improved Grapple, Two-Weapon Fighting</v>
          </cell>
          <cell r="AT238" t="str">
            <v>Common, Giant</v>
          </cell>
          <cell r="AU238" t="str">
            <v>Dwarven, Orc, Goblin, Terran</v>
          </cell>
          <cell r="AV238">
            <v>5</v>
          </cell>
          <cell r="AX238">
            <v>3</v>
          </cell>
          <cell r="AY238" t="str">
            <v>Fighter</v>
          </cell>
          <cell r="AZ238" t="str">
            <v/>
          </cell>
          <cell r="BA238" t="str">
            <v/>
          </cell>
          <cell r="BB238" t="str">
            <v/>
          </cell>
          <cell r="BL238" t="str">
            <v>MM3</v>
          </cell>
          <cell r="BM238">
            <v>116</v>
          </cell>
        </row>
        <row r="239">
          <cell r="A239" t="str">
            <v>Orc</v>
          </cell>
          <cell r="C239" t="str">
            <v>Medium</v>
          </cell>
          <cell r="D239" t="str">
            <v>Humanoid</v>
          </cell>
          <cell r="E239" t="str">
            <v>Orc</v>
          </cell>
          <cell r="G239">
            <v>30</v>
          </cell>
          <cell r="P239" t="str">
            <v/>
          </cell>
          <cell r="W239" t="str">
            <v/>
          </cell>
          <cell r="X239" t="str">
            <v/>
          </cell>
          <cell r="AD239">
            <v>4</v>
          </cell>
          <cell r="AG239">
            <v>-2</v>
          </cell>
          <cell r="AH239">
            <v>-2</v>
          </cell>
          <cell r="AI239">
            <v>-2</v>
          </cell>
          <cell r="AT239" t="str">
            <v>Common, Orc</v>
          </cell>
          <cell r="AU239" t="str">
            <v>Dwarven, Giant, Gnoll, Goblin, Undercommon</v>
          </cell>
          <cell r="AY239" t="str">
            <v>Barbarian</v>
          </cell>
          <cell r="AZ239" t="str">
            <v/>
          </cell>
          <cell r="BA239" t="str">
            <v/>
          </cell>
          <cell r="BB239" t="str">
            <v/>
          </cell>
          <cell r="BL239" t="str">
            <v>MM</v>
          </cell>
          <cell r="BM239">
            <v>203</v>
          </cell>
        </row>
        <row r="240">
          <cell r="A240" t="str">
            <v>Orc, Deep</v>
          </cell>
          <cell r="C240" t="str">
            <v>Medium</v>
          </cell>
          <cell r="D240" t="str">
            <v>Humanoid</v>
          </cell>
          <cell r="E240" t="str">
            <v>Orc</v>
          </cell>
          <cell r="G240">
            <v>30</v>
          </cell>
          <cell r="M240">
            <v>2</v>
          </cell>
          <cell r="P240" t="str">
            <v/>
          </cell>
          <cell r="T240">
            <v>120</v>
          </cell>
          <cell r="W240" t="str">
            <v/>
          </cell>
          <cell r="X240" t="str">
            <v>fire 5, cold 5</v>
          </cell>
          <cell r="AD240">
            <v>6</v>
          </cell>
          <cell r="AE240">
            <v>-2</v>
          </cell>
          <cell r="AH240">
            <v>-2</v>
          </cell>
          <cell r="AI240">
            <v>2</v>
          </cell>
          <cell r="AP240" t="str">
            <v>Craft (armorsmithing)+2,Craft (weaponsmithing)+2</v>
          </cell>
          <cell r="AR240" t="str">
            <v>Axe, Throwing;Greatsword</v>
          </cell>
          <cell r="AT240" t="str">
            <v>Orc, Undercommon</v>
          </cell>
          <cell r="AU240" t="str">
            <v>Common, Dwarven, Elven, Goblin, Giant</v>
          </cell>
          <cell r="AX240">
            <v>2</v>
          </cell>
          <cell r="AY240" t="str">
            <v>Fighter</v>
          </cell>
          <cell r="AZ240" t="str">
            <v/>
          </cell>
          <cell r="BA240" t="str">
            <v>5'10"/5'2"+2d10</v>
          </cell>
          <cell r="BB240" t="str">
            <v>160/125+2d6</v>
          </cell>
          <cell r="BL240" t="str">
            <v>RoF</v>
          </cell>
          <cell r="BM240">
            <v>72</v>
          </cell>
        </row>
        <row r="241">
          <cell r="A241" t="str">
            <v>Orc, Frostblood</v>
          </cell>
          <cell r="C241" t="str">
            <v>Medium</v>
          </cell>
          <cell r="D241" t="str">
            <v>Humanoid</v>
          </cell>
          <cell r="E241" t="str">
            <v>Dragonblood, Orc</v>
          </cell>
          <cell r="G241">
            <v>30</v>
          </cell>
          <cell r="P241" t="str">
            <v/>
          </cell>
          <cell r="W241" t="str">
            <v>fire</v>
          </cell>
          <cell r="X241" t="str">
            <v>cold 10</v>
          </cell>
          <cell r="AD241">
            <v>4</v>
          </cell>
          <cell r="AG241">
            <v>-2</v>
          </cell>
          <cell r="AH241">
            <v>-2</v>
          </cell>
          <cell r="AI241">
            <v>-2</v>
          </cell>
          <cell r="AS241" t="str">
            <v>Endurance</v>
          </cell>
          <cell r="AT241" t="str">
            <v>Common, Orc</v>
          </cell>
          <cell r="AU241" t="str">
            <v>Dwarven, Giant, Gnoll, Goblin, Undercommon</v>
          </cell>
          <cell r="AY241" t="str">
            <v>Barbarian</v>
          </cell>
          <cell r="AZ241" t="str">
            <v/>
          </cell>
          <cell r="BA241" t="str">
            <v/>
          </cell>
          <cell r="BB241" t="str">
            <v/>
          </cell>
          <cell r="BL241" t="str">
            <v>DrM</v>
          </cell>
        </row>
        <row r="242">
          <cell r="A242" t="str">
            <v>Orc, Gray</v>
          </cell>
          <cell r="C242" t="str">
            <v>Medium</v>
          </cell>
          <cell r="D242" t="str">
            <v>Humanoid</v>
          </cell>
          <cell r="E242" t="str">
            <v>Orc</v>
          </cell>
          <cell r="G242">
            <v>40</v>
          </cell>
          <cell r="P242" t="str">
            <v/>
          </cell>
          <cell r="T242">
            <v>60</v>
          </cell>
          <cell r="W242" t="str">
            <v/>
          </cell>
          <cell r="X242" t="str">
            <v/>
          </cell>
          <cell r="AD242">
            <v>2</v>
          </cell>
          <cell r="AG242">
            <v>-2</v>
          </cell>
          <cell r="AH242">
            <v>2</v>
          </cell>
          <cell r="AI242">
            <v>-2</v>
          </cell>
          <cell r="AR242" t="str">
            <v>Greataxe;Longbow;Longbow, Composite</v>
          </cell>
          <cell r="AT242" t="str">
            <v>Common, Orc</v>
          </cell>
          <cell r="AU242" t="str">
            <v>Draconic, Giant, Goblin</v>
          </cell>
          <cell r="AX242">
            <v>1</v>
          </cell>
          <cell r="AY242" t="str">
            <v>Cleric</v>
          </cell>
          <cell r="AZ242" t="str">
            <v>14+1d4/1d6/2d6</v>
          </cell>
          <cell r="BA242" t="str">
            <v>4'10"/4'5"+2d12</v>
          </cell>
          <cell r="BB242" t="str">
            <v>150/110+2d6</v>
          </cell>
          <cell r="BL242" t="str">
            <v>RoF</v>
          </cell>
        </row>
        <row r="243">
          <cell r="A243" t="str">
            <v>Orc, Mountain</v>
          </cell>
          <cell r="C243" t="str">
            <v>Medium</v>
          </cell>
          <cell r="D243" t="str">
            <v>Humanoid</v>
          </cell>
          <cell r="E243" t="str">
            <v>Orc</v>
          </cell>
          <cell r="G243">
            <v>30</v>
          </cell>
          <cell r="P243" t="str">
            <v/>
          </cell>
          <cell r="W243" t="str">
            <v/>
          </cell>
          <cell r="X243" t="str">
            <v/>
          </cell>
          <cell r="AD243">
            <v>4</v>
          </cell>
          <cell r="AG243">
            <v>-2</v>
          </cell>
          <cell r="AH243">
            <v>-2</v>
          </cell>
          <cell r="AI243">
            <v>-2</v>
          </cell>
          <cell r="AR243" t="str">
            <v>Greataxe;Javelin</v>
          </cell>
          <cell r="AT243" t="str">
            <v>Common, Orc</v>
          </cell>
          <cell r="AU243" t="str">
            <v>Draconic, Dwarven, Giant, Goblin</v>
          </cell>
          <cell r="AY243" t="str">
            <v>Barbarian</v>
          </cell>
          <cell r="AZ243" t="str">
            <v>14+1d4/1d6/2d6</v>
          </cell>
          <cell r="BA243" t="str">
            <v>5'8"/5'0"+2d10</v>
          </cell>
          <cell r="BB243" t="str">
            <v>150/115+2d6</v>
          </cell>
          <cell r="BL243" t="str">
            <v>RoF</v>
          </cell>
        </row>
        <row r="244">
          <cell r="A244" t="str">
            <v>Pixie</v>
          </cell>
          <cell r="C244" t="str">
            <v>Small</v>
          </cell>
          <cell r="D244" t="str">
            <v>Fey</v>
          </cell>
          <cell r="F244">
            <v>0</v>
          </cell>
          <cell r="G244">
            <v>20</v>
          </cell>
          <cell r="J244">
            <v>60</v>
          </cell>
          <cell r="K244" t="str">
            <v>good</v>
          </cell>
          <cell r="M244">
            <v>1</v>
          </cell>
          <cell r="P244" t="str">
            <v>Lesser Confusion (DC 10), Dancing Lights, Detect Chaos, Detect Good, Detect Evil, Detect Law, Detect Thoughts (DC 11), Dispel Magic, Entangle (DC 10), Permanent Image (DC 15)</v>
          </cell>
          <cell r="W244" t="str">
            <v/>
          </cell>
          <cell r="X244" t="str">
            <v/>
          </cell>
          <cell r="Y244">
            <v>16</v>
          </cell>
          <cell r="Z244" t="str">
            <v>10/cold iron</v>
          </cell>
          <cell r="AD244">
            <v>-4</v>
          </cell>
          <cell r="AE244">
            <v>8</v>
          </cell>
          <cell r="AG244">
            <v>6</v>
          </cell>
          <cell r="AH244">
            <v>4</v>
          </cell>
          <cell r="AI244">
            <v>6</v>
          </cell>
          <cell r="AP244" t="str">
            <v>Listen+2,Search+2,Spot+2</v>
          </cell>
          <cell r="AR244" t="str">
            <v>Longbow;Longbow, Composite;Sword, Short</v>
          </cell>
          <cell r="AS244" t="str">
            <v>Dodge, Weapon Finesse</v>
          </cell>
          <cell r="AT244" t="str">
            <v>Common, Sylvan</v>
          </cell>
          <cell r="AU244" t="str">
            <v>Elven, Gnome, Halfling</v>
          </cell>
          <cell r="AV244">
            <v>4</v>
          </cell>
          <cell r="AX244">
            <v>4</v>
          </cell>
          <cell r="AY244" t="str">
            <v>Sorcerer</v>
          </cell>
          <cell r="AZ244" t="str">
            <v/>
          </cell>
          <cell r="BA244" t="str">
            <v/>
          </cell>
          <cell r="BB244" t="str">
            <v/>
          </cell>
          <cell r="BL244" t="str">
            <v>MM</v>
          </cell>
          <cell r="BM244">
            <v>236</v>
          </cell>
        </row>
        <row r="245">
          <cell r="A245" t="str">
            <v>Quaraphon</v>
          </cell>
          <cell r="C245" t="str">
            <v>Large(long)</v>
          </cell>
          <cell r="D245" t="str">
            <v>Aberration</v>
          </cell>
          <cell r="F245">
            <v>9</v>
          </cell>
          <cell r="G245">
            <v>40</v>
          </cell>
          <cell r="M245">
            <v>7</v>
          </cell>
          <cell r="N245" t="str">
            <v>Bite+4+0+2,2 Hooves+4+0+2</v>
          </cell>
          <cell r="P245" t="str">
            <v/>
          </cell>
          <cell r="T245">
            <v>60</v>
          </cell>
          <cell r="W245" t="str">
            <v/>
          </cell>
          <cell r="X245" t="str">
            <v/>
          </cell>
          <cell r="AD245">
            <v>10</v>
          </cell>
          <cell r="AF245">
            <v>12</v>
          </cell>
          <cell r="AG245">
            <v>-4</v>
          </cell>
          <cell r="AH245">
            <v>4</v>
          </cell>
          <cell r="AP245" t="str">
            <v>Intimidate,Listen,Spot,Survival</v>
          </cell>
          <cell r="AT245" t="str">
            <v>Giant</v>
          </cell>
          <cell r="AV245">
            <v>5</v>
          </cell>
          <cell r="AX245">
            <v>5</v>
          </cell>
          <cell r="AY245" t="str">
            <v>Barbarian</v>
          </cell>
          <cell r="AZ245" t="str">
            <v/>
          </cell>
          <cell r="BA245" t="str">
            <v/>
          </cell>
          <cell r="BB245" t="str">
            <v/>
          </cell>
          <cell r="BL245" t="str">
            <v>MM3</v>
          </cell>
          <cell r="BM245">
            <v>128</v>
          </cell>
        </row>
        <row r="246">
          <cell r="A246" t="str">
            <v>Rakshasa</v>
          </cell>
          <cell r="C246" t="str">
            <v>Medium</v>
          </cell>
          <cell r="D246" t="str">
            <v>Outsider</v>
          </cell>
          <cell r="E246" t="str">
            <v>Native</v>
          </cell>
          <cell r="F246">
            <v>7</v>
          </cell>
          <cell r="G246">
            <v>40</v>
          </cell>
          <cell r="M246">
            <v>9</v>
          </cell>
          <cell r="N246" t="str">
            <v>2 Claws+4+0+1,Bite+5+0+0</v>
          </cell>
          <cell r="P246" t="str">
            <v/>
          </cell>
          <cell r="W246" t="str">
            <v/>
          </cell>
          <cell r="X246" t="str">
            <v/>
          </cell>
          <cell r="Y246">
            <v>28</v>
          </cell>
          <cell r="Z246" t="str">
            <v>15/good and piercing</v>
          </cell>
          <cell r="AD246">
            <v>2</v>
          </cell>
          <cell r="AE246">
            <v>4</v>
          </cell>
          <cell r="AF246">
            <v>6</v>
          </cell>
          <cell r="AG246">
            <v>2</v>
          </cell>
          <cell r="AH246">
            <v>2</v>
          </cell>
          <cell r="AI246">
            <v>6</v>
          </cell>
          <cell r="AP246" t="str">
            <v>Bluff+4,Concentration,Diplomacy,Disguise+4,Intimidate,Listen,Move Silently,Perform (any),Sense Motive,Spellcraft,Spot</v>
          </cell>
          <cell r="AT246" t="str">
            <v>Common, Infernal</v>
          </cell>
          <cell r="AU246" t="str">
            <v>Sylvan, Undercommon</v>
          </cell>
          <cell r="AV246">
            <v>10</v>
          </cell>
          <cell r="AX246">
            <v>7</v>
          </cell>
          <cell r="AY246" t="str">
            <v>Sorcerer</v>
          </cell>
          <cell r="AZ246" t="str">
            <v/>
          </cell>
          <cell r="BA246" t="str">
            <v/>
          </cell>
          <cell r="BB246" t="str">
            <v/>
          </cell>
          <cell r="BL246" t="str">
            <v>MM</v>
          </cell>
          <cell r="BM246">
            <v>211</v>
          </cell>
        </row>
        <row r="247">
          <cell r="A247" t="str">
            <v>Rakshasa, Naztharune</v>
          </cell>
          <cell r="C247" t="str">
            <v>Medium</v>
          </cell>
          <cell r="D247" t="str">
            <v>Outsider</v>
          </cell>
          <cell r="E247" t="str">
            <v>Native</v>
          </cell>
          <cell r="F247">
            <v>11</v>
          </cell>
          <cell r="G247">
            <v>40</v>
          </cell>
          <cell r="M247">
            <v>5</v>
          </cell>
          <cell r="N247" t="str">
            <v>2 Claws+4+0+0</v>
          </cell>
          <cell r="P247" t="str">
            <v/>
          </cell>
          <cell r="W247" t="str">
            <v/>
          </cell>
          <cell r="X247" t="str">
            <v/>
          </cell>
          <cell r="Y247">
            <v>22</v>
          </cell>
          <cell r="Z247" t="str">
            <v>15/good and piercing</v>
          </cell>
          <cell r="AD247">
            <v>4</v>
          </cell>
          <cell r="AE247">
            <v>10</v>
          </cell>
          <cell r="AF247">
            <v>8</v>
          </cell>
          <cell r="AG247">
            <v>4</v>
          </cell>
          <cell r="AI247">
            <v>4</v>
          </cell>
          <cell r="AP247" t="str">
            <v>Balance,Bluff+4,Disguise+4,Escape Artist,Hide,Listen,Move Silently,Search,Spot,Use Magic Device</v>
          </cell>
          <cell r="AT247" t="str">
            <v>Common, Infernal</v>
          </cell>
          <cell r="AU247" t="str">
            <v>Sylvan, Undercommon</v>
          </cell>
          <cell r="AV247">
            <v>11</v>
          </cell>
          <cell r="AX247">
            <v>5</v>
          </cell>
          <cell r="AY247" t="str">
            <v>Rogue</v>
          </cell>
          <cell r="AZ247" t="str">
            <v/>
          </cell>
          <cell r="BA247" t="str">
            <v/>
          </cell>
          <cell r="BB247" t="str">
            <v/>
          </cell>
          <cell r="BL247" t="str">
            <v>MM3</v>
          </cell>
          <cell r="BM247">
            <v>136</v>
          </cell>
        </row>
        <row r="248">
          <cell r="A248" t="str">
            <v>Raptoran</v>
          </cell>
          <cell r="C248" t="str">
            <v>Medium</v>
          </cell>
          <cell r="D248" t="str">
            <v>Humanoid</v>
          </cell>
          <cell r="G248">
            <v>30</v>
          </cell>
          <cell r="J248" t="str">
            <v/>
          </cell>
          <cell r="K248" t="str">
            <v/>
          </cell>
          <cell r="P248" t="str">
            <v/>
          </cell>
          <cell r="S248" t="str">
            <v>normal</v>
          </cell>
          <cell r="W248" t="str">
            <v/>
          </cell>
          <cell r="X248" t="str">
            <v/>
          </cell>
          <cell r="AP248" t="str">
            <v>Climb+2,Jump+10,Spot+2</v>
          </cell>
          <cell r="AT248" t="str">
            <v>Common, Tuilvilanuue</v>
          </cell>
          <cell r="AU248" t="str">
            <v>Draconic, Elven, Gnome, Goblin, Orc, Sylvan</v>
          </cell>
          <cell r="AY248" t="str">
            <v>Cleric</v>
          </cell>
          <cell r="AZ248" t="str">
            <v>20+1d6/2d6/3d6</v>
          </cell>
          <cell r="BA248" t="str">
            <v>5'2"/5'2"+2d10</v>
          </cell>
          <cell r="BB248" t="str">
            <v>100/100+2d4</v>
          </cell>
          <cell r="BL248" t="str">
            <v>RotW</v>
          </cell>
          <cell r="BM248">
            <v>65</v>
          </cell>
        </row>
        <row r="249">
          <cell r="A249" t="str">
            <v>Rilkan</v>
          </cell>
          <cell r="C249" t="str">
            <v>Medium</v>
          </cell>
          <cell r="D249" t="str">
            <v>Humanoid</v>
          </cell>
          <cell r="E249" t="str">
            <v>Reptilian</v>
          </cell>
          <cell r="G249">
            <v>30</v>
          </cell>
          <cell r="AD249">
            <v>-2</v>
          </cell>
          <cell r="AE249">
            <v>2</v>
          </cell>
          <cell r="AP249" t="str">
            <v>Bluff+2,Diplomacy+2</v>
          </cell>
          <cell r="AT249" t="str">
            <v>Common</v>
          </cell>
          <cell r="AU249" t="str">
            <v>Any</v>
          </cell>
          <cell r="AY249" t="str">
            <v>Incarnate</v>
          </cell>
          <cell r="AZ249" t="str">
            <v>14+1d4/1d6/2d6</v>
          </cell>
          <cell r="BA249" t="str">
            <v>5'0"/4'8"+2d8</v>
          </cell>
          <cell r="BB249" t="str">
            <v>120/95+1d8</v>
          </cell>
          <cell r="BL249" t="str">
            <v>MoI</v>
          </cell>
          <cell r="BM249">
            <v>12</v>
          </cell>
        </row>
        <row r="250">
          <cell r="A250" t="str">
            <v>Rilmani, Aurumach</v>
          </cell>
          <cell r="C250" t="str">
            <v>Large</v>
          </cell>
          <cell r="D250" t="str">
            <v>Outsider</v>
          </cell>
          <cell r="E250" t="str">
            <v>Extraplanar</v>
          </cell>
          <cell r="F250">
            <v>16</v>
          </cell>
          <cell r="G250">
            <v>50</v>
          </cell>
          <cell r="M250">
            <v>14</v>
          </cell>
          <cell r="P250" t="str">
            <v>Comprehend Languages, Detect Chaos, Detect Evil, Detect Good, Detect Law, Detect Magic, Detect Thoughts, Feather Fall, Sanctuary, Tongues, Charm Monster, Cone of Cold, Greater Dispelling, Magic Circle Against Chaos, Magic Circle Against Evil, Magic Circle Against Good, Magic Circle Against Law, Magic Missile, Mass Suggestion, Teleport Without Error (self +max load of objects) (at will); Dissmissal, Fly, Forbiddance, Heal, Mind Blank, Prismatic Spray, True Seeing (CL 17, Save DC 18+Spell Level) (3/day)</v>
          </cell>
          <cell r="V250" t="str">
            <v>electricity, poison</v>
          </cell>
          <cell r="W250" t="str">
            <v/>
          </cell>
          <cell r="X250" t="str">
            <v>acid 20, sonic 20</v>
          </cell>
          <cell r="Y250">
            <v>30</v>
          </cell>
          <cell r="Z250" t="str">
            <v>15/good or evil or lawful or chaotic</v>
          </cell>
          <cell r="AD250">
            <v>12</v>
          </cell>
          <cell r="AE250">
            <v>8</v>
          </cell>
          <cell r="AF250">
            <v>14</v>
          </cell>
          <cell r="AG250">
            <v>12</v>
          </cell>
          <cell r="AH250">
            <v>14</v>
          </cell>
          <cell r="AI250">
            <v>16</v>
          </cell>
          <cell r="AP250" t="str">
            <v>Concentration,Craft (any),Diplomacy,Knowledge (any),Listen,Search,Sense Motive,Spellcraft,Spot,Survival</v>
          </cell>
          <cell r="AT250" t="str">
            <v>Rilmani, Common, Undercommon, Abyssal, Celestial, Draconic, Infernal, Sylvan</v>
          </cell>
          <cell r="AV250">
            <v>17</v>
          </cell>
          <cell r="AX250">
            <v>9</v>
          </cell>
          <cell r="AY250" t="str">
            <v>Cleric</v>
          </cell>
          <cell r="AZ250" t="str">
            <v/>
          </cell>
          <cell r="BA250" t="str">
            <v/>
          </cell>
          <cell r="BB250" t="str">
            <v/>
          </cell>
          <cell r="BL250" t="str">
            <v>RotW</v>
          </cell>
          <cell r="BM250">
            <v>67</v>
          </cell>
        </row>
        <row r="251">
          <cell r="A251" t="str">
            <v>Rilmani, Cuprilach</v>
          </cell>
          <cell r="C251" t="str">
            <v>Medium</v>
          </cell>
          <cell r="D251" t="str">
            <v>Outsider</v>
          </cell>
          <cell r="E251" t="str">
            <v>Extraplanar</v>
          </cell>
          <cell r="F251">
            <v>12</v>
          </cell>
          <cell r="G251">
            <v>40</v>
          </cell>
          <cell r="I251">
            <v>20</v>
          </cell>
          <cell r="M251">
            <v>15</v>
          </cell>
          <cell r="P251" t="str">
            <v>Comprehend Languages, Detect Chaos, Detect Evil, Detect Good, Detect Law, Detect Magic, Detect Thoughts, Feather Fall, Sanctuary, Tongues, Knock, Locate Object, Melf's Acid Arrow, Misdirection, See Invisibility (at will); Dimension Door, Enervation, Mislead, Poison (CL 12,Save DC 16 + Spell Level) (3/day)</v>
          </cell>
          <cell r="V251" t="str">
            <v>electricity, poison</v>
          </cell>
          <cell r="W251" t="str">
            <v/>
          </cell>
          <cell r="X251" t="str">
            <v>acid 20, sonic 20</v>
          </cell>
          <cell r="Y251">
            <v>25</v>
          </cell>
          <cell r="Z251" t="str">
            <v>10/good or evil or lawful or chaotic</v>
          </cell>
          <cell r="AD251">
            <v>8</v>
          </cell>
          <cell r="AE251">
            <v>14</v>
          </cell>
          <cell r="AF251">
            <v>10</v>
          </cell>
          <cell r="AG251">
            <v>8</v>
          </cell>
          <cell r="AH251">
            <v>8</v>
          </cell>
          <cell r="AI251">
            <v>12</v>
          </cell>
          <cell r="AP251" t="str">
            <v>Balance,Bluff,Climb+8,Concentration,Diplomacy,Disguise,Escape Artist,Forgery,Gather Information,Hide,Intimidate,Jump,Listen,Move Silently,Search,Sense Motive,Spot,Survival,Tumble</v>
          </cell>
          <cell r="AT251" t="str">
            <v>Rilmani, Common, Undercommon, Abyssal, Celestial, Infernal</v>
          </cell>
          <cell r="AV251">
            <v>12</v>
          </cell>
          <cell r="AX251">
            <v>5</v>
          </cell>
          <cell r="AY251" t="str">
            <v>Rogue</v>
          </cell>
          <cell r="AZ251" t="str">
            <v/>
          </cell>
          <cell r="BA251" t="str">
            <v/>
          </cell>
          <cell r="BB251" t="str">
            <v/>
          </cell>
          <cell r="BL251" t="str">
            <v>FF</v>
          </cell>
          <cell r="BM251">
            <v>142</v>
          </cell>
        </row>
        <row r="252">
          <cell r="A252" t="str">
            <v>Rilmani, Ferrumach</v>
          </cell>
          <cell r="C252" t="str">
            <v>Medium</v>
          </cell>
          <cell r="D252" t="str">
            <v>Outsider</v>
          </cell>
          <cell r="E252" t="str">
            <v>Extraplanar</v>
          </cell>
          <cell r="F252">
            <v>8</v>
          </cell>
          <cell r="G252">
            <v>30</v>
          </cell>
          <cell r="M252">
            <v>7</v>
          </cell>
          <cell r="P252" t="str">
            <v>Comprehend Languages, Detect Chaos, Detect Evil, Detect Good, Detect Law, Detect Magic, Detect Thoughts, Feather Fall, Sanctuary, Tongues, Blur, Command, Obscuring Mist, See Invisibility, Silence (at will); Cure Moderate Wounds, Dispel Magic, Ice Storm, Phantom Steed (CL 9,Save DC 15 + Spell Level) (3/day)</v>
          </cell>
          <cell r="V252" t="str">
            <v>electricity, poison</v>
          </cell>
          <cell r="W252" t="str">
            <v/>
          </cell>
          <cell r="X252" t="str">
            <v>acid 20, sonic 20</v>
          </cell>
          <cell r="Y252">
            <v>20</v>
          </cell>
          <cell r="Z252" t="str">
            <v>10/good or evil or lawful or chaotic</v>
          </cell>
          <cell r="AD252">
            <v>14</v>
          </cell>
          <cell r="AE252">
            <v>2</v>
          </cell>
          <cell r="AF252">
            <v>18</v>
          </cell>
          <cell r="AG252">
            <v>4</v>
          </cell>
          <cell r="AH252">
            <v>2</v>
          </cell>
          <cell r="AI252">
            <v>10</v>
          </cell>
          <cell r="AP252" t="str">
            <v>Climb,Concentration,Diplomacy,Escape Artist,Intimidate,Listen,Profession (soldier),Ride,Search,Sense Motive,Spot,Survival,Use Rope</v>
          </cell>
          <cell r="AT252" t="str">
            <v>Rilmani, Common, Undercommon, Sylvan</v>
          </cell>
          <cell r="AV252">
            <v>9</v>
          </cell>
          <cell r="AX252">
            <v>5</v>
          </cell>
          <cell r="AY252" t="str">
            <v>Fighter</v>
          </cell>
          <cell r="AZ252" t="str">
            <v/>
          </cell>
          <cell r="BA252" t="str">
            <v/>
          </cell>
          <cell r="BB252" t="str">
            <v/>
          </cell>
          <cell r="BL252" t="str">
            <v>FF</v>
          </cell>
          <cell r="BM252">
            <v>143</v>
          </cell>
        </row>
        <row r="253">
          <cell r="A253" t="str">
            <v>Satyr</v>
          </cell>
          <cell r="C253" t="str">
            <v>Medium</v>
          </cell>
          <cell r="D253" t="str">
            <v>Fey</v>
          </cell>
          <cell r="F253">
            <v>5</v>
          </cell>
          <cell r="G253">
            <v>40</v>
          </cell>
          <cell r="M253">
            <v>4</v>
          </cell>
          <cell r="N253" t="str">
            <v>Head Butt+5+0+1</v>
          </cell>
          <cell r="P253" t="str">
            <v/>
          </cell>
          <cell r="S253" t="str">
            <v>normal</v>
          </cell>
          <cell r="W253" t="str">
            <v/>
          </cell>
          <cell r="X253" t="str">
            <v/>
          </cell>
          <cell r="Z253" t="str">
            <v>5/cold iron</v>
          </cell>
          <cell r="AE253">
            <v>2</v>
          </cell>
          <cell r="AF253">
            <v>2</v>
          </cell>
          <cell r="AG253">
            <v>2</v>
          </cell>
          <cell r="AH253">
            <v>2</v>
          </cell>
          <cell r="AI253">
            <v>2</v>
          </cell>
          <cell r="AP253" t="str">
            <v>Bluff,Diplomacy,Disguise,Hide+4,Intimidate,Knowledge (nature),Listen+4,Move Silently+4,Perform (any)+4,Spot+4,Survival</v>
          </cell>
          <cell r="AR253" t="str">
            <v>Shortbow;Shortbow, Composite</v>
          </cell>
          <cell r="AS253" t="str">
            <v>Alertness</v>
          </cell>
          <cell r="AT253" t="str">
            <v>Sylvan</v>
          </cell>
          <cell r="AU253" t="str">
            <v>Common, Elven, Gnome</v>
          </cell>
          <cell r="AV253">
            <v>2</v>
          </cell>
          <cell r="AX253">
            <v>2</v>
          </cell>
          <cell r="AY253" t="str">
            <v>Bard</v>
          </cell>
          <cell r="AZ253" t="str">
            <v/>
          </cell>
          <cell r="BA253" t="str">
            <v/>
          </cell>
          <cell r="BB253" t="str">
            <v/>
          </cell>
          <cell r="BL253" t="str">
            <v>MM</v>
          </cell>
          <cell r="BM253">
            <v>219</v>
          </cell>
        </row>
        <row r="254">
          <cell r="A254" t="str">
            <v>Scorpionfolk</v>
          </cell>
          <cell r="C254" t="str">
            <v>Large(long)</v>
          </cell>
          <cell r="D254" t="str">
            <v>Monstrous Humanoid</v>
          </cell>
          <cell r="F254">
            <v>12</v>
          </cell>
          <cell r="G254">
            <v>40</v>
          </cell>
          <cell r="M254">
            <v>6</v>
          </cell>
          <cell r="N254" t="str">
            <v>Sting+5+0+1,2 Claws+4+0+0,Trample+5+0+2</v>
          </cell>
          <cell r="P254" t="str">
            <v>Major Image (2/day); Mirror Image (Cl10, Save DC 12+Spell Level)</v>
          </cell>
          <cell r="T254">
            <v>60</v>
          </cell>
          <cell r="W254" t="str">
            <v/>
          </cell>
          <cell r="X254" t="str">
            <v>fire 5</v>
          </cell>
          <cell r="Y254">
            <v>18</v>
          </cell>
          <cell r="AD254">
            <v>8</v>
          </cell>
          <cell r="AE254">
            <v>2</v>
          </cell>
          <cell r="AF254">
            <v>2</v>
          </cell>
          <cell r="AG254">
            <v>-2</v>
          </cell>
          <cell r="AH254">
            <v>4</v>
          </cell>
          <cell r="AI254">
            <v>4</v>
          </cell>
          <cell r="AP254" t="str">
            <v>Diplomacy,Intimidate,Listen,Sense Motive,Spot</v>
          </cell>
          <cell r="AT254" t="str">
            <v>Common</v>
          </cell>
          <cell r="AU254" t="str">
            <v>Terran</v>
          </cell>
          <cell r="AV254">
            <v>7</v>
          </cell>
          <cell r="AX254">
            <v>4</v>
          </cell>
          <cell r="AY254" t="str">
            <v>Ranger</v>
          </cell>
          <cell r="AZ254" t="str">
            <v/>
          </cell>
          <cell r="BA254" t="str">
            <v/>
          </cell>
          <cell r="BB254" t="str">
            <v/>
          </cell>
          <cell r="BL254" t="str">
            <v>MM2</v>
          </cell>
          <cell r="BM254">
            <v>221</v>
          </cell>
        </row>
        <row r="255">
          <cell r="A255" t="str">
            <v>Sea Kin</v>
          </cell>
          <cell r="C255" t="str">
            <v>Medium</v>
          </cell>
          <cell r="D255" t="str">
            <v>Humanoid</v>
          </cell>
          <cell r="E255" t="str">
            <v>Human</v>
          </cell>
          <cell r="G255">
            <v>30</v>
          </cell>
          <cell r="L255">
            <v>30</v>
          </cell>
          <cell r="P255" t="str">
            <v/>
          </cell>
          <cell r="S255" t="str">
            <v>normal</v>
          </cell>
          <cell r="W255" t="str">
            <v/>
          </cell>
          <cell r="X255" t="str">
            <v/>
          </cell>
          <cell r="AP255" t="str">
            <v>Escape Artist+2</v>
          </cell>
          <cell r="AR255" t="str">
            <v>Net</v>
          </cell>
          <cell r="AT255" t="str">
            <v>Common</v>
          </cell>
          <cell r="AU255" t="str">
            <v>Aquan, Elven, Sahuagin</v>
          </cell>
          <cell r="AY255" t="str">
            <v>Druid</v>
          </cell>
          <cell r="AZ255" t="str">
            <v>17+1d4/1d6/2d6</v>
          </cell>
          <cell r="BA255" t="str">
            <v>4'10"/4'5"+2d10</v>
          </cell>
          <cell r="BB255" t="str">
            <v>120/85+2d4</v>
          </cell>
          <cell r="BL255" t="str">
            <v>RoD</v>
          </cell>
          <cell r="BM255">
            <v>100</v>
          </cell>
        </row>
        <row r="256">
          <cell r="A256" t="str">
            <v>Selkie</v>
          </cell>
          <cell r="C256" t="str">
            <v>Medium</v>
          </cell>
          <cell r="D256" t="str">
            <v>Humanoid</v>
          </cell>
          <cell r="E256" t="str">
            <v>Aquatic, Shapechanger</v>
          </cell>
          <cell r="F256">
            <v>3</v>
          </cell>
          <cell r="G256">
            <v>30</v>
          </cell>
          <cell r="L256">
            <v>40</v>
          </cell>
          <cell r="P256" t="str">
            <v/>
          </cell>
          <cell r="W256" t="str">
            <v/>
          </cell>
          <cell r="X256" t="str">
            <v/>
          </cell>
          <cell r="AD256">
            <v>-2</v>
          </cell>
          <cell r="AE256">
            <v>2</v>
          </cell>
          <cell r="AG256">
            <v>2</v>
          </cell>
          <cell r="AI256">
            <v>2</v>
          </cell>
          <cell r="AP256" t="str">
            <v>Craft (any),Listen,Perform (any),Spot,Swim+8</v>
          </cell>
          <cell r="AT256" t="str">
            <v>Common</v>
          </cell>
          <cell r="AU256" t="str">
            <v>Aquan</v>
          </cell>
          <cell r="AV256">
            <v>1</v>
          </cell>
          <cell r="AX256">
            <v>1</v>
          </cell>
          <cell r="AY256" t="str">
            <v>Bard</v>
          </cell>
          <cell r="AZ256" t="str">
            <v/>
          </cell>
          <cell r="BA256" t="str">
            <v/>
          </cell>
          <cell r="BB256" t="str">
            <v/>
          </cell>
          <cell r="BL256" t="str">
            <v>FF</v>
          </cell>
          <cell r="BM256">
            <v>145</v>
          </cell>
        </row>
        <row r="257">
          <cell r="A257" t="str">
            <v>Shadar-Kai</v>
          </cell>
          <cell r="C257" t="str">
            <v>Medium</v>
          </cell>
          <cell r="D257" t="str">
            <v>Fey</v>
          </cell>
          <cell r="E257" t="str">
            <v>Extraplanar</v>
          </cell>
          <cell r="F257">
            <v>3</v>
          </cell>
          <cell r="G257">
            <v>30</v>
          </cell>
          <cell r="P257" t="str">
            <v/>
          </cell>
          <cell r="S257" t="str">
            <v>superior</v>
          </cell>
          <cell r="W257" t="str">
            <v/>
          </cell>
          <cell r="X257" t="str">
            <v/>
          </cell>
          <cell r="Z257" t="str">
            <v>5/cold iron</v>
          </cell>
          <cell r="AE257">
            <v>6</v>
          </cell>
          <cell r="AI257">
            <v>-2</v>
          </cell>
          <cell r="AR257" t="str">
            <v>Chain, Spiked</v>
          </cell>
          <cell r="AT257" t="str">
            <v>Sylvan</v>
          </cell>
          <cell r="AU257" t="str">
            <v>Common, Elven</v>
          </cell>
          <cell r="AV257">
            <v>1</v>
          </cell>
          <cell r="AX257">
            <v>1</v>
          </cell>
          <cell r="AY257" t="str">
            <v>Rogue</v>
          </cell>
          <cell r="AZ257" t="str">
            <v/>
          </cell>
          <cell r="BA257" t="str">
            <v/>
          </cell>
          <cell r="BB257" t="str">
            <v/>
          </cell>
          <cell r="BL257" t="str">
            <v>FF</v>
          </cell>
          <cell r="BM257">
            <v>150</v>
          </cell>
        </row>
        <row r="258">
          <cell r="A258" t="str">
            <v>Shadowswyft</v>
          </cell>
          <cell r="C258" t="str">
            <v>Medium</v>
          </cell>
          <cell r="D258" t="str">
            <v>Outsider</v>
          </cell>
          <cell r="E258" t="str">
            <v>Extraplanar</v>
          </cell>
          <cell r="G258">
            <v>40</v>
          </cell>
          <cell r="P258" t="str">
            <v/>
          </cell>
          <cell r="W258" t="str">
            <v/>
          </cell>
          <cell r="X258" t="str">
            <v/>
          </cell>
          <cell r="AE258">
            <v>2</v>
          </cell>
          <cell r="AF258">
            <v>-2</v>
          </cell>
          <cell r="AP258" t="str">
            <v>Hide+4,Move Silently+4</v>
          </cell>
          <cell r="AT258" t="str">
            <v>Shadowswyft, Common</v>
          </cell>
          <cell r="AU258" t="str">
            <v>Abyssal, Celestial, Elven</v>
          </cell>
          <cell r="AX258">
            <v>1</v>
          </cell>
          <cell r="AY258" t="str">
            <v>Rogue</v>
          </cell>
          <cell r="AZ258" t="str">
            <v>12+1d4/2d4/3d4</v>
          </cell>
          <cell r="BA258" t="str">
            <v>5'4"/5'0"+3d5</v>
          </cell>
          <cell r="BB258" t="str">
            <v>120/80+1d4</v>
          </cell>
          <cell r="BL258" t="str">
            <v>PlH</v>
          </cell>
        </row>
        <row r="259">
          <cell r="A259" t="str">
            <v>Sharakim</v>
          </cell>
          <cell r="C259" t="str">
            <v>Medium</v>
          </cell>
          <cell r="D259" t="str">
            <v>Humanoid</v>
          </cell>
          <cell r="E259" t="str">
            <v>Human</v>
          </cell>
          <cell r="G259">
            <v>30</v>
          </cell>
          <cell r="M259">
            <v>1</v>
          </cell>
          <cell r="P259" t="str">
            <v/>
          </cell>
          <cell r="T259">
            <v>60</v>
          </cell>
          <cell r="W259" t="str">
            <v/>
          </cell>
          <cell r="X259" t="str">
            <v/>
          </cell>
          <cell r="AD259">
            <v>2</v>
          </cell>
          <cell r="AE259">
            <v>-2</v>
          </cell>
          <cell r="AG259">
            <v>2</v>
          </cell>
          <cell r="AI259">
            <v>-2</v>
          </cell>
          <cell r="AT259" t="str">
            <v>Common</v>
          </cell>
          <cell r="AU259" t="str">
            <v>Dwarven, Elven, Gnome, Orc</v>
          </cell>
          <cell r="AX259">
            <v>1</v>
          </cell>
          <cell r="AY259" t="str">
            <v>Wizard</v>
          </cell>
          <cell r="AZ259" t="str">
            <v>16+1d4/1d6/2d6</v>
          </cell>
          <cell r="BA259" t="str">
            <v>4'10"/4'5"+2d10</v>
          </cell>
          <cell r="BB259" t="str">
            <v>150/110+2d6</v>
          </cell>
          <cell r="BL259" t="str">
            <v>RoD</v>
          </cell>
          <cell r="BM259">
            <v>102</v>
          </cell>
        </row>
        <row r="260">
          <cell r="A260" t="str">
            <v>Shifter</v>
          </cell>
          <cell r="C260" t="str">
            <v>Medium</v>
          </cell>
          <cell r="D260" t="str">
            <v>Humanoid</v>
          </cell>
          <cell r="E260" t="str">
            <v>Shapechanger</v>
          </cell>
          <cell r="G260">
            <v>30</v>
          </cell>
          <cell r="I260">
            <v>0</v>
          </cell>
          <cell r="J260">
            <v>0</v>
          </cell>
          <cell r="K260" t="str">
            <v/>
          </cell>
          <cell r="L260">
            <v>0</v>
          </cell>
          <cell r="N260" t="str">
            <v/>
          </cell>
          <cell r="P260" t="str">
            <v/>
          </cell>
          <cell r="S260" t="str">
            <v>normal</v>
          </cell>
          <cell r="W260" t="str">
            <v/>
          </cell>
          <cell r="X260" t="str">
            <v/>
          </cell>
          <cell r="AE260">
            <v>2</v>
          </cell>
          <cell r="AG260">
            <v>-2</v>
          </cell>
          <cell r="AI260">
            <v>-2</v>
          </cell>
          <cell r="AP260" t="str">
            <v>Balance+2,Climb+2,Jump+2</v>
          </cell>
          <cell r="AT260" t="str">
            <v>Common</v>
          </cell>
          <cell r="AU260" t="str">
            <v>Elven, Gnome, Halfling, and Sylvan</v>
          </cell>
          <cell r="AY260" t="str">
            <v>Ranger</v>
          </cell>
          <cell r="AZ260" t="str">
            <v>20+1d6/1d8/2d8</v>
          </cell>
          <cell r="BA260" t="str">
            <v>4'7"/4'5"+2d8</v>
          </cell>
          <cell r="BB260" t="str">
            <v>100/85+2d4</v>
          </cell>
          <cell r="BL260" t="str">
            <v>MM3</v>
          </cell>
          <cell r="BM260">
            <v>150</v>
          </cell>
          <cell r="BN260" t="str">
            <v>ECS,RoE</v>
          </cell>
        </row>
        <row r="261">
          <cell r="A261" t="str">
            <v>Shyft</v>
          </cell>
          <cell r="C261" t="str">
            <v>Medium</v>
          </cell>
          <cell r="D261" t="str">
            <v>Outsider</v>
          </cell>
          <cell r="E261" t="str">
            <v>Native</v>
          </cell>
          <cell r="G261">
            <v>30</v>
          </cell>
          <cell r="P261" t="str">
            <v>Ethereal Jaunt</v>
          </cell>
          <cell r="W261" t="str">
            <v/>
          </cell>
          <cell r="X261" t="str">
            <v>cold 5, fire 5, sonic 5</v>
          </cell>
          <cell r="AD261">
            <v>-2</v>
          </cell>
          <cell r="AE261">
            <v>2</v>
          </cell>
          <cell r="AH261">
            <v>2</v>
          </cell>
          <cell r="AI261">
            <v>-2</v>
          </cell>
          <cell r="AP261" t="str">
            <v>Bluff,Hide+4,Listen,Move Silently+4,Search,Sense Motive,Sleight of Hand,Spot</v>
          </cell>
          <cell r="AT261" t="str">
            <v>Common</v>
          </cell>
          <cell r="AV261">
            <v>1</v>
          </cell>
          <cell r="AX261">
            <v>3</v>
          </cell>
          <cell r="AY261" t="str">
            <v>Rogue</v>
          </cell>
          <cell r="AZ261" t="str">
            <v/>
          </cell>
          <cell r="BA261" t="str">
            <v/>
          </cell>
          <cell r="BB261" t="str">
            <v/>
          </cell>
          <cell r="BL261" t="str">
            <v>FF</v>
          </cell>
        </row>
        <row r="262">
          <cell r="A262" t="str">
            <v>Sirine</v>
          </cell>
          <cell r="C262" t="str">
            <v>Medium</v>
          </cell>
          <cell r="D262" t="str">
            <v>Fey</v>
          </cell>
          <cell r="E262" t="str">
            <v>Aquatic</v>
          </cell>
          <cell r="F262">
            <v>4</v>
          </cell>
          <cell r="G262">
            <v>30</v>
          </cell>
          <cell r="L262">
            <v>60</v>
          </cell>
          <cell r="M262">
            <v>-2</v>
          </cell>
          <cell r="P262" t="str">
            <v>Fog Cloud, Improved Invisibility (CL 11, Save DC 13+spell level)</v>
          </cell>
          <cell r="W262" t="str">
            <v/>
          </cell>
          <cell r="X262" t="str">
            <v/>
          </cell>
          <cell r="Z262" t="str">
            <v>5/cold iron</v>
          </cell>
          <cell r="AE262">
            <v>8</v>
          </cell>
          <cell r="AG262">
            <v>2</v>
          </cell>
          <cell r="AH262">
            <v>6</v>
          </cell>
          <cell r="AI262">
            <v>6</v>
          </cell>
          <cell r="AP262" t="str">
            <v>Concentration,Heal,Hide,Perform (any)+8,Survival,Swim+8+</v>
          </cell>
          <cell r="AT262" t="str">
            <v>Common,Sylvan</v>
          </cell>
          <cell r="AU262" t="str">
            <v>Aquan</v>
          </cell>
          <cell r="AV262">
            <v>5</v>
          </cell>
          <cell r="AX262">
            <v>4</v>
          </cell>
          <cell r="AY262" t="str">
            <v>Sorcerer</v>
          </cell>
          <cell r="AZ262" t="str">
            <v/>
          </cell>
          <cell r="BA262" t="str">
            <v/>
          </cell>
          <cell r="BB262" t="str">
            <v/>
          </cell>
          <cell r="BL262" t="str">
            <v>MM2</v>
          </cell>
          <cell r="BM262">
            <v>185</v>
          </cell>
        </row>
        <row r="263">
          <cell r="A263" t="str">
            <v>Skarn</v>
          </cell>
          <cell r="C263" t="str">
            <v>Medium</v>
          </cell>
          <cell r="D263" t="str">
            <v>Humanoid</v>
          </cell>
          <cell r="E263" t="str">
            <v>Reptilian</v>
          </cell>
          <cell r="G263">
            <v>30</v>
          </cell>
          <cell r="N263" t="str">
            <v>Spine+5+0+1</v>
          </cell>
          <cell r="AD263">
            <v>2</v>
          </cell>
          <cell r="AE263">
            <v>-2</v>
          </cell>
          <cell r="AP263" t="str">
            <v>Intimidate+2,Climb+2</v>
          </cell>
          <cell r="AT263" t="str">
            <v>Common</v>
          </cell>
          <cell r="AU263" t="str">
            <v>Draconic, Elf, Celestial, Abyssal, Infernal</v>
          </cell>
          <cell r="AY263" t="str">
            <v>Incarnate</v>
          </cell>
          <cell r="AZ263" t="str">
            <v>21+1d4/2d6/4d6</v>
          </cell>
          <cell r="BA263" t="str">
            <v>5'5"/5'3"+2d10</v>
          </cell>
          <cell r="BB263" t="str">
            <v>150/130+2d8</v>
          </cell>
          <cell r="BL263" t="str">
            <v>MoI</v>
          </cell>
          <cell r="BM263">
            <v>15</v>
          </cell>
        </row>
        <row r="264">
          <cell r="A264" t="str">
            <v>Skulk</v>
          </cell>
          <cell r="C264" t="str">
            <v>Medium</v>
          </cell>
          <cell r="D264" t="str">
            <v>Humanoid</v>
          </cell>
          <cell r="E264" t="str">
            <v>Human</v>
          </cell>
          <cell r="F264">
            <v>1</v>
          </cell>
          <cell r="G264">
            <v>30</v>
          </cell>
          <cell r="P264" t="str">
            <v/>
          </cell>
          <cell r="W264" t="str">
            <v/>
          </cell>
          <cell r="X264" t="str">
            <v/>
          </cell>
          <cell r="AE264">
            <v>2</v>
          </cell>
          <cell r="AH264">
            <v>-2</v>
          </cell>
          <cell r="AI264">
            <v>-4</v>
          </cell>
          <cell r="AP264" t="str">
            <v>Hide+15,Move Silently+8</v>
          </cell>
          <cell r="AT264" t="str">
            <v>Common</v>
          </cell>
          <cell r="AU264" t="str">
            <v>Dwarven, Elven, Gnome, Goblin, Halfling, Orc</v>
          </cell>
          <cell r="AX264">
            <v>0</v>
          </cell>
          <cell r="AY264" t="str">
            <v>Rogue</v>
          </cell>
          <cell r="AZ264" t="str">
            <v>15+1d4/1d6/2d6</v>
          </cell>
          <cell r="BA264" t="str">
            <v>4'10"/4'5"+2d10</v>
          </cell>
          <cell r="BB264" t="str">
            <v>105/70+2d4</v>
          </cell>
          <cell r="BL264" t="str">
            <v>MM4</v>
          </cell>
          <cell r="BM264">
            <v>187</v>
          </cell>
        </row>
        <row r="265">
          <cell r="A265" t="str">
            <v>Slig</v>
          </cell>
          <cell r="C265" t="str">
            <v>Medium</v>
          </cell>
          <cell r="D265" t="str">
            <v>Humanoid</v>
          </cell>
          <cell r="E265" t="str">
            <v>Reptilian</v>
          </cell>
          <cell r="F265">
            <v>3</v>
          </cell>
          <cell r="G265">
            <v>30</v>
          </cell>
          <cell r="M265">
            <v>4</v>
          </cell>
          <cell r="N265" t="str">
            <v>2 Claws+4+0+1,Bite+4+0+0</v>
          </cell>
          <cell r="P265" t="str">
            <v/>
          </cell>
          <cell r="T265">
            <v>60</v>
          </cell>
          <cell r="W265" t="str">
            <v/>
          </cell>
          <cell r="X265" t="str">
            <v>fire 10</v>
          </cell>
          <cell r="AD265">
            <v>4</v>
          </cell>
          <cell r="AE265">
            <v>4</v>
          </cell>
          <cell r="AF265">
            <v>2</v>
          </cell>
          <cell r="AI265">
            <v>-4</v>
          </cell>
          <cell r="AP265" t="str">
            <v>Craft (any),Craft (trapmaking)+2,Hide+2,Move Silently,Ride,Survival</v>
          </cell>
          <cell r="AT265" t="str">
            <v>Common, Draconic</v>
          </cell>
          <cell r="AU265" t="str">
            <v>Goblin, Elven, Ogre</v>
          </cell>
          <cell r="AV265">
            <v>2</v>
          </cell>
          <cell r="AX265">
            <v>2</v>
          </cell>
          <cell r="AY265" t="str">
            <v>Rogue</v>
          </cell>
          <cell r="AZ265" t="str">
            <v/>
          </cell>
          <cell r="BA265" t="str">
            <v/>
          </cell>
          <cell r="BB265" t="str">
            <v/>
          </cell>
          <cell r="BL265" t="str">
            <v>BoK</v>
          </cell>
        </row>
        <row r="266">
          <cell r="A266" t="str">
            <v>Slig, Ghaggler</v>
          </cell>
          <cell r="C266" t="str">
            <v>Medium</v>
          </cell>
          <cell r="D266" t="str">
            <v>Humanoid</v>
          </cell>
          <cell r="E266" t="str">
            <v>Aquatic, Reptilian</v>
          </cell>
          <cell r="F266">
            <v>3</v>
          </cell>
          <cell r="G266">
            <v>20</v>
          </cell>
          <cell r="L266">
            <v>40</v>
          </cell>
          <cell r="M266">
            <v>4</v>
          </cell>
          <cell r="N266" t="str">
            <v>2 Claws+4+0+1,Bite+4+0+0</v>
          </cell>
          <cell r="P266" t="str">
            <v/>
          </cell>
          <cell r="T266">
            <v>60</v>
          </cell>
          <cell r="W266" t="str">
            <v/>
          </cell>
          <cell r="X266" t="str">
            <v>fire 10</v>
          </cell>
          <cell r="AD266">
            <v>4</v>
          </cell>
          <cell r="AE266">
            <v>4</v>
          </cell>
          <cell r="AF266">
            <v>2</v>
          </cell>
          <cell r="AI266">
            <v>-4</v>
          </cell>
          <cell r="AP266" t="str">
            <v>Craft (any),Craft (trapmaking)+2,Hide+2,Move Silently,Ride,Survival</v>
          </cell>
          <cell r="AT266" t="str">
            <v>Common, Draconic</v>
          </cell>
          <cell r="AU266" t="str">
            <v>Goblin, Elven, Ogre</v>
          </cell>
          <cell r="AV266">
            <v>2</v>
          </cell>
          <cell r="AX266">
            <v>2</v>
          </cell>
          <cell r="AY266" t="str">
            <v>Rogue</v>
          </cell>
          <cell r="AZ266" t="str">
            <v/>
          </cell>
          <cell r="BA266" t="str">
            <v/>
          </cell>
          <cell r="BB266" t="str">
            <v/>
          </cell>
          <cell r="BL266" t="str">
            <v>BoK</v>
          </cell>
        </row>
        <row r="267">
          <cell r="A267" t="str">
            <v>Slyth</v>
          </cell>
          <cell r="C267" t="str">
            <v>Medium</v>
          </cell>
          <cell r="D267" t="str">
            <v>Humanoid</v>
          </cell>
          <cell r="E267" t="str">
            <v>Shapechanger</v>
          </cell>
          <cell r="G267">
            <v>30</v>
          </cell>
          <cell r="L267">
            <v>30</v>
          </cell>
          <cell r="P267" t="str">
            <v/>
          </cell>
          <cell r="V267" t="str">
            <v>polymorphing, poison</v>
          </cell>
          <cell r="W267" t="str">
            <v/>
          </cell>
          <cell r="X267" t="str">
            <v>sonic 5</v>
          </cell>
          <cell r="AD267">
            <v>-2</v>
          </cell>
          <cell r="AE267">
            <v>2</v>
          </cell>
          <cell r="AH267">
            <v>2</v>
          </cell>
          <cell r="AP267" t="str">
            <v>Disguise+4,Escape Artist+4,Survival+4</v>
          </cell>
          <cell r="AR267" t="str">
            <v>Flutter Blade</v>
          </cell>
          <cell r="AT267" t="str">
            <v>Common, Undercommon</v>
          </cell>
          <cell r="AU267" t="str">
            <v>Aquan, Elven, Gnome, Terran</v>
          </cell>
          <cell r="AX267">
            <v>2</v>
          </cell>
          <cell r="AY267" t="str">
            <v>Druid</v>
          </cell>
          <cell r="AZ267" t="str">
            <v/>
          </cell>
          <cell r="BA267" t="str">
            <v/>
          </cell>
          <cell r="BB267" t="str">
            <v/>
          </cell>
          <cell r="BL267" t="str">
            <v>Und</v>
          </cell>
        </row>
        <row r="268">
          <cell r="A268" t="str">
            <v>Spellscale</v>
          </cell>
          <cell r="C268" t="str">
            <v>Medium</v>
          </cell>
          <cell r="D268" t="str">
            <v>Humanoid</v>
          </cell>
          <cell r="E268" t="str">
            <v>Dragonblood</v>
          </cell>
          <cell r="G268">
            <v>30</v>
          </cell>
          <cell r="P268" t="str">
            <v/>
          </cell>
          <cell r="S268" t="str">
            <v>normal</v>
          </cell>
          <cell r="W268" t="str">
            <v/>
          </cell>
          <cell r="X268" t="str">
            <v/>
          </cell>
          <cell r="AF268">
            <v>-2</v>
          </cell>
          <cell r="AI268">
            <v>2</v>
          </cell>
          <cell r="AT268" t="str">
            <v>Common,Draconic</v>
          </cell>
          <cell r="AU268" t="str">
            <v>Dwarven, Elven, Gnome, Halfling</v>
          </cell>
          <cell r="AY268" t="str">
            <v>Sorcerer</v>
          </cell>
          <cell r="AZ268" t="str">
            <v>12+1d4/1d6/2d4</v>
          </cell>
          <cell r="BA268" t="str">
            <v>4'7"/4'10"+2d6</v>
          </cell>
          <cell r="BB268" t="str">
            <v>90/100+2d8</v>
          </cell>
          <cell r="BL268" t="str">
            <v>Rdr</v>
          </cell>
          <cell r="BM268">
            <v>21</v>
          </cell>
        </row>
        <row r="269">
          <cell r="A269" t="str">
            <v>Spiker</v>
          </cell>
          <cell r="C269" t="str">
            <v>Medium</v>
          </cell>
          <cell r="D269" t="str">
            <v>Humanoid</v>
          </cell>
          <cell r="E269" t="str">
            <v>Extraplanar</v>
          </cell>
          <cell r="G269">
            <v>30</v>
          </cell>
          <cell r="M269">
            <v>1</v>
          </cell>
          <cell r="P269" t="str">
            <v/>
          </cell>
          <cell r="T269">
            <v>60</v>
          </cell>
          <cell r="W269" t="str">
            <v/>
          </cell>
          <cell r="X269" t="str">
            <v>acid 5</v>
          </cell>
          <cell r="Z269" t="str">
            <v>2/piercing or slashing.</v>
          </cell>
          <cell r="AT269" t="str">
            <v>Common</v>
          </cell>
          <cell r="AU269" t="str">
            <v>Infernal</v>
          </cell>
          <cell r="AY269" t="str">
            <v>Fighter</v>
          </cell>
          <cell r="AZ269" t="str">
            <v>20+1d4/1d6/2d6</v>
          </cell>
          <cell r="BA269" t="str">
            <v>4'10"/4'5"+2d10</v>
          </cell>
          <cell r="BB269" t="str">
            <v>140/100+2d6</v>
          </cell>
          <cell r="BL269" t="str">
            <v>PlH</v>
          </cell>
        </row>
        <row r="270">
          <cell r="A270" t="str">
            <v>Spirit Folk, Bamboo</v>
          </cell>
          <cell r="C270" t="str">
            <v>Medium</v>
          </cell>
          <cell r="D270" t="str">
            <v>Humanoid</v>
          </cell>
          <cell r="E270" t="str">
            <v>Spirit</v>
          </cell>
          <cell r="G270">
            <v>30</v>
          </cell>
          <cell r="P270" t="str">
            <v>Speak With Animals 1/day</v>
          </cell>
          <cell r="S270" t="str">
            <v>normal</v>
          </cell>
          <cell r="AP270" t="str">
            <v>Survival+2</v>
          </cell>
          <cell r="AT270" t="str">
            <v>Common, Spirit Tongue</v>
          </cell>
          <cell r="AU270" t="str">
            <v>Aquan, Giant Goblin, Hengeyokai, Nezumi</v>
          </cell>
          <cell r="AY270" t="str">
            <v>Any</v>
          </cell>
          <cell r="AZ270" t="str">
            <v>110+4d6/6d6/10d6</v>
          </cell>
          <cell r="BA270" t="str">
            <v>4'10"/4'5"+2d8</v>
          </cell>
          <cell r="BB270" t="str">
            <v>120/85+2d4</v>
          </cell>
          <cell r="BL270" t="str">
            <v>OA</v>
          </cell>
          <cell r="BM270">
            <v>14</v>
          </cell>
        </row>
        <row r="271">
          <cell r="A271" t="str">
            <v>Spirit Folk, River</v>
          </cell>
          <cell r="C271" t="str">
            <v>Medium</v>
          </cell>
          <cell r="D271" t="str">
            <v>Humanoid</v>
          </cell>
          <cell r="E271" t="str">
            <v>Spirit</v>
          </cell>
          <cell r="G271">
            <v>30</v>
          </cell>
          <cell r="L271">
            <v>30</v>
          </cell>
          <cell r="P271" t="str">
            <v>Speak With Animals 1/day (fish only)</v>
          </cell>
          <cell r="S271" t="str">
            <v>normal</v>
          </cell>
          <cell r="AP271" t="str">
            <v>Swim+8</v>
          </cell>
          <cell r="AT271" t="str">
            <v>Common, Spirit Tongue</v>
          </cell>
          <cell r="AU271" t="str">
            <v>Aquan, Giant Goblin, Hengeyokai, Nezumi</v>
          </cell>
          <cell r="AY271" t="str">
            <v>Any</v>
          </cell>
          <cell r="AZ271" t="str">
            <v>110+4d6/6d6/10d6</v>
          </cell>
          <cell r="BA271" t="str">
            <v>4'10"/4'5"+2d8</v>
          </cell>
          <cell r="BB271" t="str">
            <v>120/85+2d4</v>
          </cell>
          <cell r="BL271" t="str">
            <v>OA</v>
          </cell>
          <cell r="BM271">
            <v>14</v>
          </cell>
        </row>
        <row r="272">
          <cell r="A272" t="str">
            <v>Spirit Folk, Sea</v>
          </cell>
          <cell r="C272" t="str">
            <v>Medium</v>
          </cell>
          <cell r="D272" t="str">
            <v>Humanoid</v>
          </cell>
          <cell r="E272" t="str">
            <v>Spirit</v>
          </cell>
          <cell r="G272">
            <v>30</v>
          </cell>
          <cell r="L272">
            <v>30</v>
          </cell>
          <cell r="S272" t="str">
            <v>normal</v>
          </cell>
          <cell r="AP272" t="str">
            <v>Swim+8</v>
          </cell>
          <cell r="AT272" t="str">
            <v>Common, Spirit Tongue</v>
          </cell>
          <cell r="AU272" t="str">
            <v>Aquan, Giant Goblin, Hengeyokai, Nezumi</v>
          </cell>
          <cell r="AY272" t="str">
            <v>Any</v>
          </cell>
          <cell r="AZ272" t="str">
            <v>110+4d6/6d6/10d6</v>
          </cell>
          <cell r="BA272" t="str">
            <v>4'10"/4'5"+2d8</v>
          </cell>
          <cell r="BB272" t="str">
            <v>120/85+2d4</v>
          </cell>
          <cell r="BL272" t="str">
            <v>OA</v>
          </cell>
          <cell r="BM272">
            <v>14</v>
          </cell>
        </row>
        <row r="273">
          <cell r="A273" t="str">
            <v>Spriggan</v>
          </cell>
          <cell r="C273" t="str">
            <v>Small</v>
          </cell>
          <cell r="D273" t="str">
            <v>Fey</v>
          </cell>
          <cell r="F273">
            <v>5</v>
          </cell>
          <cell r="G273">
            <v>20</v>
          </cell>
          <cell r="P273" t="str">
            <v>Produce Flame, Scare, Shatter (at will, CL 8, DC 10+spell level) (at will)</v>
          </cell>
          <cell r="W273" t="str">
            <v/>
          </cell>
          <cell r="X273" t="str">
            <v/>
          </cell>
          <cell r="Z273" t="str">
            <v>5/cold iron</v>
          </cell>
          <cell r="AE273">
            <v>10</v>
          </cell>
          <cell r="AF273">
            <v>2</v>
          </cell>
          <cell r="AH273">
            <v>-2</v>
          </cell>
          <cell r="AP273" t="str">
            <v>Climb+4,Disable Device+4,Move Silently+4,Open Lock+4,Sleight of Hand+4</v>
          </cell>
          <cell r="AT273" t="str">
            <v>Common, Gnome</v>
          </cell>
          <cell r="AU273" t="str">
            <v>Draconic, Sylvan</v>
          </cell>
          <cell r="AV273">
            <v>3</v>
          </cell>
          <cell r="AX273">
            <v>2</v>
          </cell>
          <cell r="AY273" t="str">
            <v>Rogue</v>
          </cell>
          <cell r="AZ273" t="str">
            <v/>
          </cell>
          <cell r="BA273" t="str">
            <v/>
          </cell>
          <cell r="BB273" t="str">
            <v/>
          </cell>
          <cell r="BL273" t="str">
            <v>FF</v>
          </cell>
          <cell r="BM273">
            <v>162</v>
          </cell>
        </row>
        <row r="274">
          <cell r="A274" t="str">
            <v>Ss'ressen, Ashen Hide</v>
          </cell>
          <cell r="C274" t="str">
            <v>Medium</v>
          </cell>
          <cell r="D274" t="str">
            <v>Humanoid</v>
          </cell>
          <cell r="E274" t="str">
            <v>Reptilian</v>
          </cell>
          <cell r="G274">
            <v>30</v>
          </cell>
          <cell r="M274">
            <v>3</v>
          </cell>
          <cell r="N274" t="str">
            <v>2 Claws+4+0+1</v>
          </cell>
          <cell r="P274" t="str">
            <v/>
          </cell>
          <cell r="S274" t="str">
            <v>normal</v>
          </cell>
          <cell r="W274" t="str">
            <v/>
          </cell>
          <cell r="X274" t="str">
            <v/>
          </cell>
          <cell r="AE274">
            <v>2</v>
          </cell>
          <cell r="AH274">
            <v>-2</v>
          </cell>
          <cell r="AI274">
            <v>-2</v>
          </cell>
          <cell r="AT274" t="str">
            <v>Ss'ressen, Cancerese</v>
          </cell>
          <cell r="AU274" t="str">
            <v>Ssethric, Low Coryani, Milandisian</v>
          </cell>
          <cell r="AY274" t="str">
            <v>Barbarian</v>
          </cell>
          <cell r="AZ274" t="str">
            <v/>
          </cell>
          <cell r="BA274" t="str">
            <v/>
          </cell>
          <cell r="BB274" t="str">
            <v/>
          </cell>
          <cell r="BL274" t="str">
            <v>PGtA</v>
          </cell>
        </row>
        <row r="275">
          <cell r="A275" t="str">
            <v>Ss'ressen, Black Talon</v>
          </cell>
          <cell r="C275" t="str">
            <v>Medium</v>
          </cell>
          <cell r="D275" t="str">
            <v>Humanoid</v>
          </cell>
          <cell r="E275" t="str">
            <v>Reptilian</v>
          </cell>
          <cell r="G275">
            <v>30</v>
          </cell>
          <cell r="M275">
            <v>2</v>
          </cell>
          <cell r="N275" t="str">
            <v>2 Claws+4+0+1</v>
          </cell>
          <cell r="P275" t="str">
            <v/>
          </cell>
          <cell r="S275" t="str">
            <v>normal</v>
          </cell>
          <cell r="W275" t="str">
            <v/>
          </cell>
          <cell r="X275" t="str">
            <v/>
          </cell>
          <cell r="AE275">
            <v>2</v>
          </cell>
          <cell r="AG275">
            <v>-2</v>
          </cell>
          <cell r="AP275" t="str">
            <v>Balance+2,Jump+2,Swim+2</v>
          </cell>
          <cell r="AT275" t="str">
            <v>Ss'ressen, Milandisian</v>
          </cell>
          <cell r="AU275" t="str">
            <v>Ssethric, Low Coryani, Cancerese</v>
          </cell>
          <cell r="AY275" t="str">
            <v>Ranger</v>
          </cell>
          <cell r="AZ275" t="str">
            <v/>
          </cell>
          <cell r="BA275" t="str">
            <v/>
          </cell>
          <cell r="BB275" t="str">
            <v/>
          </cell>
          <cell r="BL275" t="str">
            <v>PGtA</v>
          </cell>
        </row>
        <row r="276">
          <cell r="A276" t="str">
            <v>Stonechild</v>
          </cell>
          <cell r="C276" t="str">
            <v>Medium</v>
          </cell>
          <cell r="D276" t="str">
            <v>Outsider</v>
          </cell>
          <cell r="E276" t="str">
            <v>Earth, Extraplanar</v>
          </cell>
          <cell r="F276">
            <v>1</v>
          </cell>
          <cell r="G276">
            <v>30</v>
          </cell>
          <cell r="M276">
            <v>0</v>
          </cell>
          <cell r="P276" t="str">
            <v/>
          </cell>
          <cell r="V276" t="str">
            <v>acid, poison</v>
          </cell>
          <cell r="W276" t="str">
            <v/>
          </cell>
          <cell r="X276" t="str">
            <v/>
          </cell>
          <cell r="AD276">
            <v>0</v>
          </cell>
          <cell r="AF276">
            <v>2</v>
          </cell>
          <cell r="AG276">
            <v>2</v>
          </cell>
          <cell r="AI276">
            <v>-2</v>
          </cell>
          <cell r="AP276" t="str">
            <v>Appraise,Climb,Intimidate,Knowledge (history),Knowledge (the planes),Listen,Search,Spot,Survival</v>
          </cell>
          <cell r="AS276" t="str">
            <v/>
          </cell>
          <cell r="AT276" t="str">
            <v>Common, Terran</v>
          </cell>
          <cell r="AU276" t="str">
            <v>Celestial, Dwarven, Ignan</v>
          </cell>
          <cell r="AV276">
            <v>1</v>
          </cell>
          <cell r="AX276">
            <v>0</v>
          </cell>
          <cell r="AY276" t="str">
            <v>Fighter</v>
          </cell>
          <cell r="AZ276" t="str">
            <v>60+3d6/5d6/7d6</v>
          </cell>
          <cell r="BA276" t="str">
            <v>5'4"/5'2"+2d12</v>
          </cell>
          <cell r="BB276" t="str">
            <v>200/180+2d6</v>
          </cell>
          <cell r="BL276" t="str">
            <v>RoS</v>
          </cell>
          <cell r="BN276" t="str">
            <v>MH</v>
          </cell>
        </row>
        <row r="277">
          <cell r="A277" t="str">
            <v>Synad</v>
          </cell>
          <cell r="C277" t="str">
            <v>Medium</v>
          </cell>
          <cell r="D277" t="str">
            <v>Aberration</v>
          </cell>
          <cell r="G277">
            <v>30</v>
          </cell>
          <cell r="P277" t="str">
            <v/>
          </cell>
          <cell r="T277">
            <v>60</v>
          </cell>
          <cell r="W277" t="str">
            <v/>
          </cell>
          <cell r="X277" t="str">
            <v/>
          </cell>
          <cell r="AT277" t="str">
            <v>Common, Synad</v>
          </cell>
          <cell r="AU277" t="str">
            <v>Any</v>
          </cell>
          <cell r="AY277" t="str">
            <v>Any</v>
          </cell>
          <cell r="AZ277" t="str">
            <v/>
          </cell>
          <cell r="BA277" t="str">
            <v/>
          </cell>
          <cell r="BB277" t="str">
            <v/>
          </cell>
          <cell r="BL277" t="str">
            <v>CP</v>
          </cell>
        </row>
        <row r="278">
          <cell r="A278" t="str">
            <v>Tanarukk</v>
          </cell>
          <cell r="C278" t="str">
            <v>Medium</v>
          </cell>
          <cell r="D278" t="str">
            <v>Outsider</v>
          </cell>
          <cell r="E278" t="str">
            <v>Native</v>
          </cell>
          <cell r="F278">
            <v>5</v>
          </cell>
          <cell r="G278">
            <v>20</v>
          </cell>
          <cell r="M278">
            <v>4</v>
          </cell>
          <cell r="N278" t="str">
            <v>Bite+5+0+1</v>
          </cell>
          <cell r="P278" t="str">
            <v/>
          </cell>
          <cell r="W278" t="str">
            <v/>
          </cell>
          <cell r="X278" t="str">
            <v>fire 10</v>
          </cell>
          <cell r="Y278">
            <v>15</v>
          </cell>
          <cell r="AD278">
            <v>4</v>
          </cell>
          <cell r="AE278">
            <v>2</v>
          </cell>
          <cell r="AH278">
            <v>-2</v>
          </cell>
          <cell r="AI278">
            <v>-4</v>
          </cell>
          <cell r="AP278" t="str">
            <v>Hide,Intimidate,Listen,Search,Spot</v>
          </cell>
          <cell r="AT278" t="str">
            <v>Abyssal, Orc</v>
          </cell>
          <cell r="AU278" t="str">
            <v>By region</v>
          </cell>
          <cell r="AX278">
            <v>3</v>
          </cell>
          <cell r="AY278" t="str">
            <v>Barbarian</v>
          </cell>
          <cell r="AZ278" t="str">
            <v/>
          </cell>
          <cell r="BA278" t="str">
            <v/>
          </cell>
          <cell r="BB278" t="str">
            <v/>
          </cell>
          <cell r="BL278" t="str">
            <v>RoF</v>
          </cell>
          <cell r="BN278" t="str">
            <v>Mon</v>
          </cell>
        </row>
        <row r="279">
          <cell r="A279" t="str">
            <v>Tarmak</v>
          </cell>
          <cell r="C279" t="str">
            <v>Medium</v>
          </cell>
          <cell r="D279" t="str">
            <v>Humanoid</v>
          </cell>
          <cell r="E279" t="str">
            <v>Human</v>
          </cell>
          <cell r="G279">
            <v>30</v>
          </cell>
          <cell r="P279" t="str">
            <v/>
          </cell>
          <cell r="W279" t="str">
            <v/>
          </cell>
          <cell r="X279" t="str">
            <v/>
          </cell>
          <cell r="AD279">
            <v>2</v>
          </cell>
          <cell r="AF279">
            <v>2</v>
          </cell>
          <cell r="AG279">
            <v>-2</v>
          </cell>
          <cell r="AI279">
            <v>-2</v>
          </cell>
          <cell r="AT279" t="str">
            <v>Tarmak, Common</v>
          </cell>
          <cell r="AU279" t="str">
            <v>Any</v>
          </cell>
          <cell r="AY279" t="str">
            <v>Barbarian</v>
          </cell>
          <cell r="AZ279" t="str">
            <v/>
          </cell>
          <cell r="BA279" t="str">
            <v/>
          </cell>
          <cell r="BB279" t="str">
            <v/>
          </cell>
          <cell r="BL279" t="str">
            <v>AoM</v>
          </cell>
          <cell r="BN279" t="str">
            <v>DCS</v>
          </cell>
        </row>
        <row r="280">
          <cell r="A280" t="str">
            <v>Tayfolk, Taylang</v>
          </cell>
          <cell r="C280" t="str">
            <v>Large</v>
          </cell>
          <cell r="D280" t="str">
            <v>Monstrous Humanoid</v>
          </cell>
          <cell r="F280">
            <v>2</v>
          </cell>
          <cell r="G280">
            <v>30</v>
          </cell>
          <cell r="M280">
            <v>4</v>
          </cell>
          <cell r="P280" t="str">
            <v/>
          </cell>
          <cell r="V280" t="str">
            <v>sleep</v>
          </cell>
          <cell r="W280" t="str">
            <v/>
          </cell>
          <cell r="X280" t="str">
            <v/>
          </cell>
          <cell r="AD280">
            <v>6</v>
          </cell>
          <cell r="AF280">
            <v>2</v>
          </cell>
          <cell r="AG280">
            <v>-2</v>
          </cell>
          <cell r="AI280">
            <v>-4</v>
          </cell>
          <cell r="AP280" t="str">
            <v>Climb,Intimidate+2,Listen+2,Survival</v>
          </cell>
          <cell r="AR280" t="str">
            <v>Greatclub</v>
          </cell>
          <cell r="AT280" t="str">
            <v>Tayl</v>
          </cell>
          <cell r="AU280" t="str">
            <v>Common, Elven, Ogre</v>
          </cell>
          <cell r="AV280">
            <v>2</v>
          </cell>
          <cell r="AX280">
            <v>1</v>
          </cell>
          <cell r="AY280" t="str">
            <v>Fighter</v>
          </cell>
          <cell r="AZ280" t="str">
            <v/>
          </cell>
          <cell r="BA280" t="str">
            <v/>
          </cell>
          <cell r="BB280" t="str">
            <v/>
          </cell>
          <cell r="BL280" t="str">
            <v>BoK</v>
          </cell>
        </row>
        <row r="281">
          <cell r="A281" t="str">
            <v>Tayfolk, Tayling</v>
          </cell>
          <cell r="C281" t="str">
            <v>Medium</v>
          </cell>
          <cell r="D281" t="str">
            <v>Humanoid</v>
          </cell>
          <cell r="G281">
            <v>30</v>
          </cell>
          <cell r="P281" t="str">
            <v>Cure Minor Wounds, Mage Hand, Cat's Grace, Haste, Polymorph (3/day)</v>
          </cell>
          <cell r="V281" t="str">
            <v>sleep</v>
          </cell>
          <cell r="W281" t="str">
            <v/>
          </cell>
          <cell r="X281" t="str">
            <v/>
          </cell>
          <cell r="Y281">
            <v>6</v>
          </cell>
          <cell r="AD281">
            <v>-2</v>
          </cell>
          <cell r="AE281">
            <v>2</v>
          </cell>
          <cell r="AF281">
            <v>-2</v>
          </cell>
          <cell r="AH281">
            <v>2</v>
          </cell>
          <cell r="AI281">
            <v>2</v>
          </cell>
          <cell r="AP281" t="str">
            <v>Concentration+2,Spot+2</v>
          </cell>
          <cell r="AT281" t="str">
            <v>Tayl</v>
          </cell>
          <cell r="AU281" t="str">
            <v>Common, Elven, Ogre</v>
          </cell>
          <cell r="AV281">
            <v>2</v>
          </cell>
          <cell r="AX281">
            <v>2</v>
          </cell>
          <cell r="AY281" t="str">
            <v>Sorcerer</v>
          </cell>
          <cell r="AZ281" t="str">
            <v/>
          </cell>
          <cell r="BA281" t="str">
            <v/>
          </cell>
          <cell r="BB281" t="str">
            <v/>
          </cell>
          <cell r="BL281" t="str">
            <v>BoK</v>
          </cell>
        </row>
        <row r="282">
          <cell r="A282" t="str">
            <v>Thri-Kreen</v>
          </cell>
          <cell r="C282" t="str">
            <v>Medium</v>
          </cell>
          <cell r="D282" t="str">
            <v>Monstrous Humanoid</v>
          </cell>
          <cell r="F282">
            <v>2</v>
          </cell>
          <cell r="G282">
            <v>40</v>
          </cell>
          <cell r="M282">
            <v>3</v>
          </cell>
          <cell r="N282" t="str">
            <v>4 Claws+4+0+1,Bite+4+0+0</v>
          </cell>
          <cell r="P282" t="str">
            <v/>
          </cell>
          <cell r="T282">
            <v>60</v>
          </cell>
          <cell r="V282" t="str">
            <v>sleep effects</v>
          </cell>
          <cell r="W282" t="str">
            <v/>
          </cell>
          <cell r="X282" t="str">
            <v/>
          </cell>
          <cell r="AD282">
            <v>2</v>
          </cell>
          <cell r="AE282">
            <v>4</v>
          </cell>
          <cell r="AG282">
            <v>-2</v>
          </cell>
          <cell r="AH282">
            <v>2</v>
          </cell>
          <cell r="AI282">
            <v>-4</v>
          </cell>
          <cell r="AP282" t="str">
            <v>Balance,Climb,Hide,Jump+30,Listen,Spot</v>
          </cell>
          <cell r="AR282" t="str">
            <v>Chatchka;Gythka</v>
          </cell>
          <cell r="AS282" t="str">
            <v>Deflect Arrows</v>
          </cell>
          <cell r="AT282" t="str">
            <v>Common, Thri-Kreen</v>
          </cell>
          <cell r="AU282" t="str">
            <v>Elven, Giant, Gnoll, Goblin, Halfling</v>
          </cell>
          <cell r="AV282">
            <v>1</v>
          </cell>
          <cell r="AX282">
            <v>1</v>
          </cell>
          <cell r="AY282" t="str">
            <v>Ranger</v>
          </cell>
          <cell r="AZ282" t="str">
            <v>6+1d4/1d4/1d4</v>
          </cell>
          <cell r="BA282" t="str">
            <v>5'2"/4'6"+2d10</v>
          </cell>
          <cell r="BB282" t="str">
            <v>135/100+2d6</v>
          </cell>
          <cell r="BL282" t="str">
            <v>MM2</v>
          </cell>
          <cell r="BM282">
            <v>195</v>
          </cell>
          <cell r="BN282" t="str">
            <v>ShS,Sand</v>
          </cell>
        </row>
        <row r="283">
          <cell r="A283" t="str">
            <v>Thri-Kreen, Psionic</v>
          </cell>
          <cell r="C283" t="str">
            <v>Medium</v>
          </cell>
          <cell r="D283" t="str">
            <v>Monstrous Humanoid</v>
          </cell>
          <cell r="F283">
            <v>2</v>
          </cell>
          <cell r="G283">
            <v>40</v>
          </cell>
          <cell r="M283">
            <v>3</v>
          </cell>
          <cell r="N283" t="str">
            <v>4 Claws+4+0+1,Bite+4+0+0</v>
          </cell>
          <cell r="P283" t="str">
            <v/>
          </cell>
          <cell r="T283">
            <v>60</v>
          </cell>
          <cell r="V283" t="str">
            <v>sleep effects</v>
          </cell>
          <cell r="W283" t="str">
            <v/>
          </cell>
          <cell r="X283" t="str">
            <v/>
          </cell>
          <cell r="AD283">
            <v>2</v>
          </cell>
          <cell r="AE283">
            <v>4</v>
          </cell>
          <cell r="AG283">
            <v>-2</v>
          </cell>
          <cell r="AH283">
            <v>2</v>
          </cell>
          <cell r="AI283">
            <v>-4</v>
          </cell>
          <cell r="AP283" t="str">
            <v>Balance,Climb,Hide,Jump+30,Listen,Spot</v>
          </cell>
          <cell r="AR283" t="str">
            <v>Chatchka;Gythka</v>
          </cell>
          <cell r="AS283" t="str">
            <v>Deflect Arrows</v>
          </cell>
          <cell r="AT283" t="str">
            <v>Common, Thri-Kreen</v>
          </cell>
          <cell r="AU283" t="str">
            <v>Elven, Giant, Gnoll, Goblin, Halfling</v>
          </cell>
          <cell r="AV283">
            <v>1</v>
          </cell>
          <cell r="AX283">
            <v>3</v>
          </cell>
          <cell r="AY283" t="str">
            <v>Ranger</v>
          </cell>
          <cell r="AZ283" t="str">
            <v/>
          </cell>
          <cell r="BA283" t="str">
            <v/>
          </cell>
          <cell r="BB283" t="str">
            <v/>
          </cell>
          <cell r="BL283" t="str">
            <v>XPH</v>
          </cell>
          <cell r="BM283">
            <v>213</v>
          </cell>
        </row>
        <row r="284">
          <cell r="A284" t="str">
            <v>Tiefling</v>
          </cell>
          <cell r="C284" t="str">
            <v>Medium</v>
          </cell>
          <cell r="D284" t="str">
            <v>Outsider</v>
          </cell>
          <cell r="E284" t="str">
            <v>Native</v>
          </cell>
          <cell r="G284">
            <v>30</v>
          </cell>
          <cell r="J284">
            <v>0</v>
          </cell>
          <cell r="P284" t="str">
            <v>Darkness</v>
          </cell>
          <cell r="W284" t="str">
            <v/>
          </cell>
          <cell r="X284" t="str">
            <v>cold 5, electricity 5, fire 5</v>
          </cell>
          <cell r="AE284">
            <v>2</v>
          </cell>
          <cell r="AG284">
            <v>2</v>
          </cell>
          <cell r="AI284">
            <v>-2</v>
          </cell>
          <cell r="AP284" t="str">
            <v>Bluff+2,Hide+2</v>
          </cell>
          <cell r="AT284" t="str">
            <v>Common, Infernal</v>
          </cell>
          <cell r="AU284" t="str">
            <v>Draconic, Dwarven, Elven, Gnome, Goblin, Halfling, Orc</v>
          </cell>
          <cell r="AX284">
            <v>1</v>
          </cell>
          <cell r="AY284" t="str">
            <v>Rogue</v>
          </cell>
          <cell r="AZ284" t="str">
            <v>15+1d6/1d8/2d8</v>
          </cell>
          <cell r="BA284" t="str">
            <v>4'10"/4'5"+2d10</v>
          </cell>
          <cell r="BB284" t="str">
            <v>120/85+2d4</v>
          </cell>
          <cell r="BL284" t="str">
            <v>RoD</v>
          </cell>
          <cell r="BM284">
            <v>107</v>
          </cell>
          <cell r="BN284" t="str">
            <v>FRCS,MM,PGtF,PlH</v>
          </cell>
        </row>
        <row r="285">
          <cell r="A285" t="str">
            <v>Troglodyte</v>
          </cell>
          <cell r="C285" t="str">
            <v>Medium</v>
          </cell>
          <cell r="D285" t="str">
            <v>Humanoid</v>
          </cell>
          <cell r="E285" t="str">
            <v>Reptilian</v>
          </cell>
          <cell r="F285">
            <v>2</v>
          </cell>
          <cell r="G285">
            <v>30</v>
          </cell>
          <cell r="M285">
            <v>6</v>
          </cell>
          <cell r="N285" t="str">
            <v>2 Claws+4+0+1,Bite+4+0+0</v>
          </cell>
          <cell r="P285" t="str">
            <v/>
          </cell>
          <cell r="T285">
            <v>90</v>
          </cell>
          <cell r="W285" t="str">
            <v/>
          </cell>
          <cell r="X285" t="str">
            <v/>
          </cell>
          <cell r="AE285">
            <v>-2</v>
          </cell>
          <cell r="AF285">
            <v>4</v>
          </cell>
          <cell r="AG285">
            <v>-2</v>
          </cell>
          <cell r="AP285" t="str">
            <v>Hide+4,Listen</v>
          </cell>
          <cell r="AS285" t="str">
            <v>Multiattack</v>
          </cell>
          <cell r="AT285" t="str">
            <v>Draconic</v>
          </cell>
          <cell r="AU285" t="str">
            <v>Common, Giant, Goblin, Orc</v>
          </cell>
          <cell r="AV285">
            <v>1</v>
          </cell>
          <cell r="AX285">
            <v>2</v>
          </cell>
          <cell r="AY285" t="str">
            <v>Cleric</v>
          </cell>
          <cell r="AZ285" t="str">
            <v/>
          </cell>
          <cell r="BA285" t="str">
            <v/>
          </cell>
          <cell r="BB285" t="str">
            <v/>
          </cell>
          <cell r="BL285" t="str">
            <v>MM</v>
          </cell>
          <cell r="BM285">
            <v>246</v>
          </cell>
        </row>
        <row r="286">
          <cell r="A286" t="str">
            <v>Troll</v>
          </cell>
          <cell r="C286" t="str">
            <v>Large</v>
          </cell>
          <cell r="D286" t="str">
            <v>Giant</v>
          </cell>
          <cell r="F286">
            <v>6</v>
          </cell>
          <cell r="G286">
            <v>30</v>
          </cell>
          <cell r="M286">
            <v>5</v>
          </cell>
          <cell r="N286" t="str">
            <v>2 Claws+4+0+1,Bite+4+0+0</v>
          </cell>
          <cell r="P286" t="str">
            <v/>
          </cell>
          <cell r="S286" t="str">
            <v>normal</v>
          </cell>
          <cell r="T286">
            <v>90</v>
          </cell>
          <cell r="W286" t="str">
            <v/>
          </cell>
          <cell r="X286" t="str">
            <v/>
          </cell>
          <cell r="AD286">
            <v>12</v>
          </cell>
          <cell r="AE286">
            <v>4</v>
          </cell>
          <cell r="AF286">
            <v>12</v>
          </cell>
          <cell r="AG286">
            <v>-4</v>
          </cell>
          <cell r="AH286">
            <v>-2</v>
          </cell>
          <cell r="AI286">
            <v>-4</v>
          </cell>
          <cell r="AP286" t="str">
            <v>Listen,Spot</v>
          </cell>
          <cell r="AT286" t="str">
            <v>Giant</v>
          </cell>
          <cell r="AU286" t="str">
            <v>Common, Orc</v>
          </cell>
          <cell r="AV286">
            <v>5</v>
          </cell>
          <cell r="AX286">
            <v>5</v>
          </cell>
          <cell r="AY286" t="str">
            <v>Fighter</v>
          </cell>
          <cell r="AZ286" t="str">
            <v/>
          </cell>
          <cell r="BA286" t="str">
            <v/>
          </cell>
          <cell r="BB286" t="str">
            <v/>
          </cell>
          <cell r="BL286" t="str">
            <v>MM</v>
          </cell>
          <cell r="BM286">
            <v>247</v>
          </cell>
        </row>
        <row r="287">
          <cell r="A287" t="str">
            <v>Troll, Crystalline</v>
          </cell>
          <cell r="C287" t="str">
            <v>Large</v>
          </cell>
          <cell r="D287" t="str">
            <v>Giant</v>
          </cell>
          <cell r="F287">
            <v>10</v>
          </cell>
          <cell r="G287">
            <v>30</v>
          </cell>
          <cell r="M287">
            <v>7</v>
          </cell>
          <cell r="N287" t="str">
            <v>2 Claws+4+0+1,Bite+4+0+1</v>
          </cell>
          <cell r="P287" t="str">
            <v/>
          </cell>
          <cell r="S287" t="str">
            <v>normal</v>
          </cell>
          <cell r="T287">
            <v>90</v>
          </cell>
          <cell r="V287" t="str">
            <v>acid</v>
          </cell>
          <cell r="W287" t="str">
            <v>sonic</v>
          </cell>
          <cell r="X287" t="str">
            <v/>
          </cell>
          <cell r="AD287">
            <v>12</v>
          </cell>
          <cell r="AE287">
            <v>4</v>
          </cell>
          <cell r="AF287">
            <v>12</v>
          </cell>
          <cell r="AG287">
            <v>-4</v>
          </cell>
          <cell r="AH287">
            <v>-2</v>
          </cell>
          <cell r="AI287">
            <v>-2</v>
          </cell>
          <cell r="AP287" t="str">
            <v>Listen,Spot</v>
          </cell>
          <cell r="AT287" t="str">
            <v>Giant</v>
          </cell>
          <cell r="AU287" t="str">
            <v>Common, Orc</v>
          </cell>
          <cell r="AV287">
            <v>7</v>
          </cell>
          <cell r="AX287">
            <v>5</v>
          </cell>
          <cell r="AY287" t="str">
            <v>Fighter</v>
          </cell>
          <cell r="AZ287" t="str">
            <v/>
          </cell>
          <cell r="BA287" t="str">
            <v/>
          </cell>
          <cell r="BB287" t="str">
            <v/>
          </cell>
          <cell r="BL287" t="str">
            <v>MM3</v>
          </cell>
          <cell r="BM287">
            <v>178</v>
          </cell>
        </row>
        <row r="288">
          <cell r="A288" t="str">
            <v>Uldra</v>
          </cell>
          <cell r="C288" t="str">
            <v>Small</v>
          </cell>
          <cell r="D288" t="str">
            <v>Fey</v>
          </cell>
          <cell r="G288">
            <v>20</v>
          </cell>
          <cell r="P288" t="str">
            <v>Ray Of Frost (3/day); Speak with Animals, Touch of Fatigue</v>
          </cell>
          <cell r="S288" t="str">
            <v>normal</v>
          </cell>
          <cell r="T288">
            <v>120</v>
          </cell>
          <cell r="W288" t="str">
            <v/>
          </cell>
          <cell r="X288" t="str">
            <v>cold 5</v>
          </cell>
          <cell r="AD288">
            <v>-2</v>
          </cell>
          <cell r="AF288">
            <v>2</v>
          </cell>
          <cell r="AH288">
            <v>2</v>
          </cell>
          <cell r="AP288" t="str">
            <v>Knowledge (nature)+2</v>
          </cell>
          <cell r="AT288" t="str">
            <v>Common, Sylvan</v>
          </cell>
          <cell r="AU288" t="str">
            <v>Any</v>
          </cell>
          <cell r="AX288">
            <v>1</v>
          </cell>
          <cell r="AY288" t="str">
            <v>Druid</v>
          </cell>
          <cell r="AZ288" t="str">
            <v>100+3d6/5d6/8d6</v>
          </cell>
          <cell r="BA288" t="str">
            <v>2'4"/2'2"+2d4</v>
          </cell>
          <cell r="BB288" t="str">
            <v>25/20+1d4</v>
          </cell>
          <cell r="BL288" t="str">
            <v>Frost</v>
          </cell>
          <cell r="BM288">
            <v>158</v>
          </cell>
        </row>
        <row r="289">
          <cell r="A289" t="str">
            <v>Unbodied</v>
          </cell>
          <cell r="C289" t="str">
            <v>Medium</v>
          </cell>
          <cell r="D289" t="str">
            <v>Monstrous Humanoid</v>
          </cell>
          <cell r="E289" t="str">
            <v>Incorporeal</v>
          </cell>
          <cell r="F289">
            <v>4</v>
          </cell>
          <cell r="J289">
            <v>30</v>
          </cell>
          <cell r="K289" t="str">
            <v>good</v>
          </cell>
          <cell r="N289" t="str">
            <v>Touch+5+0+1</v>
          </cell>
          <cell r="P289" t="str">
            <v/>
          </cell>
          <cell r="T289">
            <v>60</v>
          </cell>
          <cell r="W289" t="str">
            <v/>
          </cell>
          <cell r="X289" t="str">
            <v/>
          </cell>
          <cell r="AE289">
            <v>2</v>
          </cell>
          <cell r="AF289">
            <v>2</v>
          </cell>
          <cell r="AG289">
            <v>4</v>
          </cell>
          <cell r="AH289">
            <v>4</v>
          </cell>
          <cell r="AI289">
            <v>4</v>
          </cell>
          <cell r="AP289" t="str">
            <v>Bluff+4,Diplomacy,Disguise+4,Intimidate,Listen,Sense Motive,Spot</v>
          </cell>
          <cell r="AU289" t="str">
            <v>none</v>
          </cell>
          <cell r="AX289">
            <v>4</v>
          </cell>
          <cell r="AY289" t="str">
            <v>Psion(Telepath)</v>
          </cell>
          <cell r="AZ289" t="str">
            <v/>
          </cell>
          <cell r="BA289" t="str">
            <v/>
          </cell>
          <cell r="BB289" t="str">
            <v/>
          </cell>
          <cell r="BL289" t="str">
            <v>XPH</v>
          </cell>
          <cell r="BM289">
            <v>215</v>
          </cell>
        </row>
        <row r="290">
          <cell r="A290" t="str">
            <v>Underfolk</v>
          </cell>
          <cell r="C290" t="str">
            <v>Medium</v>
          </cell>
          <cell r="D290" t="str">
            <v>Humanoid</v>
          </cell>
          <cell r="E290" t="str">
            <v>Human</v>
          </cell>
          <cell r="G290">
            <v>30</v>
          </cell>
          <cell r="P290" t="str">
            <v/>
          </cell>
          <cell r="T290">
            <v>60</v>
          </cell>
          <cell r="W290" t="str">
            <v/>
          </cell>
          <cell r="X290" t="str">
            <v/>
          </cell>
          <cell r="AP290" t="str">
            <v>Hide+4,Listen</v>
          </cell>
          <cell r="AT290" t="str">
            <v>Common</v>
          </cell>
          <cell r="AU290" t="str">
            <v>Drow, Dwarven, Gnome, Goblin, Orc</v>
          </cell>
          <cell r="AY290" t="str">
            <v>Any</v>
          </cell>
          <cell r="AZ290" t="str">
            <v>15+1d4/1d6/2d6</v>
          </cell>
          <cell r="BA290" t="str">
            <v>4'5"/4'4"+2d6</v>
          </cell>
          <cell r="BB290" t="str">
            <v>85/80+1d6</v>
          </cell>
          <cell r="BL290" t="str">
            <v>RoD</v>
          </cell>
          <cell r="BM290">
            <v>108</v>
          </cell>
        </row>
        <row r="291">
          <cell r="A291" t="str">
            <v>Ursoi</v>
          </cell>
          <cell r="C291" t="str">
            <v>Large</v>
          </cell>
          <cell r="D291" t="str">
            <v>Monstrous Humanoid</v>
          </cell>
          <cell r="F291">
            <v>5</v>
          </cell>
          <cell r="G291">
            <v>30</v>
          </cell>
          <cell r="M291">
            <v>4</v>
          </cell>
          <cell r="N291" t="str">
            <v>2 Claws+5+0+1,Bite+5+0+1</v>
          </cell>
          <cell r="P291" t="str">
            <v/>
          </cell>
          <cell r="T291">
            <v>60</v>
          </cell>
          <cell r="W291" t="str">
            <v/>
          </cell>
          <cell r="X291" t="str">
            <v>cold 10</v>
          </cell>
          <cell r="AD291">
            <v>10</v>
          </cell>
          <cell r="AE291">
            <v>2</v>
          </cell>
          <cell r="AF291">
            <v>6</v>
          </cell>
          <cell r="AG291">
            <v>-2</v>
          </cell>
          <cell r="AH291">
            <v>2</v>
          </cell>
          <cell r="AI291">
            <v>-4</v>
          </cell>
          <cell r="AP291" t="str">
            <v>Climb,Listen,Spot,Survival+4,Swim+4</v>
          </cell>
          <cell r="AT291" t="str">
            <v>Ursoi</v>
          </cell>
          <cell r="AU291" t="str">
            <v>Common, Ice Barbarian, Thanoi</v>
          </cell>
          <cell r="AV291">
            <v>4</v>
          </cell>
          <cell r="AX291">
            <v>2</v>
          </cell>
          <cell r="AY291" t="str">
            <v>Ranger</v>
          </cell>
          <cell r="AZ291" t="str">
            <v/>
          </cell>
          <cell r="BA291" t="str">
            <v/>
          </cell>
          <cell r="BB291" t="str">
            <v/>
          </cell>
          <cell r="BL291" t="str">
            <v>BoK</v>
          </cell>
        </row>
        <row r="292">
          <cell r="A292" t="str">
            <v>Vanara</v>
          </cell>
          <cell r="C292" t="str">
            <v>Medium</v>
          </cell>
          <cell r="D292" t="str">
            <v>Humanoid</v>
          </cell>
          <cell r="G292">
            <v>30</v>
          </cell>
          <cell r="I292">
            <v>20</v>
          </cell>
          <cell r="AP292" t="str">
            <v>Balance+4,Climb+8,Hide+2,Jump+4,Move Silently+2</v>
          </cell>
          <cell r="AT292" t="str">
            <v>Common, Vanara</v>
          </cell>
          <cell r="AU292" t="str">
            <v>Giant, Goblin, Spirit Tongue, Sylvan</v>
          </cell>
          <cell r="AY292" t="str">
            <v>Shaman</v>
          </cell>
          <cell r="AZ292" t="str">
            <v>30+2d6/4d6/6d6</v>
          </cell>
          <cell r="BA292" t="str">
            <v>4'5"/4'2"+1d8</v>
          </cell>
          <cell r="BB292" t="str">
            <v>90/85+1d6</v>
          </cell>
          <cell r="BL292" t="str">
            <v>OA</v>
          </cell>
          <cell r="BM292">
            <v>15</v>
          </cell>
        </row>
        <row r="293">
          <cell r="A293" t="str">
            <v>Varag</v>
          </cell>
          <cell r="C293" t="str">
            <v>Medium</v>
          </cell>
          <cell r="D293" t="str">
            <v>Humanoid</v>
          </cell>
          <cell r="E293" t="str">
            <v>Goblinoid</v>
          </cell>
          <cell r="F293">
            <v>1</v>
          </cell>
          <cell r="G293">
            <v>40</v>
          </cell>
          <cell r="M293">
            <v>1</v>
          </cell>
          <cell r="P293" t="str">
            <v/>
          </cell>
          <cell r="T293">
            <v>60</v>
          </cell>
          <cell r="W293" t="str">
            <v/>
          </cell>
          <cell r="X293" t="str">
            <v/>
          </cell>
          <cell r="AD293">
            <v>2</v>
          </cell>
          <cell r="AE293">
            <v>0</v>
          </cell>
          <cell r="AF293">
            <v>0</v>
          </cell>
          <cell r="AG293">
            <v>-4</v>
          </cell>
          <cell r="AP293" t="str">
            <v>Jump,Move Silently+4,Survival</v>
          </cell>
          <cell r="AS293" t="str">
            <v/>
          </cell>
          <cell r="AT293" t="str">
            <v>Goblin</v>
          </cell>
          <cell r="AU293" t="str">
            <v>Common, Draconic, Dwarven, Giant, Infernal, Orc</v>
          </cell>
          <cell r="AV293">
            <v>0</v>
          </cell>
          <cell r="AX293">
            <v>1</v>
          </cell>
          <cell r="AY293" t="str">
            <v>Scout</v>
          </cell>
          <cell r="AZ293" t="str">
            <v/>
          </cell>
          <cell r="BA293" t="str">
            <v/>
          </cell>
          <cell r="BB293" t="str">
            <v/>
          </cell>
          <cell r="BL293" t="str">
            <v>MM4</v>
          </cell>
        </row>
        <row r="294">
          <cell r="A294" t="str">
            <v>Warforged</v>
          </cell>
          <cell r="C294" t="str">
            <v>Medium</v>
          </cell>
          <cell r="D294" t="str">
            <v>Construct</v>
          </cell>
          <cell r="E294" t="str">
            <v>Living Construct</v>
          </cell>
          <cell r="G294">
            <v>30</v>
          </cell>
          <cell r="N294" t="str">
            <v>Slam+4+0+1</v>
          </cell>
          <cell r="P294" t="str">
            <v/>
          </cell>
          <cell r="W294" t="str">
            <v/>
          </cell>
          <cell r="X294" t="str">
            <v/>
          </cell>
          <cell r="AF294">
            <v>2</v>
          </cell>
          <cell r="AH294">
            <v>-2</v>
          </cell>
          <cell r="AI294">
            <v>-2</v>
          </cell>
          <cell r="AT294" t="str">
            <v>Common</v>
          </cell>
          <cell r="AU294" t="str">
            <v>none</v>
          </cell>
          <cell r="AY294" t="str">
            <v>Fighter</v>
          </cell>
          <cell r="AZ294" t="str">
            <v>0+1d12/1d6/1d4</v>
          </cell>
          <cell r="BA294" t="str">
            <v>5'10"/5'10"+2d6</v>
          </cell>
          <cell r="BB294" t="str">
            <v>270/270+4d1</v>
          </cell>
          <cell r="BL294" t="str">
            <v>MM3</v>
          </cell>
          <cell r="BM294">
            <v>190</v>
          </cell>
          <cell r="BN294" t="str">
            <v>ECS</v>
          </cell>
        </row>
        <row r="295">
          <cell r="A295" t="str">
            <v>Warforged, Charger</v>
          </cell>
          <cell r="C295" t="str">
            <v>Large</v>
          </cell>
          <cell r="D295" t="str">
            <v>Construct</v>
          </cell>
          <cell r="E295" t="str">
            <v>Living Construct</v>
          </cell>
          <cell r="F295">
            <v>4</v>
          </cell>
          <cell r="G295">
            <v>30</v>
          </cell>
          <cell r="N295" t="str">
            <v>2 Slams+5+0+2</v>
          </cell>
          <cell r="P295" t="str">
            <v/>
          </cell>
          <cell r="W295" t="str">
            <v/>
          </cell>
          <cell r="X295" t="str">
            <v/>
          </cell>
          <cell r="AD295">
            <v>10</v>
          </cell>
          <cell r="AF295">
            <v>10</v>
          </cell>
          <cell r="AG295">
            <v>-6</v>
          </cell>
          <cell r="AH295">
            <v>-4</v>
          </cell>
          <cell r="AI295">
            <v>-8</v>
          </cell>
          <cell r="AP295" t="str">
            <v>Jump</v>
          </cell>
          <cell r="AS295" t="str">
            <v>Adamantine Body, Powerful Charge</v>
          </cell>
          <cell r="AT295" t="str">
            <v>Common</v>
          </cell>
          <cell r="AV295">
            <v>5</v>
          </cell>
          <cell r="AX295">
            <v>4</v>
          </cell>
          <cell r="AY295" t="str">
            <v>Fighter</v>
          </cell>
          <cell r="AZ295" t="str">
            <v/>
          </cell>
          <cell r="BA295" t="str">
            <v/>
          </cell>
          <cell r="BB295" t="str">
            <v/>
          </cell>
          <cell r="BL295" t="str">
            <v>MM3</v>
          </cell>
          <cell r="BM295">
            <v>191</v>
          </cell>
        </row>
        <row r="296">
          <cell r="A296" t="str">
            <v>Warforged, Scout</v>
          </cell>
          <cell r="C296" t="str">
            <v>Small</v>
          </cell>
          <cell r="D296" t="str">
            <v>Construct</v>
          </cell>
          <cell r="E296" t="str">
            <v>Living Construct</v>
          </cell>
          <cell r="G296">
            <v>20</v>
          </cell>
          <cell r="P296" t="str">
            <v/>
          </cell>
          <cell r="W296" t="str">
            <v/>
          </cell>
          <cell r="X296" t="str">
            <v/>
          </cell>
          <cell r="AD296">
            <v>-2</v>
          </cell>
          <cell r="AE296">
            <v>2</v>
          </cell>
          <cell r="AH296">
            <v>-2</v>
          </cell>
          <cell r="AI296">
            <v>-2</v>
          </cell>
          <cell r="AP296" t="str">
            <v>Hide+4</v>
          </cell>
          <cell r="AT296" t="str">
            <v>Common</v>
          </cell>
          <cell r="AY296" t="str">
            <v>Rogue</v>
          </cell>
          <cell r="AZ296" t="str">
            <v/>
          </cell>
          <cell r="BA296" t="str">
            <v/>
          </cell>
          <cell r="BB296" t="str">
            <v/>
          </cell>
          <cell r="BL296" t="str">
            <v>MM3</v>
          </cell>
          <cell r="BM296">
            <v>193</v>
          </cell>
        </row>
        <row r="297">
          <cell r="A297" t="str">
            <v>Wemic</v>
          </cell>
          <cell r="C297" t="str">
            <v>Large</v>
          </cell>
          <cell r="D297" t="str">
            <v>Monstrous Humanoid</v>
          </cell>
          <cell r="F297">
            <v>5</v>
          </cell>
          <cell r="G297">
            <v>40</v>
          </cell>
          <cell r="M297">
            <v>4</v>
          </cell>
          <cell r="N297" t="str">
            <v>2 Claws+4+0+1</v>
          </cell>
          <cell r="P297" t="str">
            <v/>
          </cell>
          <cell r="T297">
            <v>60</v>
          </cell>
          <cell r="W297" t="str">
            <v/>
          </cell>
          <cell r="X297" t="str">
            <v/>
          </cell>
          <cell r="AD297">
            <v>8</v>
          </cell>
          <cell r="AE297">
            <v>2</v>
          </cell>
          <cell r="AF297">
            <v>2</v>
          </cell>
          <cell r="AI297">
            <v>-2</v>
          </cell>
          <cell r="AP297" t="str">
            <v>Hide,Jump+8,Listen,Move Silently,Spot,Survival</v>
          </cell>
          <cell r="AT297" t="str">
            <v>Sylvan, Common</v>
          </cell>
          <cell r="AU297" t="str">
            <v>By region</v>
          </cell>
          <cell r="AX297">
            <v>3</v>
          </cell>
          <cell r="AY297" t="str">
            <v>Barbarian</v>
          </cell>
          <cell r="AZ297" t="str">
            <v/>
          </cell>
          <cell r="BA297" t="str">
            <v/>
          </cell>
          <cell r="BB297" t="str">
            <v/>
          </cell>
          <cell r="BL297" t="str">
            <v>RoF</v>
          </cell>
          <cell r="BN297" t="str">
            <v>Mon</v>
          </cell>
        </row>
        <row r="298">
          <cell r="A298" t="str">
            <v>Wildren</v>
          </cell>
          <cell r="C298" t="str">
            <v>Medium</v>
          </cell>
          <cell r="D298" t="str">
            <v>Outsider</v>
          </cell>
          <cell r="E298" t="str">
            <v>Extraplanar</v>
          </cell>
          <cell r="G298">
            <v>20</v>
          </cell>
          <cell r="H298">
            <v>10</v>
          </cell>
          <cell r="N298" t="str">
            <v>2 Claws+4+0+1</v>
          </cell>
          <cell r="P298" t="str">
            <v/>
          </cell>
          <cell r="W298" t="str">
            <v/>
          </cell>
          <cell r="X298" t="str">
            <v/>
          </cell>
          <cell r="AE298">
            <v>-2</v>
          </cell>
          <cell r="AF298">
            <v>4</v>
          </cell>
          <cell r="AI298">
            <v>-2</v>
          </cell>
          <cell r="AT298" t="str">
            <v>Common, Dwarven</v>
          </cell>
          <cell r="AU298" t="str">
            <v>Sylvan, Gnome, Goblin, Orc, Terran</v>
          </cell>
          <cell r="AX298">
            <v>1</v>
          </cell>
          <cell r="AY298" t="str">
            <v>Barbarian</v>
          </cell>
          <cell r="AZ298" t="str">
            <v>30+3d6/5d6/7d6</v>
          </cell>
          <cell r="BA298" t="str">
            <v>3'8"/3'6"+2d10</v>
          </cell>
          <cell r="BB298" t="str">
            <v>120/90+2d4</v>
          </cell>
          <cell r="BL298" t="str">
            <v>PlH</v>
          </cell>
        </row>
        <row r="299">
          <cell r="A299" t="str">
            <v>Windblade, Windrazor</v>
          </cell>
          <cell r="C299" t="str">
            <v>Small</v>
          </cell>
          <cell r="D299" t="str">
            <v>Outsider</v>
          </cell>
          <cell r="E299" t="str">
            <v>Extraplanar</v>
          </cell>
          <cell r="F299">
            <v>2</v>
          </cell>
          <cell r="G299">
            <v>10</v>
          </cell>
          <cell r="I299">
            <v>10</v>
          </cell>
          <cell r="J299">
            <v>40</v>
          </cell>
          <cell r="K299" t="str">
            <v>good</v>
          </cell>
          <cell r="N299" t="str">
            <v>2 Claws+5+0+1,Bite+6+0+0</v>
          </cell>
          <cell r="P299" t="str">
            <v/>
          </cell>
          <cell r="W299" t="str">
            <v/>
          </cell>
          <cell r="X299" t="str">
            <v/>
          </cell>
          <cell r="AD299">
            <v>2</v>
          </cell>
          <cell r="AE299">
            <v>4</v>
          </cell>
          <cell r="AG299">
            <v>-2</v>
          </cell>
          <cell r="AH299">
            <v>2</v>
          </cell>
          <cell r="AI299">
            <v>-4</v>
          </cell>
          <cell r="AP299" t="str">
            <v>Climb+8,Knowledge (the planes),Listen,Move Silently,Spot,Survival,Tumble</v>
          </cell>
          <cell r="AS299" t="str">
            <v>Improved Critical (claw), Improved Critical (bite)</v>
          </cell>
          <cell r="AT299" t="str">
            <v>Auran, Windsong</v>
          </cell>
          <cell r="AU299" t="str">
            <v>Abyssal, Common, Undercommon</v>
          </cell>
          <cell r="AV299">
            <v>1</v>
          </cell>
          <cell r="AX299">
            <v>2</v>
          </cell>
          <cell r="AY299" t="str">
            <v>Ranger</v>
          </cell>
          <cell r="AZ299" t="str">
            <v/>
          </cell>
          <cell r="BA299" t="str">
            <v/>
          </cell>
          <cell r="BB299" t="str">
            <v/>
          </cell>
          <cell r="BL299" t="str">
            <v>MM4</v>
          </cell>
        </row>
        <row r="300">
          <cell r="A300" t="str">
            <v>Windblade, Windscythe</v>
          </cell>
          <cell r="C300" t="str">
            <v>Large</v>
          </cell>
          <cell r="D300" t="str">
            <v>Outsider</v>
          </cell>
          <cell r="E300" t="str">
            <v>Extraplanar</v>
          </cell>
          <cell r="F300">
            <v>8</v>
          </cell>
          <cell r="G300">
            <v>10</v>
          </cell>
          <cell r="I300">
            <v>10</v>
          </cell>
          <cell r="J300">
            <v>60</v>
          </cell>
          <cell r="K300" t="str">
            <v>average</v>
          </cell>
          <cell r="M300">
            <v>4</v>
          </cell>
          <cell r="N300" t="str">
            <v>2 Claws+4+0+1,Bite+5+0+0</v>
          </cell>
          <cell r="P300" t="str">
            <v/>
          </cell>
          <cell r="W300" t="str">
            <v/>
          </cell>
          <cell r="X300" t="str">
            <v/>
          </cell>
          <cell r="AD300">
            <v>10</v>
          </cell>
          <cell r="AE300">
            <v>2</v>
          </cell>
          <cell r="AF300">
            <v>4</v>
          </cell>
          <cell r="AG300">
            <v>-2</v>
          </cell>
          <cell r="AI300">
            <v>-2</v>
          </cell>
          <cell r="AP300" t="str">
            <v>Climb+8,Intimidate,Knowledge (the planes),Listen,Move Silently,Spot,Survival,Tumble</v>
          </cell>
          <cell r="AT300" t="str">
            <v>Auran, Windsong</v>
          </cell>
          <cell r="AU300" t="str">
            <v>Abyssal, Common, Undercommon</v>
          </cell>
          <cell r="AV300">
            <v>4</v>
          </cell>
          <cell r="AX300">
            <v>5</v>
          </cell>
          <cell r="AY300" t="str">
            <v>Fighter</v>
          </cell>
          <cell r="AZ300" t="str">
            <v/>
          </cell>
          <cell r="BA300" t="str">
            <v/>
          </cell>
          <cell r="BB300" t="str">
            <v/>
          </cell>
          <cell r="BL300" t="str">
            <v>MM4</v>
          </cell>
        </row>
        <row r="301">
          <cell r="A301" t="str">
            <v>Wingwyrd</v>
          </cell>
          <cell r="C301" t="str">
            <v>Medium</v>
          </cell>
          <cell r="D301" t="str">
            <v>Monstrous Humanoid</v>
          </cell>
          <cell r="E301" t="str">
            <v>Earth</v>
          </cell>
          <cell r="F301">
            <v>3</v>
          </cell>
          <cell r="G301">
            <v>40</v>
          </cell>
          <cell r="J301">
            <v>60</v>
          </cell>
          <cell r="K301" t="str">
            <v>average</v>
          </cell>
          <cell r="M301">
            <v>4</v>
          </cell>
          <cell r="N301" t="str">
            <v>2 Claws+4+0+1,Slam+5+0+0,Gore+5+0+0</v>
          </cell>
          <cell r="P301" t="str">
            <v/>
          </cell>
          <cell r="T301">
            <v>60</v>
          </cell>
          <cell r="W301" t="str">
            <v/>
          </cell>
          <cell r="X301" t="str">
            <v/>
          </cell>
          <cell r="Y301">
            <v>12</v>
          </cell>
          <cell r="Z301" t="str">
            <v>5/magic</v>
          </cell>
          <cell r="AD301">
            <v>4</v>
          </cell>
          <cell r="AE301">
            <v>4</v>
          </cell>
          <cell r="AF301">
            <v>6</v>
          </cell>
          <cell r="AH301">
            <v>2</v>
          </cell>
          <cell r="AP301" t="str">
            <v>Hide+2,Listen+2,Spot+2</v>
          </cell>
          <cell r="AT301" t="str">
            <v>Common</v>
          </cell>
          <cell r="AU301" t="str">
            <v>Auran, Dwarven, Gnome, Ignan, Terran</v>
          </cell>
          <cell r="AV301">
            <v>3</v>
          </cell>
          <cell r="AX301">
            <v>5</v>
          </cell>
          <cell r="AY301" t="str">
            <v>Fighter</v>
          </cell>
          <cell r="AZ301" t="str">
            <v/>
          </cell>
          <cell r="BA301" t="str">
            <v/>
          </cell>
          <cell r="BB301" t="str">
            <v/>
          </cell>
          <cell r="BL301" t="str">
            <v>FN</v>
          </cell>
        </row>
        <row r="302">
          <cell r="A302" t="str">
            <v>Wispling</v>
          </cell>
          <cell r="C302" t="str">
            <v>Small</v>
          </cell>
          <cell r="D302" t="str">
            <v>Outsider</v>
          </cell>
          <cell r="E302" t="str">
            <v>Native</v>
          </cell>
          <cell r="G302">
            <v>20</v>
          </cell>
          <cell r="P302" t="str">
            <v/>
          </cell>
          <cell r="W302" t="str">
            <v/>
          </cell>
          <cell r="X302" t="str">
            <v/>
          </cell>
          <cell r="AD302">
            <v>-2</v>
          </cell>
          <cell r="AE302">
            <v>4</v>
          </cell>
          <cell r="AG302">
            <v>2</v>
          </cell>
          <cell r="AP302" t="str">
            <v>Bluff,Climb+2,Disguise,Hide,Jump+2,Listen+2,Move Silently+2,Search,Spot</v>
          </cell>
          <cell r="AT302" t="str">
            <v>Common</v>
          </cell>
          <cell r="AX302">
            <v>1</v>
          </cell>
          <cell r="AY302" t="str">
            <v>Rogue</v>
          </cell>
          <cell r="AZ302" t="str">
            <v/>
          </cell>
          <cell r="BA302" t="str">
            <v/>
          </cell>
          <cell r="BB302" t="str">
            <v/>
          </cell>
          <cell r="BL302" t="str">
            <v>FF</v>
          </cell>
        </row>
        <row r="303">
          <cell r="A303" t="str">
            <v>Witchknife</v>
          </cell>
          <cell r="C303" t="str">
            <v>Medium</v>
          </cell>
          <cell r="D303" t="str">
            <v>Monstrous Humanoid</v>
          </cell>
          <cell r="F303">
            <v>9</v>
          </cell>
          <cell r="G303">
            <v>30</v>
          </cell>
          <cell r="M303">
            <v>1</v>
          </cell>
          <cell r="P303" t="str">
            <v/>
          </cell>
          <cell r="S303" t="str">
            <v>normal</v>
          </cell>
          <cell r="W303" t="str">
            <v>sonic</v>
          </cell>
          <cell r="X303" t="str">
            <v>fire 5</v>
          </cell>
          <cell r="AE303">
            <v>6</v>
          </cell>
          <cell r="AF303">
            <v>-2</v>
          </cell>
          <cell r="AG303">
            <v>2</v>
          </cell>
          <cell r="AH303">
            <v>4</v>
          </cell>
          <cell r="AI303">
            <v>6</v>
          </cell>
          <cell r="AP303" t="str">
            <v>Concentration,Hide,Sense Motive,Speak Language,Spot</v>
          </cell>
          <cell r="AT303" t="str">
            <v>Common, Undercommon</v>
          </cell>
          <cell r="AU303" t="str">
            <v>Any except secret languages.</v>
          </cell>
          <cell r="AV303">
            <v>4</v>
          </cell>
          <cell r="AX303">
            <v>3</v>
          </cell>
          <cell r="AY303" t="str">
            <v>Rogue</v>
          </cell>
          <cell r="AZ303" t="str">
            <v/>
          </cell>
          <cell r="BA303" t="str">
            <v/>
          </cell>
          <cell r="BB303" t="str">
            <v/>
          </cell>
          <cell r="BL303" t="str">
            <v>MM3</v>
          </cell>
          <cell r="BM303">
            <v>194</v>
          </cell>
        </row>
        <row r="304">
          <cell r="A304" t="str">
            <v>Xeph</v>
          </cell>
          <cell r="C304" t="str">
            <v>Medium</v>
          </cell>
          <cell r="D304" t="str">
            <v>Humanoid</v>
          </cell>
          <cell r="G304">
            <v>30</v>
          </cell>
          <cell r="P304" t="str">
            <v/>
          </cell>
          <cell r="T304">
            <v>60</v>
          </cell>
          <cell r="W304" t="str">
            <v/>
          </cell>
          <cell r="X304" t="str">
            <v/>
          </cell>
          <cell r="AD304">
            <v>-2</v>
          </cell>
          <cell r="AE304">
            <v>2</v>
          </cell>
          <cell r="AT304" t="str">
            <v>Common, Xeph</v>
          </cell>
          <cell r="AU304" t="str">
            <v>Draconic, Elven, Gnoll, Goblin, Halfling, Sylvan</v>
          </cell>
          <cell r="AY304" t="str">
            <v>Soulknife</v>
          </cell>
          <cell r="AZ304" t="str">
            <v>18+1d4/2d4/2d6</v>
          </cell>
          <cell r="BA304" t="str">
            <v>4'8"/4'4"+2d10</v>
          </cell>
          <cell r="BB304" t="str">
            <v>100/75+2d4</v>
          </cell>
          <cell r="BL304" t="str">
            <v>XPH</v>
          </cell>
          <cell r="BM304">
            <v>207</v>
          </cell>
        </row>
        <row r="305">
          <cell r="A305" t="str">
            <v>Yak Folk</v>
          </cell>
          <cell r="C305" t="str">
            <v>Large</v>
          </cell>
          <cell r="D305" t="str">
            <v>Monstrous Humanoid</v>
          </cell>
          <cell r="F305">
            <v>5</v>
          </cell>
          <cell r="G305">
            <v>30</v>
          </cell>
          <cell r="M305">
            <v>7</v>
          </cell>
          <cell r="P305" t="str">
            <v/>
          </cell>
          <cell r="T305">
            <v>60</v>
          </cell>
          <cell r="W305" t="str">
            <v/>
          </cell>
          <cell r="X305" t="str">
            <v/>
          </cell>
          <cell r="AD305">
            <v>8</v>
          </cell>
          <cell r="AF305">
            <v>4</v>
          </cell>
          <cell r="AG305">
            <v>4</v>
          </cell>
          <cell r="AH305">
            <v>4</v>
          </cell>
          <cell r="AI305">
            <v>4</v>
          </cell>
          <cell r="AP305" t="str">
            <v>Disguise,Heal,Knowledge (arcana),Use Magic Device</v>
          </cell>
          <cell r="AS305" t="str">
            <v>Improved Initiative</v>
          </cell>
          <cell r="AT305" t="str">
            <v>Common,Yakfolk</v>
          </cell>
          <cell r="AV305">
            <v>4</v>
          </cell>
          <cell r="AX305">
            <v>2</v>
          </cell>
          <cell r="AY305" t="str">
            <v>Sorcerer</v>
          </cell>
          <cell r="AZ305" t="str">
            <v/>
          </cell>
          <cell r="BA305" t="str">
            <v/>
          </cell>
          <cell r="BB305" t="str">
            <v/>
          </cell>
          <cell r="BL305" t="str">
            <v>MM2</v>
          </cell>
          <cell r="BM305">
            <v>200</v>
          </cell>
        </row>
        <row r="306">
          <cell r="A306" t="str">
            <v>Yuan-ti, Anathema</v>
          </cell>
          <cell r="C306" t="str">
            <v>Huge</v>
          </cell>
          <cell r="D306" t="str">
            <v>Aberration</v>
          </cell>
          <cell r="F306">
            <v>22</v>
          </cell>
          <cell r="G306">
            <v>40</v>
          </cell>
          <cell r="I306">
            <v>20</v>
          </cell>
          <cell r="L306">
            <v>20</v>
          </cell>
          <cell r="M306">
            <v>20</v>
          </cell>
          <cell r="N306" t="str">
            <v>Bite+5+0+1, 2 Claws+5+0+2</v>
          </cell>
          <cell r="P306" t="str">
            <v>Animal Trance, Cause Fear, Deeper Darkness, Entangle, Haste, Neutralize Poison, Suggestion, Baleful Polymorph, Unholy Blight (3/day); Blasphemy, Unholy Aura (CL 20, DC 16+spell level)</v>
          </cell>
          <cell r="T306">
            <v>60</v>
          </cell>
          <cell r="V306" t="str">
            <v>acid, poison</v>
          </cell>
          <cell r="W306" t="str">
            <v/>
          </cell>
          <cell r="X306" t="str">
            <v>electricity 10, fire 10</v>
          </cell>
          <cell r="Y306">
            <v>26</v>
          </cell>
          <cell r="Z306" t="str">
            <v>15/good and magic</v>
          </cell>
          <cell r="AD306">
            <v>16</v>
          </cell>
          <cell r="AE306">
            <v>2</v>
          </cell>
          <cell r="AF306">
            <v>18</v>
          </cell>
          <cell r="AG306">
            <v>14</v>
          </cell>
          <cell r="AH306">
            <v>14</v>
          </cell>
          <cell r="AI306">
            <v>12</v>
          </cell>
          <cell r="AP306" t="str">
            <v>Climb+8,Concentration,Craft (any),Hide,Knowledge (any),Listen,Move Silently,Search+4,Spot+4,Survival,Swim+8</v>
          </cell>
          <cell r="AR306" t="str">
            <v>Longbow;Longbow, Composite;Scimitar</v>
          </cell>
          <cell r="AT306" t="str">
            <v>Yuan-Ti, Common</v>
          </cell>
          <cell r="AU306" t="str">
            <v>Common, Draconic, Abyssal</v>
          </cell>
          <cell r="AV306">
            <v>18</v>
          </cell>
          <cell r="AX306">
            <v>6</v>
          </cell>
          <cell r="AY306" t="str">
            <v>Cleric</v>
          </cell>
          <cell r="AZ306" t="str">
            <v/>
          </cell>
          <cell r="BA306" t="str">
            <v/>
          </cell>
          <cell r="BB306" t="str">
            <v/>
          </cell>
          <cell r="BL306" t="str">
            <v>FF</v>
          </cell>
          <cell r="BM306">
            <v>193</v>
          </cell>
        </row>
        <row r="307">
          <cell r="A307" t="str">
            <v>Yuan-Ti, Abomination</v>
          </cell>
          <cell r="C307" t="str">
            <v>Large</v>
          </cell>
          <cell r="D307" t="str">
            <v>Monstrous Humanoid</v>
          </cell>
          <cell r="F307">
            <v>9</v>
          </cell>
          <cell r="G307">
            <v>30</v>
          </cell>
          <cell r="I307">
            <v>20</v>
          </cell>
          <cell r="L307">
            <v>20</v>
          </cell>
          <cell r="M307">
            <v>10</v>
          </cell>
          <cell r="N307" t="str">
            <v>Bite+5+0+1</v>
          </cell>
          <cell r="P307" t="str">
            <v>Animal Trance (DC 11), Entangle (DC 10) (at will); Deeper Darkness, Neutralize Poison, Suggestion (DC 12) (3/day); Baleful Polymorph (DC 14), Fear (DC 13)</v>
          </cell>
          <cell r="T307">
            <v>60</v>
          </cell>
          <cell r="W307" t="str">
            <v/>
          </cell>
          <cell r="X307" t="str">
            <v/>
          </cell>
          <cell r="Y307">
            <v>19</v>
          </cell>
          <cell r="AD307">
            <v>8</v>
          </cell>
          <cell r="AE307">
            <v>2</v>
          </cell>
          <cell r="AF307">
            <v>6</v>
          </cell>
          <cell r="AG307">
            <v>10</v>
          </cell>
          <cell r="AH307">
            <v>10</v>
          </cell>
          <cell r="AI307">
            <v>8</v>
          </cell>
          <cell r="AP307" t="str">
            <v>Concentration,Craft (any),Hide,Knowledge (any),Listen,Move Silently,Spot,Swim+8</v>
          </cell>
          <cell r="AR307" t="str">
            <v>Longbow;Longbow, Composite;Scimitar</v>
          </cell>
          <cell r="AS307" t="str">
            <v>Alertness, Blind-Fight</v>
          </cell>
          <cell r="AT307" t="str">
            <v>Yuan-Ti, Common</v>
          </cell>
          <cell r="AU307" t="str">
            <v>Abyssal, Draconic</v>
          </cell>
          <cell r="AV307">
            <v>7</v>
          </cell>
          <cell r="AX307">
            <v>7</v>
          </cell>
          <cell r="AY307" t="str">
            <v>Cleric</v>
          </cell>
          <cell r="AZ307" t="str">
            <v/>
          </cell>
          <cell r="BA307" t="str">
            <v/>
          </cell>
          <cell r="BB307" t="str">
            <v/>
          </cell>
          <cell r="BL307" t="str">
            <v>MM</v>
          </cell>
          <cell r="BM307">
            <v>264</v>
          </cell>
        </row>
        <row r="308">
          <cell r="A308" t="str">
            <v>Yuan-Ti, Halfblood</v>
          </cell>
          <cell r="C308" t="str">
            <v>Medium</v>
          </cell>
          <cell r="D308" t="str">
            <v>Monstrous Humanoid</v>
          </cell>
          <cell r="F308">
            <v>7</v>
          </cell>
          <cell r="G308">
            <v>30</v>
          </cell>
          <cell r="M308">
            <v>4</v>
          </cell>
          <cell r="N308" t="str">
            <v>Bite+5+0+1</v>
          </cell>
          <cell r="P308" t="str">
            <v>Animal Trance (DC 11), Cause Fear (DC 10), Entangle(DC 10) (3/day); Deeper Darkness, Neutralize Poison, Suggestion(DC 12)</v>
          </cell>
          <cell r="T308">
            <v>60</v>
          </cell>
          <cell r="W308" t="str">
            <v/>
          </cell>
          <cell r="X308" t="str">
            <v/>
          </cell>
          <cell r="Y308">
            <v>17</v>
          </cell>
          <cell r="AD308">
            <v>4</v>
          </cell>
          <cell r="AE308">
            <v>2</v>
          </cell>
          <cell r="AF308">
            <v>2</v>
          </cell>
          <cell r="AG308">
            <v>8</v>
          </cell>
          <cell r="AH308">
            <v>8</v>
          </cell>
          <cell r="AI308">
            <v>6</v>
          </cell>
          <cell r="AP308" t="str">
            <v>Concentration,Craft (any),Hide,Knowledge (any),Listen,Spot</v>
          </cell>
          <cell r="AR308" t="str">
            <v>Longbow;Longbow, Composite;Scimitar</v>
          </cell>
          <cell r="AS308" t="str">
            <v>Alertness, Blind-Fight</v>
          </cell>
          <cell r="AT308" t="str">
            <v>Yuan-Ti, Common</v>
          </cell>
          <cell r="AU308" t="str">
            <v>Abyssal, Draconic</v>
          </cell>
          <cell r="AV308">
            <v>5</v>
          </cell>
          <cell r="AX308">
            <v>5</v>
          </cell>
          <cell r="AY308" t="str">
            <v>Ranger</v>
          </cell>
          <cell r="AZ308" t="str">
            <v/>
          </cell>
          <cell r="BA308" t="str">
            <v/>
          </cell>
          <cell r="BB308" t="str">
            <v/>
          </cell>
          <cell r="BL308" t="str">
            <v>MM</v>
          </cell>
          <cell r="BM308">
            <v>264</v>
          </cell>
        </row>
        <row r="309">
          <cell r="A309" t="str">
            <v>Yuan-Ti, Pureblood</v>
          </cell>
          <cell r="C309" t="str">
            <v>Medium</v>
          </cell>
          <cell r="D309" t="str">
            <v>Monstrous Humanoid</v>
          </cell>
          <cell r="F309">
            <v>4</v>
          </cell>
          <cell r="G309">
            <v>30</v>
          </cell>
          <cell r="M309">
            <v>1</v>
          </cell>
          <cell r="P309" t="str">
            <v/>
          </cell>
          <cell r="T309">
            <v>60</v>
          </cell>
          <cell r="W309" t="str">
            <v/>
          </cell>
          <cell r="X309" t="str">
            <v/>
          </cell>
          <cell r="AE309">
            <v>2</v>
          </cell>
          <cell r="AG309">
            <v>2</v>
          </cell>
          <cell r="AI309">
            <v>2</v>
          </cell>
          <cell r="AP309" t="str">
            <v>Concentration,Disguise,Hide,Knowledge (any),Listen,Spot</v>
          </cell>
          <cell r="AR309" t="str">
            <v>Longbow;Longbow, Composite;Scimitar</v>
          </cell>
          <cell r="AS309" t="str">
            <v>Alertness, Blind-Fight</v>
          </cell>
          <cell r="AT309" t="str">
            <v>Yuan-Ti, Common</v>
          </cell>
          <cell r="AU309" t="str">
            <v>Abyssal, Draconic</v>
          </cell>
          <cell r="AV309">
            <v>3</v>
          </cell>
          <cell r="AX309">
            <v>2</v>
          </cell>
          <cell r="AY309" t="str">
            <v>Ranger</v>
          </cell>
          <cell r="AZ309" t="str">
            <v/>
          </cell>
          <cell r="BA309" t="str">
            <v/>
          </cell>
          <cell r="BB309" t="str">
            <v/>
          </cell>
          <cell r="BL309" t="str">
            <v>MM</v>
          </cell>
          <cell r="BM309">
            <v>263</v>
          </cell>
          <cell r="BN309" t="str">
            <v>RoF</v>
          </cell>
        </row>
        <row r="310">
          <cell r="A310" t="str">
            <v>Yurian</v>
          </cell>
          <cell r="C310" t="str">
            <v>Medium</v>
          </cell>
          <cell r="D310" t="str">
            <v>Monstrous Humanoid</v>
          </cell>
          <cell r="E310" t="str">
            <v>Aquatic</v>
          </cell>
          <cell r="F310">
            <v>3</v>
          </cell>
          <cell r="G310">
            <v>30</v>
          </cell>
          <cell r="L310">
            <v>20</v>
          </cell>
          <cell r="M310">
            <v>6</v>
          </cell>
          <cell r="N310" t="str">
            <v>2 Claws+5+0+1</v>
          </cell>
          <cell r="P310" t="str">
            <v/>
          </cell>
          <cell r="T310">
            <v>60</v>
          </cell>
          <cell r="W310" t="str">
            <v/>
          </cell>
          <cell r="X310" t="str">
            <v/>
          </cell>
          <cell r="AD310">
            <v>4</v>
          </cell>
          <cell r="AF310">
            <v>4</v>
          </cell>
          <cell r="AG310">
            <v>-2</v>
          </cell>
          <cell r="AI310">
            <v>-2</v>
          </cell>
          <cell r="AP310" t="str">
            <v>Hide+4,Listen,Spot,Swim+8</v>
          </cell>
          <cell r="AT310" t="str">
            <v>Aquan</v>
          </cell>
          <cell r="AV310">
            <v>1</v>
          </cell>
          <cell r="AX310">
            <v>4</v>
          </cell>
          <cell r="AY310" t="str">
            <v>Barbarian</v>
          </cell>
          <cell r="AZ310" t="str">
            <v/>
          </cell>
          <cell r="BA310" t="str">
            <v/>
          </cell>
          <cell r="BB310" t="str">
            <v/>
          </cell>
          <cell r="BL310" t="str">
            <v>FF</v>
          </cell>
          <cell r="BM310">
            <v>198</v>
          </cell>
        </row>
        <row r="311">
          <cell r="A311" t="str">
            <v>Zenythri</v>
          </cell>
          <cell r="C311" t="str">
            <v>Medium</v>
          </cell>
          <cell r="D311" t="str">
            <v>Outsider</v>
          </cell>
          <cell r="E311" t="str">
            <v>Native</v>
          </cell>
          <cell r="G311">
            <v>30</v>
          </cell>
          <cell r="P311" t="str">
            <v>True Strike (CL 1)</v>
          </cell>
          <cell r="W311" t="str">
            <v/>
          </cell>
          <cell r="X311" t="str">
            <v>electricity 5, fire 5, sonic 5</v>
          </cell>
          <cell r="AD311">
            <v>2</v>
          </cell>
          <cell r="AE311">
            <v>2</v>
          </cell>
          <cell r="AH311">
            <v>2</v>
          </cell>
          <cell r="AI311">
            <v>-2</v>
          </cell>
          <cell r="AP311" t="str">
            <v>Balance+2,Search,Survival+2</v>
          </cell>
          <cell r="AT311" t="str">
            <v>Common</v>
          </cell>
          <cell r="AV311">
            <v>1</v>
          </cell>
          <cell r="AX311">
            <v>1</v>
          </cell>
          <cell r="AY311" t="str">
            <v>Monk</v>
          </cell>
          <cell r="AZ311" t="str">
            <v/>
          </cell>
          <cell r="BA311" t="str">
            <v/>
          </cell>
          <cell r="BB311" t="str">
            <v/>
          </cell>
          <cell r="BL311" t="str">
            <v>MM2</v>
          </cell>
        </row>
        <row r="312">
          <cell r="A312" t="str">
            <v>Ankheg</v>
          </cell>
          <cell r="D312" t="str">
            <v>Magical Beast</v>
          </cell>
          <cell r="N312" t="str">
            <v/>
          </cell>
          <cell r="AX312" t="str">
            <v>-</v>
          </cell>
          <cell r="BF312">
            <v>7</v>
          </cell>
          <cell r="BL312" t="str">
            <v>MM</v>
          </cell>
          <cell r="BM312">
            <v>14</v>
          </cell>
        </row>
        <row r="313">
          <cell r="A313" t="str">
            <v>Ape</v>
          </cell>
          <cell r="C313" t="str">
            <v>Large</v>
          </cell>
          <cell r="D313" t="str">
            <v>Animal</v>
          </cell>
          <cell r="F313">
            <v>4</v>
          </cell>
          <cell r="G313">
            <v>30</v>
          </cell>
          <cell r="I313">
            <v>30</v>
          </cell>
          <cell r="M313">
            <v>3</v>
          </cell>
          <cell r="N313" t="str">
            <v>2 Claws+4+0+1,Bite+4+0+0</v>
          </cell>
          <cell r="AD313">
            <v>21</v>
          </cell>
          <cell r="AE313">
            <v>15</v>
          </cell>
          <cell r="AF313">
            <v>14</v>
          </cell>
          <cell r="AG313">
            <v>2</v>
          </cell>
          <cell r="AH313">
            <v>12</v>
          </cell>
          <cell r="AI313">
            <v>7</v>
          </cell>
          <cell r="AP313" t="str">
            <v>Climb+8,Listen,Spot</v>
          </cell>
          <cell r="AS313" t="str">
            <v>Alertness;Toughness</v>
          </cell>
          <cell r="AX313" t="str">
            <v>-</v>
          </cell>
          <cell r="BC313" t="str">
            <v>Scent</v>
          </cell>
          <cell r="BF313">
            <v>4</v>
          </cell>
          <cell r="BL313" t="str">
            <v>MM</v>
          </cell>
          <cell r="BM313">
            <v>268</v>
          </cell>
        </row>
        <row r="314">
          <cell r="A314" t="str">
            <v>Archon, Lantern</v>
          </cell>
          <cell r="C314" t="str">
            <v>Small</v>
          </cell>
          <cell r="D314" t="str">
            <v>Outsider</v>
          </cell>
          <cell r="F314">
            <v>1</v>
          </cell>
          <cell r="J314">
            <v>60</v>
          </cell>
          <cell r="K314" t="str">
            <v>perfect</v>
          </cell>
          <cell r="M314">
            <v>4</v>
          </cell>
          <cell r="N314" t="str">
            <v>2 light rays+6+0-1</v>
          </cell>
          <cell r="S314" t="str">
            <v>normal</v>
          </cell>
          <cell r="V314" t="str">
            <v>electricity,petrification</v>
          </cell>
          <cell r="Z314" t="str">
            <v>10/evil and magic</v>
          </cell>
          <cell r="AD314">
            <v>1</v>
          </cell>
          <cell r="AE314">
            <v>11</v>
          </cell>
          <cell r="AF314">
            <v>10</v>
          </cell>
          <cell r="AG314">
            <v>6</v>
          </cell>
          <cell r="AH314">
            <v>11</v>
          </cell>
          <cell r="AI314">
            <v>10</v>
          </cell>
          <cell r="AS314" t="str">
            <v>Improved Initiative</v>
          </cell>
          <cell r="AW314" t="str">
            <v>Lawful Good</v>
          </cell>
          <cell r="AX314" t="str">
            <v>-</v>
          </cell>
          <cell r="BC314" t="str">
            <v>Spell-like abilities;Aura of menace;magic circle agaist evil;Teleport;Tongues</v>
          </cell>
          <cell r="BE314">
            <v>7</v>
          </cell>
          <cell r="BG314" t="str">
            <v>Celestial, Planar</v>
          </cell>
          <cell r="BL314" t="str">
            <v>MM</v>
          </cell>
          <cell r="BM314">
            <v>16</v>
          </cell>
          <cell r="BN314" t="str">
            <v>PlH</v>
          </cell>
        </row>
        <row r="315">
          <cell r="A315" t="str">
            <v>Asperi</v>
          </cell>
          <cell r="D315" t="str">
            <v>Magical Beast</v>
          </cell>
          <cell r="N315" t="str">
            <v/>
          </cell>
          <cell r="T315">
            <v>60</v>
          </cell>
          <cell r="AX315" t="str">
            <v>-</v>
          </cell>
          <cell r="BF315">
            <v>7</v>
          </cell>
          <cell r="BL315" t="str">
            <v>MM2</v>
          </cell>
          <cell r="BM315">
            <v>25</v>
          </cell>
        </row>
        <row r="316">
          <cell r="A316" t="str">
            <v>Baboon</v>
          </cell>
          <cell r="C316" t="str">
            <v>Medium</v>
          </cell>
          <cell r="D316" t="str">
            <v>Animal</v>
          </cell>
          <cell r="F316">
            <v>1</v>
          </cell>
          <cell r="G316">
            <v>40</v>
          </cell>
          <cell r="I316">
            <v>30</v>
          </cell>
          <cell r="M316">
            <v>1</v>
          </cell>
          <cell r="N316" t="str">
            <v>Bite+5+0+2</v>
          </cell>
          <cell r="AD316">
            <v>15</v>
          </cell>
          <cell r="AE316">
            <v>14</v>
          </cell>
          <cell r="AF316">
            <v>12</v>
          </cell>
          <cell r="AG316">
            <v>2</v>
          </cell>
          <cell r="AH316">
            <v>12</v>
          </cell>
          <cell r="AI316">
            <v>4</v>
          </cell>
          <cell r="AX316" t="str">
            <v>-</v>
          </cell>
          <cell r="BF316">
            <v>1</v>
          </cell>
          <cell r="BL316" t="str">
            <v>MM</v>
          </cell>
          <cell r="BM316">
            <v>268</v>
          </cell>
        </row>
        <row r="317">
          <cell r="A317" t="str">
            <v>Badger</v>
          </cell>
          <cell r="C317" t="str">
            <v>Small</v>
          </cell>
          <cell r="D317" t="str">
            <v>Animal</v>
          </cell>
          <cell r="F317">
            <v>1</v>
          </cell>
          <cell r="G317">
            <v>30</v>
          </cell>
          <cell r="H317">
            <v>10</v>
          </cell>
          <cell r="M317">
            <v>1</v>
          </cell>
          <cell r="N317" t="str">
            <v>2 Claws+3+0+1,Bite+4+0+0</v>
          </cell>
          <cell r="S317" t="str">
            <v>normal</v>
          </cell>
          <cell r="AD317">
            <v>8</v>
          </cell>
          <cell r="AE317">
            <v>17</v>
          </cell>
          <cell r="AF317">
            <v>15</v>
          </cell>
          <cell r="AG317">
            <v>3</v>
          </cell>
          <cell r="AH317">
            <v>12</v>
          </cell>
          <cell r="AI317">
            <v>6</v>
          </cell>
          <cell r="AX317" t="str">
            <v>-</v>
          </cell>
          <cell r="BF317">
            <v>1</v>
          </cell>
          <cell r="BL317" t="str">
            <v>MM</v>
          </cell>
          <cell r="BM317">
            <v>268</v>
          </cell>
        </row>
        <row r="318">
          <cell r="A318" t="str">
            <v>Basilisk</v>
          </cell>
          <cell r="D318" t="str">
            <v>Magical Beast</v>
          </cell>
          <cell r="N318" t="str">
            <v/>
          </cell>
          <cell r="S318" t="str">
            <v>normal</v>
          </cell>
          <cell r="AX318" t="str">
            <v>-</v>
          </cell>
          <cell r="BF318">
            <v>10</v>
          </cell>
          <cell r="BL318" t="str">
            <v>MM</v>
          </cell>
          <cell r="BM318">
            <v>23</v>
          </cell>
        </row>
        <row r="319">
          <cell r="A319" t="str">
            <v>Bat</v>
          </cell>
          <cell r="C319" t="str">
            <v>Diminutive</v>
          </cell>
          <cell r="D319" t="str">
            <v>Animal</v>
          </cell>
          <cell r="F319">
            <v>0.25</v>
          </cell>
          <cell r="G319">
            <v>5</v>
          </cell>
          <cell r="J319">
            <v>40</v>
          </cell>
          <cell r="K319" t="str">
            <v>good</v>
          </cell>
          <cell r="M319">
            <v>0</v>
          </cell>
          <cell r="AD319">
            <v>1</v>
          </cell>
          <cell r="AE319">
            <v>15</v>
          </cell>
          <cell r="AF319">
            <v>10</v>
          </cell>
          <cell r="AG319">
            <v>2</v>
          </cell>
          <cell r="AH319">
            <v>14</v>
          </cell>
          <cell r="AI319">
            <v>4</v>
          </cell>
          <cell r="AS319" t="str">
            <v>Alertness</v>
          </cell>
          <cell r="AV319">
            <v>0</v>
          </cell>
          <cell r="AW319" t="str">
            <v>Neutral</v>
          </cell>
          <cell r="AX319" t="str">
            <v>-</v>
          </cell>
          <cell r="BC319" t="str">
            <v>Blindsense 10"</v>
          </cell>
          <cell r="BE319">
            <v>1</v>
          </cell>
          <cell r="BG319" t="str">
            <v>Normal</v>
          </cell>
          <cell r="BL319" t="str">
            <v>MM</v>
          </cell>
          <cell r="BM319">
            <v>268</v>
          </cell>
        </row>
        <row r="320">
          <cell r="A320" t="str">
            <v>Bear, Black</v>
          </cell>
          <cell r="C320" t="str">
            <v>Medium</v>
          </cell>
          <cell r="D320" t="str">
            <v>Animal</v>
          </cell>
          <cell r="F320">
            <v>3</v>
          </cell>
          <cell r="G320">
            <v>40</v>
          </cell>
          <cell r="M320">
            <v>2</v>
          </cell>
          <cell r="N320" t="str">
            <v>2 Claws+4+0+1,Bite+5+0+0</v>
          </cell>
          <cell r="S320" t="str">
            <v>normal</v>
          </cell>
          <cell r="AD320">
            <v>19</v>
          </cell>
          <cell r="AE320">
            <v>13</v>
          </cell>
          <cell r="AF320">
            <v>15</v>
          </cell>
          <cell r="AG320">
            <v>2</v>
          </cell>
          <cell r="AH320">
            <v>12</v>
          </cell>
          <cell r="AI320">
            <v>6</v>
          </cell>
          <cell r="AX320" t="str">
            <v>-</v>
          </cell>
          <cell r="BF320">
            <v>4</v>
          </cell>
          <cell r="BL320" t="str">
            <v>MM</v>
          </cell>
          <cell r="BM320">
            <v>269</v>
          </cell>
        </row>
        <row r="321">
          <cell r="A321" t="str">
            <v>Bear, Brown</v>
          </cell>
          <cell r="C321" t="str">
            <v>Large</v>
          </cell>
          <cell r="D321" t="str">
            <v>Animal</v>
          </cell>
          <cell r="F321">
            <v>6</v>
          </cell>
          <cell r="G321">
            <v>40</v>
          </cell>
          <cell r="M321">
            <v>2</v>
          </cell>
          <cell r="N321" t="str">
            <v>2 Claws+5+0+1,Bite+6-1+0</v>
          </cell>
          <cell r="S321" t="str">
            <v>normal</v>
          </cell>
          <cell r="AD321">
            <v>27</v>
          </cell>
          <cell r="AE321">
            <v>13</v>
          </cell>
          <cell r="AF321">
            <v>19</v>
          </cell>
          <cell r="AG321">
            <v>2</v>
          </cell>
          <cell r="AH321">
            <v>12</v>
          </cell>
          <cell r="AI321">
            <v>6</v>
          </cell>
          <cell r="AV321">
            <v>4</v>
          </cell>
          <cell r="AW321" t="str">
            <v>Lawful Good</v>
          </cell>
          <cell r="AX321" t="str">
            <v>-</v>
          </cell>
          <cell r="BF321">
            <v>7</v>
          </cell>
          <cell r="BL321" t="str">
            <v>MM</v>
          </cell>
          <cell r="BM321">
            <v>269</v>
          </cell>
        </row>
        <row r="322">
          <cell r="A322" t="str">
            <v>Bear, Polar</v>
          </cell>
          <cell r="C322" t="str">
            <v>Large</v>
          </cell>
          <cell r="D322" t="str">
            <v>Animal</v>
          </cell>
          <cell r="F322">
            <v>8</v>
          </cell>
          <cell r="G322">
            <v>40</v>
          </cell>
          <cell r="L322">
            <v>30</v>
          </cell>
          <cell r="M322">
            <v>5</v>
          </cell>
          <cell r="N322" t="str">
            <v>2 Claws+5+0+1,Bite+7+0+0</v>
          </cell>
          <cell r="S322" t="str">
            <v>normal</v>
          </cell>
          <cell r="AD322">
            <v>27</v>
          </cell>
          <cell r="AE322">
            <v>13</v>
          </cell>
          <cell r="AF322">
            <v>19</v>
          </cell>
          <cell r="AG322">
            <v>2</v>
          </cell>
          <cell r="AH322">
            <v>12</v>
          </cell>
          <cell r="AI322">
            <v>6</v>
          </cell>
          <cell r="AX322" t="str">
            <v>-</v>
          </cell>
          <cell r="BF322">
            <v>10</v>
          </cell>
          <cell r="BL322" t="str">
            <v>MM</v>
          </cell>
          <cell r="BM322">
            <v>269</v>
          </cell>
        </row>
        <row r="323">
          <cell r="A323" t="str">
            <v>Bison</v>
          </cell>
          <cell r="C323" t="str">
            <v>Large</v>
          </cell>
          <cell r="D323" t="str">
            <v>Animal</v>
          </cell>
          <cell r="N323" t="str">
            <v/>
          </cell>
          <cell r="S323" t="str">
            <v>normal</v>
          </cell>
          <cell r="AX323" t="str">
            <v>-</v>
          </cell>
          <cell r="BF323">
            <v>4</v>
          </cell>
          <cell r="BL323" t="str">
            <v>MM</v>
          </cell>
          <cell r="BM323">
            <v>269</v>
          </cell>
        </row>
        <row r="324">
          <cell r="A324" t="str">
            <v>Blink Dog</v>
          </cell>
          <cell r="C324" t="str">
            <v>Medium</v>
          </cell>
          <cell r="D324" t="str">
            <v>Magical Beast</v>
          </cell>
          <cell r="F324">
            <v>4</v>
          </cell>
          <cell r="G324">
            <v>40</v>
          </cell>
          <cell r="M324">
            <v>3</v>
          </cell>
          <cell r="N324" t="str">
            <v>Bite+5+0+2</v>
          </cell>
          <cell r="AD324">
            <v>10</v>
          </cell>
          <cell r="AE324">
            <v>17</v>
          </cell>
          <cell r="AF324">
            <v>10</v>
          </cell>
          <cell r="AG324">
            <v>10</v>
          </cell>
          <cell r="AH324">
            <v>13</v>
          </cell>
          <cell r="AI324">
            <v>11</v>
          </cell>
          <cell r="AS324" t="str">
            <v>Iron Will;Run;Track;</v>
          </cell>
          <cell r="AW324" t="str">
            <v>Lawful Good</v>
          </cell>
          <cell r="AX324" t="str">
            <v>-</v>
          </cell>
          <cell r="BC324" t="str">
            <v>Blink;Dimension Door;Scent</v>
          </cell>
          <cell r="BE324">
            <v>5</v>
          </cell>
          <cell r="BF324">
            <v>4</v>
          </cell>
          <cell r="BG324" t="str">
            <v>Improved</v>
          </cell>
          <cell r="BL324" t="str">
            <v>MM</v>
          </cell>
          <cell r="BM324">
            <v>28</v>
          </cell>
          <cell r="BN324" t="str">
            <v>CW</v>
          </cell>
        </row>
        <row r="325">
          <cell r="A325" t="str">
            <v>Boar</v>
          </cell>
          <cell r="C325" t="str">
            <v>Medium</v>
          </cell>
          <cell r="D325" t="str">
            <v>Animal</v>
          </cell>
          <cell r="F325">
            <v>3</v>
          </cell>
          <cell r="G325">
            <v>40</v>
          </cell>
          <cell r="M325">
            <v>2</v>
          </cell>
          <cell r="N325" t="str">
            <v>Gore+6+0+2</v>
          </cell>
          <cell r="S325" t="str">
            <v>normal</v>
          </cell>
          <cell r="T325">
            <v>60</v>
          </cell>
          <cell r="AD325">
            <v>15</v>
          </cell>
          <cell r="AE325">
            <v>10</v>
          </cell>
          <cell r="AF325">
            <v>17</v>
          </cell>
          <cell r="AG325">
            <v>2</v>
          </cell>
          <cell r="AH325">
            <v>13</v>
          </cell>
          <cell r="AI325">
            <v>4</v>
          </cell>
          <cell r="AV325">
            <v>3</v>
          </cell>
          <cell r="AW325" t="str">
            <v>Neutral</v>
          </cell>
          <cell r="AX325" t="str">
            <v>-</v>
          </cell>
          <cell r="BF325">
            <v>4</v>
          </cell>
          <cell r="BL325" t="str">
            <v>MM</v>
          </cell>
          <cell r="BM325">
            <v>270</v>
          </cell>
        </row>
        <row r="326">
          <cell r="A326" t="str">
            <v>Bull</v>
          </cell>
          <cell r="C326" t="str">
            <v>Large</v>
          </cell>
          <cell r="D326" t="str">
            <v>Animal</v>
          </cell>
          <cell r="N326" t="str">
            <v/>
          </cell>
          <cell r="S326" t="str">
            <v>normal</v>
          </cell>
          <cell r="AX326" t="str">
            <v>-</v>
          </cell>
          <cell r="BF326">
            <v>7</v>
          </cell>
          <cell r="BL326" t="str">
            <v>PGtA</v>
          </cell>
        </row>
        <row r="327">
          <cell r="A327" t="str">
            <v>Bullete</v>
          </cell>
          <cell r="D327" t="str">
            <v>Magical Beast</v>
          </cell>
          <cell r="N327" t="str">
            <v/>
          </cell>
          <cell r="AX327" t="str">
            <v>-</v>
          </cell>
          <cell r="BF327">
            <v>13</v>
          </cell>
          <cell r="BL327" t="str">
            <v>MM</v>
          </cell>
          <cell r="BM327">
            <v>30</v>
          </cell>
        </row>
        <row r="328">
          <cell r="A328" t="str">
            <v>Camel</v>
          </cell>
          <cell r="C328" t="str">
            <v>Large</v>
          </cell>
          <cell r="D328" t="str">
            <v>Animal</v>
          </cell>
          <cell r="N328" t="str">
            <v/>
          </cell>
          <cell r="AX328" t="str">
            <v>-</v>
          </cell>
          <cell r="BF328">
            <v>1</v>
          </cell>
          <cell r="BL328" t="str">
            <v>MM</v>
          </cell>
          <cell r="BM328">
            <v>270</v>
          </cell>
        </row>
        <row r="329">
          <cell r="A329" t="str">
            <v>Carp</v>
          </cell>
          <cell r="C329" t="str">
            <v>Diminutive</v>
          </cell>
          <cell r="D329" t="str">
            <v>Animal</v>
          </cell>
          <cell r="E329" t="str">
            <v>Aquatic</v>
          </cell>
          <cell r="F329">
            <v>1</v>
          </cell>
          <cell r="L329">
            <v>10</v>
          </cell>
          <cell r="AD329">
            <v>1</v>
          </cell>
          <cell r="AE329">
            <v>20</v>
          </cell>
          <cell r="AF329">
            <v>10</v>
          </cell>
          <cell r="AX329" t="str">
            <v>-</v>
          </cell>
          <cell r="BL329" t="str">
            <v>OA</v>
          </cell>
        </row>
        <row r="330">
          <cell r="A330" t="str">
            <v>Cat</v>
          </cell>
          <cell r="C330" t="str">
            <v>Tiny</v>
          </cell>
          <cell r="D330" t="str">
            <v>Animal</v>
          </cell>
          <cell r="F330">
            <v>0.5</v>
          </cell>
          <cell r="G330">
            <v>30</v>
          </cell>
          <cell r="M330">
            <v>0</v>
          </cell>
          <cell r="N330" t="str">
            <v>2 Claws+4+0+1,Bite+5+0+0</v>
          </cell>
          <cell r="S330" t="str">
            <v>normal</v>
          </cell>
          <cell r="AD330">
            <v>3</v>
          </cell>
          <cell r="AE330">
            <v>15</v>
          </cell>
          <cell r="AF330">
            <v>10</v>
          </cell>
          <cell r="AG330">
            <v>2</v>
          </cell>
          <cell r="AH330">
            <v>12</v>
          </cell>
          <cell r="AI330">
            <v>7</v>
          </cell>
          <cell r="AS330" t="str">
            <v>Weapon Finesse</v>
          </cell>
          <cell r="AV330">
            <v>0</v>
          </cell>
          <cell r="AW330" t="str">
            <v>Neutral</v>
          </cell>
          <cell r="AX330" t="str">
            <v>-</v>
          </cell>
          <cell r="BC330" t="str">
            <v>Scent</v>
          </cell>
          <cell r="BE330">
            <v>1</v>
          </cell>
          <cell r="BG330" t="str">
            <v>Normal</v>
          </cell>
          <cell r="BL330" t="str">
            <v>MM</v>
          </cell>
          <cell r="BM330">
            <v>270</v>
          </cell>
        </row>
        <row r="331">
          <cell r="A331" t="str">
            <v>Cheetah</v>
          </cell>
          <cell r="C331" t="str">
            <v>Medium</v>
          </cell>
          <cell r="D331" t="str">
            <v>Animal</v>
          </cell>
          <cell r="F331">
            <v>3</v>
          </cell>
          <cell r="G331">
            <v>50</v>
          </cell>
          <cell r="M331">
            <v>1</v>
          </cell>
          <cell r="N331" t="str">
            <v>Bite+5+0+1,2 Claws+2+0+0</v>
          </cell>
          <cell r="S331" t="str">
            <v>normal</v>
          </cell>
          <cell r="AD331">
            <v>16</v>
          </cell>
          <cell r="AE331">
            <v>19</v>
          </cell>
          <cell r="AF331">
            <v>15</v>
          </cell>
          <cell r="AG331">
            <v>2</v>
          </cell>
          <cell r="AH331">
            <v>12</v>
          </cell>
          <cell r="AI331">
            <v>6</v>
          </cell>
          <cell r="AX331" t="str">
            <v>-</v>
          </cell>
          <cell r="BF331">
            <v>4</v>
          </cell>
          <cell r="BL331" t="str">
            <v>MM</v>
          </cell>
          <cell r="BM331">
            <v>271</v>
          </cell>
        </row>
        <row r="332">
          <cell r="A332" t="str">
            <v>Chimera</v>
          </cell>
          <cell r="D332" t="str">
            <v>Magical Beast</v>
          </cell>
          <cell r="N332" t="str">
            <v/>
          </cell>
          <cell r="S332" t="str">
            <v>normal</v>
          </cell>
          <cell r="AX332" t="str">
            <v>-</v>
          </cell>
          <cell r="BF332">
            <v>13</v>
          </cell>
          <cell r="BL332" t="str">
            <v>MM</v>
          </cell>
          <cell r="BM332">
            <v>34</v>
          </cell>
        </row>
        <row r="333">
          <cell r="A333" t="str">
            <v>Clockwork Mender</v>
          </cell>
          <cell r="C333" t="str">
            <v>Tiny</v>
          </cell>
          <cell r="D333" t="str">
            <v>Magical Beast</v>
          </cell>
          <cell r="F333">
            <v>1</v>
          </cell>
          <cell r="G333">
            <v>10</v>
          </cell>
          <cell r="J333">
            <v>30</v>
          </cell>
          <cell r="K333" t="str">
            <v>perfect</v>
          </cell>
          <cell r="M333">
            <v>2</v>
          </cell>
          <cell r="N333" t="str">
            <v>Sting</v>
          </cell>
          <cell r="AD333">
            <v>3</v>
          </cell>
          <cell r="AE333">
            <v>19</v>
          </cell>
          <cell r="AF333" t="str">
            <v>-</v>
          </cell>
          <cell r="AG333">
            <v>4</v>
          </cell>
          <cell r="AH333">
            <v>12</v>
          </cell>
          <cell r="AI333">
            <v>10</v>
          </cell>
          <cell r="AS333" t="str">
            <v>Spring Attack;Weapon Finesse;</v>
          </cell>
          <cell r="AW333" t="str">
            <v>Lawful Neutral</v>
          </cell>
          <cell r="AX333" t="str">
            <v>-</v>
          </cell>
          <cell r="BC333" t="str">
            <v>Construct Immunities;Aligned Strike;Poison;Repairing Touch</v>
          </cell>
          <cell r="BE333">
            <v>5</v>
          </cell>
          <cell r="BG333" t="str">
            <v>Improved</v>
          </cell>
          <cell r="BL333" t="str">
            <v>MM4</v>
          </cell>
        </row>
        <row r="334">
          <cell r="A334" t="str">
            <v>Cockatrice</v>
          </cell>
          <cell r="D334" t="str">
            <v>Magical Beast</v>
          </cell>
          <cell r="N334" t="str">
            <v/>
          </cell>
          <cell r="S334" t="str">
            <v>normal</v>
          </cell>
          <cell r="T334">
            <v>60</v>
          </cell>
          <cell r="AX334" t="str">
            <v>-</v>
          </cell>
          <cell r="BF334">
            <v>7</v>
          </cell>
          <cell r="BL334" t="str">
            <v>MM</v>
          </cell>
          <cell r="BM334">
            <v>37</v>
          </cell>
        </row>
        <row r="335">
          <cell r="A335" t="str">
            <v>Crab</v>
          </cell>
          <cell r="C335" t="str">
            <v>Diminutive</v>
          </cell>
          <cell r="D335" t="str">
            <v>Animal</v>
          </cell>
          <cell r="F335">
            <v>1</v>
          </cell>
          <cell r="G335">
            <v>15</v>
          </cell>
          <cell r="M335">
            <v>1</v>
          </cell>
          <cell r="N335" t="str">
            <v>2 Claws+5+0+1</v>
          </cell>
          <cell r="AD335">
            <v>1</v>
          </cell>
          <cell r="AE335">
            <v>17</v>
          </cell>
          <cell r="AF335">
            <v>10</v>
          </cell>
          <cell r="AX335" t="str">
            <v>-</v>
          </cell>
          <cell r="BL335" t="str">
            <v>OA</v>
          </cell>
        </row>
        <row r="336">
          <cell r="A336" t="str">
            <v>Crane</v>
          </cell>
          <cell r="C336" t="str">
            <v>Small</v>
          </cell>
          <cell r="D336" t="str">
            <v>Animal</v>
          </cell>
          <cell r="F336">
            <v>1</v>
          </cell>
          <cell r="G336">
            <v>5</v>
          </cell>
          <cell r="J336">
            <v>60</v>
          </cell>
          <cell r="K336" t="str">
            <v>average</v>
          </cell>
          <cell r="N336" t="str">
            <v>Bite+5+0+2</v>
          </cell>
          <cell r="S336" t="str">
            <v>normal</v>
          </cell>
          <cell r="AD336">
            <v>6</v>
          </cell>
          <cell r="AE336">
            <v>16</v>
          </cell>
          <cell r="AF336">
            <v>10</v>
          </cell>
          <cell r="AX336" t="str">
            <v>-</v>
          </cell>
          <cell r="BL336" t="str">
            <v>OA</v>
          </cell>
        </row>
        <row r="337">
          <cell r="A337" t="str">
            <v>Crocodile</v>
          </cell>
          <cell r="C337" t="str">
            <v>Medium</v>
          </cell>
          <cell r="D337" t="str">
            <v>Animal</v>
          </cell>
          <cell r="F337">
            <v>3</v>
          </cell>
          <cell r="G337">
            <v>20</v>
          </cell>
          <cell r="L337">
            <v>30</v>
          </cell>
          <cell r="M337">
            <v>4</v>
          </cell>
          <cell r="N337" t="str">
            <v>Bite+6+0+2,Tail Slap+8+0+2</v>
          </cell>
          <cell r="S337" t="str">
            <v>normal</v>
          </cell>
          <cell r="AD337">
            <v>19</v>
          </cell>
          <cell r="AE337">
            <v>12</v>
          </cell>
          <cell r="AF337">
            <v>17</v>
          </cell>
          <cell r="AG337">
            <v>1</v>
          </cell>
          <cell r="AH337">
            <v>12</v>
          </cell>
          <cell r="AI337">
            <v>2</v>
          </cell>
          <cell r="AX337" t="str">
            <v>-</v>
          </cell>
          <cell r="BF337">
            <v>4</v>
          </cell>
          <cell r="BL337" t="str">
            <v>MM</v>
          </cell>
          <cell r="BM337">
            <v>271</v>
          </cell>
        </row>
        <row r="338">
          <cell r="A338" t="str">
            <v>Crocodile, Giant</v>
          </cell>
          <cell r="C338" t="str">
            <v>Huge</v>
          </cell>
          <cell r="D338" t="str">
            <v>Animal</v>
          </cell>
          <cell r="F338">
            <v>7</v>
          </cell>
          <cell r="G338">
            <v>20</v>
          </cell>
          <cell r="L338">
            <v>30</v>
          </cell>
          <cell r="M338">
            <v>7</v>
          </cell>
          <cell r="N338" t="str">
            <v>Bite+14+0+2,Tail Slap+13+0+2</v>
          </cell>
          <cell r="S338" t="str">
            <v>normal</v>
          </cell>
          <cell r="AD338">
            <v>27</v>
          </cell>
          <cell r="AE338">
            <v>12</v>
          </cell>
          <cell r="AF338">
            <v>19</v>
          </cell>
          <cell r="AG338">
            <v>1</v>
          </cell>
          <cell r="AH338">
            <v>12</v>
          </cell>
          <cell r="AI338">
            <v>2</v>
          </cell>
          <cell r="AX338" t="str">
            <v>-</v>
          </cell>
          <cell r="BF338">
            <v>7</v>
          </cell>
          <cell r="BL338" t="str">
            <v>MM</v>
          </cell>
          <cell r="BM338">
            <v>271</v>
          </cell>
        </row>
        <row r="339">
          <cell r="A339" t="str">
            <v>Darkmantle</v>
          </cell>
          <cell r="D339" t="str">
            <v>Magical Beast</v>
          </cell>
          <cell r="N339" t="str">
            <v/>
          </cell>
          <cell r="S339" t="str">
            <v>normal</v>
          </cell>
          <cell r="AX339" t="str">
            <v>-</v>
          </cell>
          <cell r="BF339">
            <v>1</v>
          </cell>
          <cell r="BL339" t="str">
            <v>MM</v>
          </cell>
          <cell r="BM339">
            <v>38</v>
          </cell>
        </row>
        <row r="340">
          <cell r="A340" t="str">
            <v>Deathfang</v>
          </cell>
          <cell r="C340" t="str">
            <v>Small</v>
          </cell>
          <cell r="D340" t="str">
            <v>Magical Beast</v>
          </cell>
          <cell r="F340">
            <v>1</v>
          </cell>
          <cell r="G340">
            <v>20</v>
          </cell>
          <cell r="I340">
            <v>20</v>
          </cell>
          <cell r="J340">
            <v>20</v>
          </cell>
          <cell r="K340" t="str">
            <v>avg</v>
          </cell>
          <cell r="M340">
            <v>3</v>
          </cell>
          <cell r="N340" t="str">
            <v>Bite;</v>
          </cell>
          <cell r="AD340">
            <v>6</v>
          </cell>
          <cell r="AE340">
            <v>17</v>
          </cell>
          <cell r="AF340" t="str">
            <v>-</v>
          </cell>
          <cell r="AG340">
            <v>1</v>
          </cell>
          <cell r="AH340">
            <v>12</v>
          </cell>
          <cell r="AI340">
            <v>2</v>
          </cell>
          <cell r="AS340" t="str">
            <v>Alertness;Weapon Finesse;</v>
          </cell>
          <cell r="AW340" t="str">
            <v>Neutral Evil</v>
          </cell>
          <cell r="AX340" t="str">
            <v>-</v>
          </cell>
          <cell r="BC340" t="str">
            <v>Chilling Bite;Improved Grab;Constrict;Undead</v>
          </cell>
          <cell r="BE340">
            <v>9</v>
          </cell>
          <cell r="BG340" t="str">
            <v>Improved</v>
          </cell>
          <cell r="BL340" t="str">
            <v>RoF</v>
          </cell>
          <cell r="BN340" t="str">
            <v>PGtF</v>
          </cell>
        </row>
        <row r="341">
          <cell r="A341" t="str">
            <v>Deinonychus</v>
          </cell>
          <cell r="C341" t="str">
            <v>Medium</v>
          </cell>
          <cell r="D341" t="str">
            <v>Animal</v>
          </cell>
          <cell r="F341">
            <v>4</v>
          </cell>
          <cell r="G341">
            <v>60</v>
          </cell>
          <cell r="M341">
            <v>5</v>
          </cell>
          <cell r="N341" t="str">
            <v>Talons+6+0+1,2 Foreclaws+3+0+0,Bite+9+0+0</v>
          </cell>
          <cell r="AD341">
            <v>19</v>
          </cell>
          <cell r="AE341">
            <v>15</v>
          </cell>
          <cell r="AF341">
            <v>19</v>
          </cell>
          <cell r="AG341">
            <v>2</v>
          </cell>
          <cell r="AH341">
            <v>12</v>
          </cell>
          <cell r="AI341">
            <v>10</v>
          </cell>
          <cell r="AX341" t="str">
            <v>-</v>
          </cell>
          <cell r="BF341">
            <v>7</v>
          </cell>
          <cell r="BK341" t="str">
            <v>Dinosaur</v>
          </cell>
          <cell r="BL341" t="str">
            <v>MM</v>
          </cell>
          <cell r="BM341">
            <v>60</v>
          </cell>
        </row>
        <row r="342">
          <cell r="A342" t="str">
            <v>Digester</v>
          </cell>
          <cell r="D342" t="str">
            <v>Magical Beast</v>
          </cell>
          <cell r="N342" t="str">
            <v/>
          </cell>
          <cell r="S342" t="str">
            <v>normal</v>
          </cell>
          <cell r="AX342" t="str">
            <v>-</v>
          </cell>
          <cell r="BF342">
            <v>10</v>
          </cell>
          <cell r="BL342" t="str">
            <v>MM</v>
          </cell>
          <cell r="BM342">
            <v>59</v>
          </cell>
        </row>
        <row r="343">
          <cell r="A343" t="str">
            <v>Dire Ape</v>
          </cell>
          <cell r="C343" t="str">
            <v>Large</v>
          </cell>
          <cell r="D343" t="str">
            <v>Animal</v>
          </cell>
          <cell r="F343">
            <v>5</v>
          </cell>
          <cell r="G343">
            <v>30</v>
          </cell>
          <cell r="I343">
            <v>15</v>
          </cell>
          <cell r="M343">
            <v>4</v>
          </cell>
          <cell r="N343" t="str">
            <v>2 Claws+4+0+1,Bite+5+0+0</v>
          </cell>
          <cell r="AD343">
            <v>22</v>
          </cell>
          <cell r="AE343">
            <v>15</v>
          </cell>
          <cell r="AF343">
            <v>14</v>
          </cell>
          <cell r="AG343">
            <v>2</v>
          </cell>
          <cell r="AH343">
            <v>12</v>
          </cell>
          <cell r="AI343">
            <v>7</v>
          </cell>
          <cell r="AX343" t="str">
            <v>-</v>
          </cell>
          <cell r="BF343">
            <v>7</v>
          </cell>
          <cell r="BK343" t="str">
            <v>Dire Animal</v>
          </cell>
          <cell r="BL343" t="str">
            <v>MM</v>
          </cell>
          <cell r="BM343">
            <v>62</v>
          </cell>
        </row>
        <row r="344">
          <cell r="A344" t="str">
            <v>Dire Badger</v>
          </cell>
          <cell r="C344" t="str">
            <v>Medium</v>
          </cell>
          <cell r="D344" t="str">
            <v>Animal</v>
          </cell>
          <cell r="F344">
            <v>3</v>
          </cell>
          <cell r="G344">
            <v>30</v>
          </cell>
          <cell r="H344">
            <v>10</v>
          </cell>
          <cell r="M344">
            <v>3</v>
          </cell>
          <cell r="N344" t="str">
            <v>2 Claws+4+0+1,Bite+5+0+0</v>
          </cell>
          <cell r="S344" t="str">
            <v>normal</v>
          </cell>
          <cell r="AD344">
            <v>14</v>
          </cell>
          <cell r="AE344">
            <v>17</v>
          </cell>
          <cell r="AF344">
            <v>19</v>
          </cell>
          <cell r="AG344">
            <v>2</v>
          </cell>
          <cell r="AH344">
            <v>12</v>
          </cell>
          <cell r="AI344">
            <v>10</v>
          </cell>
          <cell r="AX344" t="str">
            <v>-</v>
          </cell>
          <cell r="BF344">
            <v>4</v>
          </cell>
          <cell r="BK344" t="str">
            <v>Dire Animal</v>
          </cell>
          <cell r="BL344" t="str">
            <v>MM</v>
          </cell>
          <cell r="BM344">
            <v>62</v>
          </cell>
        </row>
        <row r="345">
          <cell r="A345" t="str">
            <v>Dire Bat</v>
          </cell>
          <cell r="C345" t="str">
            <v>Large</v>
          </cell>
          <cell r="D345" t="str">
            <v>Animal</v>
          </cell>
          <cell r="F345">
            <v>4</v>
          </cell>
          <cell r="G345">
            <v>20</v>
          </cell>
          <cell r="J345">
            <v>40</v>
          </cell>
          <cell r="K345" t="str">
            <v>good</v>
          </cell>
          <cell r="M345">
            <v>5</v>
          </cell>
          <cell r="N345" t="str">
            <v>Bite+5+0+2</v>
          </cell>
          <cell r="S345" t="str">
            <v>normal</v>
          </cell>
          <cell r="AD345">
            <v>17</v>
          </cell>
          <cell r="AE345">
            <v>22</v>
          </cell>
          <cell r="AF345">
            <v>17</v>
          </cell>
          <cell r="AG345">
            <v>2</v>
          </cell>
          <cell r="AH345">
            <v>14</v>
          </cell>
          <cell r="AI345">
            <v>6</v>
          </cell>
          <cell r="AX345" t="str">
            <v>-</v>
          </cell>
          <cell r="BF345">
            <v>4</v>
          </cell>
          <cell r="BK345" t="str">
            <v>Dire Animal</v>
          </cell>
          <cell r="BL345" t="str">
            <v>MM</v>
          </cell>
          <cell r="BM345">
            <v>62</v>
          </cell>
        </row>
        <row r="346">
          <cell r="A346" t="str">
            <v>Dire Bear</v>
          </cell>
          <cell r="C346" t="str">
            <v>Large</v>
          </cell>
          <cell r="D346" t="str">
            <v>Animal</v>
          </cell>
          <cell r="F346">
            <v>12</v>
          </cell>
          <cell r="G346">
            <v>40</v>
          </cell>
          <cell r="M346">
            <v>7</v>
          </cell>
          <cell r="N346" t="str">
            <v>2 Claws+15+0+1,Bite+7+0+0</v>
          </cell>
          <cell r="S346" t="str">
            <v>normal</v>
          </cell>
          <cell r="AD346">
            <v>31</v>
          </cell>
          <cell r="AE346">
            <v>13</v>
          </cell>
          <cell r="AF346">
            <v>19</v>
          </cell>
          <cell r="AG346">
            <v>2</v>
          </cell>
          <cell r="AH346">
            <v>12</v>
          </cell>
          <cell r="AI346">
            <v>10</v>
          </cell>
          <cell r="AX346" t="str">
            <v>-</v>
          </cell>
          <cell r="BF346">
            <v>13</v>
          </cell>
          <cell r="BK346" t="str">
            <v>Dire Animal</v>
          </cell>
          <cell r="BL346" t="str">
            <v>MM</v>
          </cell>
          <cell r="BM346">
            <v>63</v>
          </cell>
        </row>
        <row r="347">
          <cell r="A347" t="str">
            <v>Dire Boar</v>
          </cell>
          <cell r="C347" t="str">
            <v>Large</v>
          </cell>
          <cell r="D347" t="str">
            <v>Animal</v>
          </cell>
          <cell r="F347">
            <v>7</v>
          </cell>
          <cell r="G347">
            <v>40</v>
          </cell>
          <cell r="M347">
            <v>6</v>
          </cell>
          <cell r="N347" t="str">
            <v>Gore+5+0+2</v>
          </cell>
          <cell r="S347" t="str">
            <v>normal</v>
          </cell>
          <cell r="AD347">
            <v>27</v>
          </cell>
          <cell r="AE347">
            <v>10</v>
          </cell>
          <cell r="AF347">
            <v>17</v>
          </cell>
          <cell r="AG347">
            <v>2</v>
          </cell>
          <cell r="AH347">
            <v>13</v>
          </cell>
          <cell r="AI347">
            <v>8</v>
          </cell>
          <cell r="AV347">
            <v>4</v>
          </cell>
          <cell r="AW347" t="str">
            <v>Neutral</v>
          </cell>
          <cell r="AX347" t="str">
            <v>-</v>
          </cell>
          <cell r="BF347">
            <v>7</v>
          </cell>
          <cell r="BK347" t="str">
            <v>Dire Animal</v>
          </cell>
          <cell r="BL347" t="str">
            <v>MM</v>
          </cell>
          <cell r="BM347">
            <v>63</v>
          </cell>
        </row>
        <row r="348">
          <cell r="A348" t="str">
            <v>Dire Bull</v>
          </cell>
          <cell r="C348" t="str">
            <v>Large</v>
          </cell>
          <cell r="D348" t="str">
            <v>Animal</v>
          </cell>
          <cell r="N348" t="str">
            <v/>
          </cell>
          <cell r="S348" t="str">
            <v>normal</v>
          </cell>
          <cell r="AX348" t="str">
            <v>-</v>
          </cell>
          <cell r="BF348">
            <v>10</v>
          </cell>
          <cell r="BK348" t="str">
            <v>Dire Animal</v>
          </cell>
          <cell r="BL348" t="str">
            <v>PGtA</v>
          </cell>
        </row>
        <row r="349">
          <cell r="A349" t="str">
            <v>Dire Lion</v>
          </cell>
          <cell r="C349" t="str">
            <v>Large</v>
          </cell>
          <cell r="D349" t="str">
            <v>Animal</v>
          </cell>
          <cell r="F349">
            <v>8</v>
          </cell>
          <cell r="G349">
            <v>40</v>
          </cell>
          <cell r="M349">
            <v>4</v>
          </cell>
          <cell r="N349" t="str">
            <v>2 Claws+4+0+1,Bite+5+0+0,Rake+4+0+0</v>
          </cell>
          <cell r="S349" t="str">
            <v>normal</v>
          </cell>
          <cell r="AD349">
            <v>25</v>
          </cell>
          <cell r="AE349">
            <v>15</v>
          </cell>
          <cell r="AF349">
            <v>17</v>
          </cell>
          <cell r="AG349">
            <v>2</v>
          </cell>
          <cell r="AH349">
            <v>12</v>
          </cell>
          <cell r="AI349">
            <v>10</v>
          </cell>
          <cell r="AX349" t="str">
            <v>-</v>
          </cell>
          <cell r="BF349">
            <v>10</v>
          </cell>
          <cell r="BK349" t="str">
            <v>Dire Animal</v>
          </cell>
          <cell r="BL349" t="str">
            <v>MM</v>
          </cell>
          <cell r="BM349">
            <v>63</v>
          </cell>
        </row>
        <row r="350">
          <cell r="A350" t="str">
            <v>Dire Ram</v>
          </cell>
          <cell r="C350" t="str">
            <v>Large</v>
          </cell>
          <cell r="D350" t="str">
            <v>Animal</v>
          </cell>
          <cell r="N350" t="str">
            <v/>
          </cell>
          <cell r="S350" t="str">
            <v>normal</v>
          </cell>
          <cell r="AX350" t="str">
            <v>-</v>
          </cell>
          <cell r="BF350">
            <v>7</v>
          </cell>
          <cell r="BK350" t="str">
            <v>Dire Animal</v>
          </cell>
          <cell r="BL350" t="str">
            <v>PGtA</v>
          </cell>
        </row>
        <row r="351">
          <cell r="A351" t="str">
            <v>Dire Rat</v>
          </cell>
          <cell r="C351" t="str">
            <v>Small</v>
          </cell>
          <cell r="D351" t="str">
            <v>Animal</v>
          </cell>
          <cell r="F351">
            <v>1</v>
          </cell>
          <cell r="G351">
            <v>40</v>
          </cell>
          <cell r="I351">
            <v>20</v>
          </cell>
          <cell r="M351">
            <v>1</v>
          </cell>
          <cell r="N351" t="str">
            <v>Bite+5+0+2</v>
          </cell>
          <cell r="S351" t="str">
            <v>normal</v>
          </cell>
          <cell r="AD351">
            <v>10</v>
          </cell>
          <cell r="AE351">
            <v>17</v>
          </cell>
          <cell r="AF351">
            <v>12</v>
          </cell>
          <cell r="AG351">
            <v>1</v>
          </cell>
          <cell r="AH351">
            <v>12</v>
          </cell>
          <cell r="AI351">
            <v>4</v>
          </cell>
          <cell r="AV351">
            <v>2</v>
          </cell>
          <cell r="AW351" t="str">
            <v>Neutral</v>
          </cell>
          <cell r="AX351" t="str">
            <v>-</v>
          </cell>
          <cell r="BF351">
            <v>1</v>
          </cell>
          <cell r="BK351" t="str">
            <v>Dire Animal</v>
          </cell>
          <cell r="BL351" t="str">
            <v>MM</v>
          </cell>
          <cell r="BM351">
            <v>64</v>
          </cell>
        </row>
        <row r="352">
          <cell r="A352" t="str">
            <v>Dire Shark</v>
          </cell>
          <cell r="C352" t="str">
            <v>Huge</v>
          </cell>
          <cell r="D352" t="str">
            <v>Animal</v>
          </cell>
          <cell r="E352" t="str">
            <v>Aquatic</v>
          </cell>
          <cell r="F352">
            <v>18</v>
          </cell>
          <cell r="L352">
            <v>60</v>
          </cell>
          <cell r="M352">
            <v>7</v>
          </cell>
          <cell r="N352" t="str">
            <v>Bite+14+0+2</v>
          </cell>
          <cell r="S352" t="str">
            <v>normal</v>
          </cell>
          <cell r="AD352">
            <v>23</v>
          </cell>
          <cell r="AE352">
            <v>15</v>
          </cell>
          <cell r="AF352">
            <v>17</v>
          </cell>
          <cell r="AG352">
            <v>1</v>
          </cell>
          <cell r="AH352">
            <v>12</v>
          </cell>
          <cell r="AI352">
            <v>10</v>
          </cell>
          <cell r="AX352" t="str">
            <v>-</v>
          </cell>
          <cell r="BF352">
            <v>16</v>
          </cell>
          <cell r="BK352" t="str">
            <v>Dire Animal</v>
          </cell>
          <cell r="BL352" t="str">
            <v>MM</v>
          </cell>
          <cell r="BM352">
            <v>64</v>
          </cell>
        </row>
        <row r="353">
          <cell r="A353" t="str">
            <v>Dire Tiger</v>
          </cell>
          <cell r="C353" t="str">
            <v>Large</v>
          </cell>
          <cell r="D353" t="str">
            <v>Animal</v>
          </cell>
          <cell r="F353">
            <v>16</v>
          </cell>
          <cell r="G353">
            <v>40</v>
          </cell>
          <cell r="M353">
            <v>6</v>
          </cell>
          <cell r="N353" t="str">
            <v>2 Claws+15+0+1,Bite+6+0+0,Rake+15+0+0</v>
          </cell>
          <cell r="S353" t="str">
            <v>normal</v>
          </cell>
          <cell r="AD353">
            <v>25</v>
          </cell>
          <cell r="AE353">
            <v>15</v>
          </cell>
          <cell r="AF353">
            <v>17</v>
          </cell>
          <cell r="AG353">
            <v>2</v>
          </cell>
          <cell r="AH353">
            <v>12</v>
          </cell>
          <cell r="AI353">
            <v>10</v>
          </cell>
          <cell r="AX353" t="str">
            <v>-</v>
          </cell>
          <cell r="BF353">
            <v>16</v>
          </cell>
          <cell r="BK353" t="str">
            <v>Dire Animal</v>
          </cell>
          <cell r="BL353" t="str">
            <v>MM</v>
          </cell>
          <cell r="BM353">
            <v>65</v>
          </cell>
        </row>
        <row r="354">
          <cell r="A354" t="str">
            <v>Dire Weasel</v>
          </cell>
          <cell r="C354" t="str">
            <v>Medium</v>
          </cell>
          <cell r="D354" t="str">
            <v>Animal</v>
          </cell>
          <cell r="F354">
            <v>3</v>
          </cell>
          <cell r="G354">
            <v>40</v>
          </cell>
          <cell r="M354">
            <v>2</v>
          </cell>
          <cell r="N354" t="str">
            <v>Bite+5+0+2</v>
          </cell>
          <cell r="S354" t="str">
            <v>normal</v>
          </cell>
          <cell r="AD354">
            <v>14</v>
          </cell>
          <cell r="AE354">
            <v>19</v>
          </cell>
          <cell r="AF354">
            <v>10</v>
          </cell>
          <cell r="AG354">
            <v>2</v>
          </cell>
          <cell r="AH354">
            <v>12</v>
          </cell>
          <cell r="AI354">
            <v>11</v>
          </cell>
          <cell r="AX354" t="str">
            <v>-</v>
          </cell>
          <cell r="BF354">
            <v>4</v>
          </cell>
          <cell r="BK354" t="str">
            <v>Dire Animal</v>
          </cell>
          <cell r="BL354" t="str">
            <v>MM</v>
          </cell>
          <cell r="BM354">
            <v>65</v>
          </cell>
        </row>
        <row r="355">
          <cell r="A355" t="str">
            <v>Dire Wolf</v>
          </cell>
          <cell r="C355" t="str">
            <v>Large</v>
          </cell>
          <cell r="D355" t="str">
            <v>Animal</v>
          </cell>
          <cell r="F355">
            <v>6</v>
          </cell>
          <cell r="G355">
            <v>50</v>
          </cell>
          <cell r="M355">
            <v>3</v>
          </cell>
          <cell r="N355" t="str">
            <v>Bite+5+0+2</v>
          </cell>
          <cell r="S355" t="str">
            <v>normal</v>
          </cell>
          <cell r="AD355">
            <v>25</v>
          </cell>
          <cell r="AE355">
            <v>15</v>
          </cell>
          <cell r="AF355">
            <v>17</v>
          </cell>
          <cell r="AG355">
            <v>2</v>
          </cell>
          <cell r="AH355">
            <v>12</v>
          </cell>
          <cell r="AI355">
            <v>10</v>
          </cell>
          <cell r="AX355" t="str">
            <v>-</v>
          </cell>
          <cell r="BF355">
            <v>7</v>
          </cell>
          <cell r="BK355" t="str">
            <v>Dire Animal</v>
          </cell>
          <cell r="BL355" t="str">
            <v>MM</v>
          </cell>
          <cell r="BM355">
            <v>65</v>
          </cell>
        </row>
        <row r="356">
          <cell r="A356" t="str">
            <v>Dire Wolf Lizard</v>
          </cell>
          <cell r="N356" t="str">
            <v/>
          </cell>
          <cell r="S356" t="str">
            <v>normal</v>
          </cell>
          <cell r="AX356" t="str">
            <v>-</v>
          </cell>
          <cell r="BF356">
            <v>4</v>
          </cell>
          <cell r="BK356" t="str">
            <v>Dire Animal</v>
          </cell>
          <cell r="BL356" t="str">
            <v>PGtA</v>
          </cell>
        </row>
        <row r="357">
          <cell r="A357" t="str">
            <v>Dire Wolverine</v>
          </cell>
          <cell r="C357" t="str">
            <v>Large</v>
          </cell>
          <cell r="D357" t="str">
            <v>Animal</v>
          </cell>
          <cell r="F357">
            <v>5</v>
          </cell>
          <cell r="G357">
            <v>30</v>
          </cell>
          <cell r="I357">
            <v>10</v>
          </cell>
          <cell r="M357">
            <v>4</v>
          </cell>
          <cell r="N357" t="str">
            <v>2 Claws+4+0+1,Bite+5+0+0</v>
          </cell>
          <cell r="S357" t="str">
            <v>normal</v>
          </cell>
          <cell r="AD357">
            <v>22</v>
          </cell>
          <cell r="AE357">
            <v>17</v>
          </cell>
          <cell r="AF357">
            <v>19</v>
          </cell>
          <cell r="AG357">
            <v>2</v>
          </cell>
          <cell r="AH357">
            <v>12</v>
          </cell>
          <cell r="AI357">
            <v>10</v>
          </cell>
          <cell r="AX357" t="str">
            <v>-</v>
          </cell>
          <cell r="BF357">
            <v>7</v>
          </cell>
          <cell r="BK357" t="str">
            <v>Dire Animal</v>
          </cell>
          <cell r="BL357" t="str">
            <v>MM</v>
          </cell>
          <cell r="BM357">
            <v>66</v>
          </cell>
        </row>
        <row r="358">
          <cell r="A358" t="str">
            <v>Dog</v>
          </cell>
          <cell r="C358" t="str">
            <v>Small</v>
          </cell>
          <cell r="D358" t="str">
            <v>Animal</v>
          </cell>
          <cell r="F358">
            <v>1</v>
          </cell>
          <cell r="G358">
            <v>40</v>
          </cell>
          <cell r="M358">
            <v>1</v>
          </cell>
          <cell r="N358" t="str">
            <v>Bite+5+0+2</v>
          </cell>
          <cell r="S358" t="str">
            <v>normal</v>
          </cell>
          <cell r="AD358">
            <v>13</v>
          </cell>
          <cell r="AE358">
            <v>17</v>
          </cell>
          <cell r="AF358">
            <v>15</v>
          </cell>
          <cell r="AG358">
            <v>2</v>
          </cell>
          <cell r="AH358">
            <v>12</v>
          </cell>
          <cell r="AI358">
            <v>6</v>
          </cell>
          <cell r="AX358" t="str">
            <v>-</v>
          </cell>
          <cell r="BF358">
            <v>1</v>
          </cell>
          <cell r="BL358" t="str">
            <v>MM</v>
          </cell>
          <cell r="BM358">
            <v>271</v>
          </cell>
        </row>
        <row r="359">
          <cell r="A359" t="str">
            <v>Dog, Riding</v>
          </cell>
          <cell r="C359" t="str">
            <v>Medium</v>
          </cell>
          <cell r="D359" t="str">
            <v>Animal</v>
          </cell>
          <cell r="F359">
            <v>2</v>
          </cell>
          <cell r="G359">
            <v>40</v>
          </cell>
          <cell r="M359">
            <v>4</v>
          </cell>
          <cell r="N359" t="str">
            <v>Bite+5+0+2</v>
          </cell>
          <cell r="S359" t="str">
            <v>normal</v>
          </cell>
          <cell r="AD359">
            <v>15</v>
          </cell>
          <cell r="AE359">
            <v>15</v>
          </cell>
          <cell r="AF359">
            <v>15</v>
          </cell>
          <cell r="AG359">
            <v>2</v>
          </cell>
          <cell r="AH359">
            <v>12</v>
          </cell>
          <cell r="AI359">
            <v>6</v>
          </cell>
          <cell r="AX359" t="str">
            <v>-</v>
          </cell>
          <cell r="BF359">
            <v>1</v>
          </cell>
          <cell r="BL359" t="str">
            <v>MM</v>
          </cell>
          <cell r="BM359">
            <v>272</v>
          </cell>
        </row>
        <row r="360">
          <cell r="A360" t="str">
            <v>Dragon, Amethyst</v>
          </cell>
          <cell r="D360" t="str">
            <v>Dragon</v>
          </cell>
          <cell r="E360" t="str">
            <v>Earth</v>
          </cell>
          <cell r="N360" t="str">
            <v/>
          </cell>
          <cell r="O360" t="str">
            <v>Breath Weapon(Su): 30" line of force;</v>
          </cell>
          <cell r="S360" t="str">
            <v>normal</v>
          </cell>
          <cell r="V360" t="str">
            <v>poison</v>
          </cell>
          <cell r="AW360" t="str">
            <v>Neutral</v>
          </cell>
          <cell r="AX360" t="str">
            <v>-</v>
          </cell>
          <cell r="BI360" t="str">
            <v>color=lavender;</v>
          </cell>
          <cell r="BK360" t="str">
            <v>Gem</v>
          </cell>
          <cell r="BL360" t="str">
            <v>MM2</v>
          </cell>
          <cell r="BM360">
            <v>79</v>
          </cell>
        </row>
        <row r="361">
          <cell r="A361" t="str">
            <v>Dragon, Battle</v>
          </cell>
          <cell r="D361" t="str">
            <v>Dragon</v>
          </cell>
          <cell r="E361" t="str">
            <v>Extraplanar</v>
          </cell>
          <cell r="N361" t="str">
            <v/>
          </cell>
          <cell r="O361" t="str">
            <v>Breath Weapon(Su): 15" cone of sonic energy;</v>
          </cell>
          <cell r="V361" t="str">
            <v>sonic</v>
          </cell>
          <cell r="X361" t="str">
            <v>sonic</v>
          </cell>
          <cell r="AW361" t="str">
            <v>Neutral Good</v>
          </cell>
          <cell r="AX361" t="str">
            <v>-</v>
          </cell>
          <cell r="BI361" t="str">
            <v>color=brown;</v>
          </cell>
          <cell r="BK361" t="str">
            <v>Planar</v>
          </cell>
          <cell r="BL361" t="str">
            <v>Dr</v>
          </cell>
          <cell r="BM361">
            <v>176</v>
          </cell>
        </row>
        <row r="362">
          <cell r="A362" t="str">
            <v>Dragon, Black</v>
          </cell>
          <cell r="D362" t="str">
            <v>Dragon</v>
          </cell>
          <cell r="E362" t="str">
            <v>Water</v>
          </cell>
          <cell r="J362">
            <v>0</v>
          </cell>
          <cell r="M362">
            <v>7</v>
          </cell>
          <cell r="N362" t="str">
            <v/>
          </cell>
          <cell r="O362" t="str">
            <v>Breath Weapon(Su): 30" line of acid, 2d4, acid;</v>
          </cell>
          <cell r="V362" t="str">
            <v>acid</v>
          </cell>
          <cell r="X362" t="str">
            <v>acid</v>
          </cell>
          <cell r="AD362">
            <v>2</v>
          </cell>
          <cell r="AF362">
            <v>2</v>
          </cell>
          <cell r="AI362">
            <v>2</v>
          </cell>
          <cell r="AV362">
            <v>2</v>
          </cell>
          <cell r="AW362" t="str">
            <v>Chaotic Evil</v>
          </cell>
          <cell r="AX362" t="str">
            <v>-</v>
          </cell>
          <cell r="BE362">
            <v>8</v>
          </cell>
          <cell r="BG362" t="str">
            <v>Dragon</v>
          </cell>
          <cell r="BI362" t="str">
            <v>color=black;DrShSkill=Hide, Move Silently, Swim;DrShAdaptation=Water Breathing (Ex);SpawnStr=2;SpawnCon=2;SpawnCha=2;SpawnCR=2;SpawnLA=2;</v>
          </cell>
          <cell r="BK362" t="str">
            <v>Chromatic</v>
          </cell>
          <cell r="BL362" t="str">
            <v>MM</v>
          </cell>
          <cell r="BM362">
            <v>70</v>
          </cell>
        </row>
        <row r="363">
          <cell r="A363" t="str">
            <v>Dragon, Blue</v>
          </cell>
          <cell r="D363" t="str">
            <v>Dragon</v>
          </cell>
          <cell r="E363" t="str">
            <v>Earth</v>
          </cell>
          <cell r="J363">
            <v>0</v>
          </cell>
          <cell r="M363">
            <v>7</v>
          </cell>
          <cell r="N363" t="str">
            <v/>
          </cell>
          <cell r="O363" t="str">
            <v>Breath Weapon(Su): 30" line of lightning, 2d8, electricity;</v>
          </cell>
          <cell r="V363" t="str">
            <v>electricity</v>
          </cell>
          <cell r="X363" t="str">
            <v>electricity</v>
          </cell>
          <cell r="AD363">
            <v>6</v>
          </cell>
          <cell r="AF363">
            <v>4</v>
          </cell>
          <cell r="AH363">
            <v>2</v>
          </cell>
          <cell r="AI363">
            <v>4</v>
          </cell>
          <cell r="AV363">
            <v>2</v>
          </cell>
          <cell r="AW363" t="str">
            <v>Lawful Evil</v>
          </cell>
          <cell r="AX363" t="str">
            <v>-</v>
          </cell>
          <cell r="BE363">
            <v>10</v>
          </cell>
          <cell r="BG363" t="str">
            <v>Dragon</v>
          </cell>
          <cell r="BI363" t="str">
            <v>color=blue;DrShSkill=Bluff, Hide, Spellcraft;DrShAdaptation=Ventriloquism (Sp);SpawnStr=6;SpawnCon=4;SpawnWis=2;SpawnCha=4;SpawnCR=2;SpawnLA=3;</v>
          </cell>
          <cell r="BK363" t="str">
            <v>Chromatic</v>
          </cell>
          <cell r="BL363" t="str">
            <v>MM</v>
          </cell>
          <cell r="BM363">
            <v>72</v>
          </cell>
        </row>
        <row r="364">
          <cell r="A364" t="str">
            <v>Dragon, Brass</v>
          </cell>
          <cell r="D364" t="str">
            <v>Dragon</v>
          </cell>
          <cell r="N364" t="str">
            <v/>
          </cell>
          <cell r="O364" t="str">
            <v>Breath Weapon(Su): 30" line of fire, 1d6, fire;</v>
          </cell>
          <cell r="V364" t="str">
            <v>fire</v>
          </cell>
          <cell r="X364" t="str">
            <v>fire</v>
          </cell>
          <cell r="AW364" t="str">
            <v>Chaotic Good</v>
          </cell>
          <cell r="AX364" t="str">
            <v>-</v>
          </cell>
          <cell r="BE364">
            <v>9</v>
          </cell>
          <cell r="BG364" t="str">
            <v>Dragon</v>
          </cell>
          <cell r="BI364" t="str">
            <v>color=brass;DrShSkill=Bluff, Gather Information, Survival;DrShAdaptation=Endure Elements (Sp);</v>
          </cell>
          <cell r="BK364" t="str">
            <v>Metallic</v>
          </cell>
          <cell r="BL364" t="str">
            <v>MM</v>
          </cell>
          <cell r="BM364">
            <v>79</v>
          </cell>
        </row>
        <row r="365">
          <cell r="A365" t="str">
            <v>Dragon, Bronze</v>
          </cell>
          <cell r="D365" t="str">
            <v>Dragon</v>
          </cell>
          <cell r="N365" t="str">
            <v/>
          </cell>
          <cell r="O365" t="str">
            <v>Breath Weapon(Su): 30" line of lightning, 2d6, electricity;</v>
          </cell>
          <cell r="V365" t="str">
            <v>electricity</v>
          </cell>
          <cell r="X365" t="str">
            <v>electricity</v>
          </cell>
          <cell r="AW365" t="str">
            <v>Lawful Good</v>
          </cell>
          <cell r="AX365" t="str">
            <v>-</v>
          </cell>
          <cell r="BE365">
            <v>11</v>
          </cell>
          <cell r="BG365" t="str">
            <v>Dragon</v>
          </cell>
          <cell r="BI365" t="str">
            <v>color=bronze;DrShSkill=Disguise, Survival, Swim;DrShAdaptation=Water Breathing (Ex);</v>
          </cell>
          <cell r="BK365" t="str">
            <v>Metallic</v>
          </cell>
          <cell r="BL365" t="str">
            <v>MM</v>
          </cell>
          <cell r="BM365">
            <v>80</v>
          </cell>
        </row>
        <row r="366">
          <cell r="A366" t="str">
            <v>Dragon, Brown</v>
          </cell>
          <cell r="D366" t="str">
            <v>Dragon</v>
          </cell>
          <cell r="E366" t="str">
            <v>Earth</v>
          </cell>
          <cell r="N366" t="str">
            <v/>
          </cell>
          <cell r="O366" t="str">
            <v>Breath Weapon(Su): 30" line of acid;</v>
          </cell>
          <cell r="V366" t="str">
            <v>acid</v>
          </cell>
          <cell r="X366" t="str">
            <v>acid</v>
          </cell>
          <cell r="AW366" t="str">
            <v>Neutral Evil</v>
          </cell>
          <cell r="AX366" t="str">
            <v>-</v>
          </cell>
          <cell r="BI366" t="str">
            <v>color=brown;</v>
          </cell>
          <cell r="BK366" t="str">
            <v>Faerunian</v>
          </cell>
          <cell r="BL366" t="str">
            <v>MoF</v>
          </cell>
          <cell r="BM366">
            <v>38</v>
          </cell>
          <cell r="BN366" t="str">
            <v>Dr</v>
          </cell>
        </row>
        <row r="367">
          <cell r="A367" t="str">
            <v>Dragon, Chaos</v>
          </cell>
          <cell r="D367" t="str">
            <v>Dragon</v>
          </cell>
          <cell r="E367" t="str">
            <v>Chaos,Extraplanar</v>
          </cell>
          <cell r="N367" t="str">
            <v/>
          </cell>
          <cell r="O367" t="str">
            <v>Breath Weapon(Su): 30" line of random energy;</v>
          </cell>
          <cell r="V367" t="str">
            <v>compulsion</v>
          </cell>
          <cell r="AW367" t="str">
            <v>Chaotic</v>
          </cell>
          <cell r="AX367" t="str">
            <v>-</v>
          </cell>
          <cell r="BI367" t="str">
            <v>color=;</v>
          </cell>
          <cell r="BK367" t="str">
            <v>Planar</v>
          </cell>
          <cell r="BL367" t="str">
            <v>Dr</v>
          </cell>
          <cell r="BM367">
            <v>177</v>
          </cell>
        </row>
        <row r="368">
          <cell r="A368" t="str">
            <v>Dragon, Chiang Lung</v>
          </cell>
          <cell r="D368" t="str">
            <v>Dragon</v>
          </cell>
          <cell r="N368" t="str">
            <v/>
          </cell>
          <cell r="O368" t="str">
            <v/>
          </cell>
          <cell r="V368" t="str">
            <v/>
          </cell>
          <cell r="AW368" t="str">
            <v>Lawful Neutral</v>
          </cell>
          <cell r="AX368" t="str">
            <v>-</v>
          </cell>
          <cell r="BI368" t="str">
            <v>color=;</v>
          </cell>
          <cell r="BK368" t="str">
            <v>Lung</v>
          </cell>
          <cell r="BL368" t="str">
            <v>OA</v>
          </cell>
          <cell r="BM368">
            <v>155</v>
          </cell>
        </row>
        <row r="369">
          <cell r="A369" t="str">
            <v>Dragon, Chromium</v>
          </cell>
          <cell r="D369" t="str">
            <v>Dragon</v>
          </cell>
          <cell r="N369" t="str">
            <v/>
          </cell>
          <cell r="O369" t="str">
            <v>Breath Weapon(Su): 30" line of solid ice;</v>
          </cell>
          <cell r="V369" t="str">
            <v>cold</v>
          </cell>
          <cell r="X369" t="str">
            <v>cold</v>
          </cell>
          <cell r="AW369" t="str">
            <v>Lawful Evil</v>
          </cell>
          <cell r="AX369" t="str">
            <v>-</v>
          </cell>
          <cell r="BI369" t="str">
            <v>color=chromium;</v>
          </cell>
          <cell r="BK369" t="str">
            <v>Ferreous</v>
          </cell>
          <cell r="BL369" t="str">
            <v>DMag</v>
          </cell>
          <cell r="BM369">
            <v>356</v>
          </cell>
        </row>
        <row r="370">
          <cell r="A370" t="str">
            <v>Dragon, Cobalt</v>
          </cell>
          <cell r="D370" t="str">
            <v>Dragon</v>
          </cell>
          <cell r="N370" t="str">
            <v/>
          </cell>
          <cell r="O370" t="str">
            <v>Breath Weapon(Su): 30" line of pulsing energy;</v>
          </cell>
          <cell r="V370" t="str">
            <v>force</v>
          </cell>
          <cell r="X370" t="str">
            <v>electricity</v>
          </cell>
          <cell r="AW370" t="str">
            <v>Lawful Evil</v>
          </cell>
          <cell r="AX370" t="str">
            <v>-</v>
          </cell>
          <cell r="BI370" t="str">
            <v>color=;</v>
          </cell>
          <cell r="BK370" t="str">
            <v>Ferreous</v>
          </cell>
          <cell r="BL370" t="str">
            <v>DMag</v>
          </cell>
          <cell r="BM370">
            <v>356</v>
          </cell>
        </row>
        <row r="371">
          <cell r="A371" t="str">
            <v>Dragon, Copper</v>
          </cell>
          <cell r="D371" t="str">
            <v>Dragon</v>
          </cell>
          <cell r="N371" t="str">
            <v/>
          </cell>
          <cell r="O371" t="str">
            <v>Breath Weapon(Su): 30" line of acid, 2d4, acid;</v>
          </cell>
          <cell r="V371" t="str">
            <v>acid</v>
          </cell>
          <cell r="X371" t="str">
            <v>acid</v>
          </cell>
          <cell r="AW371" t="str">
            <v>Chaotic Good</v>
          </cell>
          <cell r="AX371" t="str">
            <v>-</v>
          </cell>
          <cell r="BE371">
            <v>10</v>
          </cell>
          <cell r="BG371" t="str">
            <v>Dragon</v>
          </cell>
          <cell r="BI371" t="str">
            <v>color=copper;DrShSkill=Bluff, Hide, Jump;DrShAdaptation=Spider Climb (Sp);</v>
          </cell>
          <cell r="BK371" t="str">
            <v>Metallic</v>
          </cell>
          <cell r="BL371" t="str">
            <v>MM</v>
          </cell>
          <cell r="BM371">
            <v>82</v>
          </cell>
        </row>
        <row r="372">
          <cell r="A372" t="str">
            <v>Dragon, Crystal</v>
          </cell>
          <cell r="D372" t="str">
            <v>Dragon</v>
          </cell>
          <cell r="E372" t="str">
            <v>Air</v>
          </cell>
          <cell r="N372" t="str">
            <v/>
          </cell>
          <cell r="O372" t="str">
            <v>Breath Weapon(Su): 15" cone of light;</v>
          </cell>
          <cell r="V372" t="str">
            <v>cold</v>
          </cell>
          <cell r="X372" t="str">
            <v>cold</v>
          </cell>
          <cell r="AW372" t="str">
            <v>Chaotic Neutral</v>
          </cell>
          <cell r="AX372" t="str">
            <v>-</v>
          </cell>
          <cell r="BI372" t="str">
            <v>color=translucent;</v>
          </cell>
          <cell r="BK372" t="str">
            <v>Gem</v>
          </cell>
          <cell r="BL372" t="str">
            <v>MM2</v>
          </cell>
          <cell r="BM372">
            <v>81</v>
          </cell>
        </row>
        <row r="373">
          <cell r="A373" t="str">
            <v>Dragon, Deep</v>
          </cell>
          <cell r="D373" t="str">
            <v>Dragon</v>
          </cell>
          <cell r="E373" t="str">
            <v>Earth</v>
          </cell>
          <cell r="N373" t="str">
            <v/>
          </cell>
          <cell r="O373" t="str">
            <v>Breath Weapon(Su): 15" cone of acid gas;</v>
          </cell>
          <cell r="V373" t="str">
            <v>charm effects</v>
          </cell>
          <cell r="X373" t="str">
            <v>acid</v>
          </cell>
          <cell r="AW373" t="str">
            <v>Chaotic Evil</v>
          </cell>
          <cell r="AX373" t="str">
            <v>-</v>
          </cell>
          <cell r="BI373" t="str">
            <v>color=purple;</v>
          </cell>
          <cell r="BK373" t="str">
            <v>Faerunian</v>
          </cell>
          <cell r="BL373" t="str">
            <v>MoF</v>
          </cell>
          <cell r="BM373">
            <v>40</v>
          </cell>
        </row>
        <row r="374">
          <cell r="A374" t="str">
            <v>Dragon, Emerald</v>
          </cell>
          <cell r="D374" t="str">
            <v>Dragon</v>
          </cell>
          <cell r="E374" t="str">
            <v>Air</v>
          </cell>
          <cell r="N374" t="str">
            <v/>
          </cell>
          <cell r="O374" t="str">
            <v>Breath Weapon(Su): 15" cone of sonic energy;</v>
          </cell>
          <cell r="V374" t="str">
            <v>sonic</v>
          </cell>
          <cell r="X374" t="str">
            <v>sonic</v>
          </cell>
          <cell r="AW374" t="str">
            <v>Lawful Neutral</v>
          </cell>
          <cell r="AX374" t="str">
            <v>-</v>
          </cell>
          <cell r="BI374" t="str">
            <v>color=green;</v>
          </cell>
          <cell r="BK374" t="str">
            <v>Gem</v>
          </cell>
          <cell r="BL374" t="str">
            <v>MM2</v>
          </cell>
          <cell r="BM374">
            <v>82</v>
          </cell>
        </row>
        <row r="375">
          <cell r="A375" t="str">
            <v>Dragon, Ethereal</v>
          </cell>
          <cell r="D375" t="str">
            <v>Dragon</v>
          </cell>
          <cell r="E375" t="str">
            <v>Extraplanar</v>
          </cell>
          <cell r="N375" t="str">
            <v/>
          </cell>
          <cell r="O375" t="str">
            <v>Breath Weapon(Su): 15" cone of force;</v>
          </cell>
          <cell r="V375" t="str">
            <v>force</v>
          </cell>
          <cell r="AW375" t="str">
            <v>Neutral</v>
          </cell>
          <cell r="AX375" t="str">
            <v>-</v>
          </cell>
          <cell r="BI375" t="str">
            <v>color=brown-grey;</v>
          </cell>
          <cell r="BK375" t="str">
            <v>Planar</v>
          </cell>
          <cell r="BL375" t="str">
            <v>Dr</v>
          </cell>
          <cell r="BM375">
            <v>179</v>
          </cell>
        </row>
        <row r="376">
          <cell r="A376" t="str">
            <v>Dragon, Fang</v>
          </cell>
          <cell r="D376" t="str">
            <v>Dragon</v>
          </cell>
          <cell r="E376" t="str">
            <v>Air</v>
          </cell>
          <cell r="N376" t="str">
            <v/>
          </cell>
          <cell r="O376" t="str">
            <v>Ability drain;</v>
          </cell>
          <cell r="V376" t="str">
            <v/>
          </cell>
          <cell r="AW376" t="str">
            <v>Chaotic Neutral</v>
          </cell>
          <cell r="AX376" t="str">
            <v>-</v>
          </cell>
          <cell r="BI376" t="str">
            <v>color=grey;</v>
          </cell>
          <cell r="BK376" t="str">
            <v>Faerunian</v>
          </cell>
          <cell r="BL376" t="str">
            <v>MoF</v>
          </cell>
          <cell r="BM376">
            <v>159</v>
          </cell>
          <cell r="BN376" t="str">
            <v>Dr</v>
          </cell>
        </row>
        <row r="377">
          <cell r="A377" t="str">
            <v>Dragon, Force</v>
          </cell>
          <cell r="D377" t="str">
            <v>Dragon</v>
          </cell>
          <cell r="N377" t="str">
            <v/>
          </cell>
          <cell r="O377" t="str">
            <v>Breath Weapon(Su): 15" cone of force;</v>
          </cell>
          <cell r="V377" t="str">
            <v>force</v>
          </cell>
          <cell r="AW377" t="str">
            <v>Neutral</v>
          </cell>
          <cell r="AX377" t="str">
            <v>-</v>
          </cell>
          <cell r="BI377" t="str">
            <v>color=;</v>
          </cell>
          <cell r="BK377" t="str">
            <v>Epic</v>
          </cell>
          <cell r="BL377" t="str">
            <v>ELH</v>
          </cell>
        </row>
        <row r="378">
          <cell r="A378" t="str">
            <v>Dragon, Gold</v>
          </cell>
          <cell r="D378" t="str">
            <v>Dragon</v>
          </cell>
          <cell r="N378" t="str">
            <v/>
          </cell>
          <cell r="O378" t="str">
            <v>Breath Weapon(Su): 15" cone of fire, 2d10, fire;</v>
          </cell>
          <cell r="V378" t="str">
            <v>fire</v>
          </cell>
          <cell r="X378" t="str">
            <v>fire</v>
          </cell>
          <cell r="AW378" t="str">
            <v>Lawful Good</v>
          </cell>
          <cell r="AX378" t="str">
            <v>-</v>
          </cell>
          <cell r="BE378">
            <v>14</v>
          </cell>
          <cell r="BG378" t="str">
            <v>Dragon</v>
          </cell>
          <cell r="BI378" t="str">
            <v>color=gold;DrShSkill=Disguise, Heal, Swim;DrShAdaptation=Water Breathing (Ex);</v>
          </cell>
          <cell r="BK378" t="str">
            <v>Metallic</v>
          </cell>
          <cell r="BL378" t="str">
            <v>MM</v>
          </cell>
          <cell r="BM378">
            <v>84</v>
          </cell>
        </row>
        <row r="379">
          <cell r="A379" t="str">
            <v>Dragon, Green</v>
          </cell>
          <cell r="D379" t="str">
            <v>Dragon</v>
          </cell>
          <cell r="E379" t="str">
            <v>Air</v>
          </cell>
          <cell r="J379">
            <v>0</v>
          </cell>
          <cell r="M379">
            <v>7</v>
          </cell>
          <cell r="N379" t="str">
            <v/>
          </cell>
          <cell r="O379" t="str">
            <v>Breath Weapon(Su): 15" cone of acid gas, 2d6, acid;</v>
          </cell>
          <cell r="V379" t="str">
            <v>acid</v>
          </cell>
          <cell r="X379" t="str">
            <v>acid</v>
          </cell>
          <cell r="AD379">
            <v>2</v>
          </cell>
          <cell r="AF379">
            <v>2</v>
          </cell>
          <cell r="AI379">
            <v>2</v>
          </cell>
          <cell r="AV379">
            <v>2</v>
          </cell>
          <cell r="AW379" t="str">
            <v>Lawful Evil</v>
          </cell>
          <cell r="AX379" t="str">
            <v>-</v>
          </cell>
          <cell r="BE379">
            <v>9</v>
          </cell>
          <cell r="BG379" t="str">
            <v>Dragon</v>
          </cell>
          <cell r="BI379" t="str">
            <v>color=green;DrShSkill=Bluff, Hide, Move Silently;DrShAdaptation=Water Breathing (Ex);SpawnStr=2;SpawnCon=2;SpawnCha=2;SpawnCR=2;SpawnLA=2;</v>
          </cell>
          <cell r="BK379" t="str">
            <v>Chromatic</v>
          </cell>
          <cell r="BL379" t="str">
            <v>MM</v>
          </cell>
          <cell r="BM379">
            <v>74</v>
          </cell>
        </row>
        <row r="380">
          <cell r="A380" t="str">
            <v>Dragon, Howling</v>
          </cell>
          <cell r="D380" t="str">
            <v>Dragon</v>
          </cell>
          <cell r="E380" t="str">
            <v>Extraplanar</v>
          </cell>
          <cell r="N380" t="str">
            <v/>
          </cell>
          <cell r="O380" t="str">
            <v>Breath Weapon(Su): 15" cone of sonic energy;</v>
          </cell>
          <cell r="V380" t="str">
            <v>sonic</v>
          </cell>
          <cell r="X380" t="str">
            <v>sonic</v>
          </cell>
          <cell r="AW380" t="str">
            <v>Chaotic Evil</v>
          </cell>
          <cell r="AX380" t="str">
            <v>-</v>
          </cell>
          <cell r="BI380" t="str">
            <v>color=purple;</v>
          </cell>
          <cell r="BK380" t="str">
            <v>Planar</v>
          </cell>
          <cell r="BL380" t="str">
            <v>Dr</v>
          </cell>
          <cell r="BM380">
            <v>180</v>
          </cell>
        </row>
        <row r="381">
          <cell r="A381" t="str">
            <v>Dragon, Iron</v>
          </cell>
          <cell r="D381" t="str">
            <v>Dragon</v>
          </cell>
          <cell r="N381" t="str">
            <v/>
          </cell>
          <cell r="O381" t="str">
            <v>Breath Weapon(Su): 15" cone of superheated sparks;</v>
          </cell>
          <cell r="V381" t="str">
            <v>fire</v>
          </cell>
          <cell r="X381" t="str">
            <v>electricity</v>
          </cell>
          <cell r="AW381" t="str">
            <v>Lawful Neutral</v>
          </cell>
          <cell r="AX381" t="str">
            <v>-</v>
          </cell>
          <cell r="BI381" t="str">
            <v>color=iron;</v>
          </cell>
          <cell r="BK381" t="str">
            <v>Ferreous</v>
          </cell>
          <cell r="BL381" t="str">
            <v>DMag</v>
          </cell>
        </row>
        <row r="382">
          <cell r="A382" t="str">
            <v>Dragon, Li Lung</v>
          </cell>
          <cell r="D382" t="str">
            <v>Dragon</v>
          </cell>
          <cell r="H382">
            <v>10</v>
          </cell>
          <cell r="N382" t="str">
            <v/>
          </cell>
          <cell r="O382" t="str">
            <v/>
          </cell>
          <cell r="V382" t="str">
            <v>earth</v>
          </cell>
          <cell r="AW382" t="str">
            <v>Neutral</v>
          </cell>
          <cell r="AX382" t="str">
            <v>-</v>
          </cell>
          <cell r="BI382" t="str">
            <v>color=;</v>
          </cell>
          <cell r="BK382" t="str">
            <v>Lung</v>
          </cell>
          <cell r="BL382" t="str">
            <v>OA</v>
          </cell>
          <cell r="BM382">
            <v>156</v>
          </cell>
        </row>
        <row r="383">
          <cell r="A383" t="str">
            <v>Dragon, Lung Wang</v>
          </cell>
          <cell r="D383" t="str">
            <v>Dragon</v>
          </cell>
          <cell r="N383" t="str">
            <v/>
          </cell>
          <cell r="O383" t="str">
            <v>Breath Weapon(Su): 15" cone of steam;</v>
          </cell>
          <cell r="V383" t="str">
            <v>fire</v>
          </cell>
          <cell r="X383" t="str">
            <v>fire</v>
          </cell>
          <cell r="AW383" t="str">
            <v>Neutral</v>
          </cell>
          <cell r="AX383" t="str">
            <v>-</v>
          </cell>
          <cell r="BI383" t="str">
            <v>color=;</v>
          </cell>
          <cell r="BK383" t="str">
            <v>Lung</v>
          </cell>
          <cell r="BL383" t="str">
            <v>OA</v>
          </cell>
          <cell r="BM383">
            <v>157</v>
          </cell>
        </row>
        <row r="384">
          <cell r="A384" t="str">
            <v>Dragon, Nickel</v>
          </cell>
          <cell r="D384" t="str">
            <v>Dragon</v>
          </cell>
          <cell r="N384" t="str">
            <v/>
          </cell>
          <cell r="O384" t="str">
            <v>Breath Weapon(Su): 15" cone of acid gas;</v>
          </cell>
          <cell r="V384" t="str">
            <v>acid</v>
          </cell>
          <cell r="X384" t="str">
            <v>acid</v>
          </cell>
          <cell r="AW384" t="str">
            <v>Lawful Evil</v>
          </cell>
          <cell r="AX384" t="str">
            <v>-</v>
          </cell>
          <cell r="BI384" t="str">
            <v>color=nickel;</v>
          </cell>
          <cell r="BK384" t="str">
            <v>Ferreous</v>
          </cell>
          <cell r="BL384" t="str">
            <v>DMag</v>
          </cell>
          <cell r="BM384">
            <v>356</v>
          </cell>
        </row>
        <row r="385">
          <cell r="A385" t="str">
            <v>Dragon, Oceanus</v>
          </cell>
          <cell r="D385" t="str">
            <v>Dragon</v>
          </cell>
          <cell r="E385" t="str">
            <v>Aquatic,Extraplanar</v>
          </cell>
          <cell r="N385" t="str">
            <v/>
          </cell>
          <cell r="O385" t="str">
            <v>Breath Weapon(Su): 30" line of electricity;</v>
          </cell>
          <cell r="V385" t="str">
            <v>electricity</v>
          </cell>
          <cell r="X385" t="str">
            <v>electricity</v>
          </cell>
          <cell r="AW385" t="str">
            <v>Neutral Good</v>
          </cell>
          <cell r="AX385" t="str">
            <v>-</v>
          </cell>
          <cell r="BI385" t="str">
            <v>color=;</v>
          </cell>
          <cell r="BK385" t="str">
            <v>Planar</v>
          </cell>
          <cell r="BL385" t="str">
            <v>Dr</v>
          </cell>
          <cell r="BM385">
            <v>181</v>
          </cell>
        </row>
        <row r="386">
          <cell r="A386" t="str">
            <v>Dragon, Pan Lung</v>
          </cell>
          <cell r="D386" t="str">
            <v>Dragon</v>
          </cell>
          <cell r="N386" t="str">
            <v/>
          </cell>
          <cell r="O386" t="str">
            <v/>
          </cell>
          <cell r="V386" t="str">
            <v/>
          </cell>
          <cell r="AW386" t="str">
            <v>Neutral</v>
          </cell>
          <cell r="AX386" t="str">
            <v>-</v>
          </cell>
          <cell r="BI386" t="str">
            <v>color=;</v>
          </cell>
          <cell r="BK386" t="str">
            <v>Lung</v>
          </cell>
          <cell r="BL386" t="str">
            <v>OA</v>
          </cell>
          <cell r="BM386">
            <v>158</v>
          </cell>
        </row>
        <row r="387">
          <cell r="A387" t="str">
            <v>Dragon, Platinum</v>
          </cell>
          <cell r="D387" t="str">
            <v>Dragon</v>
          </cell>
          <cell r="N387" t="str">
            <v/>
          </cell>
          <cell r="O387" t="str">
            <v/>
          </cell>
          <cell r="V387" t="str">
            <v>any one energy type</v>
          </cell>
          <cell r="X387" t="str">
            <v>any one energy type</v>
          </cell>
          <cell r="AX387" t="str">
            <v>-</v>
          </cell>
          <cell r="BI387" t="str">
            <v>color=platinum;</v>
          </cell>
          <cell r="BK387" t="str">
            <v>Ferreous</v>
          </cell>
          <cell r="BL387" t="str">
            <v>DMag</v>
          </cell>
          <cell r="BM387">
            <v>356</v>
          </cell>
        </row>
        <row r="388">
          <cell r="A388" t="str">
            <v>Dragon, Prismatic</v>
          </cell>
          <cell r="D388" t="str">
            <v>Dragon</v>
          </cell>
          <cell r="N388" t="str">
            <v/>
          </cell>
          <cell r="O388" t="str">
            <v/>
          </cell>
          <cell r="V388" t="str">
            <v>blindness,light</v>
          </cell>
          <cell r="AW388" t="str">
            <v>Neutral</v>
          </cell>
          <cell r="AX388" t="str">
            <v>-</v>
          </cell>
          <cell r="BK388" t="str">
            <v>Epic</v>
          </cell>
          <cell r="BL388" t="str">
            <v>ELH</v>
          </cell>
        </row>
        <row r="389">
          <cell r="A389" t="str">
            <v>Dragon, Pyroclastic</v>
          </cell>
          <cell r="D389" t="str">
            <v>Dragon</v>
          </cell>
          <cell r="E389" t="str">
            <v>Extraplanar</v>
          </cell>
          <cell r="N389" t="str">
            <v/>
          </cell>
          <cell r="O389" t="str">
            <v>Breath Weapon(Su): 15" cone of fire and sonic;</v>
          </cell>
          <cell r="V389" t="str">
            <v>fire or sonic</v>
          </cell>
          <cell r="X389" t="str">
            <v>fire and sonic</v>
          </cell>
          <cell r="AW389" t="str">
            <v>Lawful</v>
          </cell>
          <cell r="AX389" t="str">
            <v>-</v>
          </cell>
          <cell r="BI389" t="str">
            <v>color=orange;</v>
          </cell>
          <cell r="BK389" t="str">
            <v>Planar</v>
          </cell>
          <cell r="BL389" t="str">
            <v>Dr</v>
          </cell>
          <cell r="BM389">
            <v>182</v>
          </cell>
        </row>
        <row r="390">
          <cell r="A390" t="str">
            <v>Dragon, Radiant</v>
          </cell>
          <cell r="D390" t="str">
            <v>Dragon</v>
          </cell>
          <cell r="E390" t="str">
            <v>Extraplanar</v>
          </cell>
          <cell r="N390" t="str">
            <v/>
          </cell>
          <cell r="O390" t="str">
            <v>Breath Weapon(Su): 30" line of force;</v>
          </cell>
          <cell r="V390" t="str">
            <v>light</v>
          </cell>
          <cell r="AW390" t="str">
            <v>Lawful Good</v>
          </cell>
          <cell r="AX390" t="str">
            <v>-</v>
          </cell>
          <cell r="BI390" t="str">
            <v>color=gold;</v>
          </cell>
          <cell r="BK390" t="str">
            <v>Planar</v>
          </cell>
          <cell r="BL390" t="str">
            <v>Dr</v>
          </cell>
          <cell r="BM390">
            <v>185</v>
          </cell>
        </row>
        <row r="391">
          <cell r="A391" t="str">
            <v>Dragon, Red</v>
          </cell>
          <cell r="D391" t="str">
            <v>Dragon</v>
          </cell>
          <cell r="E391" t="str">
            <v>Fire</v>
          </cell>
          <cell r="J391">
            <v>0</v>
          </cell>
          <cell r="M391">
            <v>7</v>
          </cell>
          <cell r="N391" t="str">
            <v/>
          </cell>
          <cell r="O391" t="str">
            <v>Breath Weapon(Su): 15" cone of fire, 2d10, fire;</v>
          </cell>
          <cell r="V391" t="str">
            <v>fire</v>
          </cell>
          <cell r="X391" t="str">
            <v>fire</v>
          </cell>
          <cell r="AD391">
            <v>8</v>
          </cell>
          <cell r="AE391">
            <v>2</v>
          </cell>
          <cell r="AF391">
            <v>6</v>
          </cell>
          <cell r="AG391">
            <v>2</v>
          </cell>
          <cell r="AH391">
            <v>2</v>
          </cell>
          <cell r="AI391">
            <v>4</v>
          </cell>
          <cell r="AV391">
            <v>3</v>
          </cell>
          <cell r="AW391" t="str">
            <v>Chaotic Evil</v>
          </cell>
          <cell r="AX391" t="str">
            <v>-</v>
          </cell>
          <cell r="BE391">
            <v>12</v>
          </cell>
          <cell r="BG391" t="str">
            <v>Dragon</v>
          </cell>
          <cell r="BI391" t="str">
            <v>color=red;DrShSkill=Appraise, Bluff, Jump;DrShAdaptation=Treasure Seeker (Ex);SpawnStr=8;SpawnDex=2;SpawnCon=4;SpawnInt=2;SpawnWis=2;SpawnCha=4;SpawnCR=3;SpawnLA=4;</v>
          </cell>
          <cell r="BK391" t="str">
            <v>Chromatic</v>
          </cell>
          <cell r="BL391" t="str">
            <v>MM</v>
          </cell>
          <cell r="BM391">
            <v>75</v>
          </cell>
        </row>
        <row r="392">
          <cell r="A392" t="str">
            <v>Dragon, Rust</v>
          </cell>
          <cell r="D392" t="str">
            <v>Dragon</v>
          </cell>
          <cell r="E392" t="str">
            <v>Extraplanar</v>
          </cell>
          <cell r="N392" t="str">
            <v/>
          </cell>
          <cell r="O392" t="str">
            <v>Breath Weapon(Su): 30" line of acid;</v>
          </cell>
          <cell r="V392" t="str">
            <v>acid</v>
          </cell>
          <cell r="X392" t="str">
            <v>acid</v>
          </cell>
          <cell r="AW392" t="str">
            <v>Lawful</v>
          </cell>
          <cell r="AX392" t="str">
            <v>-</v>
          </cell>
          <cell r="BI392" t="str">
            <v>color=rust;</v>
          </cell>
          <cell r="BK392" t="str">
            <v>Planar</v>
          </cell>
          <cell r="BL392" t="str">
            <v>Dr</v>
          </cell>
          <cell r="BM392">
            <v>186</v>
          </cell>
        </row>
        <row r="393">
          <cell r="A393" t="str">
            <v>Dragon, Sand</v>
          </cell>
          <cell r="D393" t="str">
            <v>Dragon</v>
          </cell>
          <cell r="N393" t="str">
            <v/>
          </cell>
          <cell r="O393" t="str">
            <v>Breath Weapon(Su): 15" cone of grit;</v>
          </cell>
          <cell r="V393" t="str">
            <v>fire</v>
          </cell>
          <cell r="X393" t="str">
            <v>fire</v>
          </cell>
          <cell r="AW393" t="str">
            <v>Chaotic Neutral</v>
          </cell>
          <cell r="AX393" t="str">
            <v>-</v>
          </cell>
          <cell r="BK393" t="str">
            <v>Independant</v>
          </cell>
          <cell r="BL393" t="str">
            <v>Sand</v>
          </cell>
          <cell r="BM393">
            <v>152</v>
          </cell>
        </row>
        <row r="394">
          <cell r="A394" t="str">
            <v>Dragon, Sapphire</v>
          </cell>
          <cell r="D394" t="str">
            <v>Dragon</v>
          </cell>
          <cell r="E394" t="str">
            <v>Earth</v>
          </cell>
          <cell r="N394" t="str">
            <v/>
          </cell>
          <cell r="O394" t="str">
            <v>Breath Weapon(Su): 15" cone of sonic energy;</v>
          </cell>
          <cell r="V394" t="str">
            <v>electricity</v>
          </cell>
          <cell r="X394" t="str">
            <v>sonic</v>
          </cell>
          <cell r="AW394" t="str">
            <v>Lawful Neutral</v>
          </cell>
          <cell r="AX394" t="str">
            <v>-</v>
          </cell>
          <cell r="BI394" t="str">
            <v>color=blue;</v>
          </cell>
          <cell r="BK394" t="str">
            <v>Gem</v>
          </cell>
          <cell r="BL394" t="str">
            <v>MM2</v>
          </cell>
          <cell r="BM394">
            <v>84</v>
          </cell>
        </row>
        <row r="395">
          <cell r="A395" t="str">
            <v>Dragon, Sea</v>
          </cell>
          <cell r="D395" t="str">
            <v>Dragon</v>
          </cell>
          <cell r="E395" t="str">
            <v>Aquatic, Water</v>
          </cell>
          <cell r="L395">
            <v>20</v>
          </cell>
          <cell r="M395">
            <v>10</v>
          </cell>
          <cell r="N395" t="str">
            <v/>
          </cell>
          <cell r="O395" t="str">
            <v>Breath Weapon(Su): 15" cone of Steam, 2d8, fire;</v>
          </cell>
          <cell r="V395" t="str">
            <v>fire</v>
          </cell>
          <cell r="X395" t="str">
            <v>fire</v>
          </cell>
          <cell r="AD395">
            <v>6</v>
          </cell>
          <cell r="AF395">
            <v>4</v>
          </cell>
          <cell r="AH395">
            <v>2</v>
          </cell>
          <cell r="AI395">
            <v>4</v>
          </cell>
          <cell r="AV395">
            <v>2</v>
          </cell>
          <cell r="AW395" t="str">
            <v>Neutral Evil</v>
          </cell>
          <cell r="AX395" t="str">
            <v>-</v>
          </cell>
          <cell r="BI395" t="str">
            <v>SpawnStr=6;SpawnCon=4;SpawnWis=2;SpawnCha=4;SpawnCR=2;SpawnLA=2;</v>
          </cell>
          <cell r="BK395" t="str">
            <v>Dragonlance</v>
          </cell>
          <cell r="BL395" t="str">
            <v>BoK</v>
          </cell>
        </row>
        <row r="396">
          <cell r="A396" t="str">
            <v>Dragon, Shadow</v>
          </cell>
          <cell r="D396" t="str">
            <v>Dragon</v>
          </cell>
          <cell r="E396" t="str">
            <v>Shadow</v>
          </cell>
          <cell r="N396" t="str">
            <v/>
          </cell>
          <cell r="O396" t="str">
            <v>Breath Weapon(Su): 15" cone of energy drain;</v>
          </cell>
          <cell r="V396" t="str">
            <v>energy drain</v>
          </cell>
          <cell r="AW396" t="str">
            <v>Chaotic Evil</v>
          </cell>
          <cell r="AX396" t="str">
            <v>-</v>
          </cell>
          <cell r="BI396" t="str">
            <v>color=translucent;</v>
          </cell>
          <cell r="BK396" t="str">
            <v>Faerunian</v>
          </cell>
          <cell r="BL396" t="str">
            <v>MoF</v>
          </cell>
          <cell r="BM396">
            <v>191</v>
          </cell>
          <cell r="BN396" t="str">
            <v>Dr</v>
          </cell>
        </row>
        <row r="397">
          <cell r="A397" t="str">
            <v>Dragon, Shen Lung</v>
          </cell>
          <cell r="D397" t="str">
            <v>Dragon</v>
          </cell>
          <cell r="N397" t="str">
            <v/>
          </cell>
          <cell r="O397" t="str">
            <v/>
          </cell>
          <cell r="V397" t="str">
            <v>cold</v>
          </cell>
          <cell r="X397" t="str">
            <v>electricity</v>
          </cell>
          <cell r="AW397" t="str">
            <v>Lawful Good</v>
          </cell>
          <cell r="AX397" t="str">
            <v>-</v>
          </cell>
          <cell r="BK397" t="str">
            <v>Lung</v>
          </cell>
          <cell r="BL397" t="str">
            <v>OA</v>
          </cell>
          <cell r="BM397">
            <v>159</v>
          </cell>
        </row>
        <row r="398">
          <cell r="A398" t="str">
            <v>Dragon, Silver</v>
          </cell>
          <cell r="D398" t="str">
            <v>Dragon</v>
          </cell>
          <cell r="N398" t="str">
            <v/>
          </cell>
          <cell r="O398" t="str">
            <v>Breath Weapon(Su): 15" cone of cold, 2d8, cold;</v>
          </cell>
          <cell r="V398" t="str">
            <v>cold</v>
          </cell>
          <cell r="X398" t="str">
            <v>cold</v>
          </cell>
          <cell r="AW398" t="str">
            <v>Lawful Good</v>
          </cell>
          <cell r="AX398" t="str">
            <v>-</v>
          </cell>
          <cell r="BE398">
            <v>12</v>
          </cell>
          <cell r="BG398" t="str">
            <v>Dragon</v>
          </cell>
          <cell r="BI398" t="str">
            <v>color=silver;DrShSkill=Bluff, Disguise, Jump;DrShAdaptation=Feather Fall (Sp);</v>
          </cell>
          <cell r="BK398" t="str">
            <v>Metallic</v>
          </cell>
          <cell r="BL398" t="str">
            <v>MM</v>
          </cell>
          <cell r="BM398">
            <v>86</v>
          </cell>
        </row>
        <row r="399">
          <cell r="A399" t="str">
            <v>Dragon, Song</v>
          </cell>
          <cell r="D399" t="str">
            <v>Dragon</v>
          </cell>
          <cell r="E399" t="str">
            <v>Electricity</v>
          </cell>
          <cell r="N399" t="str">
            <v/>
          </cell>
          <cell r="O399" t="str">
            <v>Breath Weapon(Su): 15" cone of electricity-charged gas;</v>
          </cell>
          <cell r="V399" t="str">
            <v>electricity</v>
          </cell>
          <cell r="X399" t="str">
            <v>electricity</v>
          </cell>
          <cell r="AW399" t="str">
            <v>Chaotic Neutral</v>
          </cell>
          <cell r="AX399" t="str">
            <v>-</v>
          </cell>
          <cell r="BI399" t="str">
            <v>color=silver-blue;</v>
          </cell>
          <cell r="BK399" t="str">
            <v>Faerunian</v>
          </cell>
          <cell r="BL399" t="str">
            <v>MoF</v>
          </cell>
          <cell r="BM399">
            <v>44</v>
          </cell>
        </row>
        <row r="400">
          <cell r="A400" t="str">
            <v>Dragon, Styx</v>
          </cell>
          <cell r="D400" t="str">
            <v>Dragon</v>
          </cell>
          <cell r="E400" t="str">
            <v>Aquatic,Extraplanar</v>
          </cell>
          <cell r="N400" t="str">
            <v/>
          </cell>
          <cell r="O400" t="str">
            <v>Breath Weapon(Su): 30" line of acid;</v>
          </cell>
          <cell r="V400" t="str">
            <v>disease, poison</v>
          </cell>
          <cell r="X400" t="str">
            <v>acid</v>
          </cell>
          <cell r="AW400" t="str">
            <v>Neutral Evil</v>
          </cell>
          <cell r="AX400" t="str">
            <v>-</v>
          </cell>
          <cell r="BI400" t="str">
            <v>color=brown;</v>
          </cell>
          <cell r="BK400" t="str">
            <v>Planar</v>
          </cell>
          <cell r="BL400" t="str">
            <v>Dr</v>
          </cell>
          <cell r="BM400">
            <v>187</v>
          </cell>
        </row>
        <row r="401">
          <cell r="A401" t="str">
            <v>Dragon, Tarterian</v>
          </cell>
          <cell r="D401" t="str">
            <v>Dragon</v>
          </cell>
          <cell r="E401" t="str">
            <v>Extraplanar</v>
          </cell>
          <cell r="N401" t="str">
            <v/>
          </cell>
          <cell r="O401" t="str">
            <v>Breath Weapon(Su): 30" line of force;</v>
          </cell>
          <cell r="V401" t="str">
            <v>force</v>
          </cell>
          <cell r="AW401" t="str">
            <v>Chaotic Evil</v>
          </cell>
          <cell r="AX401" t="str">
            <v>-</v>
          </cell>
          <cell r="BI401" t="str">
            <v>color=olive green;</v>
          </cell>
          <cell r="BK401" t="str">
            <v>Planar</v>
          </cell>
          <cell r="BL401" t="str">
            <v>Dr</v>
          </cell>
          <cell r="BM401">
            <v>189</v>
          </cell>
        </row>
        <row r="402">
          <cell r="A402" t="str">
            <v>Dragon, T'ien Lung</v>
          </cell>
          <cell r="D402" t="str">
            <v>Dragon</v>
          </cell>
          <cell r="N402" t="str">
            <v/>
          </cell>
          <cell r="O402" t="str">
            <v>Breath Weapon(Su): 15" cone of fire;</v>
          </cell>
          <cell r="V402" t="str">
            <v>fire</v>
          </cell>
          <cell r="X402" t="str">
            <v>fire</v>
          </cell>
          <cell r="AW402" t="str">
            <v>Lawful Neutral</v>
          </cell>
          <cell r="AX402" t="str">
            <v>-</v>
          </cell>
          <cell r="BK402" t="str">
            <v>Lung</v>
          </cell>
          <cell r="BL402" t="str">
            <v>OA</v>
          </cell>
          <cell r="BM402">
            <v>161</v>
          </cell>
        </row>
        <row r="403">
          <cell r="A403" t="str">
            <v>Dragon, Topaz</v>
          </cell>
          <cell r="D403" t="str">
            <v>Dragon</v>
          </cell>
          <cell r="E403" t="str">
            <v>Water</v>
          </cell>
          <cell r="N403" t="str">
            <v/>
          </cell>
          <cell r="O403" t="str">
            <v>Breath Weapon(Su): 15" cone of dehydration;</v>
          </cell>
          <cell r="V403" t="str">
            <v>cold</v>
          </cell>
          <cell r="X403" t="str">
            <v>cold</v>
          </cell>
          <cell r="AW403" t="str">
            <v>Chaotic Neutral</v>
          </cell>
          <cell r="AX403" t="str">
            <v>-</v>
          </cell>
          <cell r="BI403" t="str">
            <v>color=yellow;</v>
          </cell>
          <cell r="BK403" t="str">
            <v>Gem</v>
          </cell>
          <cell r="BL403" t="str">
            <v>MM2</v>
          </cell>
          <cell r="BM403">
            <v>85</v>
          </cell>
        </row>
        <row r="404">
          <cell r="A404" t="str">
            <v>Dragon, Tun Mi Lung</v>
          </cell>
          <cell r="D404" t="str">
            <v>Dragon</v>
          </cell>
          <cell r="N404" t="str">
            <v/>
          </cell>
          <cell r="O404" t="str">
            <v/>
          </cell>
          <cell r="V404" t="str">
            <v>electricity</v>
          </cell>
          <cell r="X404" t="str">
            <v>electricity</v>
          </cell>
          <cell r="AW404" t="str">
            <v>Neutral Evil</v>
          </cell>
          <cell r="AX404" t="str">
            <v>-</v>
          </cell>
          <cell r="BK404" t="str">
            <v>Lung</v>
          </cell>
          <cell r="BL404" t="str">
            <v>OA</v>
          </cell>
          <cell r="BM404">
            <v>162</v>
          </cell>
        </row>
        <row r="405">
          <cell r="A405" t="str">
            <v>Dragon, Tungsten</v>
          </cell>
          <cell r="D405" t="str">
            <v>Dragon</v>
          </cell>
          <cell r="N405" t="str">
            <v/>
          </cell>
          <cell r="O405" t="str">
            <v>Breath Weapon(Su): 15" cone of blasting sand;</v>
          </cell>
          <cell r="V405" t="str">
            <v>fire</v>
          </cell>
          <cell r="X405" t="str">
            <v>fire</v>
          </cell>
          <cell r="AW405" t="str">
            <v>Lawful Good</v>
          </cell>
          <cell r="AX405" t="str">
            <v>-</v>
          </cell>
          <cell r="BK405" t="str">
            <v>Ferreous</v>
          </cell>
          <cell r="BL405" t="str">
            <v>DMag</v>
          </cell>
          <cell r="BM405">
            <v>356</v>
          </cell>
        </row>
        <row r="406">
          <cell r="A406" t="str">
            <v>Dragon, White</v>
          </cell>
          <cell r="D406" t="str">
            <v>Dragon</v>
          </cell>
          <cell r="E406" t="str">
            <v>Cold</v>
          </cell>
          <cell r="J406">
            <v>0</v>
          </cell>
          <cell r="M406">
            <v>7</v>
          </cell>
          <cell r="N406" t="str">
            <v/>
          </cell>
          <cell r="O406" t="str">
            <v>Breath Weapon(Su): 15" cone of cold, 1d6, cold;</v>
          </cell>
          <cell r="V406" t="str">
            <v>cold</v>
          </cell>
          <cell r="X406" t="str">
            <v>cold</v>
          </cell>
          <cell r="AE406">
            <v>2</v>
          </cell>
          <cell r="AF406">
            <v>2</v>
          </cell>
          <cell r="AV406">
            <v>1</v>
          </cell>
          <cell r="AW406" t="str">
            <v>Chaotic Evil</v>
          </cell>
          <cell r="AX406" t="str">
            <v>-</v>
          </cell>
          <cell r="BE406">
            <v>7</v>
          </cell>
          <cell r="BG406" t="str">
            <v>Dragon</v>
          </cell>
          <cell r="BI406" t="str">
            <v>color=white;DrShSkill=Hide, Move Silently, Swim;DrShAdaptation=Icewalker (Ex);SpawnDex=2;SpawnCon=2;SpawnCR=1;SpawnLA=1;</v>
          </cell>
          <cell r="BK406" t="str">
            <v>Chromatic</v>
          </cell>
          <cell r="BL406" t="str">
            <v>MM</v>
          </cell>
          <cell r="BM406">
            <v>77</v>
          </cell>
        </row>
        <row r="407">
          <cell r="A407" t="str">
            <v>Dragon, Yu Lung</v>
          </cell>
          <cell r="D407" t="str">
            <v>Dragon</v>
          </cell>
          <cell r="N407" t="str">
            <v/>
          </cell>
          <cell r="V407" t="str">
            <v/>
          </cell>
          <cell r="AW407" t="str">
            <v>Neutral</v>
          </cell>
          <cell r="AX407" t="str">
            <v>-</v>
          </cell>
          <cell r="BC407" t="str">
            <v/>
          </cell>
          <cell r="BK407" t="str">
            <v>Lung</v>
          </cell>
          <cell r="BL407" t="str">
            <v>OA</v>
          </cell>
          <cell r="BM407">
            <v>154</v>
          </cell>
        </row>
        <row r="408">
          <cell r="A408" t="str">
            <v>Eagle</v>
          </cell>
          <cell r="C408" t="str">
            <v>Small</v>
          </cell>
          <cell r="D408" t="str">
            <v>Animal</v>
          </cell>
          <cell r="F408">
            <v>1</v>
          </cell>
          <cell r="G408">
            <v>10</v>
          </cell>
          <cell r="J408">
            <v>80</v>
          </cell>
          <cell r="K408" t="str">
            <v>average</v>
          </cell>
          <cell r="M408">
            <v>1</v>
          </cell>
          <cell r="N408" t="str">
            <v>Talons+5+0+1,Bite+5+0+0</v>
          </cell>
          <cell r="AD408">
            <v>10</v>
          </cell>
          <cell r="AE408">
            <v>15</v>
          </cell>
          <cell r="AF408">
            <v>12</v>
          </cell>
          <cell r="AG408">
            <v>2</v>
          </cell>
          <cell r="AH408">
            <v>14</v>
          </cell>
          <cell r="AI408">
            <v>6</v>
          </cell>
          <cell r="AX408" t="str">
            <v>-</v>
          </cell>
          <cell r="BF408">
            <v>1</v>
          </cell>
          <cell r="BL408" t="str">
            <v>MM</v>
          </cell>
          <cell r="BM408">
            <v>272</v>
          </cell>
        </row>
        <row r="409">
          <cell r="A409" t="str">
            <v>Eagle, Giant</v>
          </cell>
          <cell r="C409" t="str">
            <v>Large</v>
          </cell>
          <cell r="D409" t="str">
            <v>Magical Beast</v>
          </cell>
          <cell r="F409">
            <v>4</v>
          </cell>
          <cell r="G409">
            <v>10</v>
          </cell>
          <cell r="J409">
            <v>80</v>
          </cell>
          <cell r="K409" t="str">
            <v>average</v>
          </cell>
          <cell r="M409">
            <v>3</v>
          </cell>
          <cell r="N409" t="str">
            <v>2 Claws+4+0+1,Bite+5+0+0</v>
          </cell>
          <cell r="AD409">
            <v>18</v>
          </cell>
          <cell r="AE409">
            <v>17</v>
          </cell>
          <cell r="AF409">
            <v>12</v>
          </cell>
          <cell r="AG409">
            <v>10</v>
          </cell>
          <cell r="AH409">
            <v>14</v>
          </cell>
          <cell r="AI409">
            <v>10</v>
          </cell>
          <cell r="AX409" t="str">
            <v>-</v>
          </cell>
          <cell r="BF409">
            <v>7</v>
          </cell>
          <cell r="BL409" t="str">
            <v>MM</v>
          </cell>
          <cell r="BM409">
            <v>93</v>
          </cell>
        </row>
        <row r="410">
          <cell r="A410" t="str">
            <v>Eladrin, Coure</v>
          </cell>
          <cell r="C410" t="str">
            <v>Tiny</v>
          </cell>
          <cell r="D410" t="str">
            <v>Outsider</v>
          </cell>
          <cell r="E410" t="str">
            <v>Eladrin</v>
          </cell>
          <cell r="F410">
            <v>0</v>
          </cell>
          <cell r="G410">
            <v>20</v>
          </cell>
          <cell r="J410">
            <v>60</v>
          </cell>
          <cell r="K410" t="str">
            <v>perfect</v>
          </cell>
          <cell r="M410">
            <v>4</v>
          </cell>
          <cell r="N410" t="str">
            <v>;</v>
          </cell>
          <cell r="V410" t="str">
            <v>electricity,petrification</v>
          </cell>
          <cell r="X410" t="str">
            <v>acid 10, cold 10</v>
          </cell>
          <cell r="AD410">
            <v>6</v>
          </cell>
          <cell r="AE410">
            <v>24</v>
          </cell>
          <cell r="AF410">
            <v>12</v>
          </cell>
          <cell r="AG410">
            <v>12</v>
          </cell>
          <cell r="AH410">
            <v>10</v>
          </cell>
          <cell r="AI410">
            <v>14</v>
          </cell>
          <cell r="AS410" t="str">
            <v>Weapon Finesse;</v>
          </cell>
          <cell r="AW410" t="str">
            <v>Chaotic Good</v>
          </cell>
          <cell r="AX410" t="str">
            <v>-</v>
          </cell>
          <cell r="BC410" t="str">
            <v>Alternate form;Magic circle against evil;Tongues</v>
          </cell>
          <cell r="BE410">
            <v>7</v>
          </cell>
          <cell r="BG410" t="str">
            <v>Celestial</v>
          </cell>
          <cell r="BL410" t="str">
            <v>BoED</v>
          </cell>
          <cell r="BM410">
            <v>168</v>
          </cell>
        </row>
        <row r="411">
          <cell r="A411" t="str">
            <v>Elasmosaurus</v>
          </cell>
          <cell r="C411" t="str">
            <v>Huge</v>
          </cell>
          <cell r="D411" t="str">
            <v>Animal</v>
          </cell>
          <cell r="F411">
            <v>10</v>
          </cell>
          <cell r="G411">
            <v>10</v>
          </cell>
          <cell r="L411">
            <v>50</v>
          </cell>
          <cell r="M411">
            <v>3</v>
          </cell>
          <cell r="N411" t="str">
            <v>Bite+14+0+2</v>
          </cell>
          <cell r="AD411">
            <v>26</v>
          </cell>
          <cell r="AE411">
            <v>14</v>
          </cell>
          <cell r="AF411">
            <v>22</v>
          </cell>
          <cell r="AG411">
            <v>2</v>
          </cell>
          <cell r="AH411">
            <v>13</v>
          </cell>
          <cell r="AI411">
            <v>9</v>
          </cell>
          <cell r="AX411" t="str">
            <v>-</v>
          </cell>
          <cell r="BF411">
            <v>7</v>
          </cell>
          <cell r="BK411" t="str">
            <v>Dinosaur</v>
          </cell>
          <cell r="BL411" t="str">
            <v>MM</v>
          </cell>
          <cell r="BM411">
            <v>60</v>
          </cell>
        </row>
        <row r="412">
          <cell r="A412" t="str">
            <v>Elemental, Air</v>
          </cell>
          <cell r="D412" t="str">
            <v>Elemental</v>
          </cell>
          <cell r="E412" t="str">
            <v>Air</v>
          </cell>
          <cell r="M412">
            <v>1</v>
          </cell>
          <cell r="N412" t="str">
            <v/>
          </cell>
          <cell r="P412" t="str">
            <v/>
          </cell>
          <cell r="V412" t="str">
            <v>disease,cold</v>
          </cell>
          <cell r="X412" t="str">
            <v>acid</v>
          </cell>
          <cell r="AD412">
            <v>0</v>
          </cell>
          <cell r="AE412">
            <v>2</v>
          </cell>
          <cell r="AF412">
            <v>2</v>
          </cell>
          <cell r="AG412">
            <v>2</v>
          </cell>
          <cell r="AH412">
            <v>2</v>
          </cell>
          <cell r="AI412">
            <v>2</v>
          </cell>
          <cell r="AT412" t="str">
            <v>Auran</v>
          </cell>
          <cell r="AX412" t="str">
            <v>-</v>
          </cell>
          <cell r="BI412" t="str">
            <v>electricity</v>
          </cell>
          <cell r="BL412" t="str">
            <v>MM</v>
          </cell>
          <cell r="BM412">
            <v>95</v>
          </cell>
          <cell r="BN412" t="str">
            <v>MotP</v>
          </cell>
        </row>
        <row r="413">
          <cell r="A413" t="str">
            <v>Elemental, Air(Huge)</v>
          </cell>
          <cell r="C413" t="str">
            <v>Huge</v>
          </cell>
          <cell r="D413" t="str">
            <v>Elemental</v>
          </cell>
          <cell r="E413" t="str">
            <v>Air, Extraplanar</v>
          </cell>
          <cell r="F413">
            <v>16</v>
          </cell>
          <cell r="M413">
            <v>8</v>
          </cell>
          <cell r="N413" t="str">
            <v/>
          </cell>
          <cell r="AD413">
            <v>18</v>
          </cell>
          <cell r="AE413">
            <v>29</v>
          </cell>
          <cell r="AF413">
            <v>18</v>
          </cell>
          <cell r="AG413">
            <v>6</v>
          </cell>
          <cell r="AH413">
            <v>11</v>
          </cell>
          <cell r="AI413">
            <v>11</v>
          </cell>
          <cell r="AV413">
            <v>7</v>
          </cell>
          <cell r="AW413" t="str">
            <v>Neutral</v>
          </cell>
          <cell r="AX413" t="str">
            <v>-</v>
          </cell>
          <cell r="BF413">
            <v>16</v>
          </cell>
          <cell r="BH413" t="str">
            <v>Elemental</v>
          </cell>
          <cell r="BL413" t="str">
            <v>MM</v>
          </cell>
          <cell r="BM413">
            <v>95</v>
          </cell>
        </row>
        <row r="414">
          <cell r="A414" t="str">
            <v>Elemental, Air(Large)</v>
          </cell>
          <cell r="C414" t="str">
            <v>Large</v>
          </cell>
          <cell r="D414" t="str">
            <v>Elemental</v>
          </cell>
          <cell r="E414" t="str">
            <v>Air, Extraplanar</v>
          </cell>
          <cell r="F414">
            <v>8</v>
          </cell>
          <cell r="M414">
            <v>4</v>
          </cell>
          <cell r="N414" t="str">
            <v/>
          </cell>
          <cell r="T414">
            <v>60</v>
          </cell>
          <cell r="AD414">
            <v>14</v>
          </cell>
          <cell r="AE414">
            <v>25</v>
          </cell>
          <cell r="AF414">
            <v>16</v>
          </cell>
          <cell r="AG414">
            <v>6</v>
          </cell>
          <cell r="AH414">
            <v>11</v>
          </cell>
          <cell r="AI414">
            <v>11</v>
          </cell>
          <cell r="AV414">
            <v>5</v>
          </cell>
          <cell r="AW414" t="str">
            <v>Neutral</v>
          </cell>
          <cell r="AX414" t="str">
            <v>-</v>
          </cell>
          <cell r="BF414">
            <v>10</v>
          </cell>
          <cell r="BH414" t="str">
            <v>Elemental</v>
          </cell>
          <cell r="BL414" t="str">
            <v>MM</v>
          </cell>
          <cell r="BM414">
            <v>95</v>
          </cell>
        </row>
        <row r="415">
          <cell r="A415" t="str">
            <v>Elemental, Air(Medium)</v>
          </cell>
          <cell r="C415" t="str">
            <v>Medium</v>
          </cell>
          <cell r="D415" t="str">
            <v>Elemental</v>
          </cell>
          <cell r="E415" t="str">
            <v>Air, Extraplanar</v>
          </cell>
          <cell r="F415">
            <v>4</v>
          </cell>
          <cell r="M415">
            <v>3</v>
          </cell>
          <cell r="N415" t="str">
            <v/>
          </cell>
          <cell r="T415">
            <v>60</v>
          </cell>
          <cell r="AD415">
            <v>12</v>
          </cell>
          <cell r="AE415">
            <v>21</v>
          </cell>
          <cell r="AF415">
            <v>14</v>
          </cell>
          <cell r="AG415">
            <v>4</v>
          </cell>
          <cell r="AH415">
            <v>11</v>
          </cell>
          <cell r="AI415">
            <v>11</v>
          </cell>
          <cell r="AV415">
            <v>3</v>
          </cell>
          <cell r="AW415" t="str">
            <v>Neutral</v>
          </cell>
          <cell r="AX415" t="str">
            <v>-</v>
          </cell>
          <cell r="BF415">
            <v>4</v>
          </cell>
          <cell r="BH415" t="str">
            <v>Elemental</v>
          </cell>
          <cell r="BL415" t="str">
            <v>MM</v>
          </cell>
          <cell r="BM415">
            <v>95</v>
          </cell>
        </row>
        <row r="416">
          <cell r="A416" t="str">
            <v>Elemental, Air(Small)</v>
          </cell>
          <cell r="C416" t="str">
            <v>Small</v>
          </cell>
          <cell r="D416" t="str">
            <v>Elemental</v>
          </cell>
          <cell r="E416" t="str">
            <v>Air, Extraplanar</v>
          </cell>
          <cell r="F416">
            <v>2</v>
          </cell>
          <cell r="J416">
            <v>100</v>
          </cell>
          <cell r="K416" t="str">
            <v>perfect</v>
          </cell>
          <cell r="M416">
            <v>3</v>
          </cell>
          <cell r="N416" t="str">
            <v>Slam;</v>
          </cell>
          <cell r="T416">
            <v>60</v>
          </cell>
          <cell r="AD416">
            <v>10</v>
          </cell>
          <cell r="AE416">
            <v>17</v>
          </cell>
          <cell r="AF416">
            <v>10</v>
          </cell>
          <cell r="AG416">
            <v>4</v>
          </cell>
          <cell r="AH416">
            <v>11</v>
          </cell>
          <cell r="AI416">
            <v>11</v>
          </cell>
          <cell r="AS416" t="str">
            <v>Improved Initiative; Weapon Finesse</v>
          </cell>
          <cell r="AV416">
            <v>1</v>
          </cell>
          <cell r="AW416" t="str">
            <v>Neutral</v>
          </cell>
          <cell r="AX416" t="str">
            <v>-</v>
          </cell>
          <cell r="BC416" t="str">
            <v>Air mastery;Whirlwind;Elemental traits</v>
          </cell>
          <cell r="BE416">
            <v>5</v>
          </cell>
          <cell r="BF416">
            <v>1</v>
          </cell>
          <cell r="BG416" t="str">
            <v>Planar</v>
          </cell>
          <cell r="BH416" t="str">
            <v>Elemental</v>
          </cell>
          <cell r="BL416" t="str">
            <v>MM</v>
          </cell>
          <cell r="BM416">
            <v>95</v>
          </cell>
          <cell r="BN416" t="str">
            <v>PlH</v>
          </cell>
        </row>
        <row r="417">
          <cell r="A417" t="str">
            <v>Elemental, Earth</v>
          </cell>
          <cell r="D417" t="str">
            <v>Elemental</v>
          </cell>
          <cell r="E417" t="str">
            <v>Earth</v>
          </cell>
          <cell r="M417">
            <v>3</v>
          </cell>
          <cell r="N417" t="str">
            <v/>
          </cell>
          <cell r="P417" t="str">
            <v/>
          </cell>
          <cell r="T417">
            <v>60</v>
          </cell>
          <cell r="V417" t="str">
            <v>disease,earth</v>
          </cell>
          <cell r="X417" t="str">
            <v>cold</v>
          </cell>
          <cell r="AD417">
            <v>4</v>
          </cell>
          <cell r="AE417">
            <v>-2</v>
          </cell>
          <cell r="AF417">
            <v>4</v>
          </cell>
          <cell r="AG417">
            <v>0</v>
          </cell>
          <cell r="AH417">
            <v>0</v>
          </cell>
          <cell r="AI417">
            <v>0</v>
          </cell>
          <cell r="AT417" t="str">
            <v>Terran</v>
          </cell>
          <cell r="AW417" t="str">
            <v>Neutral</v>
          </cell>
          <cell r="AX417" t="str">
            <v>-</v>
          </cell>
          <cell r="BI417" t="str">
            <v>acid</v>
          </cell>
          <cell r="BL417" t="str">
            <v>MM</v>
          </cell>
          <cell r="BM417">
            <v>98</v>
          </cell>
          <cell r="BN417" t="str">
            <v>MotP</v>
          </cell>
        </row>
        <row r="418">
          <cell r="A418" t="str">
            <v>Elemental, Earth(Huge)</v>
          </cell>
          <cell r="C418" t="str">
            <v>Huge</v>
          </cell>
          <cell r="D418" t="str">
            <v>Elemental</v>
          </cell>
          <cell r="E418" t="str">
            <v>Earth, Extraplanar</v>
          </cell>
          <cell r="F418">
            <v>16</v>
          </cell>
          <cell r="M418">
            <v>11</v>
          </cell>
          <cell r="N418" t="str">
            <v/>
          </cell>
          <cell r="T418">
            <v>60</v>
          </cell>
          <cell r="AD418">
            <v>29</v>
          </cell>
          <cell r="AE418">
            <v>8</v>
          </cell>
          <cell r="AF418">
            <v>21</v>
          </cell>
          <cell r="AG418">
            <v>6</v>
          </cell>
          <cell r="AH418">
            <v>11</v>
          </cell>
          <cell r="AI418">
            <v>11</v>
          </cell>
          <cell r="AV418">
            <v>7</v>
          </cell>
          <cell r="AW418" t="str">
            <v>Neutral</v>
          </cell>
          <cell r="AX418" t="str">
            <v>-</v>
          </cell>
          <cell r="BF418">
            <v>16</v>
          </cell>
          <cell r="BH418" t="str">
            <v>Elemental</v>
          </cell>
          <cell r="BL418" t="str">
            <v>MM</v>
          </cell>
          <cell r="BM418">
            <v>98</v>
          </cell>
        </row>
        <row r="419">
          <cell r="A419" t="str">
            <v>Elemental, Earth(Large)</v>
          </cell>
          <cell r="C419" t="str">
            <v>Large</v>
          </cell>
          <cell r="D419" t="str">
            <v>Elemental</v>
          </cell>
          <cell r="E419" t="str">
            <v>Earth, Extraplanar</v>
          </cell>
          <cell r="F419">
            <v>8</v>
          </cell>
          <cell r="M419">
            <v>10</v>
          </cell>
          <cell r="N419" t="str">
            <v/>
          </cell>
          <cell r="T419">
            <v>60</v>
          </cell>
          <cell r="AD419">
            <v>25</v>
          </cell>
          <cell r="AE419">
            <v>8</v>
          </cell>
          <cell r="AF419">
            <v>19</v>
          </cell>
          <cell r="AG419">
            <v>6</v>
          </cell>
          <cell r="AH419">
            <v>11</v>
          </cell>
          <cell r="AI419">
            <v>11</v>
          </cell>
          <cell r="AV419">
            <v>5</v>
          </cell>
          <cell r="AW419" t="str">
            <v>Neutral</v>
          </cell>
          <cell r="AX419" t="str">
            <v>-</v>
          </cell>
          <cell r="BF419">
            <v>10</v>
          </cell>
          <cell r="BH419" t="str">
            <v>Elemental</v>
          </cell>
          <cell r="BL419" t="str">
            <v>MM</v>
          </cell>
          <cell r="BM419">
            <v>98</v>
          </cell>
        </row>
        <row r="420">
          <cell r="A420" t="str">
            <v>Elemental, Earth(Medium)</v>
          </cell>
          <cell r="C420" t="str">
            <v>Medium</v>
          </cell>
          <cell r="D420" t="str">
            <v>Elemental</v>
          </cell>
          <cell r="E420" t="str">
            <v>Earth, Extraplanar</v>
          </cell>
          <cell r="F420">
            <v>4</v>
          </cell>
          <cell r="M420">
            <v>9</v>
          </cell>
          <cell r="N420" t="str">
            <v/>
          </cell>
          <cell r="T420">
            <v>60</v>
          </cell>
          <cell r="AD420">
            <v>21</v>
          </cell>
          <cell r="AE420">
            <v>8</v>
          </cell>
          <cell r="AF420">
            <v>17</v>
          </cell>
          <cell r="AG420">
            <v>4</v>
          </cell>
          <cell r="AH420">
            <v>11</v>
          </cell>
          <cell r="AI420">
            <v>11</v>
          </cell>
          <cell r="AV420">
            <v>3</v>
          </cell>
          <cell r="AW420" t="str">
            <v>Neutral</v>
          </cell>
          <cell r="AX420" t="str">
            <v>-</v>
          </cell>
          <cell r="BF420">
            <v>4</v>
          </cell>
          <cell r="BH420" t="str">
            <v>Elemental</v>
          </cell>
          <cell r="BL420" t="str">
            <v>MM</v>
          </cell>
          <cell r="BM420">
            <v>98</v>
          </cell>
        </row>
        <row r="421">
          <cell r="A421" t="str">
            <v>Elemental, Earth(Small)</v>
          </cell>
          <cell r="C421" t="str">
            <v>Small</v>
          </cell>
          <cell r="D421" t="str">
            <v>Elemental</v>
          </cell>
          <cell r="E421" t="str">
            <v>Earth, Extraplanar</v>
          </cell>
          <cell r="F421">
            <v>2</v>
          </cell>
          <cell r="G421">
            <v>30</v>
          </cell>
          <cell r="M421">
            <v>7</v>
          </cell>
          <cell r="N421" t="str">
            <v>Slam;</v>
          </cell>
          <cell r="T421">
            <v>60</v>
          </cell>
          <cell r="AD421">
            <v>17</v>
          </cell>
          <cell r="AE421">
            <v>8</v>
          </cell>
          <cell r="AF421">
            <v>13</v>
          </cell>
          <cell r="AG421">
            <v>4</v>
          </cell>
          <cell r="AH421">
            <v>11</v>
          </cell>
          <cell r="AI421">
            <v>11</v>
          </cell>
          <cell r="AV421">
            <v>1</v>
          </cell>
          <cell r="AW421" t="str">
            <v>Neutral</v>
          </cell>
          <cell r="AX421" t="str">
            <v>-</v>
          </cell>
          <cell r="BC421" t="str">
            <v>Earth mastery;Push;Elemental traits</v>
          </cell>
          <cell r="BE421">
            <v>5</v>
          </cell>
          <cell r="BF421">
            <v>1</v>
          </cell>
          <cell r="BG421" t="str">
            <v>Planar</v>
          </cell>
          <cell r="BH421" t="str">
            <v>Elemental</v>
          </cell>
          <cell r="BL421" t="str">
            <v>MM</v>
          </cell>
          <cell r="BM421">
            <v>98</v>
          </cell>
          <cell r="BN421" t="str">
            <v>PlH</v>
          </cell>
        </row>
        <row r="422">
          <cell r="A422" t="str">
            <v>Elemental, Fire</v>
          </cell>
          <cell r="D422" t="str">
            <v>Elemental</v>
          </cell>
          <cell r="E422" t="str">
            <v>Fire</v>
          </cell>
          <cell r="M422">
            <v>1</v>
          </cell>
          <cell r="N422" t="str">
            <v/>
          </cell>
          <cell r="P422" t="str">
            <v/>
          </cell>
          <cell r="T422">
            <v>60</v>
          </cell>
          <cell r="V422" t="str">
            <v>disease,fire</v>
          </cell>
          <cell r="X422" t="str">
            <v>electricity</v>
          </cell>
          <cell r="AD422">
            <v>0</v>
          </cell>
          <cell r="AE422">
            <v>4</v>
          </cell>
          <cell r="AF422">
            <v>0</v>
          </cell>
          <cell r="AG422">
            <v>2</v>
          </cell>
          <cell r="AH422">
            <v>0</v>
          </cell>
          <cell r="AI422">
            <v>2</v>
          </cell>
          <cell r="AT422" t="str">
            <v>Ignan</v>
          </cell>
          <cell r="AW422" t="str">
            <v>Neutral</v>
          </cell>
          <cell r="AX422" t="str">
            <v>-</v>
          </cell>
          <cell r="BI422" t="str">
            <v>fire</v>
          </cell>
          <cell r="BL422" t="str">
            <v>MM</v>
          </cell>
          <cell r="BM422">
            <v>98</v>
          </cell>
          <cell r="BN422" t="str">
            <v>MotP</v>
          </cell>
        </row>
        <row r="423">
          <cell r="A423" t="str">
            <v>Elemental, Fire(Huge)</v>
          </cell>
          <cell r="C423" t="str">
            <v>Huge</v>
          </cell>
          <cell r="D423" t="str">
            <v>Elemental</v>
          </cell>
          <cell r="E423" t="str">
            <v>Fire, Extraplanar</v>
          </cell>
          <cell r="F423">
            <v>16</v>
          </cell>
          <cell r="N423" t="str">
            <v/>
          </cell>
          <cell r="T423">
            <v>60</v>
          </cell>
          <cell r="V423" t="str">
            <v>fire</v>
          </cell>
          <cell r="W423" t="str">
            <v>cold</v>
          </cell>
          <cell r="AD423">
            <v>18</v>
          </cell>
          <cell r="AE423">
            <v>25</v>
          </cell>
          <cell r="AF423">
            <v>18</v>
          </cell>
          <cell r="AG423">
            <v>6</v>
          </cell>
          <cell r="AH423">
            <v>11</v>
          </cell>
          <cell r="AI423">
            <v>11</v>
          </cell>
          <cell r="AV423">
            <v>7</v>
          </cell>
          <cell r="AW423" t="str">
            <v>Neutral</v>
          </cell>
          <cell r="AX423" t="str">
            <v>-</v>
          </cell>
          <cell r="BF423">
            <v>16</v>
          </cell>
          <cell r="BH423" t="str">
            <v>Elemental</v>
          </cell>
          <cell r="BL423" t="str">
            <v>MM</v>
          </cell>
          <cell r="BM423">
            <v>98</v>
          </cell>
        </row>
        <row r="424">
          <cell r="A424" t="str">
            <v>Elemental, Fire(Large)</v>
          </cell>
          <cell r="C424" t="str">
            <v>Large</v>
          </cell>
          <cell r="D424" t="str">
            <v>Elemental</v>
          </cell>
          <cell r="E424" t="str">
            <v>Fire, Extraplanar</v>
          </cell>
          <cell r="F424">
            <v>8</v>
          </cell>
          <cell r="N424" t="str">
            <v/>
          </cell>
          <cell r="T424">
            <v>60</v>
          </cell>
          <cell r="V424" t="str">
            <v>fire</v>
          </cell>
          <cell r="W424" t="str">
            <v>cold</v>
          </cell>
          <cell r="AD424">
            <v>14</v>
          </cell>
          <cell r="AE424">
            <v>21</v>
          </cell>
          <cell r="AF424">
            <v>16</v>
          </cell>
          <cell r="AG424">
            <v>6</v>
          </cell>
          <cell r="AH424">
            <v>11</v>
          </cell>
          <cell r="AI424">
            <v>11</v>
          </cell>
          <cell r="AV424">
            <v>5</v>
          </cell>
          <cell r="AW424" t="str">
            <v>Neutral</v>
          </cell>
          <cell r="AX424" t="str">
            <v>-</v>
          </cell>
          <cell r="BF424">
            <v>10</v>
          </cell>
          <cell r="BH424" t="str">
            <v>Elemental</v>
          </cell>
          <cell r="BL424" t="str">
            <v>MM</v>
          </cell>
          <cell r="BM424">
            <v>98</v>
          </cell>
        </row>
        <row r="425">
          <cell r="A425" t="str">
            <v>Elemental, Fire(Medium)</v>
          </cell>
          <cell r="C425" t="str">
            <v>Medium</v>
          </cell>
          <cell r="D425" t="str">
            <v>Elemental</v>
          </cell>
          <cell r="E425" t="str">
            <v>Fire, Extraplanar</v>
          </cell>
          <cell r="F425">
            <v>4</v>
          </cell>
          <cell r="N425" t="str">
            <v/>
          </cell>
          <cell r="T425">
            <v>60</v>
          </cell>
          <cell r="V425" t="str">
            <v>fire</v>
          </cell>
          <cell r="W425" t="str">
            <v>cold</v>
          </cell>
          <cell r="AD425">
            <v>12</v>
          </cell>
          <cell r="AE425">
            <v>17</v>
          </cell>
          <cell r="AF425">
            <v>14</v>
          </cell>
          <cell r="AG425">
            <v>4</v>
          </cell>
          <cell r="AH425">
            <v>11</v>
          </cell>
          <cell r="AI425">
            <v>11</v>
          </cell>
          <cell r="AV425">
            <v>3</v>
          </cell>
          <cell r="AW425" t="str">
            <v>Neutral</v>
          </cell>
          <cell r="AX425" t="str">
            <v>-</v>
          </cell>
          <cell r="BF425">
            <v>4</v>
          </cell>
          <cell r="BH425" t="str">
            <v>Elemental</v>
          </cell>
          <cell r="BL425" t="str">
            <v>MM</v>
          </cell>
          <cell r="BM425">
            <v>98</v>
          </cell>
        </row>
        <row r="426">
          <cell r="A426" t="str">
            <v>Elemental, Fire(Small)</v>
          </cell>
          <cell r="C426" t="str">
            <v>Small</v>
          </cell>
          <cell r="D426" t="str">
            <v>Elemental</v>
          </cell>
          <cell r="E426" t="str">
            <v>Fire, Extraplanar</v>
          </cell>
          <cell r="F426">
            <v>2</v>
          </cell>
          <cell r="G426">
            <v>50</v>
          </cell>
          <cell r="N426" t="str">
            <v>Slam;</v>
          </cell>
          <cell r="T426">
            <v>60</v>
          </cell>
          <cell r="V426" t="str">
            <v>fire</v>
          </cell>
          <cell r="W426" t="str">
            <v>cold</v>
          </cell>
          <cell r="AD426">
            <v>10</v>
          </cell>
          <cell r="AE426">
            <v>13</v>
          </cell>
          <cell r="AF426">
            <v>10</v>
          </cell>
          <cell r="AG426">
            <v>4</v>
          </cell>
          <cell r="AH426">
            <v>11</v>
          </cell>
          <cell r="AI426">
            <v>11</v>
          </cell>
          <cell r="AV426">
            <v>1</v>
          </cell>
          <cell r="AW426" t="str">
            <v>Neutral</v>
          </cell>
          <cell r="AX426" t="str">
            <v>-</v>
          </cell>
          <cell r="BC426" t="str">
            <v>Burn;Elemental traits</v>
          </cell>
          <cell r="BE426">
            <v>5</v>
          </cell>
          <cell r="BF426">
            <v>1</v>
          </cell>
          <cell r="BG426" t="str">
            <v>Planar</v>
          </cell>
          <cell r="BH426" t="str">
            <v>Elemental</v>
          </cell>
          <cell r="BL426" t="str">
            <v>MM</v>
          </cell>
          <cell r="BM426">
            <v>98</v>
          </cell>
          <cell r="BN426" t="str">
            <v>PlH</v>
          </cell>
        </row>
        <row r="427">
          <cell r="A427" t="str">
            <v>Elemental, Water</v>
          </cell>
          <cell r="D427" t="str">
            <v>Elemental</v>
          </cell>
          <cell r="E427" t="str">
            <v>Water</v>
          </cell>
          <cell r="M427">
            <v>1</v>
          </cell>
          <cell r="N427" t="str">
            <v/>
          </cell>
          <cell r="P427" t="str">
            <v/>
          </cell>
          <cell r="T427">
            <v>60</v>
          </cell>
          <cell r="V427" t="str">
            <v>disease,water</v>
          </cell>
          <cell r="X427" t="str">
            <v>fire</v>
          </cell>
          <cell r="AD427">
            <v>2</v>
          </cell>
          <cell r="AE427">
            <v>0</v>
          </cell>
          <cell r="AF427">
            <v>2</v>
          </cell>
          <cell r="AG427">
            <v>2</v>
          </cell>
          <cell r="AH427">
            <v>2</v>
          </cell>
          <cell r="AI427">
            <v>2</v>
          </cell>
          <cell r="AT427" t="str">
            <v>Aquan</v>
          </cell>
          <cell r="AW427" t="str">
            <v>Neutral</v>
          </cell>
          <cell r="AX427" t="str">
            <v>-</v>
          </cell>
          <cell r="BI427" t="str">
            <v>cold</v>
          </cell>
          <cell r="BL427" t="str">
            <v>MM</v>
          </cell>
          <cell r="BM427">
            <v>98</v>
          </cell>
          <cell r="BN427" t="str">
            <v>MotP</v>
          </cell>
        </row>
        <row r="428">
          <cell r="A428" t="str">
            <v>Elemental, Water(Huge)</v>
          </cell>
          <cell r="C428" t="str">
            <v>Huge</v>
          </cell>
          <cell r="D428" t="str">
            <v>Elemental</v>
          </cell>
          <cell r="E428" t="str">
            <v>Water, Extraplanar</v>
          </cell>
          <cell r="F428">
            <v>16</v>
          </cell>
          <cell r="M428">
            <v>9</v>
          </cell>
          <cell r="N428" t="str">
            <v/>
          </cell>
          <cell r="T428">
            <v>60</v>
          </cell>
          <cell r="AD428">
            <v>24</v>
          </cell>
          <cell r="AE428">
            <v>18</v>
          </cell>
          <cell r="AF428">
            <v>21</v>
          </cell>
          <cell r="AG428">
            <v>6</v>
          </cell>
          <cell r="AH428">
            <v>11</v>
          </cell>
          <cell r="AI428">
            <v>11</v>
          </cell>
          <cell r="AV428">
            <v>7</v>
          </cell>
          <cell r="AW428" t="str">
            <v>Neutral</v>
          </cell>
          <cell r="AX428" t="str">
            <v>-</v>
          </cell>
          <cell r="BF428">
            <v>16</v>
          </cell>
          <cell r="BH428" t="str">
            <v>Elemental</v>
          </cell>
          <cell r="BL428" t="str">
            <v>MM</v>
          </cell>
          <cell r="BM428">
            <v>98</v>
          </cell>
        </row>
        <row r="429">
          <cell r="A429" t="str">
            <v>Elemental, Water(Large)</v>
          </cell>
          <cell r="C429" t="str">
            <v>Large</v>
          </cell>
          <cell r="D429" t="str">
            <v>Elemental</v>
          </cell>
          <cell r="E429" t="str">
            <v>Water, Extraplanar</v>
          </cell>
          <cell r="F429">
            <v>8</v>
          </cell>
          <cell r="M429">
            <v>9</v>
          </cell>
          <cell r="N429" t="str">
            <v/>
          </cell>
          <cell r="T429">
            <v>60</v>
          </cell>
          <cell r="AD429">
            <v>20</v>
          </cell>
          <cell r="AE429">
            <v>14</v>
          </cell>
          <cell r="AF429">
            <v>19</v>
          </cell>
          <cell r="AG429">
            <v>6</v>
          </cell>
          <cell r="AH429">
            <v>11</v>
          </cell>
          <cell r="AI429">
            <v>11</v>
          </cell>
          <cell r="AV429">
            <v>5</v>
          </cell>
          <cell r="AW429" t="str">
            <v>Neutral</v>
          </cell>
          <cell r="AX429" t="str">
            <v>-</v>
          </cell>
          <cell r="BF429">
            <v>10</v>
          </cell>
          <cell r="BH429" t="str">
            <v>Elemental</v>
          </cell>
          <cell r="BL429" t="str">
            <v>MM</v>
          </cell>
          <cell r="BM429">
            <v>98</v>
          </cell>
        </row>
        <row r="430">
          <cell r="A430" t="str">
            <v>Elemental, Water(Medium)</v>
          </cell>
          <cell r="C430" t="str">
            <v>Medium</v>
          </cell>
          <cell r="D430" t="str">
            <v>Elemental</v>
          </cell>
          <cell r="E430" t="str">
            <v>Water, Extraplanar</v>
          </cell>
          <cell r="F430">
            <v>4</v>
          </cell>
          <cell r="M430">
            <v>8</v>
          </cell>
          <cell r="N430" t="str">
            <v/>
          </cell>
          <cell r="T430">
            <v>60</v>
          </cell>
          <cell r="AD430">
            <v>16</v>
          </cell>
          <cell r="AE430">
            <v>12</v>
          </cell>
          <cell r="AF430">
            <v>17</v>
          </cell>
          <cell r="AG430">
            <v>4</v>
          </cell>
          <cell r="AH430">
            <v>11</v>
          </cell>
          <cell r="AI430">
            <v>11</v>
          </cell>
          <cell r="AV430">
            <v>3</v>
          </cell>
          <cell r="AW430" t="str">
            <v>Neutral</v>
          </cell>
          <cell r="AX430" t="str">
            <v>-</v>
          </cell>
          <cell r="BF430">
            <v>4</v>
          </cell>
          <cell r="BH430" t="str">
            <v>Elemental</v>
          </cell>
          <cell r="BL430" t="str">
            <v>MM</v>
          </cell>
          <cell r="BM430">
            <v>98</v>
          </cell>
        </row>
        <row r="431">
          <cell r="A431" t="str">
            <v>Elemental, Water(Small)</v>
          </cell>
          <cell r="C431" t="str">
            <v>Small</v>
          </cell>
          <cell r="D431" t="str">
            <v>Elemental</v>
          </cell>
          <cell r="E431" t="str">
            <v>Water, Extraplanar</v>
          </cell>
          <cell r="F431">
            <v>2</v>
          </cell>
          <cell r="G431">
            <v>20</v>
          </cell>
          <cell r="L431">
            <v>90</v>
          </cell>
          <cell r="M431">
            <v>6</v>
          </cell>
          <cell r="N431" t="str">
            <v>Slam;</v>
          </cell>
          <cell r="T431">
            <v>60</v>
          </cell>
          <cell r="AD431">
            <v>14</v>
          </cell>
          <cell r="AE431">
            <v>10</v>
          </cell>
          <cell r="AF431">
            <v>13</v>
          </cell>
          <cell r="AG431">
            <v>4</v>
          </cell>
          <cell r="AH431">
            <v>11</v>
          </cell>
          <cell r="AI431">
            <v>11</v>
          </cell>
          <cell r="AV431">
            <v>1</v>
          </cell>
          <cell r="AW431" t="str">
            <v>Neutral</v>
          </cell>
          <cell r="AX431" t="str">
            <v>-</v>
          </cell>
          <cell r="BC431" t="str">
            <v>Water mastery;Drench;Vortex;Elemental traits</v>
          </cell>
          <cell r="BE431">
            <v>5</v>
          </cell>
          <cell r="BF431">
            <v>1</v>
          </cell>
          <cell r="BG431" t="str">
            <v>Planar</v>
          </cell>
          <cell r="BH431" t="str">
            <v>Elemental</v>
          </cell>
          <cell r="BL431" t="str">
            <v>MM</v>
          </cell>
          <cell r="BM431">
            <v>98</v>
          </cell>
          <cell r="BN431" t="str">
            <v>PlH</v>
          </cell>
        </row>
        <row r="432">
          <cell r="A432" t="str">
            <v>Elephant</v>
          </cell>
          <cell r="C432" t="str">
            <v>Huge</v>
          </cell>
          <cell r="D432" t="str">
            <v>Animal</v>
          </cell>
          <cell r="F432">
            <v>11</v>
          </cell>
          <cell r="G432">
            <v>40</v>
          </cell>
          <cell r="M432">
            <v>7</v>
          </cell>
          <cell r="N432" t="str">
            <v>Gore+14+0+2,Slam+5+0+1,2 Stamps+5+0+0,Trample+14+0+2</v>
          </cell>
          <cell r="T432">
            <v>60</v>
          </cell>
          <cell r="AD432">
            <v>30</v>
          </cell>
          <cell r="AE432">
            <v>10</v>
          </cell>
          <cell r="AF432">
            <v>21</v>
          </cell>
          <cell r="AG432">
            <v>2</v>
          </cell>
          <cell r="AH432">
            <v>13</v>
          </cell>
          <cell r="AI432">
            <v>7</v>
          </cell>
          <cell r="AX432" t="str">
            <v>-</v>
          </cell>
          <cell r="BF432">
            <v>13</v>
          </cell>
          <cell r="BL432" t="str">
            <v>MM</v>
          </cell>
          <cell r="BM432">
            <v>272</v>
          </cell>
        </row>
        <row r="433">
          <cell r="A433" t="str">
            <v>Elven Hound</v>
          </cell>
          <cell r="C433" t="str">
            <v>Medium</v>
          </cell>
          <cell r="D433" t="str">
            <v>Magical Beast</v>
          </cell>
          <cell r="F433">
            <v>2</v>
          </cell>
          <cell r="G433">
            <v>50</v>
          </cell>
          <cell r="M433">
            <v>4</v>
          </cell>
          <cell r="N433" t="str">
            <v>Bite;</v>
          </cell>
          <cell r="S433" t="str">
            <v>normal</v>
          </cell>
          <cell r="V433" t="str">
            <v>sleep</v>
          </cell>
          <cell r="AD433">
            <v>17</v>
          </cell>
          <cell r="AE433">
            <v>17</v>
          </cell>
          <cell r="AF433">
            <v>13</v>
          </cell>
          <cell r="AG433">
            <v>2</v>
          </cell>
          <cell r="AH433">
            <v>12</v>
          </cell>
          <cell r="AI433">
            <v>8</v>
          </cell>
          <cell r="AS433" t="str">
            <v>Track;Improved Natural Attack (bite)</v>
          </cell>
          <cell r="AW433" t="str">
            <v>Neutral</v>
          </cell>
          <cell r="AX433" t="str">
            <v>-</v>
          </cell>
          <cell r="BC433" t="str">
            <v>Scent;Sprint</v>
          </cell>
          <cell r="BF433">
            <v>1</v>
          </cell>
          <cell r="BL433" t="str">
            <v>RotW</v>
          </cell>
          <cell r="BM433">
            <v>189</v>
          </cell>
        </row>
        <row r="434">
          <cell r="A434" t="str">
            <v>Flying Snake</v>
          </cell>
          <cell r="C434" t="str">
            <v>Small</v>
          </cell>
          <cell r="D434" t="str">
            <v>Magical Beast</v>
          </cell>
          <cell r="F434">
            <v>1</v>
          </cell>
          <cell r="G434">
            <v>20</v>
          </cell>
          <cell r="I434">
            <v>20</v>
          </cell>
          <cell r="J434">
            <v>20</v>
          </cell>
          <cell r="K434" t="str">
            <v>avg</v>
          </cell>
          <cell r="M434">
            <v>3</v>
          </cell>
          <cell r="N434" t="str">
            <v>Bite;</v>
          </cell>
          <cell r="S434" t="str">
            <v>normal</v>
          </cell>
          <cell r="AD434">
            <v>6</v>
          </cell>
          <cell r="AE434">
            <v>17</v>
          </cell>
          <cell r="AF434">
            <v>11</v>
          </cell>
          <cell r="AG434">
            <v>1</v>
          </cell>
          <cell r="AH434">
            <v>12</v>
          </cell>
          <cell r="AI434">
            <v>2</v>
          </cell>
          <cell r="AS434" t="str">
            <v>Alertness;Weapon Finesse;</v>
          </cell>
          <cell r="AW434" t="str">
            <v>Neutral</v>
          </cell>
          <cell r="AX434" t="str">
            <v>-</v>
          </cell>
          <cell r="BC434" t="str">
            <v>Acid Spit;Improved Grab;Constrict;Scent</v>
          </cell>
          <cell r="BE434">
            <v>3</v>
          </cell>
          <cell r="BG434" t="str">
            <v>Improved</v>
          </cell>
          <cell r="BL434" t="str">
            <v>RoF</v>
          </cell>
          <cell r="BN434" t="str">
            <v>PGtF</v>
          </cell>
        </row>
        <row r="435">
          <cell r="A435" t="str">
            <v>Formian, Worker</v>
          </cell>
          <cell r="C435" t="str">
            <v>Small</v>
          </cell>
          <cell r="D435" t="str">
            <v>Magical Beast</v>
          </cell>
          <cell r="F435">
            <v>1</v>
          </cell>
          <cell r="G435">
            <v>40</v>
          </cell>
          <cell r="M435">
            <v>4</v>
          </cell>
          <cell r="N435" t="str">
            <v>Bite;</v>
          </cell>
          <cell r="V435" t="str">
            <v>cold,petrification,poison</v>
          </cell>
          <cell r="X435" t="str">
            <v>elecricity 10, fire 10, sonic 10</v>
          </cell>
          <cell r="AD435">
            <v>13</v>
          </cell>
          <cell r="AE435">
            <v>14</v>
          </cell>
          <cell r="AF435">
            <v>13</v>
          </cell>
          <cell r="AG435">
            <v>6</v>
          </cell>
          <cell r="AH435">
            <v>10</v>
          </cell>
          <cell r="AI435">
            <v>9</v>
          </cell>
          <cell r="AS435" t="str">
            <v>Skill Focus(Craft);</v>
          </cell>
          <cell r="AW435" t="str">
            <v>Lawful Neutral</v>
          </cell>
          <cell r="AX435" t="str">
            <v>-</v>
          </cell>
          <cell r="BC435" t="str">
            <v>Cure Serious Wounds;Hive mind;Make Whole</v>
          </cell>
          <cell r="BE435">
            <v>7</v>
          </cell>
          <cell r="BG435" t="str">
            <v>Improved</v>
          </cell>
          <cell r="BL435" t="str">
            <v>MM</v>
          </cell>
          <cell r="BM435">
            <v>108</v>
          </cell>
        </row>
        <row r="436">
          <cell r="A436" t="str">
            <v>Fox</v>
          </cell>
          <cell r="C436" t="str">
            <v>Small</v>
          </cell>
          <cell r="D436" t="str">
            <v>Animal</v>
          </cell>
          <cell r="F436">
            <v>1</v>
          </cell>
          <cell r="G436">
            <v>40</v>
          </cell>
          <cell r="N436" t="str">
            <v>Bite+5+0+2</v>
          </cell>
          <cell r="AD436">
            <v>11</v>
          </cell>
          <cell r="AE436">
            <v>19</v>
          </cell>
          <cell r="AF436">
            <v>11</v>
          </cell>
          <cell r="AX436" t="str">
            <v>-</v>
          </cell>
          <cell r="BL436" t="str">
            <v>OA</v>
          </cell>
        </row>
        <row r="437">
          <cell r="A437" t="str">
            <v>Ghostly Visage</v>
          </cell>
          <cell r="C437" t="str">
            <v>Tiny</v>
          </cell>
          <cell r="D437" t="str">
            <v>Undead</v>
          </cell>
          <cell r="E437" t="str">
            <v>Incorporeal, Symbiont</v>
          </cell>
          <cell r="F437">
            <v>1</v>
          </cell>
          <cell r="J437">
            <v>10</v>
          </cell>
          <cell r="K437" t="str">
            <v>perfect</v>
          </cell>
          <cell r="N437" t="str">
            <v/>
          </cell>
          <cell r="S437" t="str">
            <v>normal</v>
          </cell>
          <cell r="V437" t="str">
            <v>mind affecting effects, poison, sleep, paralysis, stunning, disease, death effects, necromantic effects, effect that requires a Fortitude save
unless it also works on objects, critical hits, subdual damage, ability damage, ability drain, energy drain, death from massive damage</v>
          </cell>
          <cell r="AD437" t="str">
            <v>-</v>
          </cell>
          <cell r="AE437">
            <v>14</v>
          </cell>
          <cell r="AF437" t="str">
            <v>-</v>
          </cell>
          <cell r="AG437">
            <v>12</v>
          </cell>
          <cell r="AH437">
            <v>9</v>
          </cell>
          <cell r="AI437">
            <v>16</v>
          </cell>
          <cell r="AS437" t="str">
            <v>Alertness;Iron Will</v>
          </cell>
          <cell r="AW437" t="str">
            <v>Chaotic Evil</v>
          </cell>
          <cell r="AX437" t="str">
            <v>-</v>
          </cell>
          <cell r="BC437" t="str">
            <v>Gaze of terror;meld;visage;mind shielding</v>
          </cell>
          <cell r="BE437">
            <v>7</v>
          </cell>
          <cell r="BG437" t="str">
            <v>Restricted</v>
          </cell>
          <cell r="BL437" t="str">
            <v>FF</v>
          </cell>
          <cell r="BM437">
            <v>221</v>
          </cell>
          <cell r="BN437" t="str">
            <v>HH</v>
          </cell>
        </row>
        <row r="438">
          <cell r="A438" t="str">
            <v>Girallon</v>
          </cell>
          <cell r="D438" t="str">
            <v>Magical Beast</v>
          </cell>
          <cell r="N438" t="str">
            <v/>
          </cell>
          <cell r="T438">
            <v>60</v>
          </cell>
          <cell r="AX438" t="str">
            <v>-</v>
          </cell>
          <cell r="BF438">
            <v>10</v>
          </cell>
          <cell r="BL438" t="str">
            <v>MM</v>
          </cell>
          <cell r="BM438">
            <v>126</v>
          </cell>
        </row>
        <row r="439">
          <cell r="A439" t="str">
            <v>Gorgon</v>
          </cell>
          <cell r="D439" t="str">
            <v>Magical Beast</v>
          </cell>
          <cell r="N439" t="str">
            <v/>
          </cell>
          <cell r="AX439" t="str">
            <v>-</v>
          </cell>
          <cell r="BF439">
            <v>16</v>
          </cell>
          <cell r="BL439" t="str">
            <v>MM</v>
          </cell>
          <cell r="BM439">
            <v>137</v>
          </cell>
        </row>
        <row r="440">
          <cell r="A440" t="str">
            <v>Gray Render</v>
          </cell>
          <cell r="D440" t="str">
            <v>Magical Beast</v>
          </cell>
          <cell r="N440" t="str">
            <v/>
          </cell>
          <cell r="AX440" t="str">
            <v>-</v>
          </cell>
          <cell r="BF440">
            <v>16</v>
          </cell>
          <cell r="BL440" t="str">
            <v>MM</v>
          </cell>
          <cell r="BM440">
            <v>138</v>
          </cell>
        </row>
        <row r="441">
          <cell r="A441" t="str">
            <v>Griffon</v>
          </cell>
          <cell r="D441" t="str">
            <v>Magical Beast</v>
          </cell>
          <cell r="N441" t="str">
            <v/>
          </cell>
          <cell r="AX441" t="str">
            <v>-</v>
          </cell>
          <cell r="BF441">
            <v>7</v>
          </cell>
          <cell r="BL441" t="str">
            <v>MM</v>
          </cell>
          <cell r="BM441">
            <v>139</v>
          </cell>
        </row>
        <row r="442">
          <cell r="A442" t="str">
            <v>Guardinal, Musteval</v>
          </cell>
          <cell r="C442" t="str">
            <v>Tiny</v>
          </cell>
          <cell r="D442" t="str">
            <v>Outsider</v>
          </cell>
          <cell r="F442">
            <v>0</v>
          </cell>
          <cell r="G442">
            <v>30</v>
          </cell>
          <cell r="H442">
            <v>10</v>
          </cell>
          <cell r="M442">
            <v>4</v>
          </cell>
          <cell r="N442" t="str">
            <v>Bite;</v>
          </cell>
          <cell r="V442" t="str">
            <v>electricity,petrification</v>
          </cell>
          <cell r="X442" t="str">
            <v>acid 10, cold 10</v>
          </cell>
          <cell r="AD442">
            <v>7</v>
          </cell>
          <cell r="AE442">
            <v>18</v>
          </cell>
          <cell r="AF442">
            <v>12</v>
          </cell>
          <cell r="AG442">
            <v>11</v>
          </cell>
          <cell r="AH442">
            <v>14</v>
          </cell>
          <cell r="AI442">
            <v>13</v>
          </cell>
          <cell r="AS442" t="str">
            <v>Weapon Finesse;</v>
          </cell>
          <cell r="AW442" t="str">
            <v>Neutral Good</v>
          </cell>
          <cell r="AX442" t="str">
            <v>-</v>
          </cell>
          <cell r="BC442" t="str">
            <v>Focused movement;Resistance to acid 10;Resistance to cold 10;Tongues</v>
          </cell>
          <cell r="BE442">
            <v>7</v>
          </cell>
          <cell r="BG442" t="str">
            <v>Celestial</v>
          </cell>
          <cell r="BL442" t="str">
            <v>BoED</v>
          </cell>
          <cell r="BM442">
            <v>174</v>
          </cell>
        </row>
        <row r="443">
          <cell r="A443" t="str">
            <v>Hare</v>
          </cell>
          <cell r="C443" t="str">
            <v>Tiny</v>
          </cell>
          <cell r="D443" t="str">
            <v>Animal</v>
          </cell>
          <cell r="F443">
            <v>1</v>
          </cell>
          <cell r="G443">
            <v>40</v>
          </cell>
          <cell r="N443" t="str">
            <v>Bite+5+0+2</v>
          </cell>
          <cell r="AD443">
            <v>1</v>
          </cell>
          <cell r="AE443">
            <v>19</v>
          </cell>
          <cell r="AF443">
            <v>10</v>
          </cell>
          <cell r="AX443" t="str">
            <v>-</v>
          </cell>
          <cell r="BL443" t="str">
            <v>OA</v>
          </cell>
        </row>
        <row r="444">
          <cell r="A444" t="str">
            <v>Hawk</v>
          </cell>
          <cell r="C444" t="str">
            <v>Tiny</v>
          </cell>
          <cell r="D444" t="str">
            <v>Animal</v>
          </cell>
          <cell r="F444">
            <v>1</v>
          </cell>
          <cell r="G444">
            <v>10</v>
          </cell>
          <cell r="J444">
            <v>60</v>
          </cell>
          <cell r="K444" t="str">
            <v>average</v>
          </cell>
          <cell r="M444">
            <v>2</v>
          </cell>
          <cell r="N444" t="str">
            <v>Talons+6+0+2</v>
          </cell>
          <cell r="AD444">
            <v>6</v>
          </cell>
          <cell r="AE444">
            <v>17</v>
          </cell>
          <cell r="AF444">
            <v>10</v>
          </cell>
          <cell r="AG444">
            <v>2</v>
          </cell>
          <cell r="AH444">
            <v>14</v>
          </cell>
          <cell r="AI444">
            <v>6</v>
          </cell>
          <cell r="AS444" t="str">
            <v>Weapon Finesse</v>
          </cell>
          <cell r="AV444">
            <v>0</v>
          </cell>
          <cell r="AW444" t="str">
            <v>Neutral</v>
          </cell>
          <cell r="AX444" t="str">
            <v>-</v>
          </cell>
          <cell r="BC444" t="str">
            <v>Grants +3 bonus to spot in bright light</v>
          </cell>
          <cell r="BE444">
            <v>1</v>
          </cell>
          <cell r="BF444">
            <v>1</v>
          </cell>
          <cell r="BG444" t="str">
            <v>Normal</v>
          </cell>
          <cell r="BL444" t="str">
            <v>MM</v>
          </cell>
          <cell r="BM444">
            <v>273</v>
          </cell>
        </row>
        <row r="445">
          <cell r="A445" t="str">
            <v>Hell Hound</v>
          </cell>
          <cell r="C445" t="str">
            <v>Medium</v>
          </cell>
          <cell r="D445" t="str">
            <v>Magical Beast</v>
          </cell>
          <cell r="F445">
            <v>4</v>
          </cell>
          <cell r="G445">
            <v>40</v>
          </cell>
          <cell r="M445">
            <v>5</v>
          </cell>
          <cell r="N445" t="str">
            <v>Bite;</v>
          </cell>
          <cell r="S445" t="str">
            <v>normal</v>
          </cell>
          <cell r="V445" t="str">
            <v>fire</v>
          </cell>
          <cell r="W445" t="str">
            <v>cold</v>
          </cell>
          <cell r="AD445">
            <v>13</v>
          </cell>
          <cell r="AE445">
            <v>13</v>
          </cell>
          <cell r="AF445">
            <v>13</v>
          </cell>
          <cell r="AG445">
            <v>6</v>
          </cell>
          <cell r="AH445">
            <v>10</v>
          </cell>
          <cell r="AI445">
            <v>6</v>
          </cell>
          <cell r="AS445" t="str">
            <v>Improved Initiative;Run;Track;</v>
          </cell>
          <cell r="AW445" t="str">
            <v>Lawful Evil</v>
          </cell>
          <cell r="AX445" t="str">
            <v>-</v>
          </cell>
          <cell r="BC445" t="str">
            <v>Breath Weapon;Fiery Bite</v>
          </cell>
          <cell r="BE445">
            <v>5</v>
          </cell>
          <cell r="BG445" t="str">
            <v>Improved</v>
          </cell>
          <cell r="BL445" t="str">
            <v>MM</v>
          </cell>
          <cell r="BM445">
            <v>151</v>
          </cell>
          <cell r="BN445" t="str">
            <v>CW</v>
          </cell>
        </row>
        <row r="446">
          <cell r="A446" t="str">
            <v>Hippogriff</v>
          </cell>
          <cell r="C446" t="str">
            <v>Large</v>
          </cell>
          <cell r="D446" t="str">
            <v>Magical Beast</v>
          </cell>
          <cell r="F446">
            <v>3</v>
          </cell>
          <cell r="G446">
            <v>50</v>
          </cell>
          <cell r="J446">
            <v>100</v>
          </cell>
          <cell r="K446" t="str">
            <v>avg</v>
          </cell>
          <cell r="M446">
            <v>4</v>
          </cell>
          <cell r="N446" t="str">
            <v>2 Claws;Bite;</v>
          </cell>
          <cell r="T446">
            <v>60</v>
          </cell>
          <cell r="AD446">
            <v>18</v>
          </cell>
          <cell r="AE446">
            <v>15</v>
          </cell>
          <cell r="AF446">
            <v>16</v>
          </cell>
          <cell r="AG446">
            <v>2</v>
          </cell>
          <cell r="AH446">
            <v>13</v>
          </cell>
          <cell r="AI446">
            <v>8</v>
          </cell>
          <cell r="AS446" t="str">
            <v>Dodge;Wingover;</v>
          </cell>
          <cell r="AW446" t="str">
            <v>Neutral</v>
          </cell>
          <cell r="AX446" t="str">
            <v>-</v>
          </cell>
          <cell r="BC446" t="str">
            <v>Scent</v>
          </cell>
          <cell r="BE446">
            <v>7</v>
          </cell>
          <cell r="BF446">
            <v>4</v>
          </cell>
          <cell r="BG446" t="str">
            <v>Improved</v>
          </cell>
          <cell r="BL446" t="str">
            <v>MM</v>
          </cell>
          <cell r="BM446">
            <v>152</v>
          </cell>
          <cell r="BN446" t="str">
            <v>CW</v>
          </cell>
        </row>
        <row r="447">
          <cell r="A447" t="str">
            <v>Horse, Heavy</v>
          </cell>
          <cell r="C447" t="str">
            <v>Large</v>
          </cell>
          <cell r="D447" t="str">
            <v>Animal</v>
          </cell>
          <cell r="N447" t="str">
            <v/>
          </cell>
          <cell r="S447" t="str">
            <v>normal</v>
          </cell>
          <cell r="T447">
            <v>60</v>
          </cell>
          <cell r="AX447" t="str">
            <v>-</v>
          </cell>
          <cell r="BF447">
            <v>1</v>
          </cell>
          <cell r="BL447" t="str">
            <v>MM</v>
          </cell>
          <cell r="BM447">
            <v>273</v>
          </cell>
        </row>
        <row r="448">
          <cell r="A448" t="str">
            <v>Horse, Light</v>
          </cell>
          <cell r="C448" t="str">
            <v>Large</v>
          </cell>
          <cell r="D448" t="str">
            <v>Animal</v>
          </cell>
          <cell r="N448" t="str">
            <v/>
          </cell>
          <cell r="AX448" t="str">
            <v>-</v>
          </cell>
          <cell r="BF448">
            <v>1</v>
          </cell>
          <cell r="BL448" t="str">
            <v>MM</v>
          </cell>
          <cell r="BM448">
            <v>273</v>
          </cell>
        </row>
        <row r="449">
          <cell r="A449" t="str">
            <v>Howler</v>
          </cell>
          <cell r="C449" t="str">
            <v>Large</v>
          </cell>
          <cell r="D449" t="str">
            <v>Magical Beast</v>
          </cell>
          <cell r="F449">
            <v>6</v>
          </cell>
          <cell r="G449">
            <v>60</v>
          </cell>
          <cell r="M449">
            <v>5</v>
          </cell>
          <cell r="N449" t="str">
            <v>Bite;1d4 Quills;</v>
          </cell>
          <cell r="AD449">
            <v>21</v>
          </cell>
          <cell r="AE449">
            <v>17</v>
          </cell>
          <cell r="AF449">
            <v>15</v>
          </cell>
          <cell r="AG449">
            <v>6</v>
          </cell>
          <cell r="AH449">
            <v>14</v>
          </cell>
          <cell r="AI449">
            <v>8</v>
          </cell>
          <cell r="AS449" t="str">
            <v>Alertness;Combat Reflexes;Improved Initiative;</v>
          </cell>
          <cell r="AW449" t="str">
            <v>Chaotic Evil</v>
          </cell>
          <cell r="AX449" t="str">
            <v>-</v>
          </cell>
          <cell r="BC449" t="str">
            <v>Quills;Howl</v>
          </cell>
          <cell r="BE449">
            <v>7</v>
          </cell>
          <cell r="BG449" t="str">
            <v>Improved</v>
          </cell>
          <cell r="BL449" t="str">
            <v>MM</v>
          </cell>
          <cell r="BM449">
            <v>154</v>
          </cell>
          <cell r="BN449" t="str">
            <v>CW</v>
          </cell>
        </row>
        <row r="450">
          <cell r="A450" t="str">
            <v>Imp</v>
          </cell>
          <cell r="C450" t="str">
            <v>Tiny</v>
          </cell>
          <cell r="D450" t="str">
            <v>Outsider</v>
          </cell>
          <cell r="F450">
            <v>3</v>
          </cell>
          <cell r="G450">
            <v>20</v>
          </cell>
          <cell r="J450">
            <v>50</v>
          </cell>
          <cell r="K450" t="str">
            <v>perfect</v>
          </cell>
          <cell r="M450">
            <v>5</v>
          </cell>
          <cell r="N450" t="str">
            <v>Sting</v>
          </cell>
          <cell r="T450">
            <v>60</v>
          </cell>
          <cell r="V450" t="str">
            <v>poison</v>
          </cell>
          <cell r="X450" t="str">
            <v>fire 5</v>
          </cell>
          <cell r="Z450" t="str">
            <v>5/good or silver</v>
          </cell>
          <cell r="AA450">
            <v>2</v>
          </cell>
          <cell r="AD450">
            <v>10</v>
          </cell>
          <cell r="AE450">
            <v>17</v>
          </cell>
          <cell r="AF450">
            <v>10</v>
          </cell>
          <cell r="AG450">
            <v>10</v>
          </cell>
          <cell r="AH450">
            <v>12</v>
          </cell>
          <cell r="AI450">
            <v>14</v>
          </cell>
          <cell r="AS450" t="str">
            <v>Dodge;Weapon Finesse;</v>
          </cell>
          <cell r="AW450" t="str">
            <v>Lawful Evil</v>
          </cell>
          <cell r="AX450" t="str">
            <v>-</v>
          </cell>
          <cell r="BC450" t="str">
            <v>Poison;Spell-like abilities;Alternate form</v>
          </cell>
          <cell r="BE450">
            <v>7</v>
          </cell>
          <cell r="BG450" t="str">
            <v>Improved, Planar</v>
          </cell>
          <cell r="BL450" t="str">
            <v>MM</v>
          </cell>
          <cell r="BM450">
            <v>56</v>
          </cell>
          <cell r="BN450" t="str">
            <v>PlH</v>
          </cell>
        </row>
        <row r="451">
          <cell r="A451" t="str">
            <v>Krenshar</v>
          </cell>
          <cell r="C451" t="str">
            <v>Medium</v>
          </cell>
          <cell r="D451" t="str">
            <v>Magical Beast</v>
          </cell>
          <cell r="F451">
            <v>2</v>
          </cell>
          <cell r="G451">
            <v>40</v>
          </cell>
          <cell r="M451">
            <v>3</v>
          </cell>
          <cell r="N451" t="str">
            <v>Bite;2 Claws;</v>
          </cell>
          <cell r="T451">
            <v>60</v>
          </cell>
          <cell r="AD451">
            <v>11</v>
          </cell>
          <cell r="AE451">
            <v>14</v>
          </cell>
          <cell r="AF451">
            <v>11</v>
          </cell>
          <cell r="AG451">
            <v>6</v>
          </cell>
          <cell r="AH451">
            <v>12</v>
          </cell>
          <cell r="AI451">
            <v>13</v>
          </cell>
          <cell r="AS451" t="str">
            <v>Multiattack;Track;</v>
          </cell>
          <cell r="AW451" t="str">
            <v>Neutral</v>
          </cell>
          <cell r="AX451" t="str">
            <v>-</v>
          </cell>
          <cell r="BC451" t="str">
            <v>Scare;Scent</v>
          </cell>
          <cell r="BE451">
            <v>3</v>
          </cell>
          <cell r="BG451" t="str">
            <v>Improved</v>
          </cell>
          <cell r="BL451" t="str">
            <v>MM</v>
          </cell>
          <cell r="BM451">
            <v>163</v>
          </cell>
          <cell r="BN451" t="str">
            <v>CW</v>
          </cell>
        </row>
        <row r="452">
          <cell r="A452" t="str">
            <v>Leopard</v>
          </cell>
          <cell r="C452" t="str">
            <v>Medium</v>
          </cell>
          <cell r="D452" t="str">
            <v>Animal</v>
          </cell>
          <cell r="F452">
            <v>3</v>
          </cell>
          <cell r="G452">
            <v>40</v>
          </cell>
          <cell r="I452">
            <v>20</v>
          </cell>
          <cell r="M452">
            <v>1</v>
          </cell>
          <cell r="N452" t="str">
            <v>Bite+5+0+1,2 Claws+3+0+0,Rake+3+0+0</v>
          </cell>
          <cell r="S452" t="str">
            <v>normal</v>
          </cell>
          <cell r="T452">
            <v>60</v>
          </cell>
          <cell r="AD452">
            <v>16</v>
          </cell>
          <cell r="AE452">
            <v>19</v>
          </cell>
          <cell r="AF452">
            <v>15</v>
          </cell>
          <cell r="AG452">
            <v>2</v>
          </cell>
          <cell r="AH452">
            <v>12</v>
          </cell>
          <cell r="AI452">
            <v>6</v>
          </cell>
          <cell r="AX452" t="str">
            <v>-</v>
          </cell>
          <cell r="BF452">
            <v>4</v>
          </cell>
          <cell r="BL452" t="str">
            <v>MM</v>
          </cell>
          <cell r="BM452">
            <v>274</v>
          </cell>
        </row>
        <row r="453">
          <cell r="A453" t="str">
            <v>Lion</v>
          </cell>
          <cell r="C453" t="str">
            <v>Large</v>
          </cell>
          <cell r="D453" t="str">
            <v>Animal</v>
          </cell>
          <cell r="F453">
            <v>5</v>
          </cell>
          <cell r="G453">
            <v>40</v>
          </cell>
          <cell r="M453">
            <v>3</v>
          </cell>
          <cell r="N453" t="str">
            <v>2 Claws+3+0+1,Bite+5+0+0,Rake+3+0+0</v>
          </cell>
          <cell r="S453" t="str">
            <v>normal</v>
          </cell>
          <cell r="AD453">
            <v>21</v>
          </cell>
          <cell r="AE453">
            <v>17</v>
          </cell>
          <cell r="AF453">
            <v>15</v>
          </cell>
          <cell r="AG453">
            <v>2</v>
          </cell>
          <cell r="AH453">
            <v>12</v>
          </cell>
          <cell r="AI453">
            <v>6</v>
          </cell>
          <cell r="AX453" t="str">
            <v>-</v>
          </cell>
          <cell r="BF453">
            <v>7</v>
          </cell>
          <cell r="BL453" t="str">
            <v>MM</v>
          </cell>
          <cell r="BM453">
            <v>274</v>
          </cell>
        </row>
        <row r="454">
          <cell r="A454" t="str">
            <v>Lizard</v>
          </cell>
          <cell r="C454" t="str">
            <v>Tiny</v>
          </cell>
          <cell r="D454" t="str">
            <v>Animal</v>
          </cell>
          <cell r="F454">
            <v>0.5</v>
          </cell>
          <cell r="G454">
            <v>20</v>
          </cell>
          <cell r="I454">
            <v>20</v>
          </cell>
          <cell r="M454">
            <v>0</v>
          </cell>
          <cell r="N454" t="str">
            <v>Bite+6+0+2</v>
          </cell>
          <cell r="S454" t="str">
            <v>normal</v>
          </cell>
          <cell r="AD454">
            <v>3</v>
          </cell>
          <cell r="AE454">
            <v>15</v>
          </cell>
          <cell r="AF454">
            <v>10</v>
          </cell>
          <cell r="AG454">
            <v>1</v>
          </cell>
          <cell r="AH454">
            <v>12</v>
          </cell>
          <cell r="AI454">
            <v>2</v>
          </cell>
          <cell r="AS454" t="str">
            <v>Weapon Finesse</v>
          </cell>
          <cell r="AV454">
            <v>0</v>
          </cell>
          <cell r="AW454" t="str">
            <v>Neutral</v>
          </cell>
          <cell r="AX454" t="str">
            <v>-</v>
          </cell>
          <cell r="BE454">
            <v>1</v>
          </cell>
          <cell r="BG454" t="str">
            <v>Normal</v>
          </cell>
          <cell r="BL454" t="str">
            <v>MM</v>
          </cell>
          <cell r="BM454">
            <v>275</v>
          </cell>
          <cell r="BN454" t="str">
            <v>PHB</v>
          </cell>
        </row>
        <row r="455">
          <cell r="A455" t="str">
            <v>Lizard, Monitor</v>
          </cell>
          <cell r="C455" t="str">
            <v>Medium</v>
          </cell>
          <cell r="D455" t="str">
            <v>Animal</v>
          </cell>
          <cell r="F455">
            <v>3</v>
          </cell>
          <cell r="G455">
            <v>30</v>
          </cell>
          <cell r="L455">
            <v>30</v>
          </cell>
          <cell r="M455">
            <v>3</v>
          </cell>
          <cell r="N455" t="str">
            <v>Bite+6+0+2</v>
          </cell>
          <cell r="S455" t="str">
            <v>normal</v>
          </cell>
          <cell r="AD455">
            <v>17</v>
          </cell>
          <cell r="AE455">
            <v>15</v>
          </cell>
          <cell r="AF455">
            <v>17</v>
          </cell>
          <cell r="AG455">
            <v>1</v>
          </cell>
          <cell r="AH455">
            <v>12</v>
          </cell>
          <cell r="AI455">
            <v>2</v>
          </cell>
          <cell r="AX455" t="str">
            <v>-</v>
          </cell>
          <cell r="BF455">
            <v>4</v>
          </cell>
          <cell r="BL455" t="str">
            <v>MM</v>
          </cell>
          <cell r="BM455">
            <v>275</v>
          </cell>
        </row>
        <row r="456">
          <cell r="A456" t="str">
            <v>Lizard, Spitting Crawler</v>
          </cell>
          <cell r="C456" t="str">
            <v>Tiny</v>
          </cell>
          <cell r="D456" t="str">
            <v>Animal</v>
          </cell>
          <cell r="F456">
            <v>0.5</v>
          </cell>
          <cell r="G456">
            <v>20</v>
          </cell>
          <cell r="I456">
            <v>20</v>
          </cell>
          <cell r="M456">
            <v>0</v>
          </cell>
          <cell r="N456" t="str">
            <v>Bite;</v>
          </cell>
          <cell r="S456" t="str">
            <v>normal</v>
          </cell>
          <cell r="AD456">
            <v>3</v>
          </cell>
          <cell r="AE456">
            <v>15</v>
          </cell>
          <cell r="AF456">
            <v>10</v>
          </cell>
          <cell r="AG456">
            <v>2</v>
          </cell>
          <cell r="AH456">
            <v>12</v>
          </cell>
          <cell r="AI456">
            <v>2</v>
          </cell>
          <cell r="AS456" t="str">
            <v>Weapon Finesse;</v>
          </cell>
          <cell r="AW456" t="str">
            <v>Neutral</v>
          </cell>
          <cell r="AX456" t="str">
            <v>-</v>
          </cell>
          <cell r="BC456" t="str">
            <v>Spit Acid</v>
          </cell>
          <cell r="BE456">
            <v>3</v>
          </cell>
          <cell r="BG456" t="str">
            <v>Improved</v>
          </cell>
          <cell r="BL456" t="str">
            <v>FRCS</v>
          </cell>
          <cell r="BM456">
            <v>308</v>
          </cell>
          <cell r="BN456" t="str">
            <v>PGtF</v>
          </cell>
        </row>
        <row r="457">
          <cell r="A457" t="str">
            <v>Lynx</v>
          </cell>
          <cell r="C457" t="str">
            <v>Small</v>
          </cell>
          <cell r="D457" t="str">
            <v>Animal</v>
          </cell>
          <cell r="F457">
            <v>1</v>
          </cell>
          <cell r="G457">
            <v>40</v>
          </cell>
          <cell r="M457">
            <v>0</v>
          </cell>
          <cell r="N457" t="str">
            <v>Bite;2 Claws;</v>
          </cell>
          <cell r="AD457">
            <v>7</v>
          </cell>
          <cell r="AE457">
            <v>17</v>
          </cell>
          <cell r="AF457">
            <v>12</v>
          </cell>
          <cell r="AG457">
            <v>2</v>
          </cell>
          <cell r="AH457">
            <v>12</v>
          </cell>
          <cell r="AI457">
            <v>7</v>
          </cell>
          <cell r="AS457" t="str">
            <v>Alertness;Weapon Finesse;</v>
          </cell>
          <cell r="AW457" t="str">
            <v>Neutral</v>
          </cell>
          <cell r="AX457" t="str">
            <v>-</v>
          </cell>
          <cell r="BC457" t="str">
            <v>Pounce;Scent</v>
          </cell>
          <cell r="BE457">
            <v>3</v>
          </cell>
          <cell r="BG457" t="str">
            <v>Improved</v>
          </cell>
          <cell r="BL457" t="str">
            <v>RoF</v>
          </cell>
          <cell r="BN457" t="str">
            <v>PGtF</v>
          </cell>
        </row>
        <row r="458">
          <cell r="A458" t="str">
            <v>Megaraptor</v>
          </cell>
          <cell r="C458" t="str">
            <v>Large</v>
          </cell>
          <cell r="D458" t="str">
            <v>Animal</v>
          </cell>
          <cell r="F458">
            <v>8</v>
          </cell>
          <cell r="G458">
            <v>60</v>
          </cell>
          <cell r="M458">
            <v>6</v>
          </cell>
          <cell r="N458" t="str">
            <v>Talons+6+0+1,2 Foreclaws+3+0+0,Bite+5+0+0</v>
          </cell>
          <cell r="AD458">
            <v>21</v>
          </cell>
          <cell r="AE458">
            <v>15</v>
          </cell>
          <cell r="AF458">
            <v>21</v>
          </cell>
          <cell r="AG458">
            <v>2</v>
          </cell>
          <cell r="AH458">
            <v>15</v>
          </cell>
          <cell r="AI458">
            <v>10</v>
          </cell>
          <cell r="AX458" t="str">
            <v>-</v>
          </cell>
          <cell r="BF458">
            <v>10</v>
          </cell>
          <cell r="BK458" t="str">
            <v>Dinosaur</v>
          </cell>
          <cell r="BL458" t="str">
            <v>MM</v>
          </cell>
          <cell r="BM458">
            <v>60</v>
          </cell>
        </row>
        <row r="459">
          <cell r="A459" t="str">
            <v>Mephit, Air</v>
          </cell>
          <cell r="C459" t="str">
            <v>Small</v>
          </cell>
          <cell r="D459" t="str">
            <v>Outsider</v>
          </cell>
          <cell r="F459">
            <v>3</v>
          </cell>
          <cell r="G459">
            <v>30</v>
          </cell>
          <cell r="J459">
            <v>50</v>
          </cell>
          <cell r="K459" t="str">
            <v>perfect</v>
          </cell>
          <cell r="M459">
            <v>3</v>
          </cell>
          <cell r="N459" t="str">
            <v>2 claws;</v>
          </cell>
          <cell r="Z459" t="str">
            <v>5/magic</v>
          </cell>
          <cell r="AA459">
            <v>2</v>
          </cell>
          <cell r="AD459">
            <v>10</v>
          </cell>
          <cell r="AE459">
            <v>17</v>
          </cell>
          <cell r="AF459">
            <v>10</v>
          </cell>
          <cell r="AG459">
            <v>6</v>
          </cell>
          <cell r="AH459">
            <v>11</v>
          </cell>
          <cell r="AI459">
            <v>15</v>
          </cell>
          <cell r="AS459" t="str">
            <v>Dodge;Improved Initiative;</v>
          </cell>
          <cell r="AW459" t="str">
            <v>Neutral</v>
          </cell>
          <cell r="AX459" t="str">
            <v>-</v>
          </cell>
          <cell r="BC459" t="str">
            <v>Breath weapon;Spell-like abilities;Summon mephit</v>
          </cell>
          <cell r="BE459">
            <v>7</v>
          </cell>
          <cell r="BG459" t="str">
            <v>Planar</v>
          </cell>
          <cell r="BL459" t="str">
            <v>MM</v>
          </cell>
          <cell r="BM459">
            <v>181</v>
          </cell>
          <cell r="BN459" t="str">
            <v>PlH</v>
          </cell>
        </row>
        <row r="460">
          <cell r="A460" t="str">
            <v>Mephit, Dust</v>
          </cell>
          <cell r="C460" t="str">
            <v>Small</v>
          </cell>
          <cell r="D460" t="str">
            <v>Outsider</v>
          </cell>
          <cell r="F460">
            <v>3</v>
          </cell>
          <cell r="G460">
            <v>30</v>
          </cell>
          <cell r="J460">
            <v>40</v>
          </cell>
          <cell r="K460" t="str">
            <v>perfect</v>
          </cell>
          <cell r="M460">
            <v>3</v>
          </cell>
          <cell r="N460" t="str">
            <v>2 claws;</v>
          </cell>
          <cell r="T460">
            <v>60</v>
          </cell>
          <cell r="Z460" t="str">
            <v>5/magic</v>
          </cell>
          <cell r="AA460">
            <v>2</v>
          </cell>
          <cell r="AD460">
            <v>10</v>
          </cell>
          <cell r="AE460">
            <v>17</v>
          </cell>
          <cell r="AF460">
            <v>10</v>
          </cell>
          <cell r="AG460">
            <v>6</v>
          </cell>
          <cell r="AH460">
            <v>11</v>
          </cell>
          <cell r="AI460">
            <v>15</v>
          </cell>
          <cell r="AS460" t="str">
            <v>Dodge;Improved Initiative;</v>
          </cell>
          <cell r="AW460" t="str">
            <v>Neutral</v>
          </cell>
          <cell r="AX460" t="str">
            <v>-</v>
          </cell>
          <cell r="BC460" t="str">
            <v>Breath weapon;Spell-like abilities;Summon mephit</v>
          </cell>
          <cell r="BE460">
            <v>7</v>
          </cell>
          <cell r="BG460" t="str">
            <v>Planar</v>
          </cell>
          <cell r="BL460" t="str">
            <v>MM</v>
          </cell>
          <cell r="BM460">
            <v>181</v>
          </cell>
          <cell r="BN460" t="str">
            <v>PlH</v>
          </cell>
        </row>
        <row r="461">
          <cell r="A461" t="str">
            <v>Mephit, Earth</v>
          </cell>
          <cell r="C461" t="str">
            <v>Small</v>
          </cell>
          <cell r="D461" t="str">
            <v>Outsider</v>
          </cell>
          <cell r="F461">
            <v>3</v>
          </cell>
          <cell r="G461">
            <v>30</v>
          </cell>
          <cell r="J461">
            <v>50</v>
          </cell>
          <cell r="K461" t="str">
            <v>average</v>
          </cell>
          <cell r="M461">
            <v>6</v>
          </cell>
          <cell r="N461" t="str">
            <v>2 claws;</v>
          </cell>
          <cell r="T461">
            <v>60</v>
          </cell>
          <cell r="Z461" t="str">
            <v>5/magic</v>
          </cell>
          <cell r="AA461">
            <v>2</v>
          </cell>
          <cell r="AD461">
            <v>17</v>
          </cell>
          <cell r="AE461">
            <v>8</v>
          </cell>
          <cell r="AF461">
            <v>13</v>
          </cell>
          <cell r="AG461">
            <v>6</v>
          </cell>
          <cell r="AH461">
            <v>11</v>
          </cell>
          <cell r="AI461">
            <v>15</v>
          </cell>
          <cell r="AS461" t="str">
            <v>Power Attack;Toughness;</v>
          </cell>
          <cell r="AW461" t="str">
            <v>Neutral</v>
          </cell>
          <cell r="AX461" t="str">
            <v>-</v>
          </cell>
          <cell r="BC461" t="str">
            <v>Breath weapon;Spell-like abilities;Summon mephit;Change size</v>
          </cell>
          <cell r="BE461">
            <v>7</v>
          </cell>
          <cell r="BG461" t="str">
            <v>Planar</v>
          </cell>
          <cell r="BL461" t="str">
            <v>MM</v>
          </cell>
          <cell r="BM461">
            <v>182</v>
          </cell>
          <cell r="BN461" t="str">
            <v>PlH</v>
          </cell>
        </row>
        <row r="462">
          <cell r="A462" t="str">
            <v>Mephit, Fire</v>
          </cell>
          <cell r="C462" t="str">
            <v>Small</v>
          </cell>
          <cell r="D462" t="str">
            <v>Outsider</v>
          </cell>
          <cell r="F462">
            <v>3</v>
          </cell>
          <cell r="G462">
            <v>30</v>
          </cell>
          <cell r="J462">
            <v>50</v>
          </cell>
          <cell r="K462" t="str">
            <v>average</v>
          </cell>
          <cell r="M462">
            <v>4</v>
          </cell>
          <cell r="N462" t="str">
            <v>2 claws;</v>
          </cell>
          <cell r="T462">
            <v>60</v>
          </cell>
          <cell r="V462" t="str">
            <v>fire</v>
          </cell>
          <cell r="W462" t="str">
            <v>cold</v>
          </cell>
          <cell r="Z462" t="str">
            <v>5/magic</v>
          </cell>
          <cell r="AA462">
            <v>2</v>
          </cell>
          <cell r="AD462">
            <v>10</v>
          </cell>
          <cell r="AE462">
            <v>13</v>
          </cell>
          <cell r="AF462">
            <v>10</v>
          </cell>
          <cell r="AG462">
            <v>6</v>
          </cell>
          <cell r="AH462">
            <v>11</v>
          </cell>
          <cell r="AI462">
            <v>15</v>
          </cell>
          <cell r="AS462" t="str">
            <v>Dodge;Improved Initiative;</v>
          </cell>
          <cell r="AW462" t="str">
            <v>Neutral</v>
          </cell>
          <cell r="AX462" t="str">
            <v>-</v>
          </cell>
          <cell r="BC462" t="str">
            <v>Breath weapon;Spell-like abilities;Summon mephit</v>
          </cell>
          <cell r="BE462">
            <v>7</v>
          </cell>
          <cell r="BG462" t="str">
            <v>Planar</v>
          </cell>
          <cell r="BL462" t="str">
            <v>MM</v>
          </cell>
          <cell r="BM462">
            <v>182</v>
          </cell>
          <cell r="BN462" t="str">
            <v>PlH</v>
          </cell>
        </row>
        <row r="463">
          <cell r="A463" t="str">
            <v>Mephit, Ice</v>
          </cell>
          <cell r="C463" t="str">
            <v>Small</v>
          </cell>
          <cell r="D463" t="str">
            <v>Outsider</v>
          </cell>
          <cell r="F463">
            <v>3</v>
          </cell>
          <cell r="G463">
            <v>30</v>
          </cell>
          <cell r="J463">
            <v>50</v>
          </cell>
          <cell r="K463" t="str">
            <v>perfect</v>
          </cell>
          <cell r="M463">
            <v>4</v>
          </cell>
          <cell r="N463" t="str">
            <v>2 claws;</v>
          </cell>
          <cell r="T463">
            <v>60</v>
          </cell>
          <cell r="V463" t="str">
            <v>cold</v>
          </cell>
          <cell r="W463" t="str">
            <v>fire</v>
          </cell>
          <cell r="Z463" t="str">
            <v>5/magic</v>
          </cell>
          <cell r="AA463">
            <v>2</v>
          </cell>
          <cell r="AD463">
            <v>10</v>
          </cell>
          <cell r="AE463">
            <v>17</v>
          </cell>
          <cell r="AF463">
            <v>10</v>
          </cell>
          <cell r="AG463">
            <v>6</v>
          </cell>
          <cell r="AH463">
            <v>11</v>
          </cell>
          <cell r="AI463">
            <v>15</v>
          </cell>
          <cell r="AS463" t="str">
            <v>Dodge;Improved Initiative;</v>
          </cell>
          <cell r="AW463" t="str">
            <v>Neutral</v>
          </cell>
          <cell r="AX463" t="str">
            <v>-</v>
          </cell>
          <cell r="BC463" t="str">
            <v>Breath weapon;Spell-like abilities;Summon mephit</v>
          </cell>
          <cell r="BE463">
            <v>7</v>
          </cell>
          <cell r="BG463" t="str">
            <v>Planar</v>
          </cell>
          <cell r="BL463" t="str">
            <v>MM</v>
          </cell>
          <cell r="BM463">
            <v>182</v>
          </cell>
          <cell r="BN463" t="str">
            <v>PlH</v>
          </cell>
        </row>
        <row r="464">
          <cell r="A464" t="str">
            <v>Mephit, Magma</v>
          </cell>
          <cell r="C464" t="str">
            <v>Small</v>
          </cell>
          <cell r="D464" t="str">
            <v>Outsider</v>
          </cell>
          <cell r="F464">
            <v>3</v>
          </cell>
          <cell r="G464">
            <v>30</v>
          </cell>
          <cell r="J464">
            <v>50</v>
          </cell>
          <cell r="K464" t="str">
            <v>average</v>
          </cell>
          <cell r="M464">
            <v>4</v>
          </cell>
          <cell r="N464" t="str">
            <v>2 claws;</v>
          </cell>
          <cell r="T464">
            <v>60</v>
          </cell>
          <cell r="V464" t="str">
            <v>fire</v>
          </cell>
          <cell r="W464" t="str">
            <v>cold</v>
          </cell>
          <cell r="Z464" t="str">
            <v>5/magic</v>
          </cell>
          <cell r="AA464">
            <v>2</v>
          </cell>
          <cell r="AD464">
            <v>10</v>
          </cell>
          <cell r="AE464">
            <v>13</v>
          </cell>
          <cell r="AF464">
            <v>10</v>
          </cell>
          <cell r="AG464">
            <v>6</v>
          </cell>
          <cell r="AH464">
            <v>11</v>
          </cell>
          <cell r="AI464">
            <v>15</v>
          </cell>
          <cell r="AS464" t="str">
            <v>Dodge;Improved Initiative;</v>
          </cell>
          <cell r="AW464" t="str">
            <v>Neutral</v>
          </cell>
          <cell r="AX464" t="str">
            <v>-</v>
          </cell>
          <cell r="BC464" t="str">
            <v>Breath weapon;Spell-like abilities;Summon mephit</v>
          </cell>
          <cell r="BE464">
            <v>7</v>
          </cell>
          <cell r="BG464" t="str">
            <v>Planar</v>
          </cell>
          <cell r="BL464" t="str">
            <v>MM</v>
          </cell>
          <cell r="BM464">
            <v>183</v>
          </cell>
          <cell r="BN464" t="str">
            <v>PlH</v>
          </cell>
        </row>
        <row r="465">
          <cell r="A465" t="str">
            <v>Mephit, Ooze</v>
          </cell>
          <cell r="C465" t="str">
            <v>Small</v>
          </cell>
          <cell r="D465" t="str">
            <v>Outsider</v>
          </cell>
          <cell r="F465">
            <v>3</v>
          </cell>
          <cell r="G465">
            <v>30</v>
          </cell>
          <cell r="J465">
            <v>40</v>
          </cell>
          <cell r="K465" t="str">
            <v>average</v>
          </cell>
          <cell r="L465">
            <v>30</v>
          </cell>
          <cell r="M465">
            <v>5</v>
          </cell>
          <cell r="N465" t="str">
            <v>2 claws;</v>
          </cell>
          <cell r="T465">
            <v>60</v>
          </cell>
          <cell r="Z465" t="str">
            <v>5/magic</v>
          </cell>
          <cell r="AA465">
            <v>2</v>
          </cell>
          <cell r="AD465">
            <v>14</v>
          </cell>
          <cell r="AE465">
            <v>10</v>
          </cell>
          <cell r="AF465">
            <v>13</v>
          </cell>
          <cell r="AG465">
            <v>6</v>
          </cell>
          <cell r="AH465">
            <v>11</v>
          </cell>
          <cell r="AI465">
            <v>15</v>
          </cell>
          <cell r="AS465" t="str">
            <v>Power Attack;Toughness;</v>
          </cell>
          <cell r="AW465" t="str">
            <v>Neutral</v>
          </cell>
          <cell r="AX465" t="str">
            <v>-</v>
          </cell>
          <cell r="BC465" t="str">
            <v>Breath weapon;Spell-like abilities;Summon mephit</v>
          </cell>
          <cell r="BE465">
            <v>7</v>
          </cell>
          <cell r="BG465" t="str">
            <v>Planar</v>
          </cell>
          <cell r="BL465" t="str">
            <v>MM</v>
          </cell>
          <cell r="BM465">
            <v>183</v>
          </cell>
          <cell r="BN465" t="str">
            <v>PlH</v>
          </cell>
        </row>
        <row r="466">
          <cell r="A466" t="str">
            <v>Mephit, Salt</v>
          </cell>
          <cell r="C466" t="str">
            <v>Small</v>
          </cell>
          <cell r="D466" t="str">
            <v>Outsider</v>
          </cell>
          <cell r="F466">
            <v>3</v>
          </cell>
          <cell r="G466">
            <v>30</v>
          </cell>
          <cell r="J466">
            <v>40</v>
          </cell>
          <cell r="K466" t="str">
            <v>average</v>
          </cell>
          <cell r="M466">
            <v>6</v>
          </cell>
          <cell r="N466" t="str">
            <v>2 claws;</v>
          </cell>
          <cell r="T466">
            <v>60</v>
          </cell>
          <cell r="Z466" t="str">
            <v>5/magic</v>
          </cell>
          <cell r="AA466">
            <v>2</v>
          </cell>
          <cell r="AD466">
            <v>17</v>
          </cell>
          <cell r="AE466">
            <v>8</v>
          </cell>
          <cell r="AF466">
            <v>13</v>
          </cell>
          <cell r="AG466">
            <v>6</v>
          </cell>
          <cell r="AH466">
            <v>11</v>
          </cell>
          <cell r="AI466">
            <v>15</v>
          </cell>
          <cell r="AS466" t="str">
            <v>Power Attack;Toughness;</v>
          </cell>
          <cell r="AW466" t="str">
            <v>Neutral</v>
          </cell>
          <cell r="AX466" t="str">
            <v>-</v>
          </cell>
          <cell r="BC466" t="str">
            <v>Breath weapon;Spell-like abilities;Summon mephit</v>
          </cell>
          <cell r="BE466">
            <v>7</v>
          </cell>
          <cell r="BG466" t="str">
            <v>Planar</v>
          </cell>
          <cell r="BL466" t="str">
            <v>MM</v>
          </cell>
          <cell r="BM466">
            <v>184</v>
          </cell>
          <cell r="BN466" t="str">
            <v>PlH</v>
          </cell>
        </row>
        <row r="467">
          <cell r="A467" t="str">
            <v>Mephit, Steam</v>
          </cell>
          <cell r="C467" t="str">
            <v>Small</v>
          </cell>
          <cell r="D467" t="str">
            <v>Outsider</v>
          </cell>
          <cell r="F467">
            <v>3</v>
          </cell>
          <cell r="G467">
            <v>30</v>
          </cell>
          <cell r="J467">
            <v>50</v>
          </cell>
          <cell r="K467" t="str">
            <v>average</v>
          </cell>
          <cell r="M467">
            <v>4</v>
          </cell>
          <cell r="N467" t="str">
            <v>2 claws;</v>
          </cell>
          <cell r="T467">
            <v>60</v>
          </cell>
          <cell r="V467" t="str">
            <v>fire</v>
          </cell>
          <cell r="W467" t="str">
            <v>cold</v>
          </cell>
          <cell r="Z467" t="str">
            <v>5/magic</v>
          </cell>
          <cell r="AA467">
            <v>2</v>
          </cell>
          <cell r="AD467">
            <v>10</v>
          </cell>
          <cell r="AE467">
            <v>13</v>
          </cell>
          <cell r="AF467">
            <v>10</v>
          </cell>
          <cell r="AG467">
            <v>6</v>
          </cell>
          <cell r="AH467">
            <v>11</v>
          </cell>
          <cell r="AI467">
            <v>15</v>
          </cell>
          <cell r="AS467" t="str">
            <v>Dodge;Improved Initiative;</v>
          </cell>
          <cell r="AW467" t="str">
            <v>Neutral</v>
          </cell>
          <cell r="AX467" t="str">
            <v>-</v>
          </cell>
          <cell r="BC467" t="str">
            <v>Breath weapon;Spell-like abilities;Summon mephit</v>
          </cell>
          <cell r="BE467">
            <v>7</v>
          </cell>
          <cell r="BG467" t="str">
            <v>Planar</v>
          </cell>
          <cell r="BL467" t="str">
            <v>MM</v>
          </cell>
          <cell r="BM467">
            <v>184</v>
          </cell>
          <cell r="BN467" t="str">
            <v>PlH</v>
          </cell>
        </row>
        <row r="468">
          <cell r="A468" t="str">
            <v>Mephit, Water</v>
          </cell>
          <cell r="C468" t="str">
            <v>Small</v>
          </cell>
          <cell r="D468" t="str">
            <v>Outsider</v>
          </cell>
          <cell r="F468">
            <v>3</v>
          </cell>
          <cell r="G468">
            <v>30</v>
          </cell>
          <cell r="J468">
            <v>40</v>
          </cell>
          <cell r="K468" t="str">
            <v>average</v>
          </cell>
          <cell r="L468">
            <v>30</v>
          </cell>
          <cell r="M468">
            <v>5</v>
          </cell>
          <cell r="N468" t="str">
            <v>2 claws;</v>
          </cell>
          <cell r="T468">
            <v>60</v>
          </cell>
          <cell r="Z468" t="str">
            <v>5/magic</v>
          </cell>
          <cell r="AA468">
            <v>2</v>
          </cell>
          <cell r="AD468">
            <v>14</v>
          </cell>
          <cell r="AE468">
            <v>10</v>
          </cell>
          <cell r="AF468">
            <v>13</v>
          </cell>
          <cell r="AG468">
            <v>6</v>
          </cell>
          <cell r="AH468">
            <v>11</v>
          </cell>
          <cell r="AI468">
            <v>15</v>
          </cell>
          <cell r="AS468" t="str">
            <v>Power Attack;Toughness;</v>
          </cell>
          <cell r="AW468" t="str">
            <v>Neutral</v>
          </cell>
          <cell r="AX468" t="str">
            <v>-</v>
          </cell>
          <cell r="BC468" t="str">
            <v>Breath weapon;Spell-like abilities;Summon mephit</v>
          </cell>
          <cell r="BE468">
            <v>7</v>
          </cell>
          <cell r="BG468" t="str">
            <v>Planar</v>
          </cell>
          <cell r="BL468" t="str">
            <v>MM</v>
          </cell>
          <cell r="BM468">
            <v>185</v>
          </cell>
          <cell r="BN468" t="str">
            <v>PlH</v>
          </cell>
        </row>
        <row r="469">
          <cell r="A469" t="str">
            <v>Monkey</v>
          </cell>
          <cell r="C469" t="str">
            <v>Tiny</v>
          </cell>
          <cell r="D469" t="str">
            <v>Animal</v>
          </cell>
          <cell r="F469">
            <v>1</v>
          </cell>
          <cell r="G469">
            <v>30</v>
          </cell>
          <cell r="I469">
            <v>30</v>
          </cell>
          <cell r="N469" t="str">
            <v>Bite+5+0+2</v>
          </cell>
          <cell r="T469">
            <v>60</v>
          </cell>
          <cell r="AD469">
            <v>3</v>
          </cell>
          <cell r="AE469">
            <v>15</v>
          </cell>
          <cell r="AF469">
            <v>10</v>
          </cell>
          <cell r="AX469" t="str">
            <v>-</v>
          </cell>
          <cell r="BL469" t="str">
            <v>OA</v>
          </cell>
        </row>
        <row r="470">
          <cell r="A470" t="str">
            <v>Octopus, Giant</v>
          </cell>
          <cell r="C470" t="str">
            <v>Large</v>
          </cell>
          <cell r="D470" t="str">
            <v>Animal</v>
          </cell>
          <cell r="E470" t="str">
            <v>Aquatic</v>
          </cell>
          <cell r="F470">
            <v>8</v>
          </cell>
          <cell r="G470">
            <v>20</v>
          </cell>
          <cell r="L470">
            <v>30</v>
          </cell>
          <cell r="M470">
            <v>7</v>
          </cell>
          <cell r="N470" t="str">
            <v>8 Tentacles+3+0+1,Bite+5+0+0</v>
          </cell>
          <cell r="S470" t="str">
            <v>normal</v>
          </cell>
          <cell r="AD470">
            <v>20</v>
          </cell>
          <cell r="AE470">
            <v>15</v>
          </cell>
          <cell r="AF470">
            <v>13</v>
          </cell>
          <cell r="AG470">
            <v>2</v>
          </cell>
          <cell r="AH470">
            <v>12</v>
          </cell>
          <cell r="AI470">
            <v>3</v>
          </cell>
          <cell r="AX470" t="str">
            <v>-</v>
          </cell>
          <cell r="BF470">
            <v>13</v>
          </cell>
          <cell r="BL470" t="str">
            <v>MM</v>
          </cell>
          <cell r="BM470">
            <v>276</v>
          </cell>
        </row>
        <row r="471">
          <cell r="A471" t="str">
            <v>Osquip</v>
          </cell>
          <cell r="C471" t="str">
            <v>Small</v>
          </cell>
          <cell r="D471" t="str">
            <v>Magical Beast</v>
          </cell>
          <cell r="F471">
            <v>1</v>
          </cell>
          <cell r="G471">
            <v>40</v>
          </cell>
          <cell r="H471">
            <v>5</v>
          </cell>
          <cell r="M471">
            <v>3</v>
          </cell>
          <cell r="N471" t="str">
            <v>Bite;</v>
          </cell>
          <cell r="S471" t="str">
            <v>normal</v>
          </cell>
          <cell r="AD471">
            <v>14</v>
          </cell>
          <cell r="AE471">
            <v>13</v>
          </cell>
          <cell r="AF471">
            <v>19</v>
          </cell>
          <cell r="AG471">
            <v>2</v>
          </cell>
          <cell r="AH471">
            <v>12</v>
          </cell>
          <cell r="AI471">
            <v>2</v>
          </cell>
          <cell r="AS471" t="str">
            <v>Weapon Focus(bite);</v>
          </cell>
          <cell r="AW471" t="str">
            <v>Neutral Evil</v>
          </cell>
          <cell r="AX471" t="str">
            <v>-</v>
          </cell>
          <cell r="BC471" t="str">
            <v>Scent</v>
          </cell>
          <cell r="BE471">
            <v>5</v>
          </cell>
          <cell r="BG471" t="str">
            <v>Improved</v>
          </cell>
          <cell r="BL471" t="str">
            <v>RoF</v>
          </cell>
          <cell r="BN471" t="str">
            <v>PGtF</v>
          </cell>
        </row>
        <row r="472">
          <cell r="A472" t="str">
            <v>Owl</v>
          </cell>
          <cell r="C472" t="str">
            <v>Tiny</v>
          </cell>
          <cell r="D472" t="str">
            <v>Animal</v>
          </cell>
          <cell r="F472">
            <v>1</v>
          </cell>
          <cell r="G472">
            <v>10</v>
          </cell>
          <cell r="J472">
            <v>40</v>
          </cell>
          <cell r="K472" t="str">
            <v>average</v>
          </cell>
          <cell r="M472">
            <v>2</v>
          </cell>
          <cell r="N472" t="str">
            <v>Talons+6+0+2</v>
          </cell>
          <cell r="AD472">
            <v>4</v>
          </cell>
          <cell r="AE472">
            <v>17</v>
          </cell>
          <cell r="AF472">
            <v>10</v>
          </cell>
          <cell r="AG472">
            <v>2</v>
          </cell>
          <cell r="AH472">
            <v>14</v>
          </cell>
          <cell r="AI472">
            <v>4</v>
          </cell>
          <cell r="AS472" t="str">
            <v>Weapon Finesse</v>
          </cell>
          <cell r="AV472">
            <v>0</v>
          </cell>
          <cell r="AW472" t="str">
            <v>Neutral</v>
          </cell>
          <cell r="AX472" t="str">
            <v>-</v>
          </cell>
          <cell r="BC472" t="str">
            <v>Grants +3 bonus to Spot in shadows;Gains +8 bonus to Spot in shadows</v>
          </cell>
          <cell r="BE472">
            <v>1</v>
          </cell>
          <cell r="BF472">
            <v>1</v>
          </cell>
          <cell r="BG472" t="str">
            <v>Normal</v>
          </cell>
          <cell r="BL472" t="str">
            <v>MM</v>
          </cell>
          <cell r="BM472">
            <v>277</v>
          </cell>
        </row>
        <row r="473">
          <cell r="A473" t="str">
            <v>Owl, Giant</v>
          </cell>
          <cell r="C473" t="str">
            <v>Large</v>
          </cell>
          <cell r="D473" t="str">
            <v>Magical Beast</v>
          </cell>
          <cell r="F473">
            <v>4</v>
          </cell>
          <cell r="G473">
            <v>10</v>
          </cell>
          <cell r="J473">
            <v>70</v>
          </cell>
          <cell r="K473" t="str">
            <v>average</v>
          </cell>
          <cell r="M473">
            <v>3</v>
          </cell>
          <cell r="N473" t="str">
            <v>2 Claws+4+0+1,Bite+5+0+0</v>
          </cell>
          <cell r="S473" t="str">
            <v>normal</v>
          </cell>
          <cell r="AD473">
            <v>18</v>
          </cell>
          <cell r="AE473">
            <v>17</v>
          </cell>
          <cell r="AF473">
            <v>12</v>
          </cell>
          <cell r="AG473">
            <v>10</v>
          </cell>
          <cell r="AH473">
            <v>14</v>
          </cell>
          <cell r="AI473">
            <v>10</v>
          </cell>
          <cell r="AX473" t="str">
            <v>-</v>
          </cell>
          <cell r="BF473">
            <v>7</v>
          </cell>
          <cell r="BL473" t="str">
            <v>MM</v>
          </cell>
          <cell r="BM473">
            <v>205</v>
          </cell>
        </row>
        <row r="474">
          <cell r="A474" t="str">
            <v>Owlbear</v>
          </cell>
          <cell r="C474" t="str">
            <v>Large</v>
          </cell>
          <cell r="D474" t="str">
            <v>Magical Beast</v>
          </cell>
          <cell r="F474">
            <v>5</v>
          </cell>
          <cell r="G474">
            <v>30</v>
          </cell>
          <cell r="M474">
            <v>5</v>
          </cell>
          <cell r="N474" t="str">
            <v>2 Claws+4+0+1,Bite+5+0+0</v>
          </cell>
          <cell r="AD474">
            <v>21</v>
          </cell>
          <cell r="AE474">
            <v>12</v>
          </cell>
          <cell r="AF474">
            <v>21</v>
          </cell>
          <cell r="AG474">
            <v>2</v>
          </cell>
          <cell r="AH474">
            <v>12</v>
          </cell>
          <cell r="AI474">
            <v>10</v>
          </cell>
          <cell r="AX474" t="str">
            <v>-</v>
          </cell>
          <cell r="BF474">
            <v>7</v>
          </cell>
          <cell r="BL474" t="str">
            <v>MM</v>
          </cell>
          <cell r="BM474">
            <v>206</v>
          </cell>
        </row>
        <row r="475">
          <cell r="A475" t="str">
            <v>Pegasus</v>
          </cell>
          <cell r="C475" t="str">
            <v>Large</v>
          </cell>
          <cell r="D475" t="str">
            <v>Magical Beast</v>
          </cell>
          <cell r="F475">
            <v>4</v>
          </cell>
          <cell r="G475">
            <v>60</v>
          </cell>
          <cell r="J475">
            <v>120</v>
          </cell>
          <cell r="K475" t="str">
            <v>average</v>
          </cell>
          <cell r="M475">
            <v>3</v>
          </cell>
          <cell r="N475" t="str">
            <v>2 Hooves+4+0+1,Bite+2+0+0</v>
          </cell>
          <cell r="P475" t="str">
            <v>Detect Good, Detect Evil (at will)</v>
          </cell>
          <cell r="AD475">
            <v>18</v>
          </cell>
          <cell r="AE475">
            <v>15</v>
          </cell>
          <cell r="AF475">
            <v>16</v>
          </cell>
          <cell r="AG475">
            <v>10</v>
          </cell>
          <cell r="AH475">
            <v>13</v>
          </cell>
          <cell r="AI475">
            <v>13</v>
          </cell>
          <cell r="AX475" t="str">
            <v>-</v>
          </cell>
          <cell r="BF475">
            <v>7</v>
          </cell>
          <cell r="BL475" t="str">
            <v>MM</v>
          </cell>
          <cell r="BM475">
            <v>206</v>
          </cell>
        </row>
        <row r="476">
          <cell r="A476" t="str">
            <v>Pony</v>
          </cell>
          <cell r="C476" t="str">
            <v>Medium</v>
          </cell>
          <cell r="D476" t="str">
            <v>Animal</v>
          </cell>
          <cell r="F476">
            <v>2</v>
          </cell>
          <cell r="G476">
            <v>40</v>
          </cell>
          <cell r="M476">
            <v>2</v>
          </cell>
          <cell r="N476" t="str">
            <v>2 Hooves+3+0+1</v>
          </cell>
          <cell r="S476" t="str">
            <v>normal</v>
          </cell>
          <cell r="T476">
            <v>60</v>
          </cell>
          <cell r="AD476">
            <v>13</v>
          </cell>
          <cell r="AE476">
            <v>13</v>
          </cell>
          <cell r="AF476">
            <v>12</v>
          </cell>
          <cell r="AG476">
            <v>2</v>
          </cell>
          <cell r="AH476">
            <v>11</v>
          </cell>
          <cell r="AI476">
            <v>4</v>
          </cell>
          <cell r="AX476" t="str">
            <v>-</v>
          </cell>
          <cell r="BF476">
            <v>1</v>
          </cell>
          <cell r="BL476" t="str">
            <v>MM</v>
          </cell>
          <cell r="BM476">
            <v>277</v>
          </cell>
        </row>
        <row r="477">
          <cell r="A477" t="str">
            <v>Porpoise</v>
          </cell>
          <cell r="C477" t="str">
            <v>Medium</v>
          </cell>
          <cell r="D477" t="str">
            <v>Animal</v>
          </cell>
          <cell r="F477">
            <v>2</v>
          </cell>
          <cell r="L477">
            <v>80</v>
          </cell>
          <cell r="M477">
            <v>2</v>
          </cell>
          <cell r="N477" t="str">
            <v>Slam+9+0+2</v>
          </cell>
          <cell r="S477" t="str">
            <v>normal</v>
          </cell>
          <cell r="AD477">
            <v>11</v>
          </cell>
          <cell r="AE477">
            <v>17</v>
          </cell>
          <cell r="AF477">
            <v>13</v>
          </cell>
          <cell r="AG477">
            <v>3</v>
          </cell>
          <cell r="AH477">
            <v>12</v>
          </cell>
          <cell r="AI477">
            <v>6</v>
          </cell>
          <cell r="AX477" t="str">
            <v>-</v>
          </cell>
          <cell r="BF477">
            <v>1</v>
          </cell>
          <cell r="BL477" t="str">
            <v>MM</v>
          </cell>
          <cell r="BM477">
            <v>278</v>
          </cell>
        </row>
        <row r="478">
          <cell r="A478" t="str">
            <v>Pseudodragon</v>
          </cell>
          <cell r="C478" t="str">
            <v>Tiny</v>
          </cell>
          <cell r="D478" t="str">
            <v>Dragon</v>
          </cell>
          <cell r="F478">
            <v>2</v>
          </cell>
          <cell r="G478">
            <v>15</v>
          </cell>
          <cell r="J478">
            <v>60</v>
          </cell>
          <cell r="K478" t="str">
            <v>good</v>
          </cell>
          <cell r="M478">
            <v>4</v>
          </cell>
          <cell r="N478" t="str">
            <v>Sting;Bite;</v>
          </cell>
          <cell r="S478" t="str">
            <v>normal</v>
          </cell>
          <cell r="V478" t="str">
            <v>sleep,paralysis</v>
          </cell>
          <cell r="Y478">
            <v>19</v>
          </cell>
          <cell r="AD478">
            <v>6</v>
          </cell>
          <cell r="AE478">
            <v>15</v>
          </cell>
          <cell r="AF478">
            <v>13</v>
          </cell>
          <cell r="AG478">
            <v>10</v>
          </cell>
          <cell r="AH478">
            <v>12</v>
          </cell>
          <cell r="AI478">
            <v>10</v>
          </cell>
          <cell r="AS478" t="str">
            <v>Weapon Finesse;Alertness;</v>
          </cell>
          <cell r="AW478" t="str">
            <v>Neutral Good</v>
          </cell>
          <cell r="AX478" t="str">
            <v>-</v>
          </cell>
          <cell r="BC478" t="str">
            <v>Poison;Blindsense 60 ft.;Telepathy 60 ft.</v>
          </cell>
          <cell r="BE478">
            <v>7</v>
          </cell>
          <cell r="BG478" t="str">
            <v>Improved</v>
          </cell>
          <cell r="BL478" t="str">
            <v>MM</v>
          </cell>
          <cell r="BM478">
            <v>210</v>
          </cell>
          <cell r="BN478" t="str">
            <v>PlH</v>
          </cell>
        </row>
        <row r="479">
          <cell r="A479" t="str">
            <v>Quasit</v>
          </cell>
          <cell r="C479" t="str">
            <v>Tiny</v>
          </cell>
          <cell r="D479" t="str">
            <v>Outsider</v>
          </cell>
          <cell r="F479">
            <v>3</v>
          </cell>
          <cell r="G479">
            <v>20</v>
          </cell>
          <cell r="J479">
            <v>50</v>
          </cell>
          <cell r="K479" t="str">
            <v>perfect</v>
          </cell>
          <cell r="M479">
            <v>3</v>
          </cell>
          <cell r="N479" t="str">
            <v>2 claws;bite;</v>
          </cell>
          <cell r="S479" t="str">
            <v>normal</v>
          </cell>
          <cell r="T479">
            <v>60</v>
          </cell>
          <cell r="V479" t="str">
            <v>poison</v>
          </cell>
          <cell r="X479" t="str">
            <v>fire 10</v>
          </cell>
          <cell r="Z479" t="str">
            <v>5/cold iron or good</v>
          </cell>
          <cell r="AA479">
            <v>2</v>
          </cell>
          <cell r="AD479">
            <v>8</v>
          </cell>
          <cell r="AE479">
            <v>17</v>
          </cell>
          <cell r="AF479">
            <v>10</v>
          </cell>
          <cell r="AG479">
            <v>10</v>
          </cell>
          <cell r="AH479">
            <v>12</v>
          </cell>
          <cell r="AI479">
            <v>10</v>
          </cell>
          <cell r="AS479" t="str">
            <v>Improved Initiative;Weapon Finesse;</v>
          </cell>
          <cell r="AW479" t="str">
            <v>Chaotic Evil</v>
          </cell>
          <cell r="AX479" t="str">
            <v>-</v>
          </cell>
          <cell r="BC479" t="str">
            <v>Poison;Spell-like abilities;Alternate form</v>
          </cell>
          <cell r="BE479">
            <v>7</v>
          </cell>
          <cell r="BG479" t="str">
            <v>Improved, Planar</v>
          </cell>
          <cell r="BL479" t="str">
            <v>MM</v>
          </cell>
          <cell r="BM479">
            <v>46</v>
          </cell>
        </row>
        <row r="480">
          <cell r="A480" t="str">
            <v>Racoon Dog</v>
          </cell>
          <cell r="C480" t="str">
            <v>Small</v>
          </cell>
          <cell r="D480" t="str">
            <v>Animal</v>
          </cell>
          <cell r="F480">
            <v>1</v>
          </cell>
          <cell r="G480">
            <v>30</v>
          </cell>
          <cell r="N480" t="str">
            <v>Bite+5+0+2</v>
          </cell>
          <cell r="T480">
            <v>60</v>
          </cell>
          <cell r="AD480">
            <v>12</v>
          </cell>
          <cell r="AE480">
            <v>13</v>
          </cell>
          <cell r="AF480">
            <v>12</v>
          </cell>
          <cell r="AX480" t="str">
            <v>-</v>
          </cell>
          <cell r="BL480" t="str">
            <v>OA</v>
          </cell>
        </row>
        <row r="481">
          <cell r="A481" t="str">
            <v>Ram</v>
          </cell>
          <cell r="C481" t="str">
            <v>Medium</v>
          </cell>
          <cell r="D481" t="str">
            <v>Animal</v>
          </cell>
          <cell r="N481" t="str">
            <v/>
          </cell>
          <cell r="S481" t="str">
            <v>normal</v>
          </cell>
          <cell r="AX481" t="str">
            <v>-</v>
          </cell>
          <cell r="BF481">
            <v>1</v>
          </cell>
          <cell r="BL481" t="str">
            <v>PGtA</v>
          </cell>
        </row>
        <row r="482">
          <cell r="A482" t="str">
            <v>Rat</v>
          </cell>
          <cell r="C482" t="str">
            <v>Tiny</v>
          </cell>
          <cell r="D482" t="str">
            <v>Animal</v>
          </cell>
          <cell r="F482">
            <v>0.125</v>
          </cell>
          <cell r="G482">
            <v>15</v>
          </cell>
          <cell r="I482">
            <v>15</v>
          </cell>
          <cell r="L482">
            <v>15</v>
          </cell>
          <cell r="M482">
            <v>0</v>
          </cell>
          <cell r="N482" t="str">
            <v>Bite+5+0+2</v>
          </cell>
          <cell r="AD482">
            <v>2</v>
          </cell>
          <cell r="AE482">
            <v>15</v>
          </cell>
          <cell r="AF482">
            <v>10</v>
          </cell>
          <cell r="AG482">
            <v>2</v>
          </cell>
          <cell r="AH482">
            <v>12</v>
          </cell>
          <cell r="AI482">
            <v>2</v>
          </cell>
          <cell r="AS482" t="str">
            <v>Weapon Finesse</v>
          </cell>
          <cell r="AV482">
            <v>0</v>
          </cell>
          <cell r="AW482" t="str">
            <v>Neutral</v>
          </cell>
          <cell r="AX482" t="str">
            <v>-</v>
          </cell>
          <cell r="BC482" t="str">
            <v>Scent</v>
          </cell>
          <cell r="BE482">
            <v>1</v>
          </cell>
          <cell r="BG482" t="str">
            <v>Normal</v>
          </cell>
          <cell r="BL482" t="str">
            <v>MM</v>
          </cell>
          <cell r="BM482">
            <v>278</v>
          </cell>
        </row>
        <row r="483">
          <cell r="A483" t="str">
            <v>Raven</v>
          </cell>
          <cell r="C483" t="str">
            <v>Tiny</v>
          </cell>
          <cell r="D483" t="str">
            <v>Animal</v>
          </cell>
          <cell r="F483">
            <v>0.25</v>
          </cell>
          <cell r="G483">
            <v>10</v>
          </cell>
          <cell r="J483">
            <v>40</v>
          </cell>
          <cell r="K483" t="str">
            <v>avg</v>
          </cell>
          <cell r="M483">
            <v>0</v>
          </cell>
          <cell r="N483" t="str">
            <v>Claws+4+0+2</v>
          </cell>
          <cell r="S483" t="str">
            <v>normal</v>
          </cell>
          <cell r="AD483">
            <v>1</v>
          </cell>
          <cell r="AE483">
            <v>15</v>
          </cell>
          <cell r="AF483">
            <v>10</v>
          </cell>
          <cell r="AG483">
            <v>2</v>
          </cell>
          <cell r="AH483">
            <v>14</v>
          </cell>
          <cell r="AI483">
            <v>6</v>
          </cell>
          <cell r="AS483" t="str">
            <v>Weapon Finesse</v>
          </cell>
          <cell r="AV483">
            <v>0</v>
          </cell>
          <cell r="AW483" t="str">
            <v>Neutral</v>
          </cell>
          <cell r="AX483" t="str">
            <v>-</v>
          </cell>
          <cell r="BE483">
            <v>1</v>
          </cell>
          <cell r="BG483" t="str">
            <v>Normal</v>
          </cell>
          <cell r="BL483" t="str">
            <v>MM</v>
          </cell>
          <cell r="BM483">
            <v>278</v>
          </cell>
        </row>
        <row r="484">
          <cell r="A484" t="str">
            <v>Remorhaz</v>
          </cell>
          <cell r="D484" t="str">
            <v>Magical Beast</v>
          </cell>
          <cell r="N484" t="str">
            <v/>
          </cell>
          <cell r="S484" t="str">
            <v>normal</v>
          </cell>
          <cell r="AX484" t="str">
            <v>-</v>
          </cell>
          <cell r="BF484">
            <v>13</v>
          </cell>
          <cell r="BL484" t="str">
            <v>MM</v>
          </cell>
          <cell r="BM484">
            <v>214</v>
          </cell>
        </row>
        <row r="485">
          <cell r="A485" t="str">
            <v>Rhinoceros</v>
          </cell>
          <cell r="C485" t="str">
            <v>Large</v>
          </cell>
          <cell r="D485" t="str">
            <v>Animal</v>
          </cell>
          <cell r="F485">
            <v>8</v>
          </cell>
          <cell r="G485">
            <v>30</v>
          </cell>
          <cell r="M485">
            <v>7</v>
          </cell>
          <cell r="N485" t="str">
            <v>Gore+6+0+2</v>
          </cell>
          <cell r="AD485">
            <v>26</v>
          </cell>
          <cell r="AE485">
            <v>10</v>
          </cell>
          <cell r="AF485">
            <v>21</v>
          </cell>
          <cell r="AG485">
            <v>2</v>
          </cell>
          <cell r="AH485">
            <v>13</v>
          </cell>
          <cell r="AI485">
            <v>2</v>
          </cell>
          <cell r="AX485" t="str">
            <v>-</v>
          </cell>
          <cell r="BF485">
            <v>7</v>
          </cell>
          <cell r="BL485" t="str">
            <v>MM</v>
          </cell>
          <cell r="BM485">
            <v>278</v>
          </cell>
        </row>
        <row r="486">
          <cell r="A486" t="str">
            <v>Sailsnake</v>
          </cell>
          <cell r="C486" t="str">
            <v>Medium</v>
          </cell>
          <cell r="D486" t="str">
            <v>Magical Beast</v>
          </cell>
          <cell r="F486">
            <v>3</v>
          </cell>
          <cell r="G486">
            <v>20</v>
          </cell>
          <cell r="J486">
            <v>30</v>
          </cell>
          <cell r="K486" t="str">
            <v>poor</v>
          </cell>
          <cell r="M486">
            <v>2</v>
          </cell>
          <cell r="N486" t="str">
            <v>Bite;</v>
          </cell>
          <cell r="S486" t="str">
            <v>normal</v>
          </cell>
          <cell r="AD486">
            <v>14</v>
          </cell>
          <cell r="AE486">
            <v>17</v>
          </cell>
          <cell r="AF486">
            <v>15</v>
          </cell>
          <cell r="AG486">
            <v>1</v>
          </cell>
          <cell r="AH486">
            <v>12</v>
          </cell>
          <cell r="AI486">
            <v>10</v>
          </cell>
          <cell r="AS486" t="str">
            <v>Improved Natural Weapon;Weapon Finesse;</v>
          </cell>
          <cell r="AW486" t="str">
            <v>Neutral</v>
          </cell>
          <cell r="AX486" t="str">
            <v>-</v>
          </cell>
          <cell r="BC486" t="str">
            <v>Scent;Venom Spray</v>
          </cell>
          <cell r="BE486">
            <v>5</v>
          </cell>
          <cell r="BG486" t="str">
            <v>Improved</v>
          </cell>
          <cell r="BL486" t="str">
            <v>MM4</v>
          </cell>
        </row>
        <row r="487">
          <cell r="A487" t="str">
            <v>Sea Cat</v>
          </cell>
          <cell r="D487" t="str">
            <v>Magical Beast</v>
          </cell>
          <cell r="N487" t="str">
            <v/>
          </cell>
          <cell r="S487" t="str">
            <v>normal</v>
          </cell>
          <cell r="AX487" t="str">
            <v>-</v>
          </cell>
          <cell r="BF487">
            <v>7</v>
          </cell>
          <cell r="BL487" t="str">
            <v>MM</v>
          </cell>
          <cell r="BM487">
            <v>220</v>
          </cell>
        </row>
        <row r="488">
          <cell r="A488" t="str">
            <v>Shark, Huge</v>
          </cell>
          <cell r="C488" t="str">
            <v>Huge</v>
          </cell>
          <cell r="D488" t="str">
            <v>Animal</v>
          </cell>
          <cell r="E488" t="str">
            <v>Aquatic</v>
          </cell>
          <cell r="F488">
            <v>10</v>
          </cell>
          <cell r="L488">
            <v>60</v>
          </cell>
          <cell r="M488">
            <v>5</v>
          </cell>
          <cell r="N488" t="str">
            <v>Bite+5+0+2</v>
          </cell>
          <cell r="AD488">
            <v>21</v>
          </cell>
          <cell r="AE488">
            <v>15</v>
          </cell>
          <cell r="AF488">
            <v>15</v>
          </cell>
          <cell r="AG488">
            <v>1</v>
          </cell>
          <cell r="AH488">
            <v>12</v>
          </cell>
          <cell r="AI488">
            <v>2</v>
          </cell>
          <cell r="AX488" t="str">
            <v>-</v>
          </cell>
          <cell r="BF488">
            <v>10</v>
          </cell>
          <cell r="BL488" t="str">
            <v>MM</v>
          </cell>
          <cell r="BM488">
            <v>279</v>
          </cell>
        </row>
        <row r="489">
          <cell r="A489" t="str">
            <v>Shark, Large</v>
          </cell>
          <cell r="C489" t="str">
            <v>Large</v>
          </cell>
          <cell r="D489" t="str">
            <v>Animal</v>
          </cell>
          <cell r="E489" t="str">
            <v>Aquatic</v>
          </cell>
          <cell r="F489">
            <v>7</v>
          </cell>
          <cell r="L489">
            <v>60</v>
          </cell>
          <cell r="M489">
            <v>4</v>
          </cell>
          <cell r="N489" t="str">
            <v>Bite+5+0+2</v>
          </cell>
          <cell r="S489" t="str">
            <v>normal</v>
          </cell>
          <cell r="AD489">
            <v>17</v>
          </cell>
          <cell r="AE489">
            <v>15</v>
          </cell>
          <cell r="AF489">
            <v>13</v>
          </cell>
          <cell r="AG489">
            <v>1</v>
          </cell>
          <cell r="AH489">
            <v>12</v>
          </cell>
          <cell r="AI489">
            <v>2</v>
          </cell>
          <cell r="AX489" t="str">
            <v>-</v>
          </cell>
          <cell r="BF489">
            <v>4</v>
          </cell>
          <cell r="BL489" t="str">
            <v>MM</v>
          </cell>
          <cell r="BM489">
            <v>279</v>
          </cell>
        </row>
        <row r="490">
          <cell r="A490" t="str">
            <v>Shark, Medium</v>
          </cell>
          <cell r="C490" t="str">
            <v>Medium</v>
          </cell>
          <cell r="D490" t="str">
            <v>Animal</v>
          </cell>
          <cell r="E490" t="str">
            <v>Aquatic</v>
          </cell>
          <cell r="F490">
            <v>3</v>
          </cell>
          <cell r="L490">
            <v>60</v>
          </cell>
          <cell r="M490">
            <v>3</v>
          </cell>
          <cell r="N490" t="str">
            <v>Bite+5+0+2</v>
          </cell>
          <cell r="S490" t="str">
            <v>normal</v>
          </cell>
          <cell r="AD490">
            <v>13</v>
          </cell>
          <cell r="AE490">
            <v>15</v>
          </cell>
          <cell r="AF490">
            <v>13</v>
          </cell>
          <cell r="AG490">
            <v>1</v>
          </cell>
          <cell r="AH490">
            <v>12</v>
          </cell>
          <cell r="AI490">
            <v>2</v>
          </cell>
          <cell r="AX490" t="str">
            <v>-</v>
          </cell>
          <cell r="BF490">
            <v>1</v>
          </cell>
          <cell r="BL490" t="str">
            <v>MM</v>
          </cell>
          <cell r="BM490">
            <v>279</v>
          </cell>
        </row>
        <row r="491">
          <cell r="A491" t="str">
            <v>Shocker Lizard</v>
          </cell>
          <cell r="C491" t="str">
            <v>Small</v>
          </cell>
          <cell r="D491" t="str">
            <v>Magical Beast</v>
          </cell>
          <cell r="F491">
            <v>2</v>
          </cell>
          <cell r="G491">
            <v>40</v>
          </cell>
          <cell r="I491">
            <v>20</v>
          </cell>
          <cell r="L491">
            <v>20</v>
          </cell>
          <cell r="M491">
            <v>3</v>
          </cell>
          <cell r="N491" t="str">
            <v>Bite;</v>
          </cell>
          <cell r="S491" t="str">
            <v>normal</v>
          </cell>
          <cell r="V491" t="str">
            <v>electricity</v>
          </cell>
          <cell r="AD491">
            <v>10</v>
          </cell>
          <cell r="AE491">
            <v>15</v>
          </cell>
          <cell r="AF491">
            <v>13</v>
          </cell>
          <cell r="AG491">
            <v>2</v>
          </cell>
          <cell r="AH491">
            <v>12</v>
          </cell>
          <cell r="AI491">
            <v>6</v>
          </cell>
          <cell r="AS491" t="str">
            <v>Improved Initiative;</v>
          </cell>
          <cell r="AW491" t="str">
            <v>Neutral</v>
          </cell>
          <cell r="AX491" t="str">
            <v>-</v>
          </cell>
          <cell r="BC491" t="str">
            <v>Stunning shock;Lethal shock;Electricity sense</v>
          </cell>
          <cell r="BE491">
            <v>5</v>
          </cell>
          <cell r="BF491">
            <v>4</v>
          </cell>
          <cell r="BG491" t="str">
            <v>Improved</v>
          </cell>
          <cell r="BL491" t="str">
            <v>MM</v>
          </cell>
          <cell r="BM491">
            <v>224</v>
          </cell>
        </row>
        <row r="492">
          <cell r="A492" t="str">
            <v>Snake, Constrictor</v>
          </cell>
          <cell r="C492" t="str">
            <v>Medium</v>
          </cell>
          <cell r="D492" t="str">
            <v>Animal</v>
          </cell>
          <cell r="F492">
            <v>3</v>
          </cell>
          <cell r="G492">
            <v>20</v>
          </cell>
          <cell r="I492">
            <v>20</v>
          </cell>
          <cell r="L492">
            <v>20</v>
          </cell>
          <cell r="M492">
            <v>2</v>
          </cell>
          <cell r="N492" t="str">
            <v>Bite+3+0+2</v>
          </cell>
          <cell r="S492" t="str">
            <v>normal</v>
          </cell>
          <cell r="T492">
            <v>60</v>
          </cell>
          <cell r="AD492">
            <v>17</v>
          </cell>
          <cell r="AE492">
            <v>17</v>
          </cell>
          <cell r="AF492">
            <v>13</v>
          </cell>
          <cell r="AG492">
            <v>1</v>
          </cell>
          <cell r="AH492">
            <v>12</v>
          </cell>
          <cell r="AI492">
            <v>2</v>
          </cell>
          <cell r="AX492" t="str">
            <v>-</v>
          </cell>
          <cell r="BF492">
            <v>4</v>
          </cell>
          <cell r="BL492" t="str">
            <v>MM</v>
          </cell>
          <cell r="BM492">
            <v>279</v>
          </cell>
        </row>
        <row r="493">
          <cell r="A493" t="str">
            <v>Snake, Giant Constrictor</v>
          </cell>
          <cell r="C493" t="str">
            <v>Huge</v>
          </cell>
          <cell r="D493" t="str">
            <v>Animal</v>
          </cell>
          <cell r="F493">
            <v>11</v>
          </cell>
          <cell r="G493">
            <v>20</v>
          </cell>
          <cell r="I493">
            <v>20</v>
          </cell>
          <cell r="L493">
            <v>20</v>
          </cell>
          <cell r="M493">
            <v>4</v>
          </cell>
          <cell r="N493" t="str">
            <v>Bite+4+0+2</v>
          </cell>
          <cell r="S493" t="str">
            <v>normal</v>
          </cell>
          <cell r="AD493">
            <v>25</v>
          </cell>
          <cell r="AE493">
            <v>17</v>
          </cell>
          <cell r="AF493">
            <v>13</v>
          </cell>
          <cell r="AG493">
            <v>1</v>
          </cell>
          <cell r="AH493">
            <v>12</v>
          </cell>
          <cell r="AI493">
            <v>2</v>
          </cell>
          <cell r="AX493" t="str">
            <v>-</v>
          </cell>
          <cell r="BF493">
            <v>10</v>
          </cell>
          <cell r="BL493" t="str">
            <v>MM</v>
          </cell>
          <cell r="BM493">
            <v>280</v>
          </cell>
        </row>
        <row r="494">
          <cell r="A494" t="str">
            <v>Snake, Huge Viper</v>
          </cell>
          <cell r="C494" t="str">
            <v>Huge</v>
          </cell>
          <cell r="D494" t="str">
            <v>Animal</v>
          </cell>
          <cell r="F494">
            <v>6</v>
          </cell>
          <cell r="G494">
            <v>20</v>
          </cell>
          <cell r="I494">
            <v>20</v>
          </cell>
          <cell r="L494">
            <v>20</v>
          </cell>
          <cell r="M494">
            <v>5</v>
          </cell>
          <cell r="N494" t="str">
            <v>Bite+3+0+2</v>
          </cell>
          <cell r="S494" t="str">
            <v>normal</v>
          </cell>
          <cell r="AD494">
            <v>16</v>
          </cell>
          <cell r="AE494">
            <v>15</v>
          </cell>
          <cell r="AF494">
            <v>13</v>
          </cell>
          <cell r="AG494">
            <v>1</v>
          </cell>
          <cell r="AH494">
            <v>12</v>
          </cell>
          <cell r="AI494">
            <v>2</v>
          </cell>
          <cell r="AX494" t="str">
            <v>-</v>
          </cell>
          <cell r="BF494">
            <v>7</v>
          </cell>
          <cell r="BL494" t="str">
            <v>MM</v>
          </cell>
          <cell r="BM494">
            <v>280</v>
          </cell>
        </row>
        <row r="495">
          <cell r="A495" t="str">
            <v>Snake, Large Viper</v>
          </cell>
          <cell r="C495" t="str">
            <v>Large</v>
          </cell>
          <cell r="D495" t="str">
            <v>Animal</v>
          </cell>
          <cell r="F495">
            <v>3</v>
          </cell>
          <cell r="G495">
            <v>20</v>
          </cell>
          <cell r="I495">
            <v>20</v>
          </cell>
          <cell r="L495">
            <v>20</v>
          </cell>
          <cell r="M495">
            <v>3</v>
          </cell>
          <cell r="N495" t="str">
            <v>Bite+3+0+2</v>
          </cell>
          <cell r="S495" t="str">
            <v>normal</v>
          </cell>
          <cell r="AD495">
            <v>10</v>
          </cell>
          <cell r="AE495">
            <v>17</v>
          </cell>
          <cell r="AF495">
            <v>11</v>
          </cell>
          <cell r="AG495">
            <v>1</v>
          </cell>
          <cell r="AH495">
            <v>12</v>
          </cell>
          <cell r="AI495">
            <v>2</v>
          </cell>
          <cell r="AX495" t="str">
            <v>-</v>
          </cell>
          <cell r="BF495">
            <v>4</v>
          </cell>
          <cell r="BL495" t="str">
            <v>MM</v>
          </cell>
          <cell r="BM495">
            <v>281</v>
          </cell>
        </row>
        <row r="496">
          <cell r="A496" t="str">
            <v>Snake, Medium Viper</v>
          </cell>
          <cell r="C496" t="str">
            <v>Medium</v>
          </cell>
          <cell r="D496" t="str">
            <v>Animal</v>
          </cell>
          <cell r="F496">
            <v>2</v>
          </cell>
          <cell r="G496">
            <v>20</v>
          </cell>
          <cell r="I496">
            <v>20</v>
          </cell>
          <cell r="L496">
            <v>20</v>
          </cell>
          <cell r="M496">
            <v>3</v>
          </cell>
          <cell r="N496" t="str">
            <v>Bite+4+0+2</v>
          </cell>
          <cell r="S496" t="str">
            <v>normal</v>
          </cell>
          <cell r="AD496">
            <v>8</v>
          </cell>
          <cell r="AE496">
            <v>17</v>
          </cell>
          <cell r="AF496">
            <v>11</v>
          </cell>
          <cell r="AG496">
            <v>1</v>
          </cell>
          <cell r="AH496">
            <v>12</v>
          </cell>
          <cell r="AI496">
            <v>2</v>
          </cell>
          <cell r="AX496" t="str">
            <v>-</v>
          </cell>
          <cell r="BF496">
            <v>1</v>
          </cell>
          <cell r="BL496" t="str">
            <v>MM</v>
          </cell>
          <cell r="BM496">
            <v>282</v>
          </cell>
        </row>
        <row r="497">
          <cell r="A497" t="str">
            <v>Snake, Small Viper</v>
          </cell>
          <cell r="C497" t="str">
            <v>Small</v>
          </cell>
          <cell r="D497" t="str">
            <v>Animal</v>
          </cell>
          <cell r="F497">
            <v>1</v>
          </cell>
          <cell r="G497">
            <v>20</v>
          </cell>
          <cell r="I497">
            <v>20</v>
          </cell>
          <cell r="L497">
            <v>20</v>
          </cell>
          <cell r="M497">
            <v>3</v>
          </cell>
          <cell r="N497" t="str">
            <v>Bite+3+0+2</v>
          </cell>
          <cell r="S497" t="str">
            <v>normal</v>
          </cell>
          <cell r="AD497">
            <v>6</v>
          </cell>
          <cell r="AE497">
            <v>17</v>
          </cell>
          <cell r="AF497">
            <v>11</v>
          </cell>
          <cell r="AG497">
            <v>1</v>
          </cell>
          <cell r="AH497">
            <v>12</v>
          </cell>
          <cell r="AI497">
            <v>2</v>
          </cell>
          <cell r="AX497" t="str">
            <v>-</v>
          </cell>
          <cell r="BF497">
            <v>1</v>
          </cell>
          <cell r="BL497" t="str">
            <v>MM</v>
          </cell>
          <cell r="BM497">
            <v>283</v>
          </cell>
        </row>
        <row r="498">
          <cell r="A498" t="str">
            <v>Snake, Tiny Viper</v>
          </cell>
          <cell r="C498" t="str">
            <v>Tiny</v>
          </cell>
          <cell r="D498" t="str">
            <v>Animal</v>
          </cell>
          <cell r="F498">
            <v>0.25</v>
          </cell>
          <cell r="G498">
            <v>15</v>
          </cell>
          <cell r="I498">
            <v>15</v>
          </cell>
          <cell r="L498">
            <v>15</v>
          </cell>
          <cell r="M498">
            <v>2</v>
          </cell>
          <cell r="N498" t="str">
            <v>Bite+3+0+2</v>
          </cell>
          <cell r="S498" t="str">
            <v>normal</v>
          </cell>
          <cell r="AD498">
            <v>4</v>
          </cell>
          <cell r="AE498">
            <v>17</v>
          </cell>
          <cell r="AF498">
            <v>11</v>
          </cell>
          <cell r="AG498">
            <v>1</v>
          </cell>
          <cell r="AH498">
            <v>12</v>
          </cell>
          <cell r="AI498">
            <v>2</v>
          </cell>
          <cell r="AS498" t="str">
            <v>Weapon Finesse</v>
          </cell>
          <cell r="AV498">
            <v>0</v>
          </cell>
          <cell r="AW498" t="str">
            <v>Neutral</v>
          </cell>
          <cell r="AX498" t="str">
            <v>-</v>
          </cell>
          <cell r="BC498" t="str">
            <v>Poison;Scent</v>
          </cell>
          <cell r="BE498">
            <v>1</v>
          </cell>
          <cell r="BG498" t="str">
            <v>Normal</v>
          </cell>
          <cell r="BL498" t="str">
            <v>MM</v>
          </cell>
          <cell r="BM498">
            <v>280</v>
          </cell>
        </row>
        <row r="499">
          <cell r="A499" t="str">
            <v>Sparrow</v>
          </cell>
          <cell r="C499" t="str">
            <v>Fine</v>
          </cell>
          <cell r="D499" t="str">
            <v>Animal</v>
          </cell>
          <cell r="F499">
            <v>1</v>
          </cell>
          <cell r="G499">
            <v>1</v>
          </cell>
          <cell r="J499">
            <v>50</v>
          </cell>
          <cell r="K499" t="str">
            <v>average</v>
          </cell>
          <cell r="S499" t="str">
            <v>normal</v>
          </cell>
          <cell r="AD499">
            <v>1</v>
          </cell>
          <cell r="AE499">
            <v>23</v>
          </cell>
          <cell r="AF499">
            <v>10</v>
          </cell>
          <cell r="AX499" t="str">
            <v>-</v>
          </cell>
          <cell r="BL499" t="str">
            <v>OA</v>
          </cell>
        </row>
        <row r="500">
          <cell r="A500" t="str">
            <v>Spider Eater</v>
          </cell>
          <cell r="D500" t="str">
            <v>Magical Beast</v>
          </cell>
          <cell r="N500" t="str">
            <v/>
          </cell>
          <cell r="S500" t="str">
            <v>normal</v>
          </cell>
          <cell r="AX500" t="str">
            <v>-</v>
          </cell>
          <cell r="BF500">
            <v>10</v>
          </cell>
          <cell r="BL500" t="str">
            <v>MM</v>
          </cell>
          <cell r="BM500">
            <v>234</v>
          </cell>
        </row>
        <row r="501">
          <cell r="A501" t="str">
            <v>Spider, Hairy</v>
          </cell>
          <cell r="C501" t="str">
            <v>Fine</v>
          </cell>
          <cell r="D501" t="str">
            <v>Vermin</v>
          </cell>
          <cell r="F501">
            <v>0.125</v>
          </cell>
          <cell r="G501">
            <v>20</v>
          </cell>
          <cell r="I501">
            <v>10</v>
          </cell>
          <cell r="N501" t="str">
            <v>Bite;</v>
          </cell>
          <cell r="V501" t="str">
            <v>poison</v>
          </cell>
          <cell r="AD501">
            <v>1</v>
          </cell>
          <cell r="AE501">
            <v>14</v>
          </cell>
          <cell r="AF501">
            <v>10</v>
          </cell>
          <cell r="AG501" t="str">
            <v>-</v>
          </cell>
          <cell r="AH501">
            <v>10</v>
          </cell>
          <cell r="AI501">
            <v>2</v>
          </cell>
          <cell r="AW501" t="str">
            <v>Neutral</v>
          </cell>
          <cell r="AX501" t="str">
            <v>-</v>
          </cell>
          <cell r="BC501" t="str">
            <v>Poison</v>
          </cell>
          <cell r="BE501">
            <v>1</v>
          </cell>
          <cell r="BG501" t="str">
            <v>Improved</v>
          </cell>
          <cell r="BL501" t="str">
            <v>FRCS</v>
          </cell>
          <cell r="BM501">
            <v>79</v>
          </cell>
        </row>
        <row r="502">
          <cell r="A502" t="str">
            <v>Squid</v>
          </cell>
          <cell r="C502" t="str">
            <v>Medium</v>
          </cell>
          <cell r="D502" t="str">
            <v>Animal</v>
          </cell>
          <cell r="N502" t="str">
            <v/>
          </cell>
          <cell r="T502">
            <v>60</v>
          </cell>
          <cell r="AX502" t="str">
            <v>-</v>
          </cell>
          <cell r="BF502">
            <v>1</v>
          </cell>
          <cell r="BL502" t="str">
            <v>MM</v>
          </cell>
          <cell r="BM502">
            <v>281</v>
          </cell>
        </row>
        <row r="503">
          <cell r="A503" t="str">
            <v>Squid, Giant</v>
          </cell>
          <cell r="C503" t="str">
            <v>Huge</v>
          </cell>
          <cell r="D503" t="str">
            <v>Animal</v>
          </cell>
          <cell r="E503" t="str">
            <v>Aquatic</v>
          </cell>
          <cell r="F503">
            <v>12</v>
          </cell>
          <cell r="L503">
            <v>80</v>
          </cell>
          <cell r="M503">
            <v>6</v>
          </cell>
          <cell r="N503" t="str">
            <v>10 Tentacles+3+0+1,Bite+14+0+0</v>
          </cell>
          <cell r="AD503">
            <v>26</v>
          </cell>
          <cell r="AE503">
            <v>17</v>
          </cell>
          <cell r="AF503">
            <v>13</v>
          </cell>
          <cell r="AG503">
            <v>1</v>
          </cell>
          <cell r="AH503">
            <v>12</v>
          </cell>
          <cell r="AI503">
            <v>2</v>
          </cell>
          <cell r="AX503" t="str">
            <v>-</v>
          </cell>
          <cell r="BF503">
            <v>16</v>
          </cell>
          <cell r="BL503" t="str">
            <v>MM</v>
          </cell>
          <cell r="BM503">
            <v>281</v>
          </cell>
        </row>
        <row r="504">
          <cell r="A504" t="str">
            <v>Stirge</v>
          </cell>
          <cell r="C504" t="str">
            <v>Tiny</v>
          </cell>
          <cell r="D504" t="str">
            <v>Magical Beast</v>
          </cell>
          <cell r="F504">
            <v>1</v>
          </cell>
          <cell r="G504">
            <v>10</v>
          </cell>
          <cell r="J504">
            <v>40</v>
          </cell>
          <cell r="K504" t="str">
            <v>avg</v>
          </cell>
          <cell r="M504">
            <v>0</v>
          </cell>
          <cell r="N504" t="str">
            <v>Touch;</v>
          </cell>
          <cell r="S504" t="str">
            <v>normal</v>
          </cell>
          <cell r="AD504">
            <v>3</v>
          </cell>
          <cell r="AE504">
            <v>19</v>
          </cell>
          <cell r="AF504">
            <v>10</v>
          </cell>
          <cell r="AG504">
            <v>1</v>
          </cell>
          <cell r="AH504">
            <v>12</v>
          </cell>
          <cell r="AI504">
            <v>6</v>
          </cell>
          <cell r="AS504" t="str">
            <v>Alertness;Weapon Finesse;</v>
          </cell>
          <cell r="AW504" t="str">
            <v>Neutral</v>
          </cell>
          <cell r="AX504" t="str">
            <v>-</v>
          </cell>
          <cell r="BC504" t="str">
            <v>Attach;Blood drain</v>
          </cell>
          <cell r="BE504">
            <v>5</v>
          </cell>
          <cell r="BF504">
            <v>1</v>
          </cell>
          <cell r="BG504" t="str">
            <v>Improved</v>
          </cell>
          <cell r="BL504" t="str">
            <v>MM</v>
          </cell>
          <cell r="BM504">
            <v>236</v>
          </cell>
        </row>
        <row r="505">
          <cell r="A505" t="str">
            <v>Tiger</v>
          </cell>
          <cell r="C505" t="str">
            <v>Large</v>
          </cell>
          <cell r="D505" t="str">
            <v>Animal</v>
          </cell>
          <cell r="F505">
            <v>6</v>
          </cell>
          <cell r="G505">
            <v>40</v>
          </cell>
          <cell r="M505">
            <v>3</v>
          </cell>
          <cell r="N505" t="str">
            <v>2 Claws+5+0+1,Bite+6+0+0,Rake+5+0+0</v>
          </cell>
          <cell r="S505" t="str">
            <v>normal</v>
          </cell>
          <cell r="T505">
            <v>60</v>
          </cell>
          <cell r="AD505">
            <v>23</v>
          </cell>
          <cell r="AE505">
            <v>15</v>
          </cell>
          <cell r="AF505">
            <v>17</v>
          </cell>
          <cell r="AG505">
            <v>2</v>
          </cell>
          <cell r="AH505">
            <v>12</v>
          </cell>
          <cell r="AI505">
            <v>6</v>
          </cell>
          <cell r="AV505">
            <v>4</v>
          </cell>
          <cell r="AW505" t="str">
            <v>Neutral</v>
          </cell>
          <cell r="AX505" t="str">
            <v>-</v>
          </cell>
          <cell r="BF505">
            <v>7</v>
          </cell>
          <cell r="BL505" t="str">
            <v>MM</v>
          </cell>
          <cell r="BM505">
            <v>281</v>
          </cell>
        </row>
        <row r="506">
          <cell r="A506" t="str">
            <v>Toad</v>
          </cell>
          <cell r="C506" t="str">
            <v>Diminutive</v>
          </cell>
          <cell r="D506" t="str">
            <v>Animal</v>
          </cell>
          <cell r="F506">
            <v>0.25</v>
          </cell>
          <cell r="G506">
            <v>5</v>
          </cell>
          <cell r="M506">
            <v>0</v>
          </cell>
          <cell r="N506" t="str">
            <v xml:space="preserve"> ;</v>
          </cell>
          <cell r="S506" t="str">
            <v>normal</v>
          </cell>
          <cell r="AD506">
            <v>1</v>
          </cell>
          <cell r="AE506">
            <v>12</v>
          </cell>
          <cell r="AF506">
            <v>11</v>
          </cell>
          <cell r="AG506">
            <v>1</v>
          </cell>
          <cell r="AH506">
            <v>14</v>
          </cell>
          <cell r="AI506">
            <v>4</v>
          </cell>
          <cell r="AS506" t="str">
            <v>Alertness</v>
          </cell>
          <cell r="AV506">
            <v>0</v>
          </cell>
          <cell r="AW506" t="str">
            <v>Neutral</v>
          </cell>
          <cell r="AX506" t="str">
            <v>-</v>
          </cell>
          <cell r="BC506" t="str">
            <v>Amphibious</v>
          </cell>
          <cell r="BE506">
            <v>1</v>
          </cell>
          <cell r="BG506" t="str">
            <v>Normal</v>
          </cell>
          <cell r="BL506" t="str">
            <v>MM</v>
          </cell>
          <cell r="BM506">
            <v>282</v>
          </cell>
        </row>
        <row r="507">
          <cell r="A507" t="str">
            <v>Tressym</v>
          </cell>
          <cell r="C507" t="str">
            <v>Tiny</v>
          </cell>
          <cell r="D507" t="str">
            <v>Magical Beast</v>
          </cell>
          <cell r="F507">
            <v>0.5</v>
          </cell>
          <cell r="G507">
            <v>30</v>
          </cell>
          <cell r="J507">
            <v>50</v>
          </cell>
          <cell r="K507" t="str">
            <v>good</v>
          </cell>
          <cell r="M507">
            <v>0</v>
          </cell>
          <cell r="N507" t="str">
            <v>Bite+5+0+1,2 Claws+4+0+0</v>
          </cell>
          <cell r="S507" t="str">
            <v>normal</v>
          </cell>
          <cell r="V507" t="str">
            <v>poison</v>
          </cell>
          <cell r="AD507">
            <v>3</v>
          </cell>
          <cell r="AE507">
            <v>15</v>
          </cell>
          <cell r="AF507">
            <v>10</v>
          </cell>
          <cell r="AG507">
            <v>12</v>
          </cell>
          <cell r="AH507">
            <v>12</v>
          </cell>
          <cell r="AI507">
            <v>13</v>
          </cell>
          <cell r="AS507" t="str">
            <v>Weapon Finesse;</v>
          </cell>
          <cell r="AW507" t="str">
            <v>Neutral Good</v>
          </cell>
          <cell r="AX507" t="str">
            <v>-</v>
          </cell>
          <cell r="BC507" t="str">
            <v>Scent</v>
          </cell>
          <cell r="BE507">
            <v>5</v>
          </cell>
          <cell r="BG507" t="str">
            <v>Improved</v>
          </cell>
          <cell r="BL507" t="str">
            <v>FRCS</v>
          </cell>
          <cell r="BM507">
            <v>309</v>
          </cell>
          <cell r="BN507" t="str">
            <v>PGtF</v>
          </cell>
        </row>
        <row r="508">
          <cell r="A508" t="str">
            <v>Triceratops</v>
          </cell>
          <cell r="C508" t="str">
            <v>Huge</v>
          </cell>
          <cell r="D508" t="str">
            <v>Animal</v>
          </cell>
          <cell r="F508">
            <v>16</v>
          </cell>
          <cell r="G508">
            <v>30</v>
          </cell>
          <cell r="M508">
            <v>11</v>
          </cell>
          <cell r="N508" t="str">
            <v>Gore+14+0+2,Trample+16+0+2</v>
          </cell>
          <cell r="AD508">
            <v>30</v>
          </cell>
          <cell r="AE508">
            <v>9</v>
          </cell>
          <cell r="AF508">
            <v>25</v>
          </cell>
          <cell r="AG508">
            <v>1</v>
          </cell>
          <cell r="AH508">
            <v>12</v>
          </cell>
          <cell r="AI508">
            <v>7</v>
          </cell>
          <cell r="AX508" t="str">
            <v>-</v>
          </cell>
          <cell r="BF508">
            <v>16</v>
          </cell>
          <cell r="BK508" t="str">
            <v>Dinosaur</v>
          </cell>
          <cell r="BL508" t="str">
            <v>MM</v>
          </cell>
          <cell r="BM508">
            <v>61</v>
          </cell>
        </row>
        <row r="509">
          <cell r="A509" t="str">
            <v>Tyrannosaurus</v>
          </cell>
          <cell r="C509" t="str">
            <v>Huge</v>
          </cell>
          <cell r="D509" t="str">
            <v>Animal</v>
          </cell>
          <cell r="F509">
            <v>18</v>
          </cell>
          <cell r="G509">
            <v>40</v>
          </cell>
          <cell r="M509">
            <v>5</v>
          </cell>
          <cell r="N509" t="str">
            <v>Bite+6+0+2</v>
          </cell>
          <cell r="S509" t="str">
            <v>normal</v>
          </cell>
          <cell r="AD509">
            <v>28</v>
          </cell>
          <cell r="AE509">
            <v>12</v>
          </cell>
          <cell r="AF509">
            <v>21</v>
          </cell>
          <cell r="AG509">
            <v>2</v>
          </cell>
          <cell r="AH509">
            <v>15</v>
          </cell>
          <cell r="AI509">
            <v>10</v>
          </cell>
          <cell r="AX509" t="str">
            <v>-</v>
          </cell>
          <cell r="BF509">
            <v>16</v>
          </cell>
          <cell r="BK509" t="str">
            <v>Dinosaur</v>
          </cell>
          <cell r="BL509" t="str">
            <v>MM</v>
          </cell>
          <cell r="BM509">
            <v>61</v>
          </cell>
        </row>
        <row r="510">
          <cell r="A510" t="str">
            <v>Unicorn</v>
          </cell>
          <cell r="C510" t="str">
            <v>Large</v>
          </cell>
          <cell r="D510" t="str">
            <v>Magical Beast</v>
          </cell>
          <cell r="F510">
            <v>4</v>
          </cell>
          <cell r="G510">
            <v>60</v>
          </cell>
          <cell r="M510">
            <v>6</v>
          </cell>
          <cell r="N510" t="str">
            <v>Horn+5+0+2,2 Hooves+3+0+0</v>
          </cell>
          <cell r="S510" t="str">
            <v>normal</v>
          </cell>
          <cell r="AD510">
            <v>20</v>
          </cell>
          <cell r="AE510">
            <v>17</v>
          </cell>
          <cell r="AF510">
            <v>21</v>
          </cell>
          <cell r="AG510">
            <v>10</v>
          </cell>
          <cell r="AH510">
            <v>21</v>
          </cell>
          <cell r="AI510">
            <v>24</v>
          </cell>
          <cell r="AW510" t="str">
            <v>Chaotic Good</v>
          </cell>
          <cell r="AX510" t="str">
            <v>-</v>
          </cell>
          <cell r="BF510">
            <v>7</v>
          </cell>
          <cell r="BL510" t="str">
            <v>MM</v>
          </cell>
          <cell r="BM510">
            <v>249</v>
          </cell>
        </row>
        <row r="511">
          <cell r="A511" t="str">
            <v>Vargouille</v>
          </cell>
          <cell r="C511" t="str">
            <v>Small</v>
          </cell>
          <cell r="D511" t="str">
            <v>Magical Beast</v>
          </cell>
          <cell r="F511">
            <v>1</v>
          </cell>
          <cell r="J511">
            <v>30</v>
          </cell>
          <cell r="K511" t="str">
            <v>good</v>
          </cell>
          <cell r="M511">
            <v>0</v>
          </cell>
          <cell r="N511" t="str">
            <v>Bite+5+0+2</v>
          </cell>
          <cell r="AD511">
            <v>10</v>
          </cell>
          <cell r="AE511">
            <v>13</v>
          </cell>
          <cell r="AF511">
            <v>12</v>
          </cell>
          <cell r="AG511">
            <v>5</v>
          </cell>
          <cell r="AH511">
            <v>12</v>
          </cell>
          <cell r="AI511">
            <v>8</v>
          </cell>
          <cell r="AS511" t="str">
            <v>Weapon Finesse;</v>
          </cell>
          <cell r="AW511" t="str">
            <v>Neutral Evil</v>
          </cell>
          <cell r="AX511" t="str">
            <v>-</v>
          </cell>
          <cell r="BC511" t="str">
            <v>Shriek;Kiss;Poison</v>
          </cell>
          <cell r="BE511">
            <v>7</v>
          </cell>
          <cell r="BG511" t="str">
            <v>Improved</v>
          </cell>
          <cell r="BL511" t="str">
            <v>MM</v>
          </cell>
        </row>
        <row r="512">
          <cell r="A512" t="str">
            <v>Weasel</v>
          </cell>
          <cell r="C512" t="str">
            <v>Tiny</v>
          </cell>
          <cell r="D512" t="str">
            <v>Animal</v>
          </cell>
          <cell r="F512">
            <v>0.5</v>
          </cell>
          <cell r="G512">
            <v>20</v>
          </cell>
          <cell r="I512">
            <v>20</v>
          </cell>
          <cell r="M512">
            <v>0</v>
          </cell>
          <cell r="N512" t="str">
            <v>Bite+5+0+2</v>
          </cell>
          <cell r="T512">
            <v>60</v>
          </cell>
          <cell r="AD512">
            <v>3</v>
          </cell>
          <cell r="AE512">
            <v>15</v>
          </cell>
          <cell r="AF512">
            <v>10</v>
          </cell>
          <cell r="AG512">
            <v>2</v>
          </cell>
          <cell r="AH512">
            <v>12</v>
          </cell>
          <cell r="AI512">
            <v>5</v>
          </cell>
          <cell r="AS512" t="str">
            <v>Weapon Finesse</v>
          </cell>
          <cell r="AV512">
            <v>0</v>
          </cell>
          <cell r="AW512" t="str">
            <v>Neutral</v>
          </cell>
          <cell r="AX512" t="str">
            <v>-</v>
          </cell>
          <cell r="BC512" t="str">
            <v>Scent</v>
          </cell>
          <cell r="BE512">
            <v>1</v>
          </cell>
          <cell r="BG512" t="str">
            <v>Normal</v>
          </cell>
          <cell r="BL512" t="str">
            <v>MM</v>
          </cell>
          <cell r="BM512">
            <v>282</v>
          </cell>
        </row>
        <row r="513">
          <cell r="A513" t="str">
            <v>Whale, Orca</v>
          </cell>
          <cell r="C513" t="str">
            <v>Huge</v>
          </cell>
          <cell r="D513" t="str">
            <v>Animal</v>
          </cell>
          <cell r="N513" t="str">
            <v/>
          </cell>
          <cell r="S513" t="str">
            <v>normal</v>
          </cell>
          <cell r="AX513" t="str">
            <v>-</v>
          </cell>
          <cell r="BF513">
            <v>10</v>
          </cell>
          <cell r="BL513" t="str">
            <v>MM</v>
          </cell>
          <cell r="BM513">
            <v>283</v>
          </cell>
        </row>
        <row r="514">
          <cell r="A514" t="str">
            <v>Winter Wolf</v>
          </cell>
          <cell r="C514" t="str">
            <v>Large</v>
          </cell>
          <cell r="D514" t="str">
            <v>Magical Beast</v>
          </cell>
          <cell r="F514">
            <v>6</v>
          </cell>
          <cell r="G514">
            <v>50</v>
          </cell>
          <cell r="M514">
            <v>5</v>
          </cell>
          <cell r="N514" t="str">
            <v>Bite+5+0+2</v>
          </cell>
          <cell r="V514" t="str">
            <v>cold</v>
          </cell>
          <cell r="W514" t="str">
            <v>fire</v>
          </cell>
          <cell r="AD514">
            <v>18</v>
          </cell>
          <cell r="AE514">
            <v>13</v>
          </cell>
          <cell r="AF514">
            <v>16</v>
          </cell>
          <cell r="AG514">
            <v>9</v>
          </cell>
          <cell r="AH514">
            <v>13</v>
          </cell>
          <cell r="AI514">
            <v>10</v>
          </cell>
          <cell r="AS514" t="str">
            <v>Alertness;Improved Initiative;Track;</v>
          </cell>
          <cell r="AW514" t="str">
            <v>Neutral Evil</v>
          </cell>
          <cell r="AX514" t="str">
            <v>-</v>
          </cell>
          <cell r="BC514" t="str">
            <v>Breath Weapon;Freezing Bite;Trip</v>
          </cell>
          <cell r="BE514">
            <v>7</v>
          </cell>
          <cell r="BG514" t="str">
            <v>Improved</v>
          </cell>
          <cell r="BL514" t="str">
            <v>MM</v>
          </cell>
          <cell r="BM514">
            <v>256</v>
          </cell>
          <cell r="BN514" t="str">
            <v>CW</v>
          </cell>
        </row>
        <row r="515">
          <cell r="A515" t="str">
            <v>Wolf</v>
          </cell>
          <cell r="C515" t="str">
            <v>Medium</v>
          </cell>
          <cell r="D515" t="str">
            <v>Animal</v>
          </cell>
          <cell r="F515">
            <v>2</v>
          </cell>
          <cell r="G515">
            <v>50</v>
          </cell>
          <cell r="M515">
            <v>2</v>
          </cell>
          <cell r="N515" t="str">
            <v>Bite+5+0+2</v>
          </cell>
          <cell r="S515" t="str">
            <v>normal</v>
          </cell>
          <cell r="T515">
            <v>60</v>
          </cell>
          <cell r="AD515">
            <v>13</v>
          </cell>
          <cell r="AE515">
            <v>15</v>
          </cell>
          <cell r="AF515">
            <v>15</v>
          </cell>
          <cell r="AG515">
            <v>2</v>
          </cell>
          <cell r="AH515">
            <v>12</v>
          </cell>
          <cell r="AI515">
            <v>6</v>
          </cell>
          <cell r="AV515">
            <v>2</v>
          </cell>
          <cell r="AW515" t="str">
            <v>Chaotic Evil</v>
          </cell>
          <cell r="AX515" t="str">
            <v>-</v>
          </cell>
          <cell r="BF515">
            <v>1</v>
          </cell>
          <cell r="BL515" t="str">
            <v>MM</v>
          </cell>
          <cell r="BM515">
            <v>283</v>
          </cell>
        </row>
        <row r="516">
          <cell r="A516" t="str">
            <v>Wolf Lizard</v>
          </cell>
          <cell r="N516" t="str">
            <v/>
          </cell>
          <cell r="S516" t="str">
            <v>normal</v>
          </cell>
          <cell r="AX516" t="str">
            <v>-</v>
          </cell>
          <cell r="BF516">
            <v>1</v>
          </cell>
          <cell r="BL516" t="str">
            <v>PGtA</v>
          </cell>
        </row>
        <row r="517">
          <cell r="A517" t="str">
            <v>Wolverine</v>
          </cell>
          <cell r="C517" t="str">
            <v>Medium</v>
          </cell>
          <cell r="D517" t="str">
            <v>Animal</v>
          </cell>
          <cell r="N517" t="str">
            <v/>
          </cell>
          <cell r="AX517" t="str">
            <v>-</v>
          </cell>
          <cell r="BF517">
            <v>4</v>
          </cell>
          <cell r="BL517" t="str">
            <v>MM</v>
          </cell>
          <cell r="BM517">
            <v>283</v>
          </cell>
        </row>
        <row r="518">
          <cell r="A518" t="str">
            <v>Worg</v>
          </cell>
          <cell r="C518" t="str">
            <v>Medium</v>
          </cell>
          <cell r="D518" t="str">
            <v>Magical Beast</v>
          </cell>
          <cell r="F518">
            <v>4</v>
          </cell>
          <cell r="G518">
            <v>50</v>
          </cell>
          <cell r="M518">
            <v>2</v>
          </cell>
          <cell r="N518" t="str">
            <v>Bite+5+0+2</v>
          </cell>
          <cell r="AD518">
            <v>17</v>
          </cell>
          <cell r="AE518">
            <v>15</v>
          </cell>
          <cell r="AF518">
            <v>15</v>
          </cell>
          <cell r="AG518">
            <v>6</v>
          </cell>
          <cell r="AH518">
            <v>14</v>
          </cell>
          <cell r="AI518">
            <v>10</v>
          </cell>
          <cell r="AS518" t="str">
            <v>Alertness;Track;</v>
          </cell>
          <cell r="AW518" t="str">
            <v>Neutral Evil</v>
          </cell>
          <cell r="AX518" t="str">
            <v>-</v>
          </cell>
          <cell r="BC518" t="str">
            <v>Trip;Scent</v>
          </cell>
          <cell r="BE518">
            <v>3</v>
          </cell>
          <cell r="BG518" t="str">
            <v>Improved</v>
          </cell>
          <cell r="BL518" t="str">
            <v>MM</v>
          </cell>
          <cell r="BM518">
            <v>256</v>
          </cell>
          <cell r="BN518" t="str">
            <v>CW</v>
          </cell>
        </row>
        <row r="519">
          <cell r="A519" t="str">
            <v>Custom Familiar</v>
          </cell>
          <cell r="C519" t="str">
            <v/>
          </cell>
          <cell r="D519" t="str">
            <v>Magical Beast</v>
          </cell>
          <cell r="F519">
            <v>0</v>
          </cell>
          <cell r="G519">
            <v>0</v>
          </cell>
          <cell r="H519">
            <v>0</v>
          </cell>
          <cell r="I519">
            <v>0</v>
          </cell>
          <cell r="J519">
            <v>0</v>
          </cell>
          <cell r="K519" t="str">
            <v/>
          </cell>
          <cell r="L519">
            <v>0</v>
          </cell>
          <cell r="M519">
            <v>0</v>
          </cell>
          <cell r="N519" t="str">
            <v/>
          </cell>
          <cell r="S519" t="str">
            <v>normal</v>
          </cell>
          <cell r="T519">
            <v>60</v>
          </cell>
          <cell r="Y519" t="str">
            <v/>
          </cell>
          <cell r="Z519" t="str">
            <v/>
          </cell>
          <cell r="AD519">
            <v>0</v>
          </cell>
          <cell r="AE519">
            <v>0</v>
          </cell>
          <cell r="AF519">
            <v>0</v>
          </cell>
          <cell r="AG519">
            <v>0</v>
          </cell>
          <cell r="AH519">
            <v>0</v>
          </cell>
          <cell r="AI519">
            <v>0</v>
          </cell>
          <cell r="AS519" t="e">
            <v>#REF!</v>
          </cell>
          <cell r="AW519" t="e">
            <v>#REF!</v>
          </cell>
          <cell r="AX519" t="str">
            <v>-</v>
          </cell>
          <cell r="BC519" t="e">
            <v>#REF!</v>
          </cell>
          <cell r="BE519">
            <v>1</v>
          </cell>
          <cell r="BL519" t="str">
            <v>CUST`</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Select A Weapon</v>
          </cell>
          <cell r="B1" t="str">
            <v>Source</v>
          </cell>
          <cell r="C1" t="str">
            <v>Cat</v>
          </cell>
          <cell r="D1" t="str">
            <v>Size</v>
          </cell>
          <cell r="E1" t="str">
            <v>Dmg1(M)</v>
          </cell>
          <cell r="F1" t="str">
            <v>Dmg2(M)</v>
          </cell>
          <cell r="G1" t="str">
            <v>Threat</v>
          </cell>
          <cell r="H1" t="str">
            <v>Crit1</v>
          </cell>
          <cell r="I1" t="str">
            <v>Crit2</v>
          </cell>
          <cell r="J1" t="str">
            <v>Range</v>
          </cell>
          <cell r="K1" t="str">
            <v>Wgt</v>
          </cell>
          <cell r="L1" t="str">
            <v>Type</v>
          </cell>
          <cell r="M1" t="str">
            <v>Nonlethal</v>
          </cell>
          <cell r="N1" t="str">
            <v>Reach</v>
          </cell>
          <cell r="O1" t="str">
            <v>Special</v>
          </cell>
          <cell r="P1" t="str">
            <v>List</v>
          </cell>
        </row>
        <row r="2">
          <cell r="A2" t="str">
            <v>Alchemy Blade</v>
          </cell>
          <cell r="C2" t="str">
            <v>E</v>
          </cell>
          <cell r="D2" t="str">
            <v>L</v>
          </cell>
          <cell r="E2">
            <v>5</v>
          </cell>
          <cell r="G2">
            <v>19</v>
          </cell>
          <cell r="H2">
            <v>2</v>
          </cell>
          <cell r="K2">
            <v>2</v>
          </cell>
          <cell r="L2" t="str">
            <v>P</v>
          </cell>
        </row>
        <row r="3">
          <cell r="A3" t="str">
            <v>Annulat</v>
          </cell>
          <cell r="C3" t="str">
            <v>E</v>
          </cell>
          <cell r="D3" t="str">
            <v>R</v>
          </cell>
          <cell r="E3">
            <v>5</v>
          </cell>
          <cell r="G3">
            <v>19</v>
          </cell>
          <cell r="H3">
            <v>2</v>
          </cell>
          <cell r="J3">
            <v>30</v>
          </cell>
          <cell r="K3">
            <v>0.5</v>
          </cell>
          <cell r="L3" t="str">
            <v>S</v>
          </cell>
          <cell r="O3" t="str">
            <v>T</v>
          </cell>
          <cell r="P3" t="b">
            <v>0</v>
          </cell>
        </row>
        <row r="4">
          <cell r="A4" t="str">
            <v>Atlatl</v>
          </cell>
          <cell r="C4" t="str">
            <v>M</v>
          </cell>
          <cell r="D4" t="str">
            <v>R</v>
          </cell>
          <cell r="E4">
            <v>4</v>
          </cell>
          <cell r="G4">
            <v>20</v>
          </cell>
          <cell r="H4">
            <v>3</v>
          </cell>
          <cell r="J4">
            <v>50</v>
          </cell>
          <cell r="K4">
            <v>2</v>
          </cell>
          <cell r="L4" t="str">
            <v>P</v>
          </cell>
        </row>
        <row r="5">
          <cell r="A5" t="str">
            <v>Axe, Ice</v>
          </cell>
          <cell r="C5" t="str">
            <v>E</v>
          </cell>
          <cell r="D5" t="str">
            <v>O</v>
          </cell>
          <cell r="E5">
            <v>5</v>
          </cell>
          <cell r="G5">
            <v>20</v>
          </cell>
          <cell r="H5">
            <v>4</v>
          </cell>
          <cell r="K5">
            <v>5</v>
          </cell>
          <cell r="L5" t="str">
            <v>S/P</v>
          </cell>
        </row>
        <row r="6">
          <cell r="A6" t="str">
            <v>Axe, Orc Double</v>
          </cell>
          <cell r="C6" t="str">
            <v>E</v>
          </cell>
          <cell r="D6" t="str">
            <v>T</v>
          </cell>
          <cell r="E6">
            <v>6</v>
          </cell>
          <cell r="F6">
            <v>6</v>
          </cell>
          <cell r="G6">
            <v>20</v>
          </cell>
          <cell r="H6">
            <v>3</v>
          </cell>
          <cell r="I6">
            <v>3</v>
          </cell>
          <cell r="K6">
            <v>15</v>
          </cell>
          <cell r="L6" t="str">
            <v>S</v>
          </cell>
          <cell r="P6" t="b">
            <v>0</v>
          </cell>
        </row>
        <row r="7">
          <cell r="A7" t="str">
            <v>Axe, Throwing</v>
          </cell>
          <cell r="C7" t="str">
            <v>M</v>
          </cell>
          <cell r="D7" t="str">
            <v>L</v>
          </cell>
          <cell r="E7">
            <v>5</v>
          </cell>
          <cell r="G7">
            <v>20</v>
          </cell>
          <cell r="H7">
            <v>2</v>
          </cell>
          <cell r="J7">
            <v>10</v>
          </cell>
          <cell r="K7">
            <v>2</v>
          </cell>
          <cell r="L7" t="str">
            <v>S</v>
          </cell>
          <cell r="O7" t="str">
            <v>T</v>
          </cell>
          <cell r="P7" t="b">
            <v>0</v>
          </cell>
        </row>
        <row r="8">
          <cell r="A8" t="str">
            <v>Battleaxe</v>
          </cell>
          <cell r="C8" t="str">
            <v>M</v>
          </cell>
          <cell r="D8" t="str">
            <v>O</v>
          </cell>
          <cell r="E8">
            <v>6</v>
          </cell>
          <cell r="G8">
            <v>20</v>
          </cell>
          <cell r="H8">
            <v>3</v>
          </cell>
          <cell r="K8">
            <v>6</v>
          </cell>
          <cell r="L8" t="str">
            <v>S</v>
          </cell>
          <cell r="P8" t="b">
            <v>0</v>
          </cell>
        </row>
        <row r="9">
          <cell r="A9" t="str">
            <v>Battle Flag</v>
          </cell>
          <cell r="C9" t="str">
            <v>E</v>
          </cell>
          <cell r="D9" t="str">
            <v>O</v>
          </cell>
          <cell r="E9">
            <v>6</v>
          </cell>
          <cell r="G9">
            <v>20</v>
          </cell>
          <cell r="H9">
            <v>3</v>
          </cell>
          <cell r="L9" t="str">
            <v>P</v>
          </cell>
        </row>
        <row r="10">
          <cell r="A10" t="str">
            <v>Battlehorn</v>
          </cell>
          <cell r="C10" t="str">
            <v>E</v>
          </cell>
          <cell r="D10" t="str">
            <v>T</v>
          </cell>
          <cell r="E10">
            <v>6</v>
          </cell>
          <cell r="F10">
            <v>6</v>
          </cell>
          <cell r="G10">
            <v>20</v>
          </cell>
          <cell r="H10">
            <v>3</v>
          </cell>
          <cell r="I10">
            <v>3</v>
          </cell>
          <cell r="K10">
            <v>10</v>
          </cell>
          <cell r="L10" t="str">
            <v>P</v>
          </cell>
        </row>
        <row r="11">
          <cell r="A11" t="str">
            <v>Battlepick, Gnome</v>
          </cell>
          <cell r="C11" t="str">
            <v>E</v>
          </cell>
          <cell r="D11" t="str">
            <v>O</v>
          </cell>
          <cell r="E11">
            <v>5</v>
          </cell>
          <cell r="G11">
            <v>20</v>
          </cell>
          <cell r="H11">
            <v>4</v>
          </cell>
          <cell r="K11">
            <v>5</v>
          </cell>
          <cell r="L11" t="str">
            <v>P</v>
          </cell>
          <cell r="P11" t="b">
            <v>0</v>
          </cell>
        </row>
        <row r="12">
          <cell r="A12" t="str">
            <v>Bayonet</v>
          </cell>
          <cell r="C12" t="str">
            <v>M</v>
          </cell>
          <cell r="D12" t="str">
            <v>T</v>
          </cell>
          <cell r="E12">
            <v>6</v>
          </cell>
          <cell r="G12">
            <v>20</v>
          </cell>
          <cell r="H12">
            <v>2</v>
          </cell>
          <cell r="K12">
            <v>0.5</v>
          </cell>
          <cell r="L12" t="str">
            <v>P</v>
          </cell>
        </row>
        <row r="13">
          <cell r="A13" t="str">
            <v>Blade, Retractable</v>
          </cell>
          <cell r="C13" t="str">
            <v>S</v>
          </cell>
          <cell r="D13" t="str">
            <v>T</v>
          </cell>
          <cell r="E13">
            <v>6</v>
          </cell>
          <cell r="G13">
            <v>20</v>
          </cell>
          <cell r="H13">
            <v>2</v>
          </cell>
          <cell r="K13">
            <v>0.5</v>
          </cell>
          <cell r="L13" t="str">
            <v>P</v>
          </cell>
        </row>
        <row r="14">
          <cell r="A14" t="str">
            <v>Blade, Skipping</v>
          </cell>
          <cell r="C14" t="str">
            <v>E</v>
          </cell>
          <cell r="D14" t="str">
            <v>R</v>
          </cell>
          <cell r="E14">
            <v>3</v>
          </cell>
          <cell r="G14">
            <v>20</v>
          </cell>
          <cell r="H14">
            <v>3</v>
          </cell>
          <cell r="J14">
            <v>10</v>
          </cell>
          <cell r="K14">
            <v>0.5</v>
          </cell>
          <cell r="L14" t="str">
            <v>S</v>
          </cell>
          <cell r="O14" t="str">
            <v>T</v>
          </cell>
        </row>
        <row r="15">
          <cell r="A15" t="str">
            <v>Blowgun</v>
          </cell>
          <cell r="B15" t="str">
            <v>OA</v>
          </cell>
          <cell r="C15" t="str">
            <v>S</v>
          </cell>
          <cell r="D15" t="str">
            <v>R</v>
          </cell>
          <cell r="E15">
            <v>1</v>
          </cell>
          <cell r="G15">
            <v>20</v>
          </cell>
          <cell r="H15">
            <v>2</v>
          </cell>
          <cell r="J15">
            <v>10</v>
          </cell>
          <cell r="K15">
            <v>2</v>
          </cell>
          <cell r="L15" t="str">
            <v>P</v>
          </cell>
          <cell r="P15" t="b">
            <v>0</v>
          </cell>
        </row>
        <row r="16">
          <cell r="A16" t="str">
            <v>Blowgun, Greater</v>
          </cell>
          <cell r="C16" t="str">
            <v>E</v>
          </cell>
          <cell r="D16" t="str">
            <v>R</v>
          </cell>
          <cell r="E16">
            <v>3</v>
          </cell>
          <cell r="G16">
            <v>20</v>
          </cell>
          <cell r="H16">
            <v>2</v>
          </cell>
          <cell r="J16">
            <v>10</v>
          </cell>
          <cell r="K16">
            <v>2</v>
          </cell>
          <cell r="L16" t="str">
            <v>P</v>
          </cell>
        </row>
        <row r="17">
          <cell r="A17" t="str">
            <v>Blunderbuss</v>
          </cell>
          <cell r="C17" t="str">
            <v>E</v>
          </cell>
          <cell r="D17" t="str">
            <v>L</v>
          </cell>
          <cell r="K17">
            <v>15</v>
          </cell>
          <cell r="L17" t="str">
            <v>P</v>
          </cell>
        </row>
        <row r="18">
          <cell r="A18" t="str">
            <v>Bolas</v>
          </cell>
          <cell r="C18" t="str">
            <v>E</v>
          </cell>
          <cell r="D18" t="str">
            <v>R</v>
          </cell>
          <cell r="E18">
            <v>4</v>
          </cell>
          <cell r="G18">
            <v>20</v>
          </cell>
          <cell r="H18">
            <v>2</v>
          </cell>
          <cell r="J18">
            <v>10</v>
          </cell>
          <cell r="K18">
            <v>2</v>
          </cell>
          <cell r="L18" t="str">
            <v>B</v>
          </cell>
          <cell r="O18" t="str">
            <v>T</v>
          </cell>
          <cell r="P18" t="b">
            <v>0</v>
          </cell>
        </row>
        <row r="19">
          <cell r="A19" t="str">
            <v>Bolas, Barbed</v>
          </cell>
          <cell r="C19" t="str">
            <v>E</v>
          </cell>
          <cell r="D19" t="str">
            <v>R</v>
          </cell>
          <cell r="E19">
            <v>4</v>
          </cell>
          <cell r="G19">
            <v>20</v>
          </cell>
          <cell r="H19">
            <v>2</v>
          </cell>
          <cell r="J19">
            <v>10</v>
          </cell>
          <cell r="K19">
            <v>3</v>
          </cell>
          <cell r="L19" t="str">
            <v>P</v>
          </cell>
        </row>
        <row r="20">
          <cell r="A20" t="str">
            <v>Bomb</v>
          </cell>
          <cell r="C20" t="str">
            <v>E</v>
          </cell>
          <cell r="D20" t="str">
            <v>R</v>
          </cell>
          <cell r="E20">
            <v>12</v>
          </cell>
          <cell r="J20">
            <v>10</v>
          </cell>
          <cell r="K20">
            <v>1</v>
          </cell>
          <cell r="L20" t="str">
            <v>*</v>
          </cell>
          <cell r="O20" t="str">
            <v>5' blast radius</v>
          </cell>
        </row>
        <row r="21">
          <cell r="A21" t="str">
            <v>Boomerang</v>
          </cell>
          <cell r="C21" t="str">
            <v>E</v>
          </cell>
          <cell r="D21" t="str">
            <v>R</v>
          </cell>
          <cell r="E21">
            <v>4</v>
          </cell>
          <cell r="G21">
            <v>20</v>
          </cell>
          <cell r="H21">
            <v>2</v>
          </cell>
          <cell r="J21">
            <v>20</v>
          </cell>
          <cell r="K21">
            <v>2</v>
          </cell>
          <cell r="L21" t="str">
            <v>B</v>
          </cell>
          <cell r="M21" t="str">
            <v>S</v>
          </cell>
          <cell r="O21" t="str">
            <v>T</v>
          </cell>
        </row>
        <row r="22">
          <cell r="A22" t="str">
            <v>Boomerang, Talenta</v>
          </cell>
          <cell r="C22" t="str">
            <v>E</v>
          </cell>
          <cell r="D22" t="str">
            <v>R</v>
          </cell>
          <cell r="E22">
            <v>4</v>
          </cell>
          <cell r="G22">
            <v>20</v>
          </cell>
          <cell r="H22">
            <v>2</v>
          </cell>
          <cell r="J22">
            <v>30</v>
          </cell>
          <cell r="K22">
            <v>1</v>
          </cell>
          <cell r="L22" t="str">
            <v>B</v>
          </cell>
          <cell r="O22" t="str">
            <v>T</v>
          </cell>
        </row>
        <row r="23">
          <cell r="A23" t="str">
            <v>Boomerang, Three-bladed Razor</v>
          </cell>
          <cell r="C23" t="str">
            <v>E</v>
          </cell>
          <cell r="D23" t="str">
            <v>R</v>
          </cell>
          <cell r="E23">
            <v>5</v>
          </cell>
          <cell r="G23">
            <v>20</v>
          </cell>
          <cell r="H23">
            <v>2</v>
          </cell>
          <cell r="J23">
            <v>10</v>
          </cell>
          <cell r="K23">
            <v>4</v>
          </cell>
          <cell r="L23" t="str">
            <v>S</v>
          </cell>
        </row>
        <row r="24">
          <cell r="A24" t="str">
            <v>Boomerang, Xen'drik</v>
          </cell>
          <cell r="C24" t="str">
            <v>E</v>
          </cell>
          <cell r="D24" t="str">
            <v>R</v>
          </cell>
          <cell r="E24">
            <v>5</v>
          </cell>
          <cell r="G24">
            <v>20</v>
          </cell>
          <cell r="H24">
            <v>2</v>
          </cell>
          <cell r="J24">
            <v>20</v>
          </cell>
          <cell r="K24">
            <v>2</v>
          </cell>
          <cell r="L24" t="str">
            <v>B/P</v>
          </cell>
          <cell r="O24" t="str">
            <v>T</v>
          </cell>
        </row>
        <row r="25">
          <cell r="A25" t="str">
            <v>Bow, Bone</v>
          </cell>
          <cell r="C25" t="str">
            <v>E</v>
          </cell>
          <cell r="D25" t="str">
            <v>R</v>
          </cell>
          <cell r="E25">
            <v>7</v>
          </cell>
          <cell r="G25">
            <v>20</v>
          </cell>
          <cell r="H25">
            <v>3</v>
          </cell>
          <cell r="J25">
            <v>120</v>
          </cell>
          <cell r="K25">
            <v>4</v>
          </cell>
          <cell r="L25" t="str">
            <v>P</v>
          </cell>
        </row>
        <row r="26">
          <cell r="A26" t="str">
            <v>Bow, Yuan-ti Serpent</v>
          </cell>
          <cell r="C26" t="str">
            <v>E</v>
          </cell>
          <cell r="D26" t="str">
            <v>R</v>
          </cell>
          <cell r="E26">
            <v>5</v>
          </cell>
          <cell r="F26">
            <v>6</v>
          </cell>
          <cell r="G26">
            <v>19</v>
          </cell>
          <cell r="H26">
            <v>2</v>
          </cell>
          <cell r="I26">
            <v>3</v>
          </cell>
          <cell r="J26">
            <v>80</v>
          </cell>
          <cell r="K26">
            <v>5</v>
          </cell>
          <cell r="L26" t="str">
            <v>S/P</v>
          </cell>
        </row>
        <row r="27">
          <cell r="A27" t="str">
            <v>Bracer, Claw</v>
          </cell>
          <cell r="C27" t="str">
            <v>E</v>
          </cell>
          <cell r="D27" t="str">
            <v>L</v>
          </cell>
          <cell r="E27">
            <v>4</v>
          </cell>
          <cell r="G27">
            <v>19</v>
          </cell>
          <cell r="H27">
            <v>2</v>
          </cell>
          <cell r="K27">
            <v>2</v>
          </cell>
          <cell r="L27" t="str">
            <v>P</v>
          </cell>
        </row>
        <row r="28">
          <cell r="A28" t="str">
            <v>Buckler-axe, Dwarven</v>
          </cell>
          <cell r="C28" t="str">
            <v>E</v>
          </cell>
          <cell r="D28" t="str">
            <v>L</v>
          </cell>
          <cell r="E28">
            <v>5</v>
          </cell>
          <cell r="G28">
            <v>20</v>
          </cell>
          <cell r="H28">
            <v>3</v>
          </cell>
          <cell r="K28">
            <v>4</v>
          </cell>
          <cell r="L28" t="str">
            <v>S</v>
          </cell>
          <cell r="O28" t="str">
            <v>T</v>
          </cell>
          <cell r="P28" t="b">
            <v>0</v>
          </cell>
        </row>
        <row r="29">
          <cell r="A29" t="str">
            <v>Catspaw</v>
          </cell>
          <cell r="C29" t="str">
            <v>S</v>
          </cell>
          <cell r="D29" t="str">
            <v>T</v>
          </cell>
          <cell r="E29">
            <v>6</v>
          </cell>
          <cell r="G29">
            <v>20</v>
          </cell>
          <cell r="H29">
            <v>2</v>
          </cell>
          <cell r="K29">
            <v>2</v>
          </cell>
          <cell r="L29" t="str">
            <v>S</v>
          </cell>
        </row>
        <row r="30">
          <cell r="A30" t="str">
            <v>Cat-o-nine-tails</v>
          </cell>
          <cell r="C30" t="str">
            <v>E</v>
          </cell>
          <cell r="D30" t="str">
            <v>M</v>
          </cell>
          <cell r="E30">
            <v>6</v>
          </cell>
          <cell r="G30">
            <v>20</v>
          </cell>
          <cell r="J30">
            <v>10</v>
          </cell>
          <cell r="K30">
            <v>5</v>
          </cell>
          <cell r="L30" t="str">
            <v>S</v>
          </cell>
          <cell r="P30" t="b">
            <v>0</v>
          </cell>
        </row>
        <row r="31">
          <cell r="A31" t="str">
            <v>Calculus, Gnome</v>
          </cell>
          <cell r="C31" t="str">
            <v>E</v>
          </cell>
          <cell r="D31" t="str">
            <v>R</v>
          </cell>
          <cell r="E31">
            <v>13</v>
          </cell>
          <cell r="J31">
            <v>50</v>
          </cell>
          <cell r="K31">
            <v>2</v>
          </cell>
          <cell r="L31" t="str">
            <v>*</v>
          </cell>
          <cell r="O31" t="str">
            <v>T</v>
          </cell>
          <cell r="P31" t="b">
            <v>0</v>
          </cell>
        </row>
        <row r="32">
          <cell r="A32" t="str">
            <v>Cestus, Ward</v>
          </cell>
          <cell r="C32" t="str">
            <v>E</v>
          </cell>
          <cell r="D32" t="str">
            <v>L</v>
          </cell>
          <cell r="E32">
            <v>13</v>
          </cell>
          <cell r="K32">
            <v>4</v>
          </cell>
          <cell r="L32" t="str">
            <v>B</v>
          </cell>
        </row>
        <row r="33">
          <cell r="A33" t="str">
            <v>Chain, Drow Scorpion</v>
          </cell>
          <cell r="C33" t="str">
            <v>E</v>
          </cell>
          <cell r="D33" t="str">
            <v>T</v>
          </cell>
          <cell r="E33">
            <v>5</v>
          </cell>
          <cell r="G33">
            <v>19</v>
          </cell>
          <cell r="H33">
            <v>2</v>
          </cell>
          <cell r="K33">
            <v>3</v>
          </cell>
          <cell r="L33" t="str">
            <v>S</v>
          </cell>
          <cell r="N33" t="b">
            <v>1</v>
          </cell>
          <cell r="P33" t="b">
            <v>0</v>
          </cell>
        </row>
        <row r="34">
          <cell r="A34" t="str">
            <v>Chain, Spiked</v>
          </cell>
          <cell r="C34" t="str">
            <v>E</v>
          </cell>
          <cell r="D34" t="str">
            <v>T</v>
          </cell>
          <cell r="E34">
            <v>9</v>
          </cell>
          <cell r="G34">
            <v>20</v>
          </cell>
          <cell r="H34">
            <v>2</v>
          </cell>
          <cell r="K34">
            <v>10</v>
          </cell>
          <cell r="L34" t="str">
            <v>P</v>
          </cell>
          <cell r="N34" t="b">
            <v>1</v>
          </cell>
          <cell r="O34" t="str">
            <v>F</v>
          </cell>
          <cell r="P34" t="b">
            <v>0</v>
          </cell>
        </row>
        <row r="35">
          <cell r="A35" t="str">
            <v>Chain-and-dagger</v>
          </cell>
          <cell r="C35" t="str">
            <v>E</v>
          </cell>
          <cell r="D35" t="str">
            <v>O</v>
          </cell>
          <cell r="E35">
            <v>4</v>
          </cell>
          <cell r="G35">
            <v>19</v>
          </cell>
          <cell r="H35">
            <v>2</v>
          </cell>
          <cell r="K35">
            <v>4</v>
          </cell>
          <cell r="L35" t="str">
            <v>P</v>
          </cell>
        </row>
        <row r="36">
          <cell r="A36" t="str">
            <v>Chakram</v>
          </cell>
          <cell r="C36" t="str">
            <v>E</v>
          </cell>
          <cell r="D36" t="str">
            <v>R</v>
          </cell>
          <cell r="E36">
            <v>4</v>
          </cell>
          <cell r="G36">
            <v>20</v>
          </cell>
          <cell r="H36">
            <v>3</v>
          </cell>
          <cell r="J36">
            <v>30</v>
          </cell>
          <cell r="K36">
            <v>2</v>
          </cell>
          <cell r="L36" t="str">
            <v>S</v>
          </cell>
        </row>
        <row r="37">
          <cell r="A37" t="str">
            <v>Chatkcha</v>
          </cell>
          <cell r="C37" t="str">
            <v>E</v>
          </cell>
          <cell r="D37" t="str">
            <v>R</v>
          </cell>
          <cell r="E37">
            <v>5</v>
          </cell>
          <cell r="G37">
            <v>18</v>
          </cell>
          <cell r="H37">
            <v>2</v>
          </cell>
          <cell r="J37">
            <v>20</v>
          </cell>
          <cell r="K37">
            <v>3</v>
          </cell>
          <cell r="L37" t="str">
            <v>P</v>
          </cell>
          <cell r="O37" t="str">
            <v/>
          </cell>
          <cell r="P37" t="b">
            <v>0</v>
          </cell>
        </row>
        <row r="38">
          <cell r="A38" t="str">
            <v>Chijiriki</v>
          </cell>
          <cell r="B38" t="str">
            <v>OA</v>
          </cell>
          <cell r="C38" t="str">
            <v>E</v>
          </cell>
          <cell r="D38" t="str">
            <v>T</v>
          </cell>
          <cell r="E38">
            <v>5</v>
          </cell>
          <cell r="F38">
            <v>4</v>
          </cell>
          <cell r="G38">
            <v>20</v>
          </cell>
          <cell r="H38">
            <v>2</v>
          </cell>
          <cell r="I38">
            <v>2</v>
          </cell>
          <cell r="K38">
            <v>6</v>
          </cell>
          <cell r="L38" t="str">
            <v>P/B</v>
          </cell>
          <cell r="P38" t="b">
            <v>0</v>
          </cell>
        </row>
        <row r="39">
          <cell r="A39" t="str">
            <v>Claw, Eagle's</v>
          </cell>
          <cell r="C39" t="str">
            <v>E</v>
          </cell>
          <cell r="D39" t="str">
            <v>L</v>
          </cell>
          <cell r="E39">
            <v>5</v>
          </cell>
          <cell r="G39">
            <v>18</v>
          </cell>
          <cell r="H39">
            <v>2</v>
          </cell>
          <cell r="K39">
            <v>2</v>
          </cell>
          <cell r="L39" t="str">
            <v>S/P</v>
          </cell>
          <cell r="O39" t="str">
            <v/>
          </cell>
          <cell r="P39" t="b">
            <v>0</v>
          </cell>
        </row>
        <row r="40">
          <cell r="A40" t="str">
            <v>Claw, Panther</v>
          </cell>
          <cell r="C40" t="str">
            <v>E</v>
          </cell>
          <cell r="D40" t="str">
            <v>L</v>
          </cell>
          <cell r="E40">
            <v>4</v>
          </cell>
          <cell r="G40">
            <v>20</v>
          </cell>
          <cell r="H40">
            <v>3</v>
          </cell>
          <cell r="K40">
            <v>3</v>
          </cell>
          <cell r="L40" t="str">
            <v>P/S</v>
          </cell>
        </row>
        <row r="41">
          <cell r="A41" t="str">
            <v>Claws, Scorpion</v>
          </cell>
          <cell r="C41" t="str">
            <v>E</v>
          </cell>
          <cell r="D41" t="str">
            <v>L</v>
          </cell>
          <cell r="E41">
            <v>5</v>
          </cell>
          <cell r="G41">
            <v>20</v>
          </cell>
          <cell r="H41">
            <v>2</v>
          </cell>
          <cell r="K41">
            <v>6</v>
          </cell>
          <cell r="L41" t="str">
            <v>S/P</v>
          </cell>
        </row>
        <row r="42">
          <cell r="A42" t="str">
            <v>Claws, Tiger</v>
          </cell>
          <cell r="C42" t="str">
            <v>E</v>
          </cell>
          <cell r="D42" t="str">
            <v>L</v>
          </cell>
          <cell r="E42">
            <v>4</v>
          </cell>
          <cell r="G42">
            <v>20</v>
          </cell>
          <cell r="H42">
            <v>2</v>
          </cell>
          <cell r="K42">
            <v>2</v>
          </cell>
          <cell r="L42" t="str">
            <v>P</v>
          </cell>
        </row>
        <row r="43">
          <cell r="A43" t="str">
            <v>Club</v>
          </cell>
          <cell r="C43" t="str">
            <v>S</v>
          </cell>
          <cell r="D43" t="str">
            <v>O</v>
          </cell>
          <cell r="E43">
            <v>5</v>
          </cell>
          <cell r="G43">
            <v>20</v>
          </cell>
          <cell r="H43">
            <v>2</v>
          </cell>
          <cell r="J43">
            <v>10</v>
          </cell>
          <cell r="K43">
            <v>3</v>
          </cell>
          <cell r="L43" t="str">
            <v>B</v>
          </cell>
          <cell r="P43" t="b">
            <v>1</v>
          </cell>
        </row>
        <row r="44">
          <cell r="A44" t="str">
            <v>Club, Tigerskull</v>
          </cell>
          <cell r="C44" t="str">
            <v>E</v>
          </cell>
          <cell r="D44" t="str">
            <v>O</v>
          </cell>
          <cell r="E44">
            <v>6</v>
          </cell>
          <cell r="G44">
            <v>20</v>
          </cell>
          <cell r="H44">
            <v>4</v>
          </cell>
          <cell r="K44">
            <v>8</v>
          </cell>
          <cell r="L44" t="str">
            <v>B&amp;P</v>
          </cell>
        </row>
        <row r="45">
          <cell r="A45" t="str">
            <v>Courtblade, Elven</v>
          </cell>
          <cell r="C45" t="str">
            <v>E</v>
          </cell>
          <cell r="D45" t="str">
            <v>T</v>
          </cell>
          <cell r="E45">
            <v>7</v>
          </cell>
          <cell r="G45">
            <v>18</v>
          </cell>
          <cell r="H45">
            <v>2</v>
          </cell>
          <cell r="K45">
            <v>6</v>
          </cell>
          <cell r="L45" t="str">
            <v>P/S</v>
          </cell>
          <cell r="O45" t="str">
            <v>F</v>
          </cell>
          <cell r="P45" t="b">
            <v>0</v>
          </cell>
        </row>
        <row r="46">
          <cell r="A46" t="str">
            <v>Crossbow, Aquatic</v>
          </cell>
          <cell r="C46" t="str">
            <v>E</v>
          </cell>
          <cell r="D46" t="str">
            <v>R</v>
          </cell>
          <cell r="E46">
            <v>6</v>
          </cell>
          <cell r="G46">
            <v>19</v>
          </cell>
          <cell r="H46">
            <v>2</v>
          </cell>
          <cell r="J46">
            <v>40</v>
          </cell>
          <cell r="K46">
            <v>4</v>
          </cell>
          <cell r="L46" t="str">
            <v>P</v>
          </cell>
        </row>
        <row r="47">
          <cell r="A47" t="str">
            <v>Crossbow, Great</v>
          </cell>
          <cell r="C47" t="str">
            <v>E</v>
          </cell>
          <cell r="D47" t="str">
            <v>R</v>
          </cell>
          <cell r="E47">
            <v>11</v>
          </cell>
          <cell r="G47">
            <v>18</v>
          </cell>
          <cell r="H47">
            <v>2</v>
          </cell>
          <cell r="J47">
            <v>120</v>
          </cell>
          <cell r="K47">
            <v>14</v>
          </cell>
          <cell r="L47" t="str">
            <v>P</v>
          </cell>
        </row>
        <row r="48">
          <cell r="A48" t="str">
            <v>Crossbow, Hand</v>
          </cell>
          <cell r="C48" t="str">
            <v>E</v>
          </cell>
          <cell r="D48" t="str">
            <v>R</v>
          </cell>
          <cell r="E48">
            <v>4</v>
          </cell>
          <cell r="G48">
            <v>19</v>
          </cell>
          <cell r="H48">
            <v>2</v>
          </cell>
          <cell r="J48">
            <v>30</v>
          </cell>
          <cell r="K48">
            <v>2</v>
          </cell>
          <cell r="L48" t="str">
            <v>P</v>
          </cell>
          <cell r="O48" t="str">
            <v>O</v>
          </cell>
          <cell r="P48" t="e">
            <v>#REF!</v>
          </cell>
        </row>
        <row r="49">
          <cell r="A49" t="str">
            <v>Crossbow, Heavy</v>
          </cell>
          <cell r="C49" t="str">
            <v>S</v>
          </cell>
          <cell r="D49" t="str">
            <v>R</v>
          </cell>
          <cell r="E49">
            <v>7</v>
          </cell>
          <cell r="G49">
            <v>19</v>
          </cell>
          <cell r="H49">
            <v>2</v>
          </cell>
          <cell r="J49">
            <v>120</v>
          </cell>
          <cell r="K49">
            <v>8</v>
          </cell>
          <cell r="L49" t="str">
            <v>P</v>
          </cell>
          <cell r="P49" t="b">
            <v>1</v>
          </cell>
        </row>
        <row r="50">
          <cell r="A50" t="str">
            <v>Crossbow, Light</v>
          </cell>
          <cell r="C50" t="str">
            <v>S</v>
          </cell>
          <cell r="D50" t="str">
            <v>R</v>
          </cell>
          <cell r="E50">
            <v>6</v>
          </cell>
          <cell r="G50">
            <v>19</v>
          </cell>
          <cell r="H50">
            <v>2</v>
          </cell>
          <cell r="J50">
            <v>80</v>
          </cell>
          <cell r="K50">
            <v>4</v>
          </cell>
          <cell r="L50" t="str">
            <v>P</v>
          </cell>
          <cell r="P50" t="e">
            <v>#REF!</v>
          </cell>
        </row>
        <row r="51">
          <cell r="A51" t="str">
            <v>Crossbow, Repeating Heavy</v>
          </cell>
          <cell r="C51" t="str">
            <v>E</v>
          </cell>
          <cell r="D51" t="str">
            <v>R</v>
          </cell>
          <cell r="E51">
            <v>7</v>
          </cell>
          <cell r="G51">
            <v>19</v>
          </cell>
          <cell r="H51">
            <v>2</v>
          </cell>
          <cell r="J51">
            <v>120</v>
          </cell>
          <cell r="K51">
            <v>12</v>
          </cell>
          <cell r="L51" t="str">
            <v>P</v>
          </cell>
        </row>
        <row r="52">
          <cell r="A52" t="str">
            <v>Crossbow, Repeating Light</v>
          </cell>
          <cell r="C52" t="str">
            <v>E</v>
          </cell>
          <cell r="D52" t="str">
            <v>R</v>
          </cell>
          <cell r="E52">
            <v>6</v>
          </cell>
          <cell r="G52">
            <v>19</v>
          </cell>
          <cell r="H52">
            <v>2</v>
          </cell>
          <cell r="J52">
            <v>80</v>
          </cell>
          <cell r="K52">
            <v>6</v>
          </cell>
          <cell r="L52" t="str">
            <v>P</v>
          </cell>
        </row>
        <row r="53">
          <cell r="A53" t="str">
            <v>Crossbow, Staking</v>
          </cell>
          <cell r="C53" t="str">
            <v>E</v>
          </cell>
          <cell r="D53" t="str">
            <v>T</v>
          </cell>
          <cell r="E53">
            <v>8</v>
          </cell>
          <cell r="G53">
            <v>19</v>
          </cell>
          <cell r="H53">
            <v>2</v>
          </cell>
          <cell r="J53">
            <v>10</v>
          </cell>
          <cell r="K53">
            <v>15</v>
          </cell>
          <cell r="L53" t="str">
            <v>P</v>
          </cell>
        </row>
        <row r="54">
          <cell r="A54" t="str">
            <v>Cutlass</v>
          </cell>
          <cell r="C54" t="str">
            <v>M</v>
          </cell>
          <cell r="D54" t="str">
            <v>L</v>
          </cell>
          <cell r="E54">
            <v>5</v>
          </cell>
          <cell r="G54">
            <v>19</v>
          </cell>
          <cell r="H54">
            <v>2</v>
          </cell>
          <cell r="K54">
            <v>3</v>
          </cell>
          <cell r="L54" t="str">
            <v>S</v>
          </cell>
          <cell r="P54" t="b">
            <v>0</v>
          </cell>
        </row>
        <row r="55">
          <cell r="A55" t="str">
            <v>Dagger</v>
          </cell>
          <cell r="C55" t="str">
            <v>S</v>
          </cell>
          <cell r="D55" t="str">
            <v>L</v>
          </cell>
          <cell r="E55">
            <v>4</v>
          </cell>
          <cell r="G55">
            <v>19</v>
          </cell>
          <cell r="H55">
            <v>2</v>
          </cell>
          <cell r="J55">
            <v>10</v>
          </cell>
          <cell r="K55">
            <v>1</v>
          </cell>
          <cell r="L55" t="str">
            <v>P/S</v>
          </cell>
          <cell r="P55" t="e">
            <v>#REF!</v>
          </cell>
        </row>
        <row r="56">
          <cell r="A56" t="str">
            <v>Dagger, Barbed</v>
          </cell>
          <cell r="C56" t="str">
            <v>E</v>
          </cell>
          <cell r="D56" t="str">
            <v>L</v>
          </cell>
          <cell r="E56">
            <v>4</v>
          </cell>
          <cell r="G56">
            <v>19</v>
          </cell>
          <cell r="H56">
            <v>2</v>
          </cell>
          <cell r="K56">
            <v>1</v>
          </cell>
          <cell r="L56" t="str">
            <v>P</v>
          </cell>
          <cell r="P56" t="b">
            <v>0</v>
          </cell>
        </row>
        <row r="57">
          <cell r="A57" t="str">
            <v>Dagger, Punching</v>
          </cell>
          <cell r="C57" t="str">
            <v>S</v>
          </cell>
          <cell r="D57" t="str">
            <v>L</v>
          </cell>
          <cell r="E57">
            <v>4</v>
          </cell>
          <cell r="G57">
            <v>20</v>
          </cell>
          <cell r="H57">
            <v>3</v>
          </cell>
          <cell r="K57">
            <v>1</v>
          </cell>
          <cell r="L57" t="str">
            <v>P</v>
          </cell>
          <cell r="P57" t="b">
            <v>0</v>
          </cell>
        </row>
        <row r="58">
          <cell r="A58" t="str">
            <v>Dagger, Ribbon</v>
          </cell>
          <cell r="C58" t="str">
            <v>E</v>
          </cell>
          <cell r="D58" t="str">
            <v>L</v>
          </cell>
          <cell r="E58">
            <v>4</v>
          </cell>
          <cell r="G58">
            <v>20</v>
          </cell>
          <cell r="H58">
            <v>4</v>
          </cell>
          <cell r="K58">
            <v>1</v>
          </cell>
          <cell r="L58" t="str">
            <v>S</v>
          </cell>
          <cell r="P58" t="b">
            <v>0</v>
          </cell>
        </row>
        <row r="59">
          <cell r="A59" t="str">
            <v>Dagger, Triple</v>
          </cell>
          <cell r="C59" t="str">
            <v>E</v>
          </cell>
          <cell r="D59" t="str">
            <v>L</v>
          </cell>
          <cell r="E59">
            <v>4</v>
          </cell>
          <cell r="G59">
            <v>19</v>
          </cell>
          <cell r="H59">
            <v>2</v>
          </cell>
          <cell r="K59">
            <v>1</v>
          </cell>
          <cell r="L59" t="str">
            <v>P</v>
          </cell>
          <cell r="P59" t="b">
            <v>0</v>
          </cell>
        </row>
        <row r="60">
          <cell r="A60" t="str">
            <v>Dart</v>
          </cell>
          <cell r="C60" t="str">
            <v>S</v>
          </cell>
          <cell r="D60" t="str">
            <v>R</v>
          </cell>
          <cell r="E60">
            <v>4</v>
          </cell>
          <cell r="G60">
            <v>20</v>
          </cell>
          <cell r="H60">
            <v>2</v>
          </cell>
          <cell r="J60">
            <v>20</v>
          </cell>
          <cell r="K60">
            <v>0.5</v>
          </cell>
          <cell r="L60" t="str">
            <v>P</v>
          </cell>
          <cell r="O60" t="str">
            <v>T</v>
          </cell>
          <cell r="P60" t="e">
            <v>#REF!</v>
          </cell>
        </row>
        <row r="61">
          <cell r="A61" t="str">
            <v>Dart thruster</v>
          </cell>
          <cell r="C61" t="str">
            <v>M</v>
          </cell>
          <cell r="D61" t="str">
            <v>R</v>
          </cell>
          <cell r="E61">
            <v>4</v>
          </cell>
          <cell r="G61">
            <v>19</v>
          </cell>
          <cell r="H61">
            <v>2</v>
          </cell>
          <cell r="J61">
            <v>40</v>
          </cell>
          <cell r="K61">
            <v>1</v>
          </cell>
          <cell r="L61" t="str">
            <v>P</v>
          </cell>
        </row>
        <row r="62">
          <cell r="A62" t="str">
            <v>Double Bow, Elven</v>
          </cell>
          <cell r="C62" t="str">
            <v>E</v>
          </cell>
          <cell r="D62" t="str">
            <v>R</v>
          </cell>
          <cell r="E62">
            <v>6</v>
          </cell>
          <cell r="G62">
            <v>20</v>
          </cell>
          <cell r="H62">
            <v>3</v>
          </cell>
          <cell r="J62">
            <v>90</v>
          </cell>
          <cell r="K62">
            <v>3</v>
          </cell>
          <cell r="L62" t="str">
            <v>P</v>
          </cell>
          <cell r="O62" t="str">
            <v/>
          </cell>
          <cell r="P62" t="b">
            <v>0</v>
          </cell>
        </row>
        <row r="63">
          <cell r="A63" t="str">
            <v>Dragonsplit</v>
          </cell>
          <cell r="C63" t="str">
            <v>E</v>
          </cell>
          <cell r="D63" t="str">
            <v>L</v>
          </cell>
          <cell r="E63">
            <v>5</v>
          </cell>
          <cell r="F63">
            <v>5</v>
          </cell>
          <cell r="G63">
            <v>19</v>
          </cell>
          <cell r="H63">
            <v>2</v>
          </cell>
          <cell r="I63">
            <v>4</v>
          </cell>
          <cell r="K63">
            <v>2</v>
          </cell>
          <cell r="L63" t="str">
            <v>P/S</v>
          </cell>
        </row>
        <row r="64">
          <cell r="A64" t="str">
            <v>Dragon Pack</v>
          </cell>
          <cell r="C64" t="str">
            <v>E</v>
          </cell>
          <cell r="D64" t="str">
            <v>L</v>
          </cell>
          <cell r="J64">
            <v>20</v>
          </cell>
          <cell r="K64">
            <v>25</v>
          </cell>
        </row>
        <row r="65">
          <cell r="A65" t="str">
            <v>Drow long knife</v>
          </cell>
          <cell r="C65" t="str">
            <v>E</v>
          </cell>
          <cell r="D65" t="str">
            <v>R</v>
          </cell>
          <cell r="E65">
            <v>5</v>
          </cell>
          <cell r="G65">
            <v>19</v>
          </cell>
          <cell r="H65">
            <v>2</v>
          </cell>
          <cell r="J65">
            <v>10</v>
          </cell>
          <cell r="K65">
            <v>2</v>
          </cell>
          <cell r="L65" t="str">
            <v>P</v>
          </cell>
          <cell r="O65" t="str">
            <v/>
          </cell>
        </row>
        <row r="66">
          <cell r="A66" t="str">
            <v>Drow Scorpion Chain</v>
          </cell>
          <cell r="C66" t="str">
            <v>E</v>
          </cell>
          <cell r="D66" t="str">
            <v>T</v>
          </cell>
          <cell r="E66">
            <v>5</v>
          </cell>
          <cell r="G66">
            <v>19</v>
          </cell>
          <cell r="H66">
            <v>2</v>
          </cell>
          <cell r="K66">
            <v>12</v>
          </cell>
          <cell r="L66" t="str">
            <v>S</v>
          </cell>
          <cell r="O66" t="str">
            <v/>
          </cell>
        </row>
        <row r="67">
          <cell r="A67" t="str">
            <v>Duom</v>
          </cell>
          <cell r="C67" t="str">
            <v>E</v>
          </cell>
          <cell r="D67" t="str">
            <v>T</v>
          </cell>
          <cell r="E67">
            <v>6</v>
          </cell>
          <cell r="G67">
            <v>20</v>
          </cell>
          <cell r="H67">
            <v>3</v>
          </cell>
          <cell r="K67">
            <v>8</v>
          </cell>
          <cell r="L67" t="str">
            <v>P</v>
          </cell>
          <cell r="N67" t="b">
            <v>1</v>
          </cell>
        </row>
        <row r="68">
          <cell r="A68" t="str">
            <v>Etherblade</v>
          </cell>
          <cell r="C68" t="str">
            <v>E</v>
          </cell>
          <cell r="D68" t="str">
            <v>T</v>
          </cell>
          <cell r="E68">
            <v>7</v>
          </cell>
          <cell r="G68">
            <v>20</v>
          </cell>
          <cell r="H68">
            <v>2</v>
          </cell>
          <cell r="K68">
            <v>10</v>
          </cell>
          <cell r="L68" t="str">
            <v>S</v>
          </cell>
          <cell r="N68" t="b">
            <v>1</v>
          </cell>
          <cell r="P68" t="b">
            <v>0</v>
          </cell>
        </row>
        <row r="69">
          <cell r="A69" t="str">
            <v>Falchion</v>
          </cell>
          <cell r="C69" t="str">
            <v>M</v>
          </cell>
          <cell r="D69" t="str">
            <v>T</v>
          </cell>
          <cell r="E69">
            <v>9</v>
          </cell>
          <cell r="G69">
            <v>18</v>
          </cell>
          <cell r="H69">
            <v>2</v>
          </cell>
          <cell r="K69">
            <v>8</v>
          </cell>
          <cell r="L69" t="str">
            <v>S</v>
          </cell>
        </row>
        <row r="70">
          <cell r="A70" t="str">
            <v>Falchion, Great</v>
          </cell>
          <cell r="C70" t="str">
            <v>E</v>
          </cell>
          <cell r="D70" t="str">
            <v>T</v>
          </cell>
          <cell r="E70">
            <v>8</v>
          </cell>
          <cell r="G70">
            <v>18</v>
          </cell>
          <cell r="H70">
            <v>2</v>
          </cell>
          <cell r="K70">
            <v>12</v>
          </cell>
          <cell r="L70" t="str">
            <v>S</v>
          </cell>
        </row>
        <row r="71">
          <cell r="A71" t="str">
            <v>Fan, Collapsing Crescent</v>
          </cell>
          <cell r="C71" t="str">
            <v>E</v>
          </cell>
          <cell r="D71" t="str">
            <v>L</v>
          </cell>
          <cell r="E71">
            <v>5</v>
          </cell>
          <cell r="G71">
            <v>19</v>
          </cell>
          <cell r="H71">
            <v>2</v>
          </cell>
          <cell r="K71">
            <v>2</v>
          </cell>
          <cell r="L71" t="str">
            <v>S</v>
          </cell>
        </row>
        <row r="72">
          <cell r="A72" t="str">
            <v>Fan, War</v>
          </cell>
          <cell r="C72" t="str">
            <v>E</v>
          </cell>
          <cell r="D72" t="str">
            <v>O</v>
          </cell>
          <cell r="E72">
            <v>5</v>
          </cell>
          <cell r="G72">
            <v>20</v>
          </cell>
          <cell r="H72">
            <v>3</v>
          </cell>
          <cell r="K72">
            <v>3</v>
          </cell>
          <cell r="L72" t="str">
            <v>S</v>
          </cell>
          <cell r="P72" t="b">
            <v>0</v>
          </cell>
        </row>
        <row r="73">
          <cell r="A73" t="str">
            <v>Fingerblade</v>
          </cell>
          <cell r="C73" t="str">
            <v>E</v>
          </cell>
          <cell r="D73" t="str">
            <v>L</v>
          </cell>
          <cell r="E73">
            <v>5</v>
          </cell>
          <cell r="G73">
            <v>20</v>
          </cell>
          <cell r="H73">
            <v>3</v>
          </cell>
          <cell r="K73">
            <v>2</v>
          </cell>
          <cell r="L73" t="str">
            <v>P</v>
          </cell>
        </row>
        <row r="74">
          <cell r="A74" t="str">
            <v>Flail</v>
          </cell>
          <cell r="C74" t="str">
            <v>M</v>
          </cell>
          <cell r="D74" t="str">
            <v>O</v>
          </cell>
          <cell r="E74">
            <v>6</v>
          </cell>
          <cell r="G74">
            <v>20</v>
          </cell>
          <cell r="H74">
            <v>2</v>
          </cell>
          <cell r="K74">
            <v>5</v>
          </cell>
          <cell r="L74" t="str">
            <v>B</v>
          </cell>
        </row>
        <row r="75">
          <cell r="A75" t="str">
            <v>Flail, Dire</v>
          </cell>
          <cell r="C75" t="str">
            <v>E</v>
          </cell>
          <cell r="D75" t="str">
            <v>T</v>
          </cell>
          <cell r="E75">
            <v>6</v>
          </cell>
          <cell r="F75">
            <v>6</v>
          </cell>
          <cell r="G75">
            <v>20</v>
          </cell>
          <cell r="H75">
            <v>2</v>
          </cell>
          <cell r="I75">
            <v>2</v>
          </cell>
          <cell r="K75">
            <v>10</v>
          </cell>
          <cell r="L75" t="str">
            <v>B</v>
          </cell>
          <cell r="O75" t="str">
            <v/>
          </cell>
        </row>
        <row r="76">
          <cell r="A76" t="str">
            <v>Flail, Heavy</v>
          </cell>
          <cell r="C76" t="str">
            <v>M</v>
          </cell>
          <cell r="D76" t="str">
            <v>T</v>
          </cell>
          <cell r="E76">
            <v>7</v>
          </cell>
          <cell r="G76">
            <v>19</v>
          </cell>
          <cell r="H76">
            <v>2</v>
          </cell>
          <cell r="K76">
            <v>10</v>
          </cell>
          <cell r="L76" t="str">
            <v>B</v>
          </cell>
        </row>
        <row r="77">
          <cell r="A77" t="str">
            <v>Flindbar</v>
          </cell>
          <cell r="C77" t="str">
            <v>E</v>
          </cell>
          <cell r="D77" t="str">
            <v>O</v>
          </cell>
          <cell r="E77">
            <v>9</v>
          </cell>
          <cell r="G77">
            <v>19</v>
          </cell>
          <cell r="H77">
            <v>2</v>
          </cell>
          <cell r="K77">
            <v>2</v>
          </cell>
          <cell r="L77" t="str">
            <v>B</v>
          </cell>
          <cell r="P77" t="b">
            <v>0</v>
          </cell>
        </row>
        <row r="78">
          <cell r="A78" t="str">
            <v>Flutter blade</v>
          </cell>
          <cell r="C78" t="str">
            <v>E</v>
          </cell>
          <cell r="D78" t="str">
            <v>O</v>
          </cell>
          <cell r="E78">
            <v>4</v>
          </cell>
          <cell r="G78">
            <v>19</v>
          </cell>
          <cell r="H78">
            <v>3</v>
          </cell>
          <cell r="K78">
            <v>2</v>
          </cell>
          <cell r="L78" t="str">
            <v>P/S</v>
          </cell>
          <cell r="P78" t="b">
            <v>0</v>
          </cell>
        </row>
        <row r="79">
          <cell r="A79" t="str">
            <v>Foot spike</v>
          </cell>
          <cell r="C79" t="str">
            <v>E</v>
          </cell>
          <cell r="D79" t="str">
            <v>L</v>
          </cell>
          <cell r="E79">
            <v>4</v>
          </cell>
          <cell r="G79">
            <v>20</v>
          </cell>
          <cell r="H79">
            <v>3</v>
          </cell>
          <cell r="K79">
            <v>1</v>
          </cell>
          <cell r="L79" t="str">
            <v>P</v>
          </cell>
        </row>
        <row r="80">
          <cell r="A80" t="str">
            <v>Footbow</v>
          </cell>
          <cell r="C80" t="str">
            <v>E</v>
          </cell>
          <cell r="D80" t="str">
            <v>R</v>
          </cell>
          <cell r="E80">
            <v>6</v>
          </cell>
          <cell r="G80">
            <v>20</v>
          </cell>
          <cell r="H80">
            <v>3</v>
          </cell>
          <cell r="J80">
            <v>110</v>
          </cell>
          <cell r="K80">
            <v>3</v>
          </cell>
          <cell r="L80" t="str">
            <v>P</v>
          </cell>
        </row>
        <row r="81">
          <cell r="A81" t="str">
            <v>Fukimi-Bari</v>
          </cell>
          <cell r="C81" t="str">
            <v>E</v>
          </cell>
          <cell r="D81" t="str">
            <v>R</v>
          </cell>
          <cell r="E81">
            <v>1</v>
          </cell>
          <cell r="G81">
            <v>20</v>
          </cell>
          <cell r="H81">
            <v>2</v>
          </cell>
          <cell r="J81">
            <v>5</v>
          </cell>
          <cell r="K81">
            <v>0.1</v>
          </cell>
          <cell r="L81" t="str">
            <v>P</v>
          </cell>
          <cell r="O81" t="str">
            <v>T</v>
          </cell>
          <cell r="P81" t="b">
            <v>0</v>
          </cell>
        </row>
        <row r="82">
          <cell r="A82" t="str">
            <v>Fullblade</v>
          </cell>
          <cell r="C82" t="str">
            <v>E</v>
          </cell>
          <cell r="D82" t="str">
            <v>T</v>
          </cell>
          <cell r="E82">
            <v>11</v>
          </cell>
          <cell r="G82">
            <v>19</v>
          </cell>
          <cell r="H82">
            <v>2</v>
          </cell>
          <cell r="K82">
            <v>23</v>
          </cell>
          <cell r="L82" t="str">
            <v>S</v>
          </cell>
        </row>
        <row r="83">
          <cell r="A83" t="str">
            <v>Gauntlet</v>
          </cell>
          <cell r="C83" t="str">
            <v>S</v>
          </cell>
          <cell r="D83" t="str">
            <v>U</v>
          </cell>
          <cell r="E83">
            <v>3</v>
          </cell>
          <cell r="G83">
            <v>20</v>
          </cell>
          <cell r="H83">
            <v>2</v>
          </cell>
          <cell r="K83">
            <v>1</v>
          </cell>
          <cell r="L83" t="str">
            <v>B</v>
          </cell>
        </row>
        <row r="84">
          <cell r="A84" t="str">
            <v>Gauntlet, Bladed</v>
          </cell>
          <cell r="C84" t="str">
            <v>E</v>
          </cell>
          <cell r="D84" t="str">
            <v>L</v>
          </cell>
          <cell r="E84">
            <v>5</v>
          </cell>
          <cell r="G84">
            <v>19</v>
          </cell>
          <cell r="H84">
            <v>2</v>
          </cell>
          <cell r="K84">
            <v>4</v>
          </cell>
          <cell r="L84" t="str">
            <v>S</v>
          </cell>
        </row>
        <row r="85">
          <cell r="A85" t="str">
            <v>Gauntlet, Scorpion Claw</v>
          </cell>
          <cell r="C85" t="str">
            <v>E</v>
          </cell>
          <cell r="D85" t="str">
            <v>L</v>
          </cell>
          <cell r="E85">
            <v>5</v>
          </cell>
          <cell r="G85">
            <v>20</v>
          </cell>
          <cell r="H85">
            <v>2</v>
          </cell>
          <cell r="K85">
            <v>6</v>
          </cell>
          <cell r="L85" t="str">
            <v>S</v>
          </cell>
        </row>
        <row r="86">
          <cell r="A86" t="str">
            <v>Gauntlet, Spiked</v>
          </cell>
          <cell r="C86" t="str">
            <v>S</v>
          </cell>
          <cell r="D86" t="str">
            <v>L</v>
          </cell>
          <cell r="E86">
            <v>4</v>
          </cell>
          <cell r="G86">
            <v>20</v>
          </cell>
          <cell r="H86">
            <v>2</v>
          </cell>
          <cell r="K86">
            <v>1</v>
          </cell>
          <cell r="L86" t="str">
            <v>P</v>
          </cell>
        </row>
        <row r="87">
          <cell r="A87" t="str">
            <v>Gauntlet, Spring-Loaded</v>
          </cell>
          <cell r="C87" t="str">
            <v>E</v>
          </cell>
          <cell r="D87" t="str">
            <v>R</v>
          </cell>
          <cell r="E87">
            <v>4</v>
          </cell>
          <cell r="G87">
            <v>20</v>
          </cell>
          <cell r="H87">
            <v>2</v>
          </cell>
          <cell r="J87">
            <v>20</v>
          </cell>
          <cell r="K87">
            <v>4</v>
          </cell>
          <cell r="L87" t="str">
            <v>P</v>
          </cell>
        </row>
        <row r="88">
          <cell r="A88" t="str">
            <v>Glaive</v>
          </cell>
          <cell r="C88" t="str">
            <v>M</v>
          </cell>
          <cell r="D88" t="str">
            <v>T</v>
          </cell>
          <cell r="E88">
            <v>7</v>
          </cell>
          <cell r="G88">
            <v>20</v>
          </cell>
          <cell r="H88">
            <v>3</v>
          </cell>
          <cell r="K88">
            <v>10</v>
          </cell>
          <cell r="L88" t="str">
            <v>S</v>
          </cell>
          <cell r="N88" t="b">
            <v>1</v>
          </cell>
        </row>
        <row r="89">
          <cell r="A89" t="str">
            <v>Glot</v>
          </cell>
          <cell r="C89" t="str">
            <v>E</v>
          </cell>
          <cell r="D89" t="str">
            <v>R</v>
          </cell>
          <cell r="E89">
            <v>4</v>
          </cell>
          <cell r="G89">
            <v>18</v>
          </cell>
          <cell r="H89">
            <v>2</v>
          </cell>
          <cell r="J89">
            <v>10</v>
          </cell>
          <cell r="K89">
            <v>1</v>
          </cell>
          <cell r="L89" t="str">
            <v>B</v>
          </cell>
        </row>
        <row r="90">
          <cell r="A90" t="str">
            <v>Goad</v>
          </cell>
          <cell r="C90" t="str">
            <v>E</v>
          </cell>
          <cell r="D90" t="str">
            <v>T</v>
          </cell>
          <cell r="E90">
            <v>9</v>
          </cell>
          <cell r="G90">
            <v>20</v>
          </cell>
          <cell r="H90">
            <v>2</v>
          </cell>
          <cell r="K90">
            <v>10</v>
          </cell>
          <cell r="L90" t="str">
            <v>B/P</v>
          </cell>
        </row>
        <row r="91">
          <cell r="A91" t="str">
            <v>Greataxe</v>
          </cell>
          <cell r="C91" t="str">
            <v>M</v>
          </cell>
          <cell r="D91" t="str">
            <v>T</v>
          </cell>
          <cell r="E91">
            <v>8</v>
          </cell>
          <cell r="G91">
            <v>20</v>
          </cell>
          <cell r="H91">
            <v>3</v>
          </cell>
          <cell r="K91">
            <v>12</v>
          </cell>
          <cell r="L91" t="str">
            <v>S</v>
          </cell>
          <cell r="P91" t="b">
            <v>0</v>
          </cell>
        </row>
        <row r="92">
          <cell r="A92" t="str">
            <v>Greatbow</v>
          </cell>
          <cell r="C92" t="str">
            <v>E</v>
          </cell>
          <cell r="D92" t="str">
            <v>R</v>
          </cell>
          <cell r="E92">
            <v>7</v>
          </cell>
          <cell r="G92">
            <v>20</v>
          </cell>
          <cell r="H92">
            <v>3</v>
          </cell>
          <cell r="J92">
            <v>120</v>
          </cell>
          <cell r="K92">
            <v>6</v>
          </cell>
          <cell r="L92" t="str">
            <v>P</v>
          </cell>
        </row>
        <row r="93">
          <cell r="A93" t="str">
            <v>Greatbow, Composite</v>
          </cell>
          <cell r="C93" t="str">
            <v>E</v>
          </cell>
          <cell r="D93" t="str">
            <v>R</v>
          </cell>
          <cell r="E93">
            <v>7</v>
          </cell>
          <cell r="G93">
            <v>20</v>
          </cell>
          <cell r="H93">
            <v>3</v>
          </cell>
          <cell r="J93">
            <v>130</v>
          </cell>
          <cell r="K93">
            <v>6</v>
          </cell>
          <cell r="L93" t="str">
            <v>P</v>
          </cell>
          <cell r="O93" t="str">
            <v>M</v>
          </cell>
        </row>
        <row r="94">
          <cell r="A94" t="str">
            <v>Greatclub</v>
          </cell>
          <cell r="C94" t="str">
            <v>M</v>
          </cell>
          <cell r="D94" t="str">
            <v>T</v>
          </cell>
          <cell r="E94">
            <v>7</v>
          </cell>
          <cell r="G94">
            <v>20</v>
          </cell>
          <cell r="H94">
            <v>2</v>
          </cell>
          <cell r="K94">
            <v>8</v>
          </cell>
          <cell r="L94" t="str">
            <v>B</v>
          </cell>
          <cell r="P94" t="b">
            <v>0</v>
          </cell>
        </row>
        <row r="95">
          <cell r="A95" t="str">
            <v>Greathammer, Goliath</v>
          </cell>
          <cell r="C95" t="str">
            <v>E</v>
          </cell>
          <cell r="D95" t="str">
            <v>T</v>
          </cell>
          <cell r="E95">
            <v>8</v>
          </cell>
          <cell r="G95">
            <v>20</v>
          </cell>
          <cell r="H95">
            <v>4</v>
          </cell>
          <cell r="K95">
            <v>30</v>
          </cell>
          <cell r="L95" t="str">
            <v>B</v>
          </cell>
          <cell r="O95" t="str">
            <v/>
          </cell>
          <cell r="P95" t="b">
            <v>0</v>
          </cell>
        </row>
        <row r="96">
          <cell r="A96" t="str">
            <v>Greatspear</v>
          </cell>
          <cell r="C96" t="str">
            <v>E</v>
          </cell>
          <cell r="D96" t="str">
            <v>T</v>
          </cell>
          <cell r="E96">
            <v>10</v>
          </cell>
          <cell r="G96">
            <v>20</v>
          </cell>
          <cell r="H96">
            <v>3</v>
          </cell>
          <cell r="J96">
            <v>10</v>
          </cell>
          <cell r="K96">
            <v>9</v>
          </cell>
          <cell r="L96" t="str">
            <v>P</v>
          </cell>
        </row>
        <row r="97">
          <cell r="A97" t="str">
            <v>Greatsword</v>
          </cell>
          <cell r="C97" t="str">
            <v>M</v>
          </cell>
          <cell r="D97" t="str">
            <v>T</v>
          </cell>
          <cell r="E97">
            <v>10</v>
          </cell>
          <cell r="G97">
            <v>19</v>
          </cell>
          <cell r="H97">
            <v>2</v>
          </cell>
          <cell r="K97">
            <v>8</v>
          </cell>
          <cell r="L97" t="str">
            <v>S</v>
          </cell>
          <cell r="P97" t="b">
            <v>0</v>
          </cell>
        </row>
        <row r="98">
          <cell r="A98" t="str">
            <v>Greatsword, Mercurial</v>
          </cell>
          <cell r="C98" t="str">
            <v>E</v>
          </cell>
          <cell r="D98" t="str">
            <v>T</v>
          </cell>
          <cell r="E98">
            <v>10</v>
          </cell>
          <cell r="G98">
            <v>20</v>
          </cell>
          <cell r="H98">
            <v>4</v>
          </cell>
          <cell r="K98">
            <v>17</v>
          </cell>
          <cell r="L98" t="str">
            <v>S</v>
          </cell>
        </row>
        <row r="99">
          <cell r="A99" t="str">
            <v>Guisarme</v>
          </cell>
          <cell r="C99" t="str">
            <v>M</v>
          </cell>
          <cell r="D99" t="str">
            <v>T</v>
          </cell>
          <cell r="E99">
            <v>9</v>
          </cell>
          <cell r="G99">
            <v>20</v>
          </cell>
          <cell r="H99">
            <v>3</v>
          </cell>
          <cell r="K99">
            <v>12</v>
          </cell>
          <cell r="L99" t="str">
            <v>S</v>
          </cell>
          <cell r="N99" t="b">
            <v>1</v>
          </cell>
        </row>
        <row r="100">
          <cell r="A100" t="str">
            <v>Gyrspike</v>
          </cell>
          <cell r="C100" t="str">
            <v>E</v>
          </cell>
          <cell r="D100" t="str">
            <v>T</v>
          </cell>
          <cell r="E100">
            <v>6</v>
          </cell>
          <cell r="F100">
            <v>6</v>
          </cell>
          <cell r="G100">
            <v>19</v>
          </cell>
          <cell r="H100">
            <v>2</v>
          </cell>
          <cell r="I100">
            <v>6</v>
          </cell>
          <cell r="K100">
            <v>20</v>
          </cell>
          <cell r="L100" t="str">
            <v>B/S</v>
          </cell>
        </row>
        <row r="101">
          <cell r="A101" t="str">
            <v>Gythka</v>
          </cell>
          <cell r="C101" t="str">
            <v>E</v>
          </cell>
          <cell r="D101" t="str">
            <v>T</v>
          </cell>
          <cell r="E101">
            <v>7</v>
          </cell>
          <cell r="F101">
            <v>7</v>
          </cell>
          <cell r="G101">
            <v>20</v>
          </cell>
          <cell r="H101">
            <v>2</v>
          </cell>
          <cell r="I101">
            <v>2</v>
          </cell>
          <cell r="K101">
            <v>25</v>
          </cell>
          <cell r="L101" t="str">
            <v>S</v>
          </cell>
          <cell r="O101" t="str">
            <v/>
          </cell>
          <cell r="P101" t="b">
            <v>0</v>
          </cell>
        </row>
        <row r="102">
          <cell r="A102" t="str">
            <v>Halberd</v>
          </cell>
          <cell r="C102" t="str">
            <v>M</v>
          </cell>
          <cell r="D102" t="str">
            <v>T</v>
          </cell>
          <cell r="E102">
            <v>7</v>
          </cell>
          <cell r="G102">
            <v>20</v>
          </cell>
          <cell r="H102">
            <v>3</v>
          </cell>
          <cell r="K102">
            <v>12</v>
          </cell>
          <cell r="L102" t="str">
            <v>P/S</v>
          </cell>
        </row>
        <row r="103">
          <cell r="A103" t="str">
            <v>Hammer, Double</v>
          </cell>
          <cell r="C103" t="str">
            <v>E</v>
          </cell>
          <cell r="D103" t="str">
            <v>T</v>
          </cell>
          <cell r="E103">
            <v>6</v>
          </cell>
          <cell r="F103">
            <v>6</v>
          </cell>
          <cell r="G103">
            <v>20</v>
          </cell>
          <cell r="H103">
            <v>3</v>
          </cell>
          <cell r="I103">
            <v>3</v>
          </cell>
          <cell r="K103">
            <v>18</v>
          </cell>
          <cell r="L103" t="str">
            <v>B</v>
          </cell>
        </row>
        <row r="104">
          <cell r="A104" t="str">
            <v>Hammer, Gnome Hooked</v>
          </cell>
          <cell r="C104" t="str">
            <v>E</v>
          </cell>
          <cell r="D104" t="str">
            <v>T</v>
          </cell>
          <cell r="E104">
            <v>6</v>
          </cell>
          <cell r="F104">
            <v>5</v>
          </cell>
          <cell r="G104">
            <v>20</v>
          </cell>
          <cell r="H104">
            <v>3</v>
          </cell>
          <cell r="I104">
            <v>4</v>
          </cell>
          <cell r="K104">
            <v>6</v>
          </cell>
          <cell r="L104" t="str">
            <v>B/P</v>
          </cell>
          <cell r="O104" t="str">
            <v/>
          </cell>
          <cell r="P104" t="b">
            <v>0</v>
          </cell>
        </row>
        <row r="105">
          <cell r="A105" t="str">
            <v>Hammer, Light</v>
          </cell>
          <cell r="C105" t="str">
            <v>M</v>
          </cell>
          <cell r="D105" t="str">
            <v>L</v>
          </cell>
          <cell r="E105">
            <v>4</v>
          </cell>
          <cell r="G105">
            <v>20</v>
          </cell>
          <cell r="H105">
            <v>2</v>
          </cell>
          <cell r="J105">
            <v>20</v>
          </cell>
          <cell r="K105">
            <v>2</v>
          </cell>
          <cell r="L105" t="str">
            <v>B</v>
          </cell>
        </row>
        <row r="106">
          <cell r="A106" t="str">
            <v>Hammer, Lucerne</v>
          </cell>
          <cell r="C106" t="str">
            <v>M</v>
          </cell>
          <cell r="D106" t="str">
            <v>T</v>
          </cell>
          <cell r="E106">
            <v>9</v>
          </cell>
          <cell r="G106">
            <v>20</v>
          </cell>
          <cell r="H106">
            <v>4</v>
          </cell>
          <cell r="K106">
            <v>10</v>
          </cell>
          <cell r="L106" t="str">
            <v>P</v>
          </cell>
          <cell r="N106" t="b">
            <v>1</v>
          </cell>
        </row>
        <row r="107">
          <cell r="A107" t="str">
            <v>Hammer, Throwing</v>
          </cell>
          <cell r="C107" t="str">
            <v>E</v>
          </cell>
          <cell r="D107" t="str">
            <v>L</v>
          </cell>
          <cell r="E107">
            <v>5</v>
          </cell>
          <cell r="G107">
            <v>20</v>
          </cell>
          <cell r="H107">
            <v>2</v>
          </cell>
          <cell r="J107">
            <v>20</v>
          </cell>
          <cell r="K107">
            <v>2</v>
          </cell>
          <cell r="L107" t="str">
            <v>B</v>
          </cell>
        </row>
        <row r="108">
          <cell r="A108" t="str">
            <v>Handaxe</v>
          </cell>
          <cell r="C108" t="str">
            <v>M</v>
          </cell>
          <cell r="D108" t="str">
            <v>L</v>
          </cell>
          <cell r="E108">
            <v>5</v>
          </cell>
          <cell r="G108">
            <v>20</v>
          </cell>
          <cell r="H108">
            <v>3</v>
          </cell>
          <cell r="K108">
            <v>3</v>
          </cell>
          <cell r="L108" t="str">
            <v>S</v>
          </cell>
          <cell r="P108" t="e">
            <v>#REF!</v>
          </cell>
        </row>
        <row r="109">
          <cell r="A109" t="str">
            <v>Harpoon</v>
          </cell>
          <cell r="C109" t="str">
            <v>E</v>
          </cell>
          <cell r="D109" t="str">
            <v>R</v>
          </cell>
          <cell r="E109">
            <v>7</v>
          </cell>
          <cell r="G109">
            <v>20</v>
          </cell>
          <cell r="H109">
            <v>2</v>
          </cell>
          <cell r="J109">
            <v>30</v>
          </cell>
          <cell r="K109">
            <v>10</v>
          </cell>
          <cell r="L109" t="str">
            <v>P</v>
          </cell>
        </row>
        <row r="110">
          <cell r="A110" t="str">
            <v>Icechucker</v>
          </cell>
          <cell r="C110" t="str">
            <v>E</v>
          </cell>
          <cell r="D110" t="str">
            <v>R</v>
          </cell>
          <cell r="E110">
            <v>8</v>
          </cell>
          <cell r="G110">
            <v>20</v>
          </cell>
          <cell r="H110">
            <v>3</v>
          </cell>
          <cell r="J110">
            <v>30</v>
          </cell>
          <cell r="K110">
            <v>12</v>
          </cell>
          <cell r="L110" t="str">
            <v>P</v>
          </cell>
        </row>
        <row r="111">
          <cell r="A111" t="str">
            <v>Iron, Throwing</v>
          </cell>
          <cell r="C111" t="str">
            <v>E</v>
          </cell>
          <cell r="D111" t="str">
            <v>R</v>
          </cell>
          <cell r="E111">
            <v>5</v>
          </cell>
          <cell r="G111">
            <v>20</v>
          </cell>
          <cell r="H111">
            <v>3</v>
          </cell>
          <cell r="J111">
            <v>10</v>
          </cell>
          <cell r="K111">
            <v>3</v>
          </cell>
          <cell r="L111" t="str">
            <v>S</v>
          </cell>
          <cell r="O111" t="str">
            <v>T</v>
          </cell>
        </row>
        <row r="112">
          <cell r="A112" t="str">
            <v>Iuak</v>
          </cell>
          <cell r="C112" t="str">
            <v>E</v>
          </cell>
          <cell r="D112" t="str">
            <v>O</v>
          </cell>
          <cell r="E112">
            <v>5</v>
          </cell>
          <cell r="G112">
            <v>19</v>
          </cell>
          <cell r="H112">
            <v>2</v>
          </cell>
          <cell r="K112">
            <v>4</v>
          </cell>
          <cell r="L112" t="str">
            <v>S</v>
          </cell>
        </row>
        <row r="113">
          <cell r="A113" t="str">
            <v>Javelin</v>
          </cell>
          <cell r="C113" t="str">
            <v>S</v>
          </cell>
          <cell r="D113" t="str">
            <v>R</v>
          </cell>
          <cell r="E113">
            <v>5</v>
          </cell>
          <cell r="G113">
            <v>20</v>
          </cell>
          <cell r="H113">
            <v>2</v>
          </cell>
          <cell r="J113">
            <v>30</v>
          </cell>
          <cell r="K113">
            <v>2</v>
          </cell>
          <cell r="L113" t="str">
            <v>P</v>
          </cell>
          <cell r="O113" t="str">
            <v>T</v>
          </cell>
          <cell r="P113" t="b">
            <v>0</v>
          </cell>
        </row>
        <row r="114">
          <cell r="A114" t="str">
            <v>Javelin, Spinning</v>
          </cell>
          <cell r="C114" t="str">
            <v>E</v>
          </cell>
          <cell r="D114" t="str">
            <v>R</v>
          </cell>
          <cell r="E114">
            <v>6</v>
          </cell>
          <cell r="G114">
            <v>19</v>
          </cell>
          <cell r="H114">
            <v>2</v>
          </cell>
          <cell r="J114">
            <v>50</v>
          </cell>
          <cell r="K114">
            <v>2</v>
          </cell>
          <cell r="L114" t="str">
            <v>P</v>
          </cell>
          <cell r="O114" t="str">
            <v>T</v>
          </cell>
        </row>
        <row r="115">
          <cell r="A115" t="str">
            <v>Jitte</v>
          </cell>
          <cell r="B115" t="str">
            <v>OA</v>
          </cell>
          <cell r="C115" t="str">
            <v>E</v>
          </cell>
          <cell r="D115" t="str">
            <v>L</v>
          </cell>
          <cell r="E115">
            <v>4</v>
          </cell>
          <cell r="G115">
            <v>30</v>
          </cell>
          <cell r="H115">
            <v>2</v>
          </cell>
          <cell r="K115">
            <v>2</v>
          </cell>
          <cell r="L115" t="str">
            <v>B</v>
          </cell>
          <cell r="O115" t="str">
            <v>U</v>
          </cell>
          <cell r="P115" t="b">
            <v>0</v>
          </cell>
        </row>
        <row r="116">
          <cell r="A116" t="str">
            <v>Jovar</v>
          </cell>
          <cell r="C116" t="str">
            <v>E</v>
          </cell>
          <cell r="D116" t="str">
            <v>T</v>
          </cell>
          <cell r="E116">
            <v>10</v>
          </cell>
          <cell r="G116">
            <v>18</v>
          </cell>
          <cell r="H116">
            <v>2</v>
          </cell>
          <cell r="K116">
            <v>13</v>
          </cell>
          <cell r="L116" t="str">
            <v>S</v>
          </cell>
        </row>
        <row r="117">
          <cell r="A117" t="str">
            <v>Kama</v>
          </cell>
          <cell r="C117" t="str">
            <v>E</v>
          </cell>
          <cell r="D117" t="str">
            <v>L</v>
          </cell>
          <cell r="E117">
            <v>5</v>
          </cell>
          <cell r="G117">
            <v>20</v>
          </cell>
          <cell r="H117">
            <v>2</v>
          </cell>
          <cell r="K117">
            <v>2</v>
          </cell>
          <cell r="L117" t="str">
            <v>S</v>
          </cell>
          <cell r="O117" t="str">
            <v>U</v>
          </cell>
          <cell r="P117" t="b">
            <v>0</v>
          </cell>
        </row>
        <row r="118">
          <cell r="A118" t="str">
            <v>Katana</v>
          </cell>
          <cell r="B118" t="str">
            <v>OA</v>
          </cell>
          <cell r="C118" t="str">
            <v>E</v>
          </cell>
          <cell r="D118" t="str">
            <v>O</v>
          </cell>
          <cell r="E118">
            <v>7</v>
          </cell>
          <cell r="G118">
            <v>19</v>
          </cell>
          <cell r="H118">
            <v>2</v>
          </cell>
          <cell r="K118">
            <v>6</v>
          </cell>
          <cell r="L118" t="str">
            <v>S</v>
          </cell>
          <cell r="O118" t="str">
            <v>X</v>
          </cell>
          <cell r="P118" t="b">
            <v>0</v>
          </cell>
        </row>
        <row r="119">
          <cell r="A119" t="str">
            <v>Kau Sin Ke</v>
          </cell>
          <cell r="B119" t="str">
            <v>OA</v>
          </cell>
          <cell r="C119" t="str">
            <v>E</v>
          </cell>
          <cell r="D119" t="str">
            <v>O</v>
          </cell>
          <cell r="E119">
            <v>6</v>
          </cell>
          <cell r="G119">
            <v>20</v>
          </cell>
          <cell r="H119">
            <v>2</v>
          </cell>
          <cell r="K119">
            <v>4</v>
          </cell>
          <cell r="L119" t="str">
            <v>B</v>
          </cell>
        </row>
        <row r="120">
          <cell r="A120" t="str">
            <v>Kawanaga</v>
          </cell>
          <cell r="B120" t="str">
            <v>OA</v>
          </cell>
          <cell r="C120" t="str">
            <v>E</v>
          </cell>
          <cell r="D120" t="str">
            <v>O</v>
          </cell>
          <cell r="E120">
            <v>3</v>
          </cell>
          <cell r="F120">
            <v>3</v>
          </cell>
          <cell r="G120">
            <v>20</v>
          </cell>
          <cell r="H120">
            <v>2</v>
          </cell>
          <cell r="K120">
            <v>1</v>
          </cell>
          <cell r="L120" t="str">
            <v>S/B</v>
          </cell>
          <cell r="N120" t="b">
            <v>1</v>
          </cell>
        </row>
        <row r="121">
          <cell r="A121" t="str">
            <v>Khopesh</v>
          </cell>
          <cell r="C121" t="str">
            <v>E</v>
          </cell>
          <cell r="D121" t="str">
            <v>O</v>
          </cell>
          <cell r="E121">
            <v>5</v>
          </cell>
          <cell r="G121">
            <v>18</v>
          </cell>
          <cell r="H121">
            <v>2</v>
          </cell>
          <cell r="K121">
            <v>4</v>
          </cell>
          <cell r="L121" t="str">
            <v>S</v>
          </cell>
        </row>
        <row r="122">
          <cell r="A122" t="str">
            <v>Khopesh, Double</v>
          </cell>
          <cell r="C122" t="str">
            <v>E</v>
          </cell>
          <cell r="D122" t="str">
            <v>T</v>
          </cell>
          <cell r="E122">
            <v>5</v>
          </cell>
          <cell r="F122">
            <v>5</v>
          </cell>
          <cell r="G122">
            <v>18</v>
          </cell>
          <cell r="H122">
            <v>2</v>
          </cell>
          <cell r="I122">
            <v>2</v>
          </cell>
          <cell r="K122">
            <v>8</v>
          </cell>
          <cell r="L122" t="str">
            <v>S</v>
          </cell>
        </row>
        <row r="123">
          <cell r="A123" t="str">
            <v>Knife, Drow Long</v>
          </cell>
          <cell r="C123" t="str">
            <v>E</v>
          </cell>
          <cell r="D123" t="str">
            <v>L</v>
          </cell>
          <cell r="E123">
            <v>5</v>
          </cell>
          <cell r="G123">
            <v>19</v>
          </cell>
          <cell r="H123">
            <v>2</v>
          </cell>
          <cell r="J123">
            <v>10</v>
          </cell>
          <cell r="K123">
            <v>2</v>
          </cell>
          <cell r="L123" t="str">
            <v>P</v>
          </cell>
          <cell r="P123" t="b">
            <v>0</v>
          </cell>
        </row>
        <row r="124">
          <cell r="A124" t="str">
            <v>Knife, Stump</v>
          </cell>
          <cell r="C124" t="str">
            <v>E</v>
          </cell>
          <cell r="D124" t="str">
            <v>L</v>
          </cell>
          <cell r="E124">
            <v>4</v>
          </cell>
          <cell r="G124">
            <v>19</v>
          </cell>
          <cell r="H124">
            <v>2</v>
          </cell>
          <cell r="K124">
            <v>2</v>
          </cell>
          <cell r="L124" t="str">
            <v>P</v>
          </cell>
        </row>
        <row r="125">
          <cell r="A125" t="str">
            <v>Kukri</v>
          </cell>
          <cell r="C125" t="str">
            <v>M</v>
          </cell>
          <cell r="D125" t="str">
            <v>L</v>
          </cell>
          <cell r="E125">
            <v>4</v>
          </cell>
          <cell r="G125">
            <v>18</v>
          </cell>
          <cell r="H125">
            <v>2</v>
          </cell>
          <cell r="K125">
            <v>3</v>
          </cell>
          <cell r="L125" t="str">
            <v>S</v>
          </cell>
          <cell r="P125" t="b">
            <v>0</v>
          </cell>
        </row>
        <row r="126">
          <cell r="A126" t="str">
            <v>Kusari-Gama</v>
          </cell>
          <cell r="B126" t="str">
            <v>OA</v>
          </cell>
          <cell r="C126" t="str">
            <v>E</v>
          </cell>
          <cell r="D126" t="str">
            <v>T</v>
          </cell>
          <cell r="E126">
            <v>5</v>
          </cell>
          <cell r="F126">
            <v>4</v>
          </cell>
          <cell r="G126">
            <v>20</v>
          </cell>
          <cell r="H126">
            <v>2</v>
          </cell>
          <cell r="I126">
            <v>2</v>
          </cell>
          <cell r="K126">
            <v>3</v>
          </cell>
          <cell r="L126" t="str">
            <v>S/B</v>
          </cell>
          <cell r="N126" t="b">
            <v>1</v>
          </cell>
          <cell r="O126" t="str">
            <v>F</v>
          </cell>
          <cell r="P126" t="b">
            <v>0</v>
          </cell>
        </row>
        <row r="127">
          <cell r="A127" t="str">
            <v>Kylie</v>
          </cell>
          <cell r="C127" t="str">
            <v>E</v>
          </cell>
          <cell r="D127" t="str">
            <v>R</v>
          </cell>
          <cell r="E127">
            <v>5</v>
          </cell>
          <cell r="G127">
            <v>20</v>
          </cell>
          <cell r="H127">
            <v>2</v>
          </cell>
          <cell r="J127">
            <v>20</v>
          </cell>
          <cell r="K127">
            <v>5</v>
          </cell>
          <cell r="L127" t="str">
            <v>B</v>
          </cell>
        </row>
        <row r="128">
          <cell r="A128" t="str">
            <v>Lajatang</v>
          </cell>
          <cell r="B128" t="str">
            <v>OA</v>
          </cell>
          <cell r="C128" t="str">
            <v>E</v>
          </cell>
          <cell r="D128" t="str">
            <v>T</v>
          </cell>
          <cell r="E128">
            <v>6</v>
          </cell>
          <cell r="F128">
            <v>6</v>
          </cell>
          <cell r="G128">
            <v>20</v>
          </cell>
          <cell r="H128">
            <v>2</v>
          </cell>
          <cell r="I128">
            <v>2</v>
          </cell>
          <cell r="K128">
            <v>7</v>
          </cell>
          <cell r="L128" t="str">
            <v>S</v>
          </cell>
          <cell r="O128" t="str">
            <v>U</v>
          </cell>
        </row>
        <row r="129">
          <cell r="A129" t="str">
            <v>Lance</v>
          </cell>
          <cell r="C129" t="str">
            <v>M</v>
          </cell>
          <cell r="D129" t="str">
            <v>T</v>
          </cell>
          <cell r="E129">
            <v>6</v>
          </cell>
          <cell r="G129">
            <v>20</v>
          </cell>
          <cell r="H129">
            <v>3</v>
          </cell>
          <cell r="K129">
            <v>10</v>
          </cell>
          <cell r="L129" t="str">
            <v>P</v>
          </cell>
          <cell r="N129" t="b">
            <v>1</v>
          </cell>
          <cell r="P129" t="b">
            <v>0</v>
          </cell>
        </row>
        <row r="130">
          <cell r="A130" t="str">
            <v>Lancet, Gehennan</v>
          </cell>
          <cell r="C130" t="str">
            <v>M</v>
          </cell>
          <cell r="D130" t="str">
            <v>L</v>
          </cell>
          <cell r="E130">
            <v>4</v>
          </cell>
          <cell r="G130">
            <v>18</v>
          </cell>
          <cell r="H130">
            <v>2</v>
          </cell>
          <cell r="K130">
            <v>3</v>
          </cell>
          <cell r="L130" t="str">
            <v>P</v>
          </cell>
        </row>
        <row r="131">
          <cell r="A131" t="str">
            <v>Lightblade, Elven</v>
          </cell>
          <cell r="C131" t="str">
            <v>E</v>
          </cell>
          <cell r="D131" t="str">
            <v>L</v>
          </cell>
          <cell r="E131">
            <v>5</v>
          </cell>
          <cell r="G131">
            <v>18</v>
          </cell>
          <cell r="H131">
            <v>2</v>
          </cell>
          <cell r="K131">
            <v>1</v>
          </cell>
          <cell r="L131" t="str">
            <v>P</v>
          </cell>
          <cell r="O131" t="str">
            <v/>
          </cell>
          <cell r="P131" t="b">
            <v>0</v>
          </cell>
        </row>
        <row r="132">
          <cell r="A132" t="str">
            <v>Longaxe</v>
          </cell>
          <cell r="C132" t="str">
            <v>E</v>
          </cell>
          <cell r="D132" t="str">
            <v>T</v>
          </cell>
          <cell r="E132">
            <v>8</v>
          </cell>
          <cell r="G132">
            <v>20</v>
          </cell>
          <cell r="H132">
            <v>3</v>
          </cell>
          <cell r="K132">
            <v>15</v>
          </cell>
          <cell r="L132" t="str">
            <v>S</v>
          </cell>
        </row>
        <row r="133">
          <cell r="A133" t="str">
            <v>Longbow</v>
          </cell>
          <cell r="C133" t="str">
            <v>M</v>
          </cell>
          <cell r="D133" t="str">
            <v>R</v>
          </cell>
          <cell r="E133">
            <v>6</v>
          </cell>
          <cell r="G133">
            <v>20</v>
          </cell>
          <cell r="H133">
            <v>3</v>
          </cell>
          <cell r="J133">
            <v>100</v>
          </cell>
          <cell r="K133">
            <v>3</v>
          </cell>
          <cell r="L133" t="str">
            <v>P</v>
          </cell>
          <cell r="P133" t="b">
            <v>0</v>
          </cell>
        </row>
        <row r="134">
          <cell r="A134" t="str">
            <v>Longbow, Aquatic</v>
          </cell>
          <cell r="C134" t="str">
            <v>M</v>
          </cell>
          <cell r="D134" t="str">
            <v>R</v>
          </cell>
          <cell r="E134">
            <v>6</v>
          </cell>
          <cell r="G134">
            <v>20</v>
          </cell>
          <cell r="H134">
            <v>3</v>
          </cell>
          <cell r="J134">
            <v>60</v>
          </cell>
          <cell r="K134">
            <v>3</v>
          </cell>
          <cell r="L134" t="str">
            <v>P</v>
          </cell>
        </row>
        <row r="135">
          <cell r="A135" t="str">
            <v>Longbow, Composite</v>
          </cell>
          <cell r="C135" t="str">
            <v>M</v>
          </cell>
          <cell r="D135" t="str">
            <v>R</v>
          </cell>
          <cell r="E135">
            <v>6</v>
          </cell>
          <cell r="G135">
            <v>20</v>
          </cell>
          <cell r="H135">
            <v>3</v>
          </cell>
          <cell r="J135">
            <v>110</v>
          </cell>
          <cell r="K135">
            <v>3</v>
          </cell>
          <cell r="L135" t="str">
            <v>P</v>
          </cell>
          <cell r="O135" t="str">
            <v>M</v>
          </cell>
          <cell r="P135" t="b">
            <v>0</v>
          </cell>
        </row>
        <row r="136">
          <cell r="A136" t="str">
            <v>Longspear</v>
          </cell>
          <cell r="C136" t="str">
            <v>S</v>
          </cell>
          <cell r="D136" t="str">
            <v>T</v>
          </cell>
          <cell r="E136">
            <v>6</v>
          </cell>
          <cell r="G136">
            <v>20</v>
          </cell>
          <cell r="H136">
            <v>3</v>
          </cell>
          <cell r="K136">
            <v>9</v>
          </cell>
          <cell r="L136" t="str">
            <v>P</v>
          </cell>
          <cell r="N136" t="b">
            <v>1</v>
          </cell>
          <cell r="O136" t="str">
            <v/>
          </cell>
          <cell r="P136" t="b">
            <v>0</v>
          </cell>
        </row>
        <row r="137">
          <cell r="A137" t="str">
            <v>Longstaff</v>
          </cell>
          <cell r="C137" t="str">
            <v>E</v>
          </cell>
          <cell r="D137" t="str">
            <v>T</v>
          </cell>
          <cell r="E137">
            <v>5</v>
          </cell>
          <cell r="F137">
            <v>5</v>
          </cell>
          <cell r="G137">
            <v>20</v>
          </cell>
          <cell r="H137">
            <v>2</v>
          </cell>
          <cell r="I137">
            <v>2</v>
          </cell>
          <cell r="K137">
            <v>6</v>
          </cell>
          <cell r="L137" t="str">
            <v>B</v>
          </cell>
        </row>
        <row r="138">
          <cell r="A138" t="str">
            <v>Longsword</v>
          </cell>
          <cell r="C138" t="str">
            <v>M</v>
          </cell>
          <cell r="D138" t="str">
            <v>O</v>
          </cell>
          <cell r="E138">
            <v>6</v>
          </cell>
          <cell r="G138">
            <v>19</v>
          </cell>
          <cell r="H138">
            <v>2</v>
          </cell>
          <cell r="K138">
            <v>4</v>
          </cell>
          <cell r="L138" t="str">
            <v>S</v>
          </cell>
          <cell r="O138" t="str">
            <v/>
          </cell>
          <cell r="P138" t="b">
            <v>0</v>
          </cell>
        </row>
        <row r="139">
          <cell r="A139" t="str">
            <v>Longsword, Mercurial</v>
          </cell>
          <cell r="C139" t="str">
            <v>E</v>
          </cell>
          <cell r="D139" t="str">
            <v>O</v>
          </cell>
          <cell r="E139">
            <v>6</v>
          </cell>
          <cell r="G139">
            <v>20</v>
          </cell>
          <cell r="H139">
            <v>4</v>
          </cell>
          <cell r="K139">
            <v>6</v>
          </cell>
          <cell r="L139" t="str">
            <v>S</v>
          </cell>
        </row>
        <row r="140">
          <cell r="A140" t="str">
            <v>Lynxpaw</v>
          </cell>
          <cell r="C140" t="str">
            <v>E</v>
          </cell>
          <cell r="D140" t="str">
            <v>T</v>
          </cell>
          <cell r="E140">
            <v>5</v>
          </cell>
          <cell r="F140">
            <v>4</v>
          </cell>
          <cell r="G140">
            <v>18</v>
          </cell>
          <cell r="H140">
            <v>2</v>
          </cell>
          <cell r="I140">
            <v>3</v>
          </cell>
          <cell r="K140">
            <v>4</v>
          </cell>
          <cell r="L140" t="str">
            <v>P/S</v>
          </cell>
        </row>
        <row r="141">
          <cell r="A141" t="str">
            <v>Mace, Double</v>
          </cell>
          <cell r="C141" t="str">
            <v>E</v>
          </cell>
          <cell r="D141" t="str">
            <v>T</v>
          </cell>
          <cell r="E141">
            <v>6</v>
          </cell>
          <cell r="F141">
            <v>6</v>
          </cell>
          <cell r="G141">
            <v>20</v>
          </cell>
          <cell r="H141">
            <v>2</v>
          </cell>
          <cell r="I141">
            <v>2</v>
          </cell>
          <cell r="K141">
            <v>25</v>
          </cell>
          <cell r="L141" t="str">
            <v>B</v>
          </cell>
        </row>
        <row r="142">
          <cell r="A142" t="str">
            <v>Mace, Heavy</v>
          </cell>
          <cell r="C142" t="str">
            <v>S</v>
          </cell>
          <cell r="D142" t="str">
            <v>O</v>
          </cell>
          <cell r="E142">
            <v>6</v>
          </cell>
          <cell r="G142">
            <v>20</v>
          </cell>
          <cell r="H142">
            <v>2</v>
          </cell>
          <cell r="K142">
            <v>8</v>
          </cell>
          <cell r="L142" t="str">
            <v>B</v>
          </cell>
          <cell r="P142" t="b">
            <v>0</v>
          </cell>
        </row>
        <row r="143">
          <cell r="A143" t="str">
            <v>Mace, Light</v>
          </cell>
          <cell r="C143" t="str">
            <v>S</v>
          </cell>
          <cell r="D143" t="str">
            <v>L</v>
          </cell>
          <cell r="E143">
            <v>5</v>
          </cell>
          <cell r="G143">
            <v>20</v>
          </cell>
          <cell r="H143">
            <v>2</v>
          </cell>
          <cell r="K143">
            <v>4</v>
          </cell>
          <cell r="L143" t="str">
            <v>B</v>
          </cell>
          <cell r="P143" t="e">
            <v>#REF!</v>
          </cell>
        </row>
        <row r="144">
          <cell r="A144" t="str">
            <v>Mancatcher</v>
          </cell>
          <cell r="C144" t="str">
            <v>E</v>
          </cell>
          <cell r="D144" t="str">
            <v>T</v>
          </cell>
          <cell r="E144">
            <v>4</v>
          </cell>
          <cell r="G144">
            <v>20</v>
          </cell>
          <cell r="H144">
            <v>2</v>
          </cell>
          <cell r="K144">
            <v>8</v>
          </cell>
          <cell r="L144" t="str">
            <v>B</v>
          </cell>
        </row>
        <row r="145">
          <cell r="A145" t="str">
            <v>Manriki-gusari</v>
          </cell>
          <cell r="B145" t="str">
            <v>OA</v>
          </cell>
          <cell r="C145" t="str">
            <v>E</v>
          </cell>
          <cell r="D145" t="str">
            <v>T</v>
          </cell>
          <cell r="E145">
            <v>5</v>
          </cell>
          <cell r="F145">
            <v>5</v>
          </cell>
          <cell r="G145">
            <v>20</v>
          </cell>
          <cell r="H145">
            <v>2</v>
          </cell>
          <cell r="I145">
            <v>2</v>
          </cell>
          <cell r="K145">
            <v>5</v>
          </cell>
          <cell r="L145" t="str">
            <v>B</v>
          </cell>
          <cell r="N145" t="b">
            <v>1</v>
          </cell>
          <cell r="P145" t="b">
            <v>0</v>
          </cell>
        </row>
        <row r="146">
          <cell r="A146" t="str">
            <v>Manople</v>
          </cell>
          <cell r="C146" t="str">
            <v>E</v>
          </cell>
          <cell r="D146" t="str">
            <v>L</v>
          </cell>
          <cell r="E146">
            <v>5</v>
          </cell>
          <cell r="G146">
            <v>19</v>
          </cell>
          <cell r="H146">
            <v>2</v>
          </cell>
          <cell r="K146">
            <v>1</v>
          </cell>
          <cell r="L146" t="str">
            <v>S/P</v>
          </cell>
        </row>
        <row r="147">
          <cell r="A147" t="str">
            <v>Manti</v>
          </cell>
          <cell r="C147" t="str">
            <v>E</v>
          </cell>
          <cell r="D147" t="str">
            <v>T</v>
          </cell>
          <cell r="E147">
            <v>6</v>
          </cell>
          <cell r="G147">
            <v>20</v>
          </cell>
          <cell r="H147">
            <v>3</v>
          </cell>
          <cell r="K147">
            <v>9</v>
          </cell>
          <cell r="L147" t="str">
            <v>P</v>
          </cell>
        </row>
        <row r="148">
          <cell r="A148" t="str">
            <v>Maquahuitl</v>
          </cell>
          <cell r="C148" t="str">
            <v>M</v>
          </cell>
          <cell r="D148" t="str">
            <v>T</v>
          </cell>
          <cell r="E148">
            <v>7</v>
          </cell>
          <cell r="G148">
            <v>20</v>
          </cell>
          <cell r="H148">
            <v>2</v>
          </cell>
          <cell r="K148">
            <v>10</v>
          </cell>
          <cell r="L148" t="str">
            <v>B/P</v>
          </cell>
        </row>
        <row r="149">
          <cell r="A149" t="str">
            <v>Maul</v>
          </cell>
          <cell r="C149" t="str">
            <v>E</v>
          </cell>
          <cell r="D149" t="str">
            <v>O</v>
          </cell>
          <cell r="E149">
            <v>7</v>
          </cell>
          <cell r="G149">
            <v>20</v>
          </cell>
          <cell r="H149">
            <v>3</v>
          </cell>
          <cell r="K149">
            <v>20</v>
          </cell>
          <cell r="L149" t="str">
            <v>B</v>
          </cell>
          <cell r="O149" t="str">
            <v>X</v>
          </cell>
        </row>
        <row r="150">
          <cell r="A150" t="str">
            <v>Mind Arrow</v>
          </cell>
          <cell r="C150" t="str">
            <v>M</v>
          </cell>
          <cell r="D150" t="str">
            <v>R</v>
          </cell>
          <cell r="E150">
            <v>6</v>
          </cell>
          <cell r="G150">
            <v>20</v>
          </cell>
          <cell r="H150">
            <v>3</v>
          </cell>
          <cell r="J150">
            <v>110</v>
          </cell>
          <cell r="K150">
            <v>2</v>
          </cell>
          <cell r="L150" t="str">
            <v>P</v>
          </cell>
          <cell r="P150" t="b">
            <v>0</v>
          </cell>
        </row>
        <row r="151">
          <cell r="A151" t="str">
            <v>Mind Blade</v>
          </cell>
          <cell r="C151" t="str">
            <v>M</v>
          </cell>
          <cell r="D151" t="str">
            <v>L</v>
          </cell>
          <cell r="E151">
            <v>5</v>
          </cell>
          <cell r="G151">
            <v>19</v>
          </cell>
          <cell r="H151">
            <v>2</v>
          </cell>
          <cell r="J151">
            <v>30</v>
          </cell>
          <cell r="K151">
            <v>2</v>
          </cell>
          <cell r="L151" t="str">
            <v>P</v>
          </cell>
          <cell r="P151" t="b">
            <v>0</v>
          </cell>
        </row>
        <row r="152">
          <cell r="A152" t="str">
            <v>Morningstar</v>
          </cell>
          <cell r="C152" t="str">
            <v>S</v>
          </cell>
          <cell r="D152" t="str">
            <v>O</v>
          </cell>
          <cell r="E152">
            <v>6</v>
          </cell>
          <cell r="G152">
            <v>20</v>
          </cell>
          <cell r="H152">
            <v>2</v>
          </cell>
          <cell r="K152">
            <v>6</v>
          </cell>
          <cell r="L152" t="str">
            <v>B/P</v>
          </cell>
          <cell r="P152" t="b">
            <v>0</v>
          </cell>
        </row>
        <row r="153">
          <cell r="A153" t="str">
            <v>Musket</v>
          </cell>
          <cell r="C153" t="str">
            <v>E</v>
          </cell>
          <cell r="D153" t="str">
            <v>M</v>
          </cell>
          <cell r="E153">
            <v>8</v>
          </cell>
          <cell r="G153">
            <v>20</v>
          </cell>
          <cell r="H153">
            <v>3</v>
          </cell>
          <cell r="J153">
            <v>150</v>
          </cell>
          <cell r="K153">
            <v>10</v>
          </cell>
          <cell r="L153" t="str">
            <v>P</v>
          </cell>
          <cell r="P153" t="b">
            <v>0</v>
          </cell>
        </row>
        <row r="154">
          <cell r="A154" t="str">
            <v>Muspelrule</v>
          </cell>
          <cell r="C154" t="str">
            <v>S</v>
          </cell>
          <cell r="D154" t="str">
            <v>L</v>
          </cell>
          <cell r="E154">
            <v>4</v>
          </cell>
          <cell r="G154">
            <v>19</v>
          </cell>
          <cell r="H154">
            <v>2</v>
          </cell>
          <cell r="K154">
            <v>1</v>
          </cell>
          <cell r="L154" t="str">
            <v>B</v>
          </cell>
        </row>
        <row r="155">
          <cell r="A155" t="str">
            <v>Nagamaki</v>
          </cell>
          <cell r="B155" t="str">
            <v>OA</v>
          </cell>
          <cell r="C155" t="str">
            <v>M</v>
          </cell>
          <cell r="D155" t="str">
            <v>T</v>
          </cell>
          <cell r="E155">
            <v>9</v>
          </cell>
          <cell r="G155">
            <v>20</v>
          </cell>
          <cell r="H155">
            <v>3</v>
          </cell>
          <cell r="K155">
            <v>10</v>
          </cell>
          <cell r="L155" t="str">
            <v>S</v>
          </cell>
        </row>
        <row r="156">
          <cell r="A156" t="str">
            <v>Naginata</v>
          </cell>
          <cell r="B156" t="str">
            <v>OA</v>
          </cell>
          <cell r="C156" t="str">
            <v>M</v>
          </cell>
          <cell r="D156" t="str">
            <v>T</v>
          </cell>
          <cell r="E156">
            <v>7</v>
          </cell>
          <cell r="G156">
            <v>20</v>
          </cell>
          <cell r="H156">
            <v>3</v>
          </cell>
          <cell r="K156">
            <v>15</v>
          </cell>
          <cell r="L156" t="str">
            <v>S</v>
          </cell>
          <cell r="N156" t="b">
            <v>1</v>
          </cell>
        </row>
        <row r="157">
          <cell r="A157" t="str">
            <v>Net</v>
          </cell>
          <cell r="C157" t="str">
            <v>E</v>
          </cell>
          <cell r="D157" t="str">
            <v>R</v>
          </cell>
          <cell r="E157">
            <v>13</v>
          </cell>
          <cell r="J157">
            <v>10</v>
          </cell>
          <cell r="K157">
            <v>6</v>
          </cell>
          <cell r="L157" t="str">
            <v>-</v>
          </cell>
          <cell r="P157" t="b">
            <v>0</v>
          </cell>
        </row>
        <row r="158">
          <cell r="A158" t="str">
            <v>Nekode</v>
          </cell>
          <cell r="B158" t="str">
            <v>OA</v>
          </cell>
          <cell r="C158" t="str">
            <v>E</v>
          </cell>
          <cell r="D158" t="str">
            <v>L</v>
          </cell>
          <cell r="E158">
            <v>4</v>
          </cell>
          <cell r="G158">
            <v>20</v>
          </cell>
          <cell r="H158">
            <v>2</v>
          </cell>
          <cell r="K158">
            <v>2</v>
          </cell>
          <cell r="L158" t="str">
            <v>P</v>
          </cell>
          <cell r="P158" t="b">
            <v>0</v>
          </cell>
        </row>
        <row r="159">
          <cell r="A159" t="str">
            <v>Ninja-to</v>
          </cell>
          <cell r="B159" t="str">
            <v>OA</v>
          </cell>
          <cell r="C159" t="str">
            <v>E</v>
          </cell>
          <cell r="D159" t="str">
            <v>L</v>
          </cell>
          <cell r="E159">
            <v>5</v>
          </cell>
          <cell r="G159">
            <v>19</v>
          </cell>
          <cell r="H159">
            <v>2</v>
          </cell>
          <cell r="K159">
            <v>3</v>
          </cell>
          <cell r="L159" t="str">
            <v>S</v>
          </cell>
          <cell r="P159" t="b">
            <v>0</v>
          </cell>
        </row>
        <row r="160">
          <cell r="A160" t="str">
            <v>Notbora</v>
          </cell>
          <cell r="C160" t="str">
            <v>E</v>
          </cell>
          <cell r="D160" t="str">
            <v>T</v>
          </cell>
          <cell r="E160">
            <v>9</v>
          </cell>
          <cell r="F160">
            <v>9</v>
          </cell>
          <cell r="G160">
            <v>19</v>
          </cell>
          <cell r="H160">
            <v>2</v>
          </cell>
          <cell r="I160">
            <v>2</v>
          </cell>
          <cell r="K160">
            <v>1</v>
          </cell>
          <cell r="L160" t="str">
            <v>B/S</v>
          </cell>
          <cell r="P160" t="b">
            <v>0</v>
          </cell>
        </row>
        <row r="161">
          <cell r="A161" t="str">
            <v>Nunchaku</v>
          </cell>
          <cell r="C161" t="str">
            <v>E</v>
          </cell>
          <cell r="D161" t="str">
            <v>L</v>
          </cell>
          <cell r="E161">
            <v>5</v>
          </cell>
          <cell r="G161">
            <v>20</v>
          </cell>
          <cell r="H161">
            <v>2</v>
          </cell>
          <cell r="K161">
            <v>2</v>
          </cell>
          <cell r="L161" t="str">
            <v>B</v>
          </cell>
          <cell r="O161" t="str">
            <v>U</v>
          </cell>
          <cell r="P161" t="b">
            <v>0</v>
          </cell>
        </row>
        <row r="162">
          <cell r="A162" t="str">
            <v>Petard, doorbreaker</v>
          </cell>
          <cell r="C162" t="str">
            <v>E</v>
          </cell>
          <cell r="D162" t="str">
            <v>T</v>
          </cell>
        </row>
        <row r="163">
          <cell r="A163" t="str">
            <v>Petard, triggered</v>
          </cell>
          <cell r="C163" t="str">
            <v>E</v>
          </cell>
          <cell r="D163" t="str">
            <v>T</v>
          </cell>
          <cell r="E163">
            <v>13</v>
          </cell>
        </row>
        <row r="164">
          <cell r="A164" t="str">
            <v>Pick, Dire</v>
          </cell>
          <cell r="C164" t="str">
            <v>E</v>
          </cell>
          <cell r="D164" t="str">
            <v>O</v>
          </cell>
          <cell r="E164">
            <v>6</v>
          </cell>
          <cell r="G164">
            <v>20</v>
          </cell>
          <cell r="H164">
            <v>4</v>
          </cell>
          <cell r="K164">
            <v>12</v>
          </cell>
          <cell r="L164" t="str">
            <v>P</v>
          </cell>
          <cell r="O164" t="str">
            <v>X</v>
          </cell>
        </row>
        <row r="165">
          <cell r="A165" t="str">
            <v>Pick, Heavy</v>
          </cell>
          <cell r="C165" t="str">
            <v>M</v>
          </cell>
          <cell r="D165" t="str">
            <v>O</v>
          </cell>
          <cell r="E165">
            <v>5</v>
          </cell>
          <cell r="G165">
            <v>20</v>
          </cell>
          <cell r="H165">
            <v>4</v>
          </cell>
          <cell r="K165">
            <v>6</v>
          </cell>
          <cell r="L165" t="str">
            <v>P</v>
          </cell>
          <cell r="P165" t="b">
            <v>0</v>
          </cell>
        </row>
        <row r="166">
          <cell r="A166" t="str">
            <v>Pick, Light</v>
          </cell>
          <cell r="C166" t="str">
            <v>M</v>
          </cell>
          <cell r="D166" t="str">
            <v>L</v>
          </cell>
          <cell r="E166">
            <v>4</v>
          </cell>
          <cell r="G166">
            <v>20</v>
          </cell>
          <cell r="H166">
            <v>4</v>
          </cell>
          <cell r="K166">
            <v>3</v>
          </cell>
          <cell r="L166" t="str">
            <v>P</v>
          </cell>
          <cell r="P166" t="b">
            <v>0</v>
          </cell>
        </row>
        <row r="167">
          <cell r="A167" t="str">
            <v>Pincer Staff</v>
          </cell>
          <cell r="C167" t="str">
            <v>E</v>
          </cell>
          <cell r="D167" t="str">
            <v>T</v>
          </cell>
          <cell r="E167">
            <v>7</v>
          </cell>
          <cell r="G167">
            <v>20</v>
          </cell>
          <cell r="H167">
            <v>2</v>
          </cell>
          <cell r="J167" t="str">
            <v>-</v>
          </cell>
          <cell r="K167">
            <v>15</v>
          </cell>
          <cell r="L167" t="str">
            <v>B</v>
          </cell>
        </row>
        <row r="168">
          <cell r="A168" t="str">
            <v>Pistol</v>
          </cell>
          <cell r="C168" t="str">
            <v>E</v>
          </cell>
          <cell r="D168" t="str">
            <v>R</v>
          </cell>
          <cell r="E168">
            <v>8</v>
          </cell>
          <cell r="G168">
            <v>20</v>
          </cell>
          <cell r="H168">
            <v>3</v>
          </cell>
          <cell r="J168">
            <v>50</v>
          </cell>
          <cell r="K168">
            <v>3</v>
          </cell>
          <cell r="L168" t="str">
            <v>P</v>
          </cell>
          <cell r="P168" t="b">
            <v>0</v>
          </cell>
        </row>
        <row r="169">
          <cell r="A169" t="str">
            <v>Poker</v>
          </cell>
          <cell r="C169" t="str">
            <v>E</v>
          </cell>
          <cell r="D169" t="str">
            <v>M</v>
          </cell>
          <cell r="E169">
            <v>5</v>
          </cell>
          <cell r="G169">
            <v>20</v>
          </cell>
          <cell r="H169">
            <v>2</v>
          </cell>
          <cell r="K169">
            <v>3</v>
          </cell>
          <cell r="L169" t="str">
            <v>P</v>
          </cell>
          <cell r="P169" t="b">
            <v>0</v>
          </cell>
        </row>
        <row r="170">
          <cell r="A170" t="str">
            <v>Poleaxe, Heavy</v>
          </cell>
          <cell r="C170" t="str">
            <v>E</v>
          </cell>
          <cell r="D170" t="str">
            <v>T</v>
          </cell>
          <cell r="E170">
            <v>10</v>
          </cell>
          <cell r="G170">
            <v>20</v>
          </cell>
          <cell r="H170">
            <v>3</v>
          </cell>
          <cell r="K170">
            <v>15</v>
          </cell>
          <cell r="L170" t="str">
            <v>P/S</v>
          </cell>
        </row>
        <row r="171">
          <cell r="A171" t="str">
            <v>Quarterstaff</v>
          </cell>
          <cell r="C171" t="str">
            <v>S</v>
          </cell>
          <cell r="D171" t="str">
            <v>T</v>
          </cell>
          <cell r="E171">
            <v>5</v>
          </cell>
          <cell r="F171">
            <v>5</v>
          </cell>
          <cell r="G171">
            <v>20</v>
          </cell>
          <cell r="H171">
            <v>2</v>
          </cell>
          <cell r="I171">
            <v>2</v>
          </cell>
          <cell r="K171">
            <v>4</v>
          </cell>
          <cell r="L171" t="str">
            <v>B</v>
          </cell>
          <cell r="O171" t="str">
            <v>U</v>
          </cell>
          <cell r="P171" t="b">
            <v>1</v>
          </cell>
        </row>
        <row r="172">
          <cell r="A172" t="str">
            <v>Quickrazor, Gnome</v>
          </cell>
          <cell r="C172" t="str">
            <v>E</v>
          </cell>
          <cell r="D172" t="str">
            <v>L</v>
          </cell>
          <cell r="E172">
            <v>4</v>
          </cell>
          <cell r="G172">
            <v>19</v>
          </cell>
          <cell r="H172">
            <v>2</v>
          </cell>
          <cell r="K172">
            <v>1</v>
          </cell>
          <cell r="L172" t="str">
            <v>S</v>
          </cell>
          <cell r="O172" t="str">
            <v/>
          </cell>
          <cell r="P172" t="b">
            <v>0</v>
          </cell>
        </row>
        <row r="173">
          <cell r="A173" t="str">
            <v>Ramhammer</v>
          </cell>
          <cell r="C173" t="str">
            <v>E</v>
          </cell>
          <cell r="D173" t="str">
            <v>T</v>
          </cell>
          <cell r="E173">
            <v>7</v>
          </cell>
          <cell r="G173">
            <v>20</v>
          </cell>
          <cell r="H173">
            <v>2</v>
          </cell>
          <cell r="K173">
            <v>15</v>
          </cell>
          <cell r="L173" t="str">
            <v>B</v>
          </cell>
          <cell r="N173" t="b">
            <v>1</v>
          </cell>
        </row>
        <row r="174">
          <cell r="A174" t="str">
            <v>Ranseur</v>
          </cell>
          <cell r="C174" t="str">
            <v>M</v>
          </cell>
          <cell r="D174" t="str">
            <v>T</v>
          </cell>
          <cell r="E174">
            <v>9</v>
          </cell>
          <cell r="G174">
            <v>20</v>
          </cell>
          <cell r="H174">
            <v>3</v>
          </cell>
          <cell r="K174">
            <v>12</v>
          </cell>
          <cell r="L174" t="str">
            <v>P</v>
          </cell>
          <cell r="N174" t="b">
            <v>1</v>
          </cell>
        </row>
        <row r="175">
          <cell r="A175" t="str">
            <v>Rapier</v>
          </cell>
          <cell r="C175" t="str">
            <v>M</v>
          </cell>
          <cell r="D175" t="str">
            <v>O</v>
          </cell>
          <cell r="E175">
            <v>5</v>
          </cell>
          <cell r="G175">
            <v>18</v>
          </cell>
          <cell r="H175">
            <v>2</v>
          </cell>
          <cell r="K175">
            <v>2</v>
          </cell>
          <cell r="L175" t="str">
            <v>P</v>
          </cell>
          <cell r="O175" t="str">
            <v>F</v>
          </cell>
          <cell r="P175" t="e">
            <v>#REF!</v>
          </cell>
        </row>
        <row r="176">
          <cell r="A176" t="str">
            <v>Rapier, Parthian</v>
          </cell>
          <cell r="C176" t="str">
            <v>E</v>
          </cell>
          <cell r="D176" t="str">
            <v>M</v>
          </cell>
          <cell r="E176">
            <v>5</v>
          </cell>
          <cell r="F176">
            <v>7</v>
          </cell>
          <cell r="G176">
            <v>18</v>
          </cell>
          <cell r="H176">
            <v>2</v>
          </cell>
          <cell r="I176">
            <v>3</v>
          </cell>
          <cell r="J176">
            <v>50</v>
          </cell>
          <cell r="K176">
            <v>5</v>
          </cell>
          <cell r="L176" t="str">
            <v>P</v>
          </cell>
        </row>
        <row r="177">
          <cell r="A177" t="str">
            <v>Rapier, Quickblade</v>
          </cell>
          <cell r="C177" t="str">
            <v>E</v>
          </cell>
          <cell r="D177" t="str">
            <v>O</v>
          </cell>
          <cell r="E177">
            <v>5</v>
          </cell>
          <cell r="G177">
            <v>18</v>
          </cell>
          <cell r="H177">
            <v>2</v>
          </cell>
          <cell r="K177">
            <v>3</v>
          </cell>
          <cell r="L177" t="str">
            <v>P</v>
          </cell>
        </row>
        <row r="178">
          <cell r="A178" t="str">
            <v>Razored armor</v>
          </cell>
          <cell r="C178" t="str">
            <v>M</v>
          </cell>
          <cell r="D178" t="str">
            <v>L</v>
          </cell>
          <cell r="E178">
            <v>5</v>
          </cell>
          <cell r="G178">
            <v>20</v>
          </cell>
          <cell r="H178">
            <v>2</v>
          </cell>
          <cell r="K178">
            <v>0</v>
          </cell>
          <cell r="L178" t="str">
            <v>S</v>
          </cell>
        </row>
        <row r="179">
          <cell r="A179" t="str">
            <v>Razored shield, light</v>
          </cell>
          <cell r="C179" t="str">
            <v>M</v>
          </cell>
          <cell r="D179" t="str">
            <v>L</v>
          </cell>
          <cell r="E179">
            <v>4</v>
          </cell>
          <cell r="G179">
            <v>20</v>
          </cell>
          <cell r="H179">
            <v>2</v>
          </cell>
          <cell r="J179" t="str">
            <v>S</v>
          </cell>
          <cell r="K179">
            <v>0</v>
          </cell>
          <cell r="L179" t="str">
            <v>S</v>
          </cell>
        </row>
        <row r="180">
          <cell r="A180" t="str">
            <v>Razored shield, heavy</v>
          </cell>
          <cell r="C180" t="str">
            <v>M</v>
          </cell>
          <cell r="D180" t="str">
            <v>O</v>
          </cell>
          <cell r="E180">
            <v>5</v>
          </cell>
          <cell r="G180">
            <v>20</v>
          </cell>
          <cell r="H180">
            <v>2</v>
          </cell>
          <cell r="J180" t="str">
            <v>S</v>
          </cell>
          <cell r="K180">
            <v>0</v>
          </cell>
          <cell r="L180" t="str">
            <v>S</v>
          </cell>
        </row>
        <row r="181">
          <cell r="A181" t="str">
            <v>Ribbonweave</v>
          </cell>
          <cell r="C181" t="str">
            <v>E</v>
          </cell>
          <cell r="D181" t="str">
            <v>O</v>
          </cell>
          <cell r="E181">
            <v>6</v>
          </cell>
          <cell r="G181">
            <v>19</v>
          </cell>
          <cell r="H181">
            <v>2</v>
          </cell>
          <cell r="K181">
            <v>3</v>
          </cell>
          <cell r="L181" t="str">
            <v>S</v>
          </cell>
        </row>
        <row r="182">
          <cell r="A182" t="str">
            <v>Ripper</v>
          </cell>
          <cell r="C182" t="str">
            <v>M</v>
          </cell>
          <cell r="D182" t="str">
            <v>T</v>
          </cell>
          <cell r="E182">
            <v>10</v>
          </cell>
          <cell r="G182">
            <v>19</v>
          </cell>
          <cell r="H182">
            <v>2</v>
          </cell>
          <cell r="K182">
            <v>9</v>
          </cell>
          <cell r="L182" t="str">
            <v>P</v>
          </cell>
        </row>
        <row r="183">
          <cell r="A183" t="str">
            <v>Ritiik</v>
          </cell>
          <cell r="C183" t="str">
            <v>E</v>
          </cell>
          <cell r="D183" t="str">
            <v>T</v>
          </cell>
          <cell r="E183">
            <v>6</v>
          </cell>
          <cell r="G183">
            <v>20</v>
          </cell>
          <cell r="H183">
            <v>3</v>
          </cell>
          <cell r="K183">
            <v>6</v>
          </cell>
          <cell r="L183" t="str">
            <v>P</v>
          </cell>
        </row>
        <row r="184">
          <cell r="A184" t="str">
            <v>Sai</v>
          </cell>
          <cell r="C184" t="str">
            <v>E</v>
          </cell>
          <cell r="D184" t="str">
            <v>L</v>
          </cell>
          <cell r="E184">
            <v>4</v>
          </cell>
          <cell r="G184">
            <v>20</v>
          </cell>
          <cell r="H184">
            <v>2</v>
          </cell>
          <cell r="J184">
            <v>10</v>
          </cell>
          <cell r="K184">
            <v>1</v>
          </cell>
          <cell r="L184" t="str">
            <v>B</v>
          </cell>
          <cell r="O184" t="str">
            <v>U</v>
          </cell>
          <cell r="P184" t="b">
            <v>0</v>
          </cell>
        </row>
        <row r="185">
          <cell r="A185" t="str">
            <v>Sandblaster</v>
          </cell>
          <cell r="C185" t="str">
            <v>E</v>
          </cell>
          <cell r="D185" t="str">
            <v>R</v>
          </cell>
          <cell r="E185">
            <v>5</v>
          </cell>
          <cell r="J185">
            <v>10</v>
          </cell>
          <cell r="K185">
            <v>2</v>
          </cell>
          <cell r="L185" t="str">
            <v>B</v>
          </cell>
          <cell r="P185" t="b">
            <v>0</v>
          </cell>
        </row>
        <row r="186">
          <cell r="A186" t="str">
            <v>Sand Pipe</v>
          </cell>
          <cell r="C186" t="str">
            <v>E</v>
          </cell>
          <cell r="D186" t="str">
            <v>R</v>
          </cell>
          <cell r="K186">
            <v>1</v>
          </cell>
        </row>
        <row r="187">
          <cell r="A187" t="str">
            <v>Sap</v>
          </cell>
          <cell r="C187" t="str">
            <v>M</v>
          </cell>
          <cell r="D187" t="str">
            <v>L</v>
          </cell>
          <cell r="E187">
            <v>5</v>
          </cell>
          <cell r="G187">
            <v>20</v>
          </cell>
          <cell r="H187">
            <v>2</v>
          </cell>
          <cell r="K187">
            <v>2</v>
          </cell>
          <cell r="L187" t="str">
            <v>B</v>
          </cell>
          <cell r="M187" t="str">
            <v>S</v>
          </cell>
          <cell r="P187" t="e">
            <v>#REF!</v>
          </cell>
        </row>
        <row r="188">
          <cell r="A188" t="str">
            <v>Scimitar</v>
          </cell>
          <cell r="C188" t="str">
            <v>M</v>
          </cell>
          <cell r="D188" t="str">
            <v>O</v>
          </cell>
          <cell r="E188">
            <v>5</v>
          </cell>
          <cell r="G188">
            <v>18</v>
          </cell>
          <cell r="H188">
            <v>2</v>
          </cell>
          <cell r="K188">
            <v>4</v>
          </cell>
          <cell r="L188" t="str">
            <v>S</v>
          </cell>
          <cell r="P188" t="b">
            <v>0</v>
          </cell>
        </row>
        <row r="189">
          <cell r="A189" t="str">
            <v>Scimitar, Double</v>
          </cell>
          <cell r="C189" t="str">
            <v>E</v>
          </cell>
          <cell r="D189" t="str">
            <v>T</v>
          </cell>
          <cell r="E189">
            <v>5</v>
          </cell>
          <cell r="F189">
            <v>5</v>
          </cell>
          <cell r="G189">
            <v>18</v>
          </cell>
          <cell r="H189">
            <v>2</v>
          </cell>
          <cell r="I189">
            <v>2</v>
          </cell>
          <cell r="K189">
            <v>15</v>
          </cell>
          <cell r="L189" t="str">
            <v>S</v>
          </cell>
        </row>
        <row r="190">
          <cell r="A190" t="str">
            <v>Scimitar, Great</v>
          </cell>
          <cell r="C190" t="str">
            <v>E</v>
          </cell>
          <cell r="D190" t="str">
            <v>O</v>
          </cell>
          <cell r="E190">
            <v>6</v>
          </cell>
          <cell r="G190">
            <v>18</v>
          </cell>
          <cell r="H190">
            <v>2</v>
          </cell>
          <cell r="K190">
            <v>8</v>
          </cell>
          <cell r="L190" t="str">
            <v>S</v>
          </cell>
          <cell r="O190" t="str">
            <v>X</v>
          </cell>
        </row>
        <row r="191">
          <cell r="A191" t="str">
            <v>Scimitar, Valenar double</v>
          </cell>
          <cell r="C191" t="str">
            <v>E</v>
          </cell>
          <cell r="D191" t="str">
            <v>T</v>
          </cell>
          <cell r="E191">
            <v>5</v>
          </cell>
          <cell r="F191">
            <v>5</v>
          </cell>
          <cell r="G191">
            <v>18</v>
          </cell>
          <cell r="H191">
            <v>2</v>
          </cell>
          <cell r="I191">
            <v>2</v>
          </cell>
          <cell r="K191">
            <v>15</v>
          </cell>
          <cell r="L191" t="str">
            <v>S</v>
          </cell>
          <cell r="O191" t="str">
            <v/>
          </cell>
          <cell r="P191" t="b">
            <v>0</v>
          </cell>
        </row>
        <row r="192">
          <cell r="A192" t="str">
            <v>Scourge</v>
          </cell>
          <cell r="C192" t="str">
            <v>E</v>
          </cell>
          <cell r="D192" t="str">
            <v>O</v>
          </cell>
          <cell r="E192">
            <v>6</v>
          </cell>
          <cell r="G192">
            <v>20</v>
          </cell>
          <cell r="H192">
            <v>2</v>
          </cell>
          <cell r="K192">
            <v>2</v>
          </cell>
          <cell r="L192" t="str">
            <v>S</v>
          </cell>
        </row>
        <row r="193">
          <cell r="A193" t="str">
            <v>Scythe</v>
          </cell>
          <cell r="C193" t="str">
            <v>M</v>
          </cell>
          <cell r="D193" t="str">
            <v>T</v>
          </cell>
          <cell r="E193">
            <v>9</v>
          </cell>
          <cell r="G193">
            <v>20</v>
          </cell>
          <cell r="H193">
            <v>4</v>
          </cell>
          <cell r="K193">
            <v>10</v>
          </cell>
          <cell r="L193" t="str">
            <v>P/S</v>
          </cell>
          <cell r="P193" t="b">
            <v>0</v>
          </cell>
        </row>
        <row r="194">
          <cell r="A194" t="str">
            <v>Scythe, Crescent</v>
          </cell>
          <cell r="C194" t="str">
            <v>E</v>
          </cell>
          <cell r="D194" t="str">
            <v>T</v>
          </cell>
          <cell r="E194">
            <v>6</v>
          </cell>
          <cell r="F194">
            <v>6</v>
          </cell>
          <cell r="G194">
            <v>20</v>
          </cell>
          <cell r="H194">
            <v>3</v>
          </cell>
          <cell r="I194">
            <v>3</v>
          </cell>
          <cell r="K194">
            <v>20</v>
          </cell>
          <cell r="L194" t="str">
            <v>S</v>
          </cell>
        </row>
        <row r="195">
          <cell r="A195" t="str">
            <v>Sharrash, Talenta</v>
          </cell>
          <cell r="C195" t="str">
            <v>E</v>
          </cell>
          <cell r="D195" t="str">
            <v>T</v>
          </cell>
          <cell r="E195">
            <v>7</v>
          </cell>
          <cell r="G195">
            <v>19</v>
          </cell>
          <cell r="H195">
            <v>2</v>
          </cell>
          <cell r="K195">
            <v>10</v>
          </cell>
          <cell r="L195" t="str">
            <v>S</v>
          </cell>
        </row>
        <row r="196">
          <cell r="A196" t="str">
            <v>Shield, Heavy</v>
          </cell>
          <cell r="C196" t="str">
            <v>M</v>
          </cell>
          <cell r="D196" t="str">
            <v>O</v>
          </cell>
          <cell r="E196">
            <v>4</v>
          </cell>
          <cell r="G196">
            <v>20</v>
          </cell>
          <cell r="H196">
            <v>2</v>
          </cell>
          <cell r="J196" t="str">
            <v>S</v>
          </cell>
          <cell r="K196">
            <v>0</v>
          </cell>
          <cell r="L196" t="str">
            <v>B</v>
          </cell>
        </row>
        <row r="197">
          <cell r="A197" t="str">
            <v>Shield, Light</v>
          </cell>
          <cell r="C197" t="str">
            <v>M</v>
          </cell>
          <cell r="D197" t="str">
            <v>L</v>
          </cell>
          <cell r="E197">
            <v>3</v>
          </cell>
          <cell r="G197">
            <v>20</v>
          </cell>
          <cell r="H197">
            <v>2</v>
          </cell>
          <cell r="J197" t="str">
            <v>S</v>
          </cell>
          <cell r="K197">
            <v>0</v>
          </cell>
          <cell r="L197" t="str">
            <v>B</v>
          </cell>
        </row>
        <row r="198">
          <cell r="A198" t="str">
            <v>Shikomi-Zue</v>
          </cell>
          <cell r="C198" t="str">
            <v>E</v>
          </cell>
          <cell r="D198" t="str">
            <v>T</v>
          </cell>
          <cell r="E198">
            <v>6</v>
          </cell>
          <cell r="G198">
            <v>20</v>
          </cell>
          <cell r="H198">
            <v>3</v>
          </cell>
          <cell r="K198">
            <v>5</v>
          </cell>
          <cell r="L198" t="str">
            <v>P</v>
          </cell>
          <cell r="P198" t="b">
            <v>0</v>
          </cell>
        </row>
        <row r="199">
          <cell r="A199" t="str">
            <v>Shortbow</v>
          </cell>
          <cell r="C199" t="str">
            <v>M</v>
          </cell>
          <cell r="D199" t="str">
            <v>R</v>
          </cell>
          <cell r="E199">
            <v>5</v>
          </cell>
          <cell r="G199">
            <v>20</v>
          </cell>
          <cell r="H199">
            <v>3</v>
          </cell>
          <cell r="J199">
            <v>60</v>
          </cell>
          <cell r="K199">
            <v>2</v>
          </cell>
          <cell r="L199" t="str">
            <v>P</v>
          </cell>
          <cell r="P199" t="e">
            <v>#REF!</v>
          </cell>
        </row>
        <row r="200">
          <cell r="A200" t="str">
            <v>Shortbow, Composite</v>
          </cell>
          <cell r="C200" t="str">
            <v>M</v>
          </cell>
          <cell r="D200" t="str">
            <v>R</v>
          </cell>
          <cell r="E200">
            <v>5</v>
          </cell>
          <cell r="G200">
            <v>20</v>
          </cell>
          <cell r="H200">
            <v>3</v>
          </cell>
          <cell r="J200">
            <v>70</v>
          </cell>
          <cell r="K200">
            <v>2</v>
          </cell>
          <cell r="L200" t="str">
            <v>P</v>
          </cell>
          <cell r="O200" t="str">
            <v>M</v>
          </cell>
          <cell r="P200" t="e">
            <v>#REF!</v>
          </cell>
        </row>
        <row r="201">
          <cell r="A201" t="str">
            <v>Shortspear</v>
          </cell>
          <cell r="C201" t="str">
            <v>S</v>
          </cell>
          <cell r="D201" t="str">
            <v>O</v>
          </cell>
          <cell r="E201">
            <v>5</v>
          </cell>
          <cell r="G201">
            <v>20</v>
          </cell>
          <cell r="H201">
            <v>2</v>
          </cell>
          <cell r="J201">
            <v>20</v>
          </cell>
          <cell r="K201">
            <v>3</v>
          </cell>
          <cell r="L201" t="str">
            <v>P</v>
          </cell>
          <cell r="P201" t="b">
            <v>0</v>
          </cell>
        </row>
        <row r="202">
          <cell r="A202" t="str">
            <v>Shotput, Orc</v>
          </cell>
          <cell r="C202" t="str">
            <v>E</v>
          </cell>
          <cell r="D202" t="str">
            <v>R</v>
          </cell>
          <cell r="E202">
            <v>10</v>
          </cell>
          <cell r="G202">
            <v>19</v>
          </cell>
          <cell r="H202">
            <v>3</v>
          </cell>
          <cell r="J202">
            <v>10</v>
          </cell>
          <cell r="K202">
            <v>15</v>
          </cell>
          <cell r="L202" t="str">
            <v>B</v>
          </cell>
          <cell r="O202" t="str">
            <v>T</v>
          </cell>
          <cell r="P202" t="b">
            <v>0</v>
          </cell>
        </row>
        <row r="203">
          <cell r="A203" t="str">
            <v>Shuriken</v>
          </cell>
          <cell r="C203" t="str">
            <v>E</v>
          </cell>
          <cell r="D203" t="str">
            <v>R</v>
          </cell>
          <cell r="E203">
            <v>2</v>
          </cell>
          <cell r="G203">
            <v>20</v>
          </cell>
          <cell r="H203">
            <v>2</v>
          </cell>
          <cell r="J203">
            <v>10</v>
          </cell>
          <cell r="K203">
            <v>0.5</v>
          </cell>
          <cell r="L203" t="str">
            <v>P</v>
          </cell>
          <cell r="O203" t="str">
            <v>U,T</v>
          </cell>
          <cell r="P203" t="b">
            <v>0</v>
          </cell>
        </row>
        <row r="204">
          <cell r="A204" t="str">
            <v>Siangham</v>
          </cell>
          <cell r="C204" t="str">
            <v>E</v>
          </cell>
          <cell r="D204" t="str">
            <v>L</v>
          </cell>
          <cell r="E204">
            <v>5</v>
          </cell>
          <cell r="G204">
            <v>20</v>
          </cell>
          <cell r="H204">
            <v>2</v>
          </cell>
          <cell r="K204">
            <v>1</v>
          </cell>
          <cell r="L204" t="str">
            <v>P</v>
          </cell>
          <cell r="O204" t="str">
            <v>U</v>
          </cell>
          <cell r="P204" t="b">
            <v>0</v>
          </cell>
        </row>
        <row r="205">
          <cell r="A205" t="str">
            <v>Sickle</v>
          </cell>
          <cell r="C205" t="str">
            <v>S</v>
          </cell>
          <cell r="D205" t="str">
            <v>L</v>
          </cell>
          <cell r="E205">
            <v>5</v>
          </cell>
          <cell r="G205">
            <v>20</v>
          </cell>
          <cell r="H205">
            <v>2</v>
          </cell>
          <cell r="K205">
            <v>2</v>
          </cell>
          <cell r="L205" t="str">
            <v>S</v>
          </cell>
          <cell r="P205" t="b">
            <v>0</v>
          </cell>
        </row>
        <row r="206">
          <cell r="A206" t="str">
            <v>Sickle, Heavy</v>
          </cell>
          <cell r="C206" t="str">
            <v>S</v>
          </cell>
          <cell r="D206" t="str">
            <v>O</v>
          </cell>
          <cell r="E206">
            <v>6</v>
          </cell>
          <cell r="G206">
            <v>20</v>
          </cell>
          <cell r="H206">
            <v>2</v>
          </cell>
          <cell r="K206">
            <v>6</v>
          </cell>
          <cell r="L206" t="str">
            <v>S</v>
          </cell>
        </row>
        <row r="207">
          <cell r="A207" t="str">
            <v>Skipdisk, Razor</v>
          </cell>
          <cell r="C207" t="str">
            <v>E</v>
          </cell>
          <cell r="D207" t="str">
            <v>R</v>
          </cell>
          <cell r="E207">
            <v>5</v>
          </cell>
          <cell r="G207">
            <v>18</v>
          </cell>
          <cell r="H207">
            <v>2</v>
          </cell>
          <cell r="J207">
            <v>10</v>
          </cell>
          <cell r="K207">
            <v>2</v>
          </cell>
          <cell r="L207" t="str">
            <v>S</v>
          </cell>
        </row>
        <row r="208">
          <cell r="A208" t="str">
            <v>Skiprock</v>
          </cell>
          <cell r="C208" t="str">
            <v>E</v>
          </cell>
          <cell r="D208" t="str">
            <v>R</v>
          </cell>
          <cell r="E208">
            <v>5</v>
          </cell>
          <cell r="G208">
            <v>20</v>
          </cell>
          <cell r="H208">
            <v>2</v>
          </cell>
          <cell r="J208">
            <v>15</v>
          </cell>
          <cell r="K208">
            <v>0.25</v>
          </cell>
          <cell r="L208" t="str">
            <v>B</v>
          </cell>
        </row>
        <row r="209">
          <cell r="A209" t="str">
            <v>Sling</v>
          </cell>
          <cell r="C209" t="str">
            <v>S</v>
          </cell>
          <cell r="D209" t="str">
            <v>R</v>
          </cell>
          <cell r="E209">
            <v>4</v>
          </cell>
          <cell r="G209">
            <v>20</v>
          </cell>
          <cell r="H209">
            <v>2</v>
          </cell>
          <cell r="J209">
            <v>50</v>
          </cell>
          <cell r="K209">
            <v>0</v>
          </cell>
          <cell r="L209" t="str">
            <v>B</v>
          </cell>
          <cell r="P209" t="e">
            <v>#REF!</v>
          </cell>
        </row>
        <row r="210">
          <cell r="A210" t="str">
            <v>Sling, War</v>
          </cell>
          <cell r="C210" t="str">
            <v>E</v>
          </cell>
          <cell r="D210" t="str">
            <v>R</v>
          </cell>
          <cell r="E210">
            <v>6</v>
          </cell>
          <cell r="G210">
            <v>20</v>
          </cell>
          <cell r="H210">
            <v>4</v>
          </cell>
          <cell r="J210">
            <v>50</v>
          </cell>
          <cell r="K210">
            <v>1</v>
          </cell>
          <cell r="L210" t="str">
            <v>B</v>
          </cell>
        </row>
        <row r="211">
          <cell r="A211" t="str">
            <v>Smokebomb</v>
          </cell>
          <cell r="C211" t="str">
            <v>E</v>
          </cell>
          <cell r="D211" t="str">
            <v>R</v>
          </cell>
          <cell r="E211">
            <v>13</v>
          </cell>
          <cell r="J211">
            <v>10</v>
          </cell>
          <cell r="K211">
            <v>1</v>
          </cell>
          <cell r="L211" t="str">
            <v>*</v>
          </cell>
        </row>
        <row r="212">
          <cell r="A212" t="str">
            <v>Spear</v>
          </cell>
          <cell r="C212" t="str">
            <v>S</v>
          </cell>
          <cell r="D212" t="str">
            <v>T</v>
          </cell>
          <cell r="E212">
            <v>6</v>
          </cell>
          <cell r="G212">
            <v>20</v>
          </cell>
          <cell r="H212">
            <v>3</v>
          </cell>
          <cell r="J212">
            <v>20</v>
          </cell>
          <cell r="K212">
            <v>6</v>
          </cell>
          <cell r="L212" t="str">
            <v>P</v>
          </cell>
          <cell r="P212" t="b">
            <v>0</v>
          </cell>
        </row>
        <row r="213">
          <cell r="A213" t="str">
            <v>Spear, Dwarven double</v>
          </cell>
          <cell r="C213" t="str">
            <v>E</v>
          </cell>
          <cell r="D213" t="str">
            <v>T</v>
          </cell>
          <cell r="E213">
            <v>6</v>
          </cell>
          <cell r="F213">
            <v>6</v>
          </cell>
          <cell r="G213">
            <v>20</v>
          </cell>
          <cell r="H213">
            <v>3</v>
          </cell>
          <cell r="I213">
            <v>3</v>
          </cell>
          <cell r="K213">
            <v>15</v>
          </cell>
          <cell r="L213" t="str">
            <v>S/P</v>
          </cell>
          <cell r="O213" t="str">
            <v/>
          </cell>
          <cell r="P213" t="b">
            <v>0</v>
          </cell>
        </row>
        <row r="214">
          <cell r="A214" t="str">
            <v>Spear Spikard</v>
          </cell>
          <cell r="C214" t="str">
            <v>E</v>
          </cell>
          <cell r="D214" t="str">
            <v>O</v>
          </cell>
          <cell r="E214">
            <v>5</v>
          </cell>
          <cell r="G214">
            <v>20</v>
          </cell>
          <cell r="H214">
            <v>2</v>
          </cell>
          <cell r="J214">
            <v>20</v>
          </cell>
          <cell r="K214">
            <v>3</v>
          </cell>
          <cell r="L214" t="str">
            <v>P</v>
          </cell>
        </row>
        <row r="215">
          <cell r="A215" t="str">
            <v>Spearthrower</v>
          </cell>
          <cell r="C215" t="str">
            <v>S</v>
          </cell>
          <cell r="D215" t="str">
            <v>O</v>
          </cell>
          <cell r="E215">
            <v>5</v>
          </cell>
          <cell r="G215">
            <v>20</v>
          </cell>
          <cell r="H215">
            <v>3</v>
          </cell>
          <cell r="J215">
            <v>35</v>
          </cell>
          <cell r="K215">
            <v>3</v>
          </cell>
          <cell r="L215" t="str">
            <v>P</v>
          </cell>
        </row>
        <row r="216">
          <cell r="A216" t="str">
            <v>Spiked Armor</v>
          </cell>
          <cell r="C216" t="str">
            <v>M</v>
          </cell>
          <cell r="D216" t="str">
            <v>L</v>
          </cell>
          <cell r="E216">
            <v>5</v>
          </cell>
          <cell r="G216">
            <v>20</v>
          </cell>
          <cell r="H216">
            <v>2</v>
          </cell>
          <cell r="K216">
            <v>0</v>
          </cell>
          <cell r="L216" t="str">
            <v>P</v>
          </cell>
        </row>
        <row r="217">
          <cell r="A217" t="str">
            <v>Spiked Shield, Heavy</v>
          </cell>
          <cell r="C217" t="str">
            <v>M</v>
          </cell>
          <cell r="D217" t="str">
            <v>O</v>
          </cell>
          <cell r="E217">
            <v>5</v>
          </cell>
          <cell r="G217">
            <v>20</v>
          </cell>
          <cell r="H217">
            <v>2</v>
          </cell>
          <cell r="J217" t="str">
            <v>S</v>
          </cell>
          <cell r="K217">
            <v>0</v>
          </cell>
          <cell r="L217" t="str">
            <v>P</v>
          </cell>
        </row>
        <row r="218">
          <cell r="A218" t="str">
            <v>Spiked Shield, Light</v>
          </cell>
          <cell r="C218" t="str">
            <v>M</v>
          </cell>
          <cell r="D218" t="str">
            <v>L</v>
          </cell>
          <cell r="E218">
            <v>4</v>
          </cell>
          <cell r="G218">
            <v>20</v>
          </cell>
          <cell r="H218">
            <v>2</v>
          </cell>
          <cell r="J218" t="str">
            <v>S</v>
          </cell>
          <cell r="K218">
            <v>0</v>
          </cell>
          <cell r="L218" t="str">
            <v>P</v>
          </cell>
        </row>
        <row r="219">
          <cell r="A219" t="str">
            <v>Stabaxe</v>
          </cell>
          <cell r="C219" t="str">
            <v>M</v>
          </cell>
          <cell r="D219" t="str">
            <v>L</v>
          </cell>
          <cell r="E219">
            <v>5</v>
          </cell>
          <cell r="G219">
            <v>20</v>
          </cell>
          <cell r="H219">
            <v>3</v>
          </cell>
          <cell r="K219">
            <v>1</v>
          </cell>
          <cell r="L219" t="str">
            <v>P</v>
          </cell>
        </row>
        <row r="220">
          <cell r="A220" t="str">
            <v>Staff, Harpoon</v>
          </cell>
          <cell r="C220" t="str">
            <v>S</v>
          </cell>
          <cell r="D220" t="str">
            <v>T</v>
          </cell>
          <cell r="E220">
            <v>5</v>
          </cell>
          <cell r="G220">
            <v>20</v>
          </cell>
          <cell r="H220">
            <v>3</v>
          </cell>
          <cell r="K220">
            <v>15</v>
          </cell>
          <cell r="L220" t="str">
            <v>P</v>
          </cell>
        </row>
        <row r="221">
          <cell r="A221" t="str">
            <v>Staff, Three-section</v>
          </cell>
          <cell r="C221" t="str">
            <v>E</v>
          </cell>
          <cell r="D221" t="str">
            <v>T</v>
          </cell>
          <cell r="E221">
            <v>6</v>
          </cell>
          <cell r="G221">
            <v>20</v>
          </cell>
          <cell r="H221">
            <v>3</v>
          </cell>
          <cell r="K221">
            <v>8</v>
          </cell>
          <cell r="L221" t="str">
            <v>B</v>
          </cell>
          <cell r="O221" t="str">
            <v>U</v>
          </cell>
        </row>
        <row r="222">
          <cell r="A222" t="str">
            <v>Straightblade</v>
          </cell>
          <cell r="C222" t="str">
            <v>M</v>
          </cell>
          <cell r="D222" t="str">
            <v>L</v>
          </cell>
          <cell r="E222">
            <v>5</v>
          </cell>
          <cell r="G222">
            <v>19</v>
          </cell>
          <cell r="H222">
            <v>2</v>
          </cell>
          <cell r="K222">
            <v>3</v>
          </cell>
          <cell r="L222" t="str">
            <v>S</v>
          </cell>
        </row>
        <row r="223">
          <cell r="A223" t="str">
            <v>Straight Razor</v>
          </cell>
          <cell r="C223" t="str">
            <v>M</v>
          </cell>
          <cell r="D223" t="str">
            <v>T</v>
          </cell>
          <cell r="E223">
            <v>6</v>
          </cell>
          <cell r="G223">
            <v>20</v>
          </cell>
          <cell r="H223">
            <v>3</v>
          </cell>
          <cell r="K223">
            <v>0.5</v>
          </cell>
          <cell r="L223" t="str">
            <v>S</v>
          </cell>
        </row>
        <row r="224">
          <cell r="A224" t="str">
            <v>Steel Fins</v>
          </cell>
          <cell r="C224" t="str">
            <v>E</v>
          </cell>
          <cell r="D224" t="str">
            <v>L</v>
          </cell>
          <cell r="E224">
            <v>4</v>
          </cell>
          <cell r="G224">
            <v>20</v>
          </cell>
          <cell r="H224">
            <v>2</v>
          </cell>
          <cell r="K224">
            <v>2</v>
          </cell>
          <cell r="L224" t="str">
            <v>S</v>
          </cell>
        </row>
        <row r="225">
          <cell r="A225" t="str">
            <v>Sugliin</v>
          </cell>
          <cell r="C225" t="str">
            <v>E</v>
          </cell>
          <cell r="D225" t="str">
            <v>T</v>
          </cell>
          <cell r="E225">
            <v>11</v>
          </cell>
          <cell r="G225">
            <v>20</v>
          </cell>
          <cell r="H225">
            <v>2</v>
          </cell>
          <cell r="K225">
            <v>20</v>
          </cell>
          <cell r="L225" t="str">
            <v>P/S</v>
          </cell>
          <cell r="N225" t="b">
            <v>1</v>
          </cell>
        </row>
        <row r="226">
          <cell r="A226" t="str">
            <v>Sword, Bastard</v>
          </cell>
          <cell r="C226" t="str">
            <v>E</v>
          </cell>
          <cell r="D226" t="str">
            <v>O</v>
          </cell>
          <cell r="E226">
            <v>7</v>
          </cell>
          <cell r="G226">
            <v>19</v>
          </cell>
          <cell r="H226">
            <v>2</v>
          </cell>
          <cell r="K226">
            <v>6</v>
          </cell>
          <cell r="L226" t="str">
            <v>S</v>
          </cell>
          <cell r="O226" t="str">
            <v>X</v>
          </cell>
          <cell r="P226" t="b">
            <v>0</v>
          </cell>
        </row>
        <row r="227">
          <cell r="A227" t="str">
            <v>Sword, Butterfly</v>
          </cell>
          <cell r="C227" t="str">
            <v>E</v>
          </cell>
          <cell r="D227" t="str">
            <v>O</v>
          </cell>
          <cell r="E227">
            <v>5</v>
          </cell>
          <cell r="G227">
            <v>19</v>
          </cell>
          <cell r="H227">
            <v>2</v>
          </cell>
          <cell r="K227">
            <v>2</v>
          </cell>
          <cell r="L227" t="str">
            <v>S</v>
          </cell>
          <cell r="O227" t="str">
            <v>U</v>
          </cell>
        </row>
        <row r="228">
          <cell r="A228" t="str">
            <v>Sword, Short</v>
          </cell>
          <cell r="C228" t="str">
            <v>M</v>
          </cell>
          <cell r="D228" t="str">
            <v>L</v>
          </cell>
          <cell r="E228">
            <v>5</v>
          </cell>
          <cell r="G228">
            <v>19</v>
          </cell>
          <cell r="H228">
            <v>2</v>
          </cell>
          <cell r="K228">
            <v>2</v>
          </cell>
          <cell r="L228" t="str">
            <v>P</v>
          </cell>
          <cell r="P228" t="e">
            <v>#REF!</v>
          </cell>
        </row>
        <row r="229">
          <cell r="A229" t="str">
            <v>Sword, Short Broadblade</v>
          </cell>
          <cell r="C229" t="str">
            <v>E</v>
          </cell>
          <cell r="D229" t="str">
            <v>L</v>
          </cell>
          <cell r="E229">
            <v>5</v>
          </cell>
          <cell r="G229">
            <v>19</v>
          </cell>
          <cell r="H229">
            <v>2</v>
          </cell>
          <cell r="K229">
            <v>3</v>
          </cell>
          <cell r="L229" t="str">
            <v>P</v>
          </cell>
        </row>
        <row r="230">
          <cell r="A230" t="str">
            <v>Sword, Two-bladed</v>
          </cell>
          <cell r="C230" t="str">
            <v>E</v>
          </cell>
          <cell r="D230" t="str">
            <v>T</v>
          </cell>
          <cell r="E230">
            <v>6</v>
          </cell>
          <cell r="F230">
            <v>6</v>
          </cell>
          <cell r="G230">
            <v>19</v>
          </cell>
          <cell r="H230">
            <v>2</v>
          </cell>
          <cell r="I230">
            <v>2</v>
          </cell>
          <cell r="K230">
            <v>10</v>
          </cell>
          <cell r="L230" t="str">
            <v>S</v>
          </cell>
          <cell r="O230" t="str">
            <v/>
          </cell>
        </row>
        <row r="231">
          <cell r="A231" t="str">
            <v>Sword Cane, Dagger</v>
          </cell>
          <cell r="C231" t="str">
            <v>S</v>
          </cell>
          <cell r="D231" t="str">
            <v>T</v>
          </cell>
          <cell r="E231">
            <v>6</v>
          </cell>
          <cell r="G231">
            <v>19</v>
          </cell>
          <cell r="H231">
            <v>2</v>
          </cell>
          <cell r="K231">
            <v>2</v>
          </cell>
          <cell r="L231" t="str">
            <v>P</v>
          </cell>
        </row>
        <row r="232">
          <cell r="A232" t="str">
            <v>Sword Cane, Rapier</v>
          </cell>
          <cell r="C232" t="str">
            <v>M</v>
          </cell>
          <cell r="D232" t="str">
            <v>O</v>
          </cell>
          <cell r="E232">
            <v>5</v>
          </cell>
          <cell r="G232">
            <v>18</v>
          </cell>
          <cell r="H232">
            <v>2</v>
          </cell>
          <cell r="K232">
            <v>2</v>
          </cell>
          <cell r="L232" t="str">
            <v>P</v>
          </cell>
          <cell r="O232" t="str">
            <v>F</v>
          </cell>
        </row>
        <row r="233">
          <cell r="A233" t="str">
            <v>Swordcatcher, Gnome</v>
          </cell>
          <cell r="C233" t="str">
            <v>E</v>
          </cell>
          <cell r="D233" t="str">
            <v>O</v>
          </cell>
          <cell r="E233">
            <v>5</v>
          </cell>
          <cell r="G233">
            <v>19</v>
          </cell>
          <cell r="H233">
            <v>2</v>
          </cell>
          <cell r="K233">
            <v>5</v>
          </cell>
          <cell r="L233" t="str">
            <v>S</v>
          </cell>
          <cell r="O233" t="str">
            <v/>
          </cell>
          <cell r="P233" t="b">
            <v>0</v>
          </cell>
        </row>
        <row r="234">
          <cell r="A234" t="str">
            <v>Tangat, Talenta</v>
          </cell>
          <cell r="C234" t="str">
            <v>E</v>
          </cell>
          <cell r="D234" t="str">
            <v>T</v>
          </cell>
          <cell r="E234">
            <v>7</v>
          </cell>
          <cell r="G234">
            <v>18</v>
          </cell>
          <cell r="H234">
            <v>2</v>
          </cell>
          <cell r="K234">
            <v>8</v>
          </cell>
          <cell r="L234" t="str">
            <v>S</v>
          </cell>
          <cell r="O234" t="str">
            <v/>
          </cell>
        </row>
        <row r="235">
          <cell r="A235" t="str">
            <v>Thinblade, Elven</v>
          </cell>
          <cell r="C235" t="str">
            <v>E</v>
          </cell>
          <cell r="D235" t="str">
            <v>O</v>
          </cell>
          <cell r="E235">
            <v>6</v>
          </cell>
          <cell r="G235">
            <v>18</v>
          </cell>
          <cell r="H235">
            <v>2</v>
          </cell>
          <cell r="K235">
            <v>3</v>
          </cell>
          <cell r="L235" t="str">
            <v>P</v>
          </cell>
          <cell r="O235" t="str">
            <v>F</v>
          </cell>
          <cell r="P235" t="b">
            <v>0</v>
          </cell>
        </row>
        <row r="236">
          <cell r="A236" t="str">
            <v>Thrombash</v>
          </cell>
          <cell r="C236" t="str">
            <v>E</v>
          </cell>
          <cell r="D236" t="str">
            <v>O</v>
          </cell>
          <cell r="E236">
            <v>5</v>
          </cell>
          <cell r="G236">
            <v>20</v>
          </cell>
          <cell r="H236">
            <v>3</v>
          </cell>
          <cell r="J236">
            <v>10</v>
          </cell>
          <cell r="K236">
            <v>3</v>
          </cell>
          <cell r="L236" t="str">
            <v>P/S</v>
          </cell>
        </row>
        <row r="237">
          <cell r="A237" t="str">
            <v>Throwing-knife, Desert</v>
          </cell>
          <cell r="C237" t="str">
            <v>E</v>
          </cell>
          <cell r="D237" t="str">
            <v>R</v>
          </cell>
          <cell r="E237">
            <v>5</v>
          </cell>
          <cell r="G237">
            <v>19</v>
          </cell>
          <cell r="H237">
            <v>2</v>
          </cell>
          <cell r="J237">
            <v>15</v>
          </cell>
          <cell r="K237">
            <v>1</v>
          </cell>
          <cell r="L237" t="str">
            <v>P</v>
          </cell>
        </row>
        <row r="238">
          <cell r="A238" t="str">
            <v>Tonfa</v>
          </cell>
          <cell r="C238" t="str">
            <v>E</v>
          </cell>
          <cell r="D238" t="str">
            <v>O</v>
          </cell>
          <cell r="E238">
            <v>5</v>
          </cell>
          <cell r="G238">
            <v>20</v>
          </cell>
          <cell r="H238">
            <v>2</v>
          </cell>
          <cell r="K238">
            <v>2</v>
          </cell>
          <cell r="L238" t="str">
            <v>B</v>
          </cell>
          <cell r="P238" t="b">
            <v>0</v>
          </cell>
        </row>
        <row r="239">
          <cell r="A239" t="str">
            <v>Tortoise blade, Gnome</v>
          </cell>
          <cell r="C239" t="str">
            <v>E</v>
          </cell>
          <cell r="D239" t="str">
            <v>L</v>
          </cell>
          <cell r="E239">
            <v>5</v>
          </cell>
          <cell r="G239">
            <v>19</v>
          </cell>
          <cell r="H239">
            <v>2</v>
          </cell>
          <cell r="K239">
            <v>3</v>
          </cell>
          <cell r="L239" t="str">
            <v>P</v>
          </cell>
          <cell r="O239" t="str">
            <v/>
          </cell>
          <cell r="P239" t="b">
            <v>0</v>
          </cell>
        </row>
        <row r="240">
          <cell r="A240" t="str">
            <v>Trident</v>
          </cell>
          <cell r="C240" t="str">
            <v>M</v>
          </cell>
          <cell r="D240" t="str">
            <v>O</v>
          </cell>
          <cell r="E240">
            <v>6</v>
          </cell>
          <cell r="G240">
            <v>20</v>
          </cell>
          <cell r="H240">
            <v>2</v>
          </cell>
          <cell r="J240">
            <v>10</v>
          </cell>
          <cell r="K240">
            <v>4</v>
          </cell>
          <cell r="L240" t="str">
            <v>P</v>
          </cell>
          <cell r="P240" t="b">
            <v>0</v>
          </cell>
        </row>
        <row r="241">
          <cell r="A241" t="str">
            <v>Unarmed Strike</v>
          </cell>
          <cell r="C241" t="str">
            <v>S</v>
          </cell>
          <cell r="D241" t="str">
            <v>U</v>
          </cell>
          <cell r="E241">
            <v>3</v>
          </cell>
          <cell r="G241">
            <v>20</v>
          </cell>
          <cell r="H241">
            <v>2</v>
          </cell>
          <cell r="L241" t="str">
            <v>B</v>
          </cell>
          <cell r="M241" t="str">
            <v>S</v>
          </cell>
          <cell r="O241" t="str">
            <v>U</v>
          </cell>
          <cell r="P241" t="b">
            <v>0</v>
          </cell>
        </row>
        <row r="242">
          <cell r="A242" t="str">
            <v>Urgrosh, Dwarven</v>
          </cell>
          <cell r="C242" t="str">
            <v>E</v>
          </cell>
          <cell r="D242" t="str">
            <v>T</v>
          </cell>
          <cell r="E242">
            <v>6</v>
          </cell>
          <cell r="F242">
            <v>5</v>
          </cell>
          <cell r="G242">
            <v>20</v>
          </cell>
          <cell r="H242">
            <v>3</v>
          </cell>
          <cell r="I242">
            <v>3</v>
          </cell>
          <cell r="K242">
            <v>12</v>
          </cell>
          <cell r="L242" t="str">
            <v>S/P</v>
          </cell>
          <cell r="O242" t="str">
            <v>R</v>
          </cell>
          <cell r="P242" t="b">
            <v>0</v>
          </cell>
        </row>
        <row r="243">
          <cell r="A243" t="str">
            <v>Wakizashi</v>
          </cell>
          <cell r="B243" t="str">
            <v>OA</v>
          </cell>
          <cell r="C243" t="str">
            <v>M</v>
          </cell>
          <cell r="D243" t="str">
            <v>L</v>
          </cell>
          <cell r="E243">
            <v>5</v>
          </cell>
          <cell r="G243">
            <v>19</v>
          </cell>
          <cell r="H243">
            <v>2</v>
          </cell>
          <cell r="K243">
            <v>3</v>
          </cell>
          <cell r="L243" t="str">
            <v>S</v>
          </cell>
        </row>
        <row r="244">
          <cell r="A244" t="str">
            <v>War Spikard</v>
          </cell>
          <cell r="C244" t="str">
            <v>E</v>
          </cell>
          <cell r="D244" t="str">
            <v>T</v>
          </cell>
          <cell r="E244">
            <v>6</v>
          </cell>
          <cell r="G244">
            <v>20</v>
          </cell>
          <cell r="H244">
            <v>2</v>
          </cell>
          <cell r="K244">
            <v>9</v>
          </cell>
          <cell r="L244" t="str">
            <v>B/P</v>
          </cell>
        </row>
        <row r="245">
          <cell r="A245" t="str">
            <v>Waraxe, Dwarven</v>
          </cell>
          <cell r="C245" t="str">
            <v>E</v>
          </cell>
          <cell r="D245" t="str">
            <v>O</v>
          </cell>
          <cell r="E245">
            <v>7</v>
          </cell>
          <cell r="G245">
            <v>20</v>
          </cell>
          <cell r="H245">
            <v>3</v>
          </cell>
          <cell r="K245">
            <v>8</v>
          </cell>
          <cell r="L245" t="str">
            <v>S</v>
          </cell>
          <cell r="O245" t="str">
            <v>R</v>
          </cell>
          <cell r="P245" t="b">
            <v>0</v>
          </cell>
        </row>
        <row r="246">
          <cell r="A246" t="str">
            <v>Warhammer</v>
          </cell>
          <cell r="C246" t="str">
            <v>M</v>
          </cell>
          <cell r="D246" t="str">
            <v>O</v>
          </cell>
          <cell r="E246">
            <v>6</v>
          </cell>
          <cell r="G246">
            <v>20</v>
          </cell>
          <cell r="H246">
            <v>3</v>
          </cell>
          <cell r="K246">
            <v>5</v>
          </cell>
          <cell r="L246" t="str">
            <v>B</v>
          </cell>
        </row>
        <row r="247">
          <cell r="A247" t="str">
            <v>Warmace</v>
          </cell>
          <cell r="C247" t="str">
            <v>E</v>
          </cell>
          <cell r="D247" t="str">
            <v>O</v>
          </cell>
          <cell r="E247">
            <v>8</v>
          </cell>
          <cell r="G247">
            <v>20</v>
          </cell>
          <cell r="H247">
            <v>2</v>
          </cell>
          <cell r="K247">
            <v>10</v>
          </cell>
          <cell r="L247" t="str">
            <v>B</v>
          </cell>
          <cell r="O247" t="str">
            <v>X</v>
          </cell>
        </row>
        <row r="248">
          <cell r="A248" t="str">
            <v>Warpike, Dwarven</v>
          </cell>
          <cell r="C248" t="str">
            <v>E</v>
          </cell>
          <cell r="D248" t="str">
            <v>T</v>
          </cell>
          <cell r="E248">
            <v>10</v>
          </cell>
          <cell r="G248">
            <v>20</v>
          </cell>
          <cell r="H248">
            <v>3</v>
          </cell>
          <cell r="K248">
            <v>15</v>
          </cell>
          <cell r="L248" t="str">
            <v>S/P</v>
          </cell>
          <cell r="N248" t="b">
            <v>1</v>
          </cell>
          <cell r="O248" t="str">
            <v/>
          </cell>
          <cell r="P248" t="b">
            <v>0</v>
          </cell>
        </row>
        <row r="249">
          <cell r="A249" t="str">
            <v>Whip</v>
          </cell>
          <cell r="C249" t="str">
            <v>E</v>
          </cell>
          <cell r="D249" t="str">
            <v>O</v>
          </cell>
          <cell r="E249">
            <v>3</v>
          </cell>
          <cell r="G249">
            <v>20</v>
          </cell>
          <cell r="H249">
            <v>2</v>
          </cell>
          <cell r="K249">
            <v>2</v>
          </cell>
          <cell r="L249" t="str">
            <v>S</v>
          </cell>
          <cell r="M249" t="str">
            <v>S</v>
          </cell>
          <cell r="N249" t="b">
            <v>1</v>
          </cell>
          <cell r="O249" t="str">
            <v>M,F</v>
          </cell>
          <cell r="P249" t="b">
            <v>0</v>
          </cell>
        </row>
        <row r="250">
          <cell r="A250" t="str">
            <v>Whip, Scorpion-tail</v>
          </cell>
          <cell r="C250" t="str">
            <v>E</v>
          </cell>
          <cell r="D250" t="str">
            <v>O</v>
          </cell>
          <cell r="E250">
            <v>4</v>
          </cell>
          <cell r="G250">
            <v>20</v>
          </cell>
          <cell r="H250">
            <v>2</v>
          </cell>
          <cell r="K250">
            <v>3</v>
          </cell>
          <cell r="L250" t="str">
            <v>S/P</v>
          </cell>
        </row>
        <row r="251">
          <cell r="A251" t="str">
            <v>Whip, Stingray</v>
          </cell>
          <cell r="C251" t="str">
            <v>E</v>
          </cell>
          <cell r="D251" t="str">
            <v>O</v>
          </cell>
          <cell r="E251">
            <v>5</v>
          </cell>
          <cell r="G251">
            <v>20</v>
          </cell>
          <cell r="H251">
            <v>3</v>
          </cell>
          <cell r="K251">
            <v>3</v>
          </cell>
          <cell r="L251" t="str">
            <v>S/P</v>
          </cell>
          <cell r="N251" t="b">
            <v>1</v>
          </cell>
          <cell r="O251" t="str">
            <v>F</v>
          </cell>
        </row>
        <row r="252">
          <cell r="A252" t="str">
            <v>Whip-dagger</v>
          </cell>
          <cell r="C252" t="str">
            <v>E</v>
          </cell>
          <cell r="D252" t="str">
            <v>O</v>
          </cell>
          <cell r="E252">
            <v>5</v>
          </cell>
          <cell r="G252">
            <v>19</v>
          </cell>
          <cell r="H252">
            <v>2</v>
          </cell>
          <cell r="K252">
            <v>3</v>
          </cell>
          <cell r="L252" t="str">
            <v>S</v>
          </cell>
          <cell r="N252" t="b">
            <v>1</v>
          </cell>
          <cell r="O252" t="str">
            <v>M,F</v>
          </cell>
          <cell r="P252" t="b">
            <v>0</v>
          </cell>
        </row>
        <row r="253">
          <cell r="A253" t="str">
            <v>Grapple</v>
          </cell>
          <cell r="C253" t="str">
            <v>S</v>
          </cell>
          <cell r="D253" t="str">
            <v>U</v>
          </cell>
          <cell r="E253">
            <v>3</v>
          </cell>
          <cell r="G253">
            <v>20</v>
          </cell>
          <cell r="H253">
            <v>2</v>
          </cell>
          <cell r="L253" t="str">
            <v>B</v>
          </cell>
          <cell r="M253" t="str">
            <v>S</v>
          </cell>
        </row>
        <row r="254">
          <cell r="A254" t="str">
            <v>Touch</v>
          </cell>
          <cell r="C254" t="str">
            <v>S</v>
          </cell>
          <cell r="D254" t="str">
            <v>U</v>
          </cell>
          <cell r="E254">
            <v>13</v>
          </cell>
          <cell r="G254">
            <v>20</v>
          </cell>
          <cell r="H254">
            <v>2</v>
          </cell>
          <cell r="L254" t="str">
            <v>*</v>
          </cell>
        </row>
        <row r="255">
          <cell r="A255" t="str">
            <v>Ray</v>
          </cell>
          <cell r="C255" t="str">
            <v>S</v>
          </cell>
          <cell r="D255" t="str">
            <v>R</v>
          </cell>
          <cell r="E255">
            <v>13</v>
          </cell>
          <cell r="G255">
            <v>20</v>
          </cell>
          <cell r="H255">
            <v>2</v>
          </cell>
          <cell r="L255" t="str">
            <v>*</v>
          </cell>
        </row>
        <row r="256">
          <cell r="A256" t="str">
            <v>Energy Missile</v>
          </cell>
          <cell r="C256" t="str">
            <v>S</v>
          </cell>
          <cell r="D256" t="str">
            <v>R</v>
          </cell>
          <cell r="E256">
            <v>13</v>
          </cell>
          <cell r="G256">
            <v>20</v>
          </cell>
          <cell r="H256">
            <v>2</v>
          </cell>
          <cell r="L256" t="str">
            <v>*</v>
          </cell>
        </row>
        <row r="257">
          <cell r="A257" t="str">
            <v>Spellfire</v>
          </cell>
          <cell r="C257" t="str">
            <v>S</v>
          </cell>
          <cell r="D257" t="str">
            <v>R</v>
          </cell>
          <cell r="E257">
            <v>13</v>
          </cell>
          <cell r="G257">
            <v>20</v>
          </cell>
          <cell r="H257">
            <v>2</v>
          </cell>
          <cell r="L257"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sClassInfo"/>
  <dimension ref="A1:ET799"/>
  <sheetViews>
    <sheetView tabSelected="1" zoomScaleNormal="100" workbookViewId="0">
      <pane xSplit="2" ySplit="2" topLeftCell="C3" activePane="bottomRight" state="frozen"/>
      <selection activeCell="G18" sqref="G18"/>
      <selection pane="topRight" activeCell="G18" sqref="G18"/>
      <selection pane="bottomLeft" activeCell="G18" sqref="G18"/>
      <selection pane="bottomRight" activeCell="N8" sqref="N8"/>
    </sheetView>
  </sheetViews>
  <sheetFormatPr defaultRowHeight="11.25" customHeight="1" x14ac:dyDescent="0.2"/>
  <cols>
    <col min="1" max="1" width="3.5703125" style="1" bestFit="1" customWidth="1"/>
    <col min="2" max="2" width="38.5703125" style="1" bestFit="1" customWidth="1"/>
    <col min="3" max="4" width="6.140625" style="1" bestFit="1" customWidth="1"/>
    <col min="5" max="5" width="3.85546875" style="1" bestFit="1" customWidth="1"/>
    <col min="6" max="6" width="1.85546875" style="1" bestFit="1" customWidth="1"/>
    <col min="7" max="7" width="6.85546875" style="1" bestFit="1" customWidth="1"/>
    <col min="8" max="8" width="8.42578125" style="1" bestFit="1" customWidth="1"/>
    <col min="9" max="9" width="8.28515625" style="1" bestFit="1" customWidth="1"/>
    <col min="10" max="10" width="9" style="1" bestFit="1" customWidth="1"/>
    <col min="11" max="11" width="3.5703125" style="1" bestFit="1" customWidth="1"/>
    <col min="12" max="12" width="4.42578125" style="1" bestFit="1" customWidth="1"/>
    <col min="13" max="13" width="6.85546875" style="1" bestFit="1" customWidth="1"/>
    <col min="14" max="20" width="5.7109375" style="1" bestFit="1" customWidth="1"/>
    <col min="21" max="21" width="5.7109375" style="1" customWidth="1"/>
    <col min="22" max="22" width="4.7109375" style="1" bestFit="1" customWidth="1"/>
    <col min="23" max="25" width="4.42578125" style="1" bestFit="1" customWidth="1"/>
    <col min="26" max="26" width="6.85546875" style="1" bestFit="1" customWidth="1"/>
    <col min="27" max="27" width="11.85546875" style="1" bestFit="1" customWidth="1"/>
    <col min="28" max="28" width="4.5703125" style="1" bestFit="1" customWidth="1"/>
    <col min="29" max="29" width="3" style="1" bestFit="1" customWidth="1"/>
    <col min="30" max="30" width="8.7109375" style="1" bestFit="1" customWidth="1"/>
    <col min="31" max="31" width="4.42578125" style="1" bestFit="1" customWidth="1"/>
    <col min="32" max="32" width="3" style="1" customWidth="1"/>
    <col min="33" max="33" width="2.7109375" style="1" bestFit="1" customWidth="1"/>
    <col min="34" max="34" width="11.85546875" style="1" bestFit="1" customWidth="1"/>
    <col min="35" max="35" width="7.85546875" style="1" bestFit="1" customWidth="1"/>
    <col min="36" max="68" width="6" style="1" customWidth="1"/>
    <col min="69" max="69" width="5.85546875" style="1" customWidth="1"/>
    <col min="70" max="114" width="6" style="1" customWidth="1"/>
    <col min="115" max="115" width="8.85546875" style="1" bestFit="1" customWidth="1"/>
    <col min="116" max="116" width="7.85546875" style="1" bestFit="1" customWidth="1"/>
    <col min="117" max="121" width="5.7109375" style="1" bestFit="1" customWidth="1"/>
    <col min="122" max="123" width="6.85546875" style="1" bestFit="1" customWidth="1"/>
    <col min="124" max="124" width="7.140625" style="1" bestFit="1" customWidth="1"/>
    <col min="125" max="125" width="6.85546875" style="1" bestFit="1" customWidth="1"/>
    <col min="126" max="127" width="5.7109375" style="1" bestFit="1" customWidth="1"/>
    <col min="128" max="128" width="7.140625" style="1" bestFit="1" customWidth="1"/>
    <col min="129" max="131" width="5.7109375" style="1" bestFit="1" customWidth="1"/>
    <col min="132" max="132" width="6.85546875" style="1" bestFit="1" customWidth="1"/>
    <col min="133" max="133" width="27.42578125" style="1" customWidth="1"/>
    <col min="134" max="134" width="9.140625" style="1"/>
    <col min="135" max="135" width="13.85546875" style="1" bestFit="1" customWidth="1"/>
    <col min="136" max="136" width="7" style="1" bestFit="1" customWidth="1"/>
    <col min="137" max="137" width="16.140625" style="1" bestFit="1" customWidth="1"/>
    <col min="138" max="138" width="8.5703125" style="1" bestFit="1" customWidth="1"/>
    <col min="139" max="140" width="7.7109375" style="1" bestFit="1" customWidth="1"/>
    <col min="141" max="141" width="9.42578125" style="1" bestFit="1" customWidth="1"/>
    <col min="142" max="142" width="10.5703125" style="1" bestFit="1" customWidth="1"/>
    <col min="143" max="143" width="10.5703125" style="1" customWidth="1"/>
    <col min="144" max="144" width="8.7109375" style="1" bestFit="1" customWidth="1"/>
    <col min="145" max="145" width="7.42578125" style="1" bestFit="1" customWidth="1"/>
    <col min="146" max="16384" width="9.140625" style="1"/>
  </cols>
  <sheetData>
    <row r="1" spans="1:150" ht="11.25" customHeight="1" x14ac:dyDescent="0.2">
      <c r="B1" s="1">
        <f>COLUMN()</f>
        <v>2</v>
      </c>
      <c r="D1" s="1">
        <f>COLUMN()</f>
        <v>4</v>
      </c>
      <c r="E1" s="1">
        <f>COLUMN()</f>
        <v>5</v>
      </c>
      <c r="L1" s="1">
        <f>COLUMN()</f>
        <v>12</v>
      </c>
      <c r="V1" s="1">
        <f>COLUMN()</f>
        <v>22</v>
      </c>
      <c r="W1" s="1">
        <f>COLUMN()</f>
        <v>23</v>
      </c>
      <c r="X1" s="1">
        <f>COLUMN()</f>
        <v>24</v>
      </c>
      <c r="Y1" s="1">
        <f>COLUMN()</f>
        <v>25</v>
      </c>
      <c r="AG1" s="1">
        <f>COLUMN()</f>
        <v>33</v>
      </c>
      <c r="AH1" s="1">
        <f>COLUMN()</f>
        <v>34</v>
      </c>
      <c r="AI1" s="1" t="b">
        <f t="shared" ref="AI1:BO1" si="0">INDEX(TblSkillInfo,COLUMN()-$AG$1,6)</f>
        <v>1</v>
      </c>
      <c r="AJ1" s="1" t="b">
        <f t="shared" si="0"/>
        <v>0</v>
      </c>
      <c r="AK1" s="1" t="b">
        <f t="shared" si="0"/>
        <v>1</v>
      </c>
      <c r="AL1" s="1" t="b">
        <f t="shared" si="0"/>
        <v>1</v>
      </c>
      <c r="AM1" s="1" t="b">
        <f t="shared" si="0"/>
        <v>1</v>
      </c>
      <c r="AN1" s="1" t="b">
        <f t="shared" si="0"/>
        <v>0</v>
      </c>
      <c r="AO1" s="1" t="b">
        <f t="shared" si="0"/>
        <v>1</v>
      </c>
      <c r="AP1" s="1" t="b">
        <f t="shared" si="0"/>
        <v>0</v>
      </c>
      <c r="AQ1" s="1" t="b">
        <f t="shared" si="0"/>
        <v>0</v>
      </c>
      <c r="AR1" s="1" t="b">
        <f t="shared" si="0"/>
        <v>0</v>
      </c>
      <c r="AS1" s="1" t="b">
        <f t="shared" si="0"/>
        <v>0</v>
      </c>
      <c r="AT1" s="1" t="b">
        <f t="shared" si="0"/>
        <v>0</v>
      </c>
      <c r="AU1" s="1" t="b">
        <f t="shared" si="0"/>
        <v>0</v>
      </c>
      <c r="AV1" s="1" t="b">
        <f t="shared" si="0"/>
        <v>0</v>
      </c>
      <c r="AW1" s="1" t="b">
        <f t="shared" si="0"/>
        <v>1</v>
      </c>
      <c r="AX1" s="1" t="b">
        <f t="shared" si="0"/>
        <v>1</v>
      </c>
      <c r="AY1" s="1" t="b">
        <f t="shared" si="0"/>
        <v>1</v>
      </c>
      <c r="AZ1" s="1" t="b">
        <f t="shared" si="0"/>
        <v>1</v>
      </c>
      <c r="BA1" s="1" t="b">
        <f t="shared" si="0"/>
        <v>1</v>
      </c>
      <c r="BB1" s="1" t="b">
        <f t="shared" si="0"/>
        <v>1</v>
      </c>
      <c r="BC1" s="1" t="b">
        <f t="shared" si="0"/>
        <v>1</v>
      </c>
      <c r="BD1" s="1" t="b">
        <f t="shared" si="0"/>
        <v>1</v>
      </c>
      <c r="BE1" s="1" t="b">
        <f t="shared" si="0"/>
        <v>1</v>
      </c>
      <c r="BF1" s="1" t="b">
        <f t="shared" si="0"/>
        <v>1</v>
      </c>
      <c r="BG1" s="1" t="b">
        <f t="shared" si="0"/>
        <v>0</v>
      </c>
      <c r="BH1" s="1" t="b">
        <f t="shared" si="0"/>
        <v>0</v>
      </c>
      <c r="BI1" s="1" t="b">
        <f t="shared" si="0"/>
        <v>1</v>
      </c>
      <c r="BJ1" s="1" t="b">
        <f t="shared" si="0"/>
        <v>1</v>
      </c>
      <c r="BK1" s="1" t="b">
        <f t="shared" si="0"/>
        <v>1</v>
      </c>
      <c r="BL1" s="1" t="b">
        <f t="shared" si="0"/>
        <v>1</v>
      </c>
      <c r="BM1" s="1" t="b">
        <f t="shared" si="0"/>
        <v>1</v>
      </c>
      <c r="BN1" s="1" t="b">
        <f t="shared" si="0"/>
        <v>1</v>
      </c>
      <c r="BO1" s="1" t="b">
        <f t="shared" si="0"/>
        <v>1</v>
      </c>
      <c r="BP1" s="1" t="b">
        <f t="shared" ref="BP1:CU1" si="1">INDEX(TblSkillInfo,COLUMN()-$AG$1,6)</f>
        <v>1</v>
      </c>
      <c r="BQ1" s="1" t="b">
        <f t="shared" si="1"/>
        <v>0</v>
      </c>
      <c r="BR1" s="1" t="b">
        <f t="shared" si="1"/>
        <v>1</v>
      </c>
      <c r="BS1" s="1" t="b">
        <f t="shared" si="1"/>
        <v>1</v>
      </c>
      <c r="BT1" s="1" t="b">
        <f t="shared" si="1"/>
        <v>0</v>
      </c>
      <c r="BU1" s="1" t="b">
        <f t="shared" si="1"/>
        <v>0</v>
      </c>
      <c r="BV1" s="1" t="b">
        <f t="shared" si="1"/>
        <v>1</v>
      </c>
      <c r="BW1" s="1" t="b">
        <f t="shared" si="1"/>
        <v>1</v>
      </c>
      <c r="BX1" s="1" t="b">
        <f t="shared" si="1"/>
        <v>0</v>
      </c>
      <c r="BY1" s="1" t="b">
        <f t="shared" si="1"/>
        <v>0</v>
      </c>
      <c r="BZ1" s="1" t="b">
        <f t="shared" si="1"/>
        <v>0</v>
      </c>
      <c r="CA1" s="1" t="b">
        <f t="shared" si="1"/>
        <v>0</v>
      </c>
      <c r="CB1" s="1" t="b">
        <f t="shared" si="1"/>
        <v>0</v>
      </c>
      <c r="CC1" s="1" t="b">
        <f t="shared" si="1"/>
        <v>0</v>
      </c>
      <c r="CD1" s="1" t="b">
        <f t="shared" si="1"/>
        <v>0</v>
      </c>
      <c r="CE1" s="1" t="b">
        <f t="shared" si="1"/>
        <v>0</v>
      </c>
      <c r="CF1" s="1" t="b">
        <f t="shared" si="1"/>
        <v>1</v>
      </c>
      <c r="CG1" s="1" t="b">
        <f t="shared" si="1"/>
        <v>0</v>
      </c>
      <c r="CH1" s="1" t="b">
        <f t="shared" si="1"/>
        <v>1</v>
      </c>
      <c r="CI1" s="1" t="b">
        <f t="shared" si="1"/>
        <v>1</v>
      </c>
      <c r="CJ1" s="1" t="b">
        <f t="shared" si="1"/>
        <v>0</v>
      </c>
      <c r="CK1" s="1" t="b">
        <f t="shared" si="1"/>
        <v>0</v>
      </c>
      <c r="CL1" s="1" t="b">
        <f t="shared" si="1"/>
        <v>0</v>
      </c>
      <c r="CM1" s="1" t="b">
        <f t="shared" si="1"/>
        <v>0</v>
      </c>
      <c r="CN1" s="1" t="b">
        <f t="shared" si="1"/>
        <v>0</v>
      </c>
      <c r="CO1" s="1" t="b">
        <f t="shared" si="1"/>
        <v>0</v>
      </c>
      <c r="CP1" s="1" t="b">
        <f t="shared" si="1"/>
        <v>0</v>
      </c>
      <c r="CQ1" s="1" t="b">
        <f t="shared" si="1"/>
        <v>0</v>
      </c>
      <c r="CR1" s="1" t="b">
        <f t="shared" si="1"/>
        <v>0</v>
      </c>
      <c r="CS1" s="1" t="b">
        <f t="shared" si="1"/>
        <v>0</v>
      </c>
      <c r="CT1" s="1" t="b">
        <f t="shared" si="1"/>
        <v>0</v>
      </c>
      <c r="CU1" s="1" t="b">
        <f t="shared" si="1"/>
        <v>0</v>
      </c>
      <c r="CV1" s="1" t="b">
        <f t="shared" ref="CV1:DJ1" si="2">INDEX(TblSkillInfo,COLUMN()-$AG$1,6)</f>
        <v>0</v>
      </c>
      <c r="CW1" s="1" t="b">
        <f t="shared" si="2"/>
        <v>1</v>
      </c>
      <c r="CX1" s="1" t="b">
        <f t="shared" si="2"/>
        <v>1</v>
      </c>
      <c r="CY1" s="1" t="b">
        <f t="shared" si="2"/>
        <v>1</v>
      </c>
      <c r="CZ1" s="1" t="b">
        <f t="shared" si="2"/>
        <v>0</v>
      </c>
      <c r="DA1" s="1" t="b">
        <f t="shared" si="2"/>
        <v>1</v>
      </c>
      <c r="DB1" s="1" t="b">
        <f t="shared" si="2"/>
        <v>1</v>
      </c>
      <c r="DC1" s="1" t="b">
        <f t="shared" si="2"/>
        <v>1</v>
      </c>
      <c r="DD1" s="1" t="b">
        <f t="shared" si="2"/>
        <v>1</v>
      </c>
      <c r="DE1" s="1" t="b">
        <f t="shared" si="2"/>
        <v>1</v>
      </c>
      <c r="DF1" s="1" t="b">
        <f t="shared" si="2"/>
        <v>1</v>
      </c>
      <c r="DG1" s="1" t="b">
        <f t="shared" si="2"/>
        <v>1</v>
      </c>
      <c r="DH1" s="1" t="b">
        <f t="shared" si="2"/>
        <v>1</v>
      </c>
      <c r="DI1" s="1" t="b">
        <f t="shared" si="2"/>
        <v>0</v>
      </c>
      <c r="DJ1" s="1" t="b">
        <f t="shared" si="2"/>
        <v>1</v>
      </c>
      <c r="EA1" s="1">
        <f>COLUMN()</f>
        <v>131</v>
      </c>
      <c r="ED1" s="2" t="s">
        <v>0</v>
      </c>
      <c r="ET1" s="2" t="s">
        <v>0</v>
      </c>
    </row>
    <row r="2" spans="1:150" ht="22.5" customHeight="1" x14ac:dyDescent="0.2">
      <c r="C2" s="1" t="s">
        <v>1</v>
      </c>
      <c r="D2" s="1" t="s">
        <v>2</v>
      </c>
      <c r="E2" s="1" t="s">
        <v>3</v>
      </c>
      <c r="G2" s="3" t="s">
        <v>4</v>
      </c>
      <c r="H2" s="3" t="s">
        <v>5</v>
      </c>
      <c r="I2" s="3" t="s">
        <v>6</v>
      </c>
      <c r="J2" s="3" t="s">
        <v>7</v>
      </c>
      <c r="K2" s="3" t="s">
        <v>8</v>
      </c>
      <c r="L2" s="3" t="s">
        <v>9</v>
      </c>
      <c r="M2" s="1" t="s">
        <v>10</v>
      </c>
      <c r="N2" s="1" t="s">
        <v>11</v>
      </c>
      <c r="O2" s="1" t="s">
        <v>12</v>
      </c>
      <c r="P2" s="1" t="s">
        <v>13</v>
      </c>
      <c r="Q2" s="1" t="s">
        <v>14</v>
      </c>
      <c r="R2" s="1" t="s">
        <v>15</v>
      </c>
      <c r="S2" s="1" t="s">
        <v>16</v>
      </c>
      <c r="T2" s="1" t="s">
        <v>17</v>
      </c>
      <c r="U2" s="1" t="s">
        <v>18</v>
      </c>
      <c r="V2" s="1" t="s">
        <v>19</v>
      </c>
      <c r="W2" s="1" t="s">
        <v>20</v>
      </c>
      <c r="X2" s="1" t="s">
        <v>21</v>
      </c>
      <c r="Y2" s="1" t="s">
        <v>22</v>
      </c>
      <c r="Z2" s="1" t="s">
        <v>23</v>
      </c>
      <c r="AA2" s="1" t="s">
        <v>24</v>
      </c>
      <c r="AB2" s="3" t="s">
        <v>25</v>
      </c>
      <c r="AC2" s="1" t="s">
        <v>26</v>
      </c>
      <c r="AD2" s="1" t="s">
        <v>27</v>
      </c>
      <c r="AE2" s="3" t="s">
        <v>28</v>
      </c>
      <c r="AF2" s="1" t="s">
        <v>26</v>
      </c>
      <c r="AG2" s="1">
        <f>$AG$799</f>
        <v>5</v>
      </c>
      <c r="AI2" s="1" t="str">
        <f t="shared" ref="AI2:BO2" si="3">INDEX(SkillName,COLUMN()-$AG$1)</f>
        <v>Appraise</v>
      </c>
      <c r="AJ2" s="1" t="str">
        <f t="shared" si="3"/>
        <v>Autohypnosis</v>
      </c>
      <c r="AK2" s="1" t="str">
        <f t="shared" si="3"/>
        <v>Balance</v>
      </c>
      <c r="AL2" s="1" t="str">
        <f t="shared" si="3"/>
        <v>Bluff</v>
      </c>
      <c r="AM2" s="1" t="str">
        <f t="shared" si="3"/>
        <v>Climb</v>
      </c>
      <c r="AN2" s="1" t="str">
        <f t="shared" si="3"/>
        <v>Control Shape</v>
      </c>
      <c r="AO2" s="1" t="str">
        <f t="shared" si="3"/>
        <v>Concentration</v>
      </c>
      <c r="AP2" s="1" t="str">
        <f t="shared" si="3"/>
        <v>Craft skills …</v>
      </c>
      <c r="AQ2" s="1" t="str">
        <f t="shared" si="3"/>
        <v>Craft ()</v>
      </c>
      <c r="AR2" s="1" t="str">
        <f t="shared" si="3"/>
        <v>Craft ()</v>
      </c>
      <c r="AS2" s="1" t="str">
        <f t="shared" si="3"/>
        <v>Craft ()</v>
      </c>
      <c r="AT2" s="1" t="str">
        <f t="shared" si="3"/>
        <v>Craft ()</v>
      </c>
      <c r="AU2" s="1" t="str">
        <f t="shared" si="3"/>
        <v>Craft ()</v>
      </c>
      <c r="AV2" s="1" t="str">
        <f t="shared" si="3"/>
        <v>Craft ()</v>
      </c>
      <c r="AW2" s="1" t="str">
        <f t="shared" si="3"/>
        <v>Decipher Script</v>
      </c>
      <c r="AX2" s="1" t="str">
        <f t="shared" si="3"/>
        <v>Diplomacy</v>
      </c>
      <c r="AY2" s="1" t="str">
        <f t="shared" si="3"/>
        <v>Disable Device</v>
      </c>
      <c r="AZ2" s="1" t="str">
        <f t="shared" si="3"/>
        <v>Disguise</v>
      </c>
      <c r="BA2" s="1" t="str">
        <f t="shared" si="3"/>
        <v>Escape Artist</v>
      </c>
      <c r="BB2" s="1" t="str">
        <f t="shared" si="3"/>
        <v>Forgery</v>
      </c>
      <c r="BC2" s="1" t="str">
        <f t="shared" si="3"/>
        <v>Gather Information</v>
      </c>
      <c r="BD2" s="1" t="str">
        <f t="shared" si="3"/>
        <v>Handle Animal</v>
      </c>
      <c r="BE2" s="1" t="str">
        <f t="shared" si="3"/>
        <v>Heal</v>
      </c>
      <c r="BF2" s="1" t="str">
        <f t="shared" si="3"/>
        <v>Hide</v>
      </c>
      <c r="BG2" s="1" t="str">
        <f t="shared" si="3"/>
        <v>Hypnosis</v>
      </c>
      <c r="BH2" s="1" t="str">
        <f t="shared" si="3"/>
        <v>Iaijutsu Focus</v>
      </c>
      <c r="BI2" s="1" t="str">
        <f t="shared" si="3"/>
        <v>Intimidate</v>
      </c>
      <c r="BJ2" s="1" t="str">
        <f t="shared" si="3"/>
        <v>Jump</v>
      </c>
      <c r="BK2" s="3" t="str">
        <f t="shared" si="3"/>
        <v>Knowledge (arcana)</v>
      </c>
      <c r="BL2" s="3" t="str">
        <f t="shared" si="3"/>
        <v>Knowledge (arch &amp; eng)</v>
      </c>
      <c r="BM2" s="3" t="str">
        <f t="shared" si="3"/>
        <v>Knowledge (dungeoneering)</v>
      </c>
      <c r="BN2" s="3" t="str">
        <f t="shared" si="3"/>
        <v>Knowledge (geography)</v>
      </c>
      <c r="BO2" s="3" t="str">
        <f t="shared" si="3"/>
        <v>Knowledge (history)</v>
      </c>
      <c r="BP2" s="3" t="str">
        <f t="shared" ref="BP2:CU2" si="4">INDEX(SkillName,COLUMN()-$AG$1)</f>
        <v>Knowledge (local)</v>
      </c>
      <c r="BQ2" s="3" t="str">
        <f t="shared" si="4"/>
        <v>Knowledge (monster lore)</v>
      </c>
      <c r="BR2" s="3" t="str">
        <f t="shared" si="4"/>
        <v>Knowledge (nature)</v>
      </c>
      <c r="BS2" s="3" t="str">
        <f t="shared" si="4"/>
        <v>Knowledge (nobility)</v>
      </c>
      <c r="BT2" s="3" t="str">
        <f t="shared" si="4"/>
        <v>Knowledge (psionics)</v>
      </c>
      <c r="BU2" s="3" t="str">
        <f t="shared" si="4"/>
        <v>Knowledge (ravenloft)</v>
      </c>
      <c r="BV2" s="3" t="str">
        <f t="shared" si="4"/>
        <v>Knowledge (religion)</v>
      </c>
      <c r="BW2" s="3" t="str">
        <f t="shared" si="4"/>
        <v>Knowledge (the planes)</v>
      </c>
      <c r="BX2" s="1" t="str">
        <f t="shared" si="4"/>
        <v>Knowledge skills …</v>
      </c>
      <c r="BY2" s="1" t="str">
        <f t="shared" si="4"/>
        <v>Knowledge ()</v>
      </c>
      <c r="BZ2" s="1" t="str">
        <f t="shared" si="4"/>
        <v>Knowledge ()</v>
      </c>
      <c r="CA2" s="1" t="str">
        <f t="shared" si="4"/>
        <v>Knowledge ()</v>
      </c>
      <c r="CB2" s="1" t="str">
        <f t="shared" si="4"/>
        <v>Knowledge ()</v>
      </c>
      <c r="CC2" s="1" t="str">
        <f t="shared" si="4"/>
        <v>Knowledge ()</v>
      </c>
      <c r="CD2" s="1" t="str">
        <f t="shared" si="4"/>
        <v>Knowledge ()</v>
      </c>
      <c r="CE2" s="1" t="str">
        <f t="shared" si="4"/>
        <v>Knowledge ()</v>
      </c>
      <c r="CF2" s="1" t="str">
        <f t="shared" si="4"/>
        <v>Listen</v>
      </c>
      <c r="CG2" s="1" t="str">
        <f t="shared" si="4"/>
        <v>Martial Lore</v>
      </c>
      <c r="CH2" s="1" t="str">
        <f t="shared" si="4"/>
        <v>Move Silently</v>
      </c>
      <c r="CI2" s="1" t="str">
        <f t="shared" si="4"/>
        <v>Open Lock</v>
      </c>
      <c r="CJ2" s="1" t="str">
        <f t="shared" si="4"/>
        <v>Perform skills …</v>
      </c>
      <c r="CK2" s="1" t="str">
        <f t="shared" si="4"/>
        <v>Perform ()</v>
      </c>
      <c r="CL2" s="1" t="str">
        <f t="shared" si="4"/>
        <v>Perform ()</v>
      </c>
      <c r="CM2" s="1" t="str">
        <f t="shared" si="4"/>
        <v>Perform ()</v>
      </c>
      <c r="CN2" s="1" t="str">
        <f t="shared" si="4"/>
        <v>Perform ()</v>
      </c>
      <c r="CO2" s="1" t="str">
        <f t="shared" si="4"/>
        <v>Perform ()</v>
      </c>
      <c r="CP2" s="1" t="str">
        <f t="shared" si="4"/>
        <v>Profession skills …</v>
      </c>
      <c r="CQ2" s="1" t="str">
        <f t="shared" si="4"/>
        <v>Profession ()</v>
      </c>
      <c r="CR2" s="1" t="str">
        <f t="shared" si="4"/>
        <v>Profession ()</v>
      </c>
      <c r="CS2" s="1" t="str">
        <f t="shared" si="4"/>
        <v>Profession ()</v>
      </c>
      <c r="CT2" s="1" t="str">
        <f t="shared" si="4"/>
        <v>Profession ()</v>
      </c>
      <c r="CU2" s="1" t="str">
        <f t="shared" si="4"/>
        <v>Profession ()</v>
      </c>
      <c r="CV2" s="1" t="str">
        <f t="shared" ref="CV2:DJ2" si="5">INDEX(SkillName,COLUMN()-$AG$1)</f>
        <v>Psicraft</v>
      </c>
      <c r="CW2" s="1" t="str">
        <f t="shared" si="5"/>
        <v>Ride</v>
      </c>
      <c r="CX2" s="1" t="str">
        <f t="shared" si="5"/>
        <v>Search</v>
      </c>
      <c r="CY2" s="1" t="str">
        <f t="shared" si="5"/>
        <v>Sense Motive</v>
      </c>
      <c r="CZ2" s="1" t="str">
        <f t="shared" si="5"/>
        <v>Skill Tricks</v>
      </c>
      <c r="DA2" s="1" t="str">
        <f t="shared" si="5"/>
        <v>Sleight of Hand</v>
      </c>
      <c r="DB2" s="1" t="str">
        <f t="shared" si="5"/>
        <v>Speak Language</v>
      </c>
      <c r="DC2" s="1" t="str">
        <f t="shared" si="5"/>
        <v>Spellcraft</v>
      </c>
      <c r="DD2" s="1" t="str">
        <f t="shared" si="5"/>
        <v>Spot</v>
      </c>
      <c r="DE2" s="1" t="str">
        <f t="shared" si="5"/>
        <v>Survival</v>
      </c>
      <c r="DF2" s="1" t="str">
        <f t="shared" si="5"/>
        <v>Swim</v>
      </c>
      <c r="DG2" s="1" t="str">
        <f t="shared" si="5"/>
        <v>Tumble</v>
      </c>
      <c r="DH2" s="1" t="str">
        <f t="shared" si="5"/>
        <v>Use Magic Device</v>
      </c>
      <c r="DI2" s="1" t="str">
        <f t="shared" si="5"/>
        <v>Use Psionic Device</v>
      </c>
      <c r="DJ2" s="1" t="str">
        <f t="shared" si="5"/>
        <v>Use Rope</v>
      </c>
      <c r="DK2" s="1" t="s">
        <v>29</v>
      </c>
      <c r="DL2" s="1" t="s">
        <v>30</v>
      </c>
      <c r="EA2" s="1" t="s">
        <v>31</v>
      </c>
      <c r="EB2" s="1" t="s">
        <v>32</v>
      </c>
    </row>
    <row r="4" spans="1:150" ht="11.25" customHeight="1" x14ac:dyDescent="0.2">
      <c r="A4" s="1">
        <v>1</v>
      </c>
      <c r="B4" s="1" t="s">
        <v>33</v>
      </c>
      <c r="AG4" s="1">
        <f>ROW()</f>
        <v>4</v>
      </c>
      <c r="AH4" s="1" t="str">
        <f>$B$4</f>
        <v>Select Class</v>
      </c>
      <c r="AI4" s="1">
        <v>0</v>
      </c>
      <c r="AJ4" s="1">
        <v>0</v>
      </c>
      <c r="AK4" s="1">
        <v>0</v>
      </c>
      <c r="AL4" s="1">
        <v>0</v>
      </c>
      <c r="AM4" s="1">
        <v>0</v>
      </c>
      <c r="AN4" s="1">
        <v>0</v>
      </c>
      <c r="AO4" s="1">
        <v>0</v>
      </c>
      <c r="AP4" s="1">
        <v>0</v>
      </c>
      <c r="AQ4" s="1">
        <v>0</v>
      </c>
      <c r="AR4" s="1">
        <v>0</v>
      </c>
      <c r="AS4" s="1">
        <v>0</v>
      </c>
      <c r="AT4" s="1">
        <v>0</v>
      </c>
      <c r="AU4" s="1">
        <v>0</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EE4" s="1" t="s">
        <v>34</v>
      </c>
      <c r="EF4" s="1">
        <f>COUNTIF(TblClassesAtLvlCS,LycanthropeCell)</f>
        <v>0</v>
      </c>
      <c r="EI4" s="1" t="s">
        <v>35</v>
      </c>
      <c r="EJ4" s="1">
        <f>SUM(G70:G799)</f>
        <v>0</v>
      </c>
      <c r="EL4" s="1" t="s">
        <v>36</v>
      </c>
      <c r="EM4" s="1" t="str">
        <f>Race</f>
        <v>Dwarf</v>
      </c>
    </row>
    <row r="5" spans="1:150" ht="11.25" customHeight="1" x14ac:dyDescent="0.2">
      <c r="A5" s="1">
        <f>A4+1</f>
        <v>2</v>
      </c>
      <c r="B5" s="1" t="s">
        <v>37</v>
      </c>
      <c r="C5" s="1" t="s">
        <v>38</v>
      </c>
      <c r="D5" s="1" t="s">
        <v>38</v>
      </c>
      <c r="E5" s="1">
        <f t="shared" ref="E5:E80" si="6">$AC5+$AF5+IF(HasVirtualClasses,COUNTIF(TblVClassesAtLvlCS,$A5),0)</f>
        <v>0</v>
      </c>
      <c r="K5" s="1">
        <v>4</v>
      </c>
      <c r="L5" s="1">
        <v>12</v>
      </c>
      <c r="N5" s="1" t="b">
        <v>1</v>
      </c>
      <c r="O5" s="1" t="b">
        <v>1</v>
      </c>
      <c r="Q5" s="1" t="b">
        <v>1</v>
      </c>
      <c r="S5" s="1" t="b">
        <v>1</v>
      </c>
      <c r="T5" s="1" t="b">
        <v>1</v>
      </c>
      <c r="V5" s="1">
        <v>1</v>
      </c>
      <c r="W5" s="1">
        <v>0.5</v>
      </c>
      <c r="X5" s="1">
        <v>0.34</v>
      </c>
      <c r="Y5" s="1">
        <v>0.34</v>
      </c>
      <c r="Z5" s="1" t="b">
        <f>AlignmentLawful</f>
        <v>1</v>
      </c>
      <c r="AA5" s="1" t="str">
        <f>IF($AC5=0,"",IF($Z5,"Ex-","")&amp;$B5)</f>
        <v/>
      </c>
      <c r="AB5" s="1" t="str">
        <f>IF($AC5=0,"",IF($Z5,"Ex-","")&amp;$C5)</f>
        <v/>
      </c>
      <c r="AC5" s="1">
        <f t="shared" ref="AC5:AC80" si="7">COUNTIF(TblClassesAtLvlCS,$A5)</f>
        <v>0</v>
      </c>
      <c r="AD5" s="1" t="str">
        <f>IF($AF5=0,"",IF($Z5,"Ex-","")&amp;$B5)</f>
        <v/>
      </c>
      <c r="AE5" s="1" t="str">
        <f>IF($AF5=0,"",IF($Z5,"Ex-","")&amp;$C5)</f>
        <v/>
      </c>
      <c r="AF5" s="1">
        <f t="shared" ref="AF5:AF80" si="8">IF(HRGestalt,COUNTIF(TblGClassesAtLvlCS,$A5),0)</f>
        <v>0</v>
      </c>
      <c r="AG5" s="1">
        <f>IF($AC5&gt;0,$AG4+1,$AG4)</f>
        <v>4</v>
      </c>
      <c r="AH5" s="1" t="str">
        <f t="shared" ref="AH5:AH68" si="9">IF(ROW()&gt;$AG$2,"",INDEX($B$5:$B$794,MATCH(ROW(),$AG$5:$AG$794,0)))</f>
        <v>Wizard</v>
      </c>
      <c r="AI5" s="1">
        <v>1</v>
      </c>
      <c r="AJ5" s="1">
        <f t="shared" ref="AJ5:AJ20" si="10">IF(HRXPH,1,0)</f>
        <v>0</v>
      </c>
      <c r="AK5" s="1">
        <v>1</v>
      </c>
      <c r="AL5" s="1">
        <v>1</v>
      </c>
      <c r="AM5" s="1">
        <v>2</v>
      </c>
      <c r="AN5" s="1">
        <f t="shared" ref="AN5:AN15" si="11">IF(IsLycanthrope,2,0)</f>
        <v>0</v>
      </c>
      <c r="AO5" s="1">
        <v>1</v>
      </c>
      <c r="AP5" s="1">
        <v>2</v>
      </c>
      <c r="AQ5" s="1">
        <v>2</v>
      </c>
      <c r="AR5" s="1">
        <v>2</v>
      </c>
      <c r="AS5" s="1">
        <v>2</v>
      </c>
      <c r="AT5" s="1">
        <v>2</v>
      </c>
      <c r="AU5" s="1">
        <v>2</v>
      </c>
      <c r="AV5" s="1">
        <v>2</v>
      </c>
      <c r="AW5" s="1">
        <v>1</v>
      </c>
      <c r="AX5" s="1">
        <v>1</v>
      </c>
      <c r="AY5" s="1">
        <v>1</v>
      </c>
      <c r="AZ5" s="1">
        <v>1</v>
      </c>
      <c r="BA5" s="1">
        <v>1</v>
      </c>
      <c r="BB5" s="1">
        <v>1</v>
      </c>
      <c r="BC5" s="1">
        <v>1</v>
      </c>
      <c r="BD5" s="1">
        <v>2</v>
      </c>
      <c r="BE5" s="1">
        <v>1</v>
      </c>
      <c r="BF5" s="1">
        <v>1</v>
      </c>
      <c r="BG5" s="1">
        <f t="shared" ref="BG5:BG15" si="12">IF(HRRVL,1,0)</f>
        <v>0</v>
      </c>
      <c r="BH5" s="1">
        <f t="shared" ref="BH5:BH15" si="13">IF(HROA,1,0)</f>
        <v>0</v>
      </c>
      <c r="BI5" s="1">
        <v>2</v>
      </c>
      <c r="BJ5" s="1">
        <v>2</v>
      </c>
      <c r="BK5" s="1">
        <v>1</v>
      </c>
      <c r="BL5" s="1">
        <v>1</v>
      </c>
      <c r="BM5" s="1">
        <v>1</v>
      </c>
      <c r="BN5" s="1">
        <v>1</v>
      </c>
      <c r="BO5" s="1">
        <v>1</v>
      </c>
      <c r="BP5" s="1">
        <v>1</v>
      </c>
      <c r="BQ5" s="1">
        <f>IF(HRRVL,1,0)</f>
        <v>0</v>
      </c>
      <c r="BR5" s="1">
        <v>1</v>
      </c>
      <c r="BS5" s="1">
        <v>1</v>
      </c>
      <c r="BT5" s="1">
        <f>IF(HRXPH,1,0)</f>
        <v>0</v>
      </c>
      <c r="BU5" s="1">
        <f>IF(HRRVL,1,0)</f>
        <v>0</v>
      </c>
      <c r="BV5" s="1">
        <v>1</v>
      </c>
      <c r="BW5" s="1">
        <v>1</v>
      </c>
      <c r="BX5" s="1">
        <v>1</v>
      </c>
      <c r="BY5" s="1">
        <v>1</v>
      </c>
      <c r="BZ5" s="1">
        <v>1</v>
      </c>
      <c r="CA5" s="1">
        <v>1</v>
      </c>
      <c r="CB5" s="1">
        <v>1</v>
      </c>
      <c r="CC5" s="1">
        <v>1</v>
      </c>
      <c r="CD5" s="1">
        <v>1</v>
      </c>
      <c r="CE5" s="1">
        <v>1</v>
      </c>
      <c r="CF5" s="1">
        <v>2</v>
      </c>
      <c r="CG5" s="1">
        <f t="shared" ref="CG5:CG15" si="14">IF(HRToB,1,0)</f>
        <v>0</v>
      </c>
      <c r="CH5" s="1">
        <v>1</v>
      </c>
      <c r="CI5" s="1">
        <v>1</v>
      </c>
      <c r="CJ5" s="1">
        <v>1</v>
      </c>
      <c r="CK5" s="1">
        <v>1</v>
      </c>
      <c r="CL5" s="1">
        <v>1</v>
      </c>
      <c r="CM5" s="1">
        <v>1</v>
      </c>
      <c r="CN5" s="1">
        <v>1</v>
      </c>
      <c r="CO5" s="1">
        <v>1</v>
      </c>
      <c r="CP5" s="1">
        <v>1</v>
      </c>
      <c r="CQ5" s="1">
        <v>1</v>
      </c>
      <c r="CR5" s="1">
        <v>1</v>
      </c>
      <c r="CS5" s="1">
        <v>1</v>
      </c>
      <c r="CT5" s="1">
        <v>1</v>
      </c>
      <c r="CU5" s="1">
        <v>1</v>
      </c>
      <c r="CV5" s="1">
        <f t="shared" ref="CV5:CV20" si="15">IF(HRXPH,1,0)</f>
        <v>0</v>
      </c>
      <c r="CW5" s="1">
        <v>2</v>
      </c>
      <c r="CX5" s="1">
        <v>1</v>
      </c>
      <c r="CY5" s="1">
        <v>1</v>
      </c>
      <c r="CZ5" s="1">
        <f t="shared" ref="CZ5:CZ15" si="16">IF(HRCS,1,0)</f>
        <v>0</v>
      </c>
      <c r="DA5" s="1">
        <v>1</v>
      </c>
      <c r="DB5" s="1">
        <v>1</v>
      </c>
      <c r="DC5" s="1">
        <v>1</v>
      </c>
      <c r="DD5" s="1">
        <v>1</v>
      </c>
      <c r="DE5" s="1">
        <v>2</v>
      </c>
      <c r="DF5" s="1">
        <v>2</v>
      </c>
      <c r="DG5" s="1">
        <v>1</v>
      </c>
      <c r="DH5" s="1">
        <v>1</v>
      </c>
      <c r="DI5" s="1">
        <f t="shared" ref="DI5:DI20" si="17">IF(HRXPH,1,0)</f>
        <v>0</v>
      </c>
      <c r="DJ5" s="1">
        <v>1</v>
      </c>
      <c r="DK5" s="1" t="s">
        <v>39</v>
      </c>
      <c r="DL5" s="1" t="s">
        <v>40</v>
      </c>
      <c r="EE5" s="1" t="s">
        <v>41</v>
      </c>
      <c r="EF5" s="1">
        <f>COUNTIF(TblClassesAtLvlCS,MonCell)</f>
        <v>0</v>
      </c>
      <c r="EI5" s="1" t="s">
        <v>42</v>
      </c>
      <c r="EJ5" s="1">
        <f>SUM(H106:H799)</f>
        <v>0</v>
      </c>
      <c r="EL5" s="1" t="s">
        <v>43</v>
      </c>
      <c r="EM5" s="1">
        <f>INDEX($EA$105:$EA$795,PrestigeCell,1)</f>
        <v>0</v>
      </c>
    </row>
    <row r="6" spans="1:150" ht="11.25" customHeight="1" x14ac:dyDescent="0.2">
      <c r="A6" s="1">
        <f t="shared" ref="A6:A69" si="18">A5+1</f>
        <v>3</v>
      </c>
      <c r="B6" s="1" t="s">
        <v>44</v>
      </c>
      <c r="C6" s="1" t="s">
        <v>45</v>
      </c>
      <c r="D6" s="1" t="s">
        <v>45</v>
      </c>
      <c r="E6" s="1">
        <f t="shared" si="6"/>
        <v>0</v>
      </c>
      <c r="K6" s="1">
        <v>6</v>
      </c>
      <c r="L6" s="1">
        <v>6</v>
      </c>
      <c r="N6" s="1" t="b">
        <v>1</v>
      </c>
      <c r="Q6" s="1" t="b">
        <v>1</v>
      </c>
      <c r="S6" s="1" t="b">
        <v>1</v>
      </c>
      <c r="U6" s="1" t="s">
        <v>46</v>
      </c>
      <c r="V6" s="1">
        <v>0.75</v>
      </c>
      <c r="W6" s="1">
        <v>0.34</v>
      </c>
      <c r="X6" s="1">
        <v>0.5</v>
      </c>
      <c r="Y6" s="1">
        <v>0.5</v>
      </c>
      <c r="Z6" s="1" t="b">
        <f>AND(AlignmentLawful,NOT(FtDevotedPerformer))</f>
        <v>1</v>
      </c>
      <c r="AA6" s="1" t="str">
        <f t="shared" ref="AA6:AA83" si="19">IF($AC6=0,"",IF($Z6,"Ex-","")&amp;$B6)</f>
        <v/>
      </c>
      <c r="AB6" s="1" t="str">
        <f t="shared" ref="AB6:AB83" si="20">IF($AC6=0,"",IF($Z6,"Ex-","")&amp;$C6)</f>
        <v/>
      </c>
      <c r="AC6" s="1">
        <f t="shared" si="7"/>
        <v>0</v>
      </c>
      <c r="AD6" s="1" t="str">
        <f t="shared" ref="AD6:AD83" si="21">IF($AF6=0,"",IF($Z6,"Ex-","")&amp;$B6)</f>
        <v/>
      </c>
      <c r="AE6" s="1" t="str">
        <f t="shared" ref="AE6:AE83" si="22">IF($AF6=0,"",IF($Z6,"Ex-","")&amp;$C6)</f>
        <v/>
      </c>
      <c r="AF6" s="1">
        <f t="shared" si="8"/>
        <v>0</v>
      </c>
      <c r="AG6" s="1">
        <f t="shared" ref="AG6:AG69" si="23">IF($AC6&gt;0,$AG5+1,$AG5)</f>
        <v>4</v>
      </c>
      <c r="AH6" s="1" t="str">
        <f t="shared" si="9"/>
        <v/>
      </c>
      <c r="AI6" s="1">
        <v>2</v>
      </c>
      <c r="AJ6" s="1">
        <f t="shared" si="10"/>
        <v>0</v>
      </c>
      <c r="AK6" s="1">
        <v>2</v>
      </c>
      <c r="AL6" s="1">
        <v>2</v>
      </c>
      <c r="AM6" s="1">
        <v>2</v>
      </c>
      <c r="AN6" s="1">
        <f t="shared" si="11"/>
        <v>0</v>
      </c>
      <c r="AO6" s="1">
        <v>2</v>
      </c>
      <c r="AP6" s="1">
        <v>2</v>
      </c>
      <c r="AQ6" s="1">
        <v>2</v>
      </c>
      <c r="AR6" s="1">
        <v>2</v>
      </c>
      <c r="AS6" s="1">
        <v>2</v>
      </c>
      <c r="AT6" s="1">
        <v>2</v>
      </c>
      <c r="AU6" s="1">
        <v>2</v>
      </c>
      <c r="AV6" s="1">
        <v>2</v>
      </c>
      <c r="AW6" s="1">
        <v>2</v>
      </c>
      <c r="AX6" s="1">
        <v>2</v>
      </c>
      <c r="AY6" s="1">
        <v>1</v>
      </c>
      <c r="AZ6" s="1">
        <v>2</v>
      </c>
      <c r="BA6" s="1">
        <v>2</v>
      </c>
      <c r="BB6" s="1">
        <v>1</v>
      </c>
      <c r="BC6" s="1">
        <v>2</v>
      </c>
      <c r="BD6" s="1">
        <v>1</v>
      </c>
      <c r="BE6" s="1">
        <v>1</v>
      </c>
      <c r="BF6" s="1">
        <v>2</v>
      </c>
      <c r="BG6" s="1">
        <f t="shared" si="12"/>
        <v>0</v>
      </c>
      <c r="BH6" s="1">
        <f t="shared" si="13"/>
        <v>0</v>
      </c>
      <c r="BI6" s="1">
        <v>1</v>
      </c>
      <c r="BJ6" s="1">
        <v>2</v>
      </c>
      <c r="BK6" s="1">
        <v>2</v>
      </c>
      <c r="BL6" s="1">
        <v>2</v>
      </c>
      <c r="BM6" s="1">
        <v>2</v>
      </c>
      <c r="BN6" s="1">
        <v>2</v>
      </c>
      <c r="BO6" s="1">
        <v>2</v>
      </c>
      <c r="BP6" s="1">
        <f>1+NOT(HRLivingGreyhawk)</f>
        <v>2</v>
      </c>
      <c r="BQ6" s="1">
        <f>IF(HRRVL,2,0)</f>
        <v>0</v>
      </c>
      <c r="BR6" s="1">
        <v>2</v>
      </c>
      <c r="BS6" s="1">
        <v>2</v>
      </c>
      <c r="BT6" s="1">
        <f>IF(HRXPH,2,0)</f>
        <v>0</v>
      </c>
      <c r="BU6" s="1">
        <f>IF(HRRVL,2,0)</f>
        <v>0</v>
      </c>
      <c r="BV6" s="1">
        <v>2</v>
      </c>
      <c r="BW6" s="1">
        <v>2</v>
      </c>
      <c r="BX6" s="1">
        <v>2</v>
      </c>
      <c r="BY6" s="1">
        <v>2</v>
      </c>
      <c r="BZ6" s="1">
        <v>2</v>
      </c>
      <c r="CA6" s="1">
        <v>2</v>
      </c>
      <c r="CB6" s="1">
        <v>2</v>
      </c>
      <c r="CC6" s="1">
        <v>2</v>
      </c>
      <c r="CD6" s="1">
        <v>2</v>
      </c>
      <c r="CE6" s="1">
        <v>2</v>
      </c>
      <c r="CF6" s="1">
        <v>2</v>
      </c>
      <c r="CG6" s="1">
        <f t="shared" si="14"/>
        <v>0</v>
      </c>
      <c r="CH6" s="1">
        <v>2</v>
      </c>
      <c r="CI6" s="1">
        <v>1</v>
      </c>
      <c r="CJ6" s="1">
        <v>2</v>
      </c>
      <c r="CK6" s="1">
        <v>2</v>
      </c>
      <c r="CL6" s="1">
        <v>2</v>
      </c>
      <c r="CM6" s="1">
        <v>2</v>
      </c>
      <c r="CN6" s="1">
        <v>2</v>
      </c>
      <c r="CO6" s="1">
        <v>2</v>
      </c>
      <c r="CP6" s="1">
        <v>2</v>
      </c>
      <c r="CQ6" s="1">
        <v>2</v>
      </c>
      <c r="CR6" s="1">
        <v>2</v>
      </c>
      <c r="CS6" s="1">
        <v>2</v>
      </c>
      <c r="CT6" s="1">
        <v>2</v>
      </c>
      <c r="CU6" s="1">
        <v>2</v>
      </c>
      <c r="CV6" s="1">
        <f t="shared" si="15"/>
        <v>0</v>
      </c>
      <c r="CW6" s="1">
        <v>1</v>
      </c>
      <c r="CX6" s="1">
        <v>1</v>
      </c>
      <c r="CY6" s="1">
        <v>2</v>
      </c>
      <c r="CZ6" s="1">
        <f t="shared" si="16"/>
        <v>0</v>
      </c>
      <c r="DA6" s="1">
        <v>2</v>
      </c>
      <c r="DB6" s="1">
        <v>2</v>
      </c>
      <c r="DC6" s="1">
        <v>2</v>
      </c>
      <c r="DD6" s="1">
        <v>1</v>
      </c>
      <c r="DE6" s="1">
        <v>1</v>
      </c>
      <c r="DF6" s="1">
        <v>2</v>
      </c>
      <c r="DG6" s="1">
        <v>2</v>
      </c>
      <c r="DH6" s="1">
        <v>2</v>
      </c>
      <c r="DI6" s="1">
        <f t="shared" si="17"/>
        <v>0</v>
      </c>
      <c r="DJ6" s="1">
        <v>1</v>
      </c>
      <c r="DK6" s="1" t="s">
        <v>39</v>
      </c>
      <c r="DL6" s="1" t="s">
        <v>40</v>
      </c>
      <c r="EE6" s="1" t="s">
        <v>47</v>
      </c>
      <c r="EF6" s="1">
        <f>COUNTIF(E5:E795,"&gt;0")</f>
        <v>1</v>
      </c>
      <c r="EI6" s="1" t="s">
        <v>48</v>
      </c>
      <c r="EJ6" s="1">
        <f>SUM(I106:I799)</f>
        <v>0</v>
      </c>
      <c r="EL6" s="1" t="s">
        <v>49</v>
      </c>
      <c r="EM6" s="1" t="str">
        <f>IF($EM$5=0,"",IF($EM$5,IF(INDEX(TblPrestigeReq,PrestigeCell,1)="Do",$EM$8,$EM$9),$EM$10))</f>
        <v/>
      </c>
    </row>
    <row r="7" spans="1:150" ht="11.25" customHeight="1" x14ac:dyDescent="0.2">
      <c r="A7" s="1">
        <f t="shared" si="18"/>
        <v>4</v>
      </c>
      <c r="B7" s="1" t="s">
        <v>50</v>
      </c>
      <c r="C7" s="1" t="s">
        <v>51</v>
      </c>
      <c r="D7" s="1" t="s">
        <v>51</v>
      </c>
      <c r="E7" s="1">
        <f t="shared" si="6"/>
        <v>0</v>
      </c>
      <c r="K7" s="1">
        <v>2</v>
      </c>
      <c r="L7" s="1">
        <v>8</v>
      </c>
      <c r="M7" s="1">
        <f>IF(OR(CMClrDivCounterSpell,UAClrChampionOfFaith,RslDwClr1,RslDbClr1),0,E7)</f>
        <v>0</v>
      </c>
      <c r="N7" s="1" t="b">
        <v>1</v>
      </c>
      <c r="O7" s="1" t="b">
        <v>1</v>
      </c>
      <c r="P7" s="1" t="b">
        <v>1</v>
      </c>
      <c r="Q7" s="1" t="b">
        <v>1</v>
      </c>
      <c r="S7" s="1" t="b">
        <v>1</v>
      </c>
      <c r="V7" s="1">
        <f>0.75+IF(Subrace="Cleric",-4,0)</f>
        <v>0.75</v>
      </c>
      <c r="W7" s="1">
        <v>0.5</v>
      </c>
      <c r="X7" s="1">
        <f>0.34+IF(Subrace="Cleric",-2,0)</f>
        <v>0.34</v>
      </c>
      <c r="Y7" s="1">
        <v>0.5</v>
      </c>
      <c r="Z7" s="1" t="b">
        <f>FALSE</f>
        <v>0</v>
      </c>
      <c r="AA7" s="1" t="str">
        <f t="shared" si="19"/>
        <v/>
      </c>
      <c r="AB7" s="1" t="str">
        <f t="shared" si="20"/>
        <v/>
      </c>
      <c r="AC7" s="1">
        <f t="shared" si="7"/>
        <v>0</v>
      </c>
      <c r="AD7" s="1" t="str">
        <f t="shared" si="21"/>
        <v/>
      </c>
      <c r="AE7" s="1" t="str">
        <f t="shared" si="22"/>
        <v/>
      </c>
      <c r="AF7" s="1">
        <f t="shared" si="8"/>
        <v>0</v>
      </c>
      <c r="AG7" s="1">
        <f t="shared" si="23"/>
        <v>4</v>
      </c>
      <c r="AH7" s="1" t="str">
        <f t="shared" si="9"/>
        <v/>
      </c>
      <c r="AI7" s="1">
        <f>1+OR(NOT(ISNA(MATCH("Wealth",Domains,0))),NOT(ISNA(MATCH("Pact",Domains,0))),NOT(ISNA(MATCH("Commerce",Domains,0))))</f>
        <v>1</v>
      </c>
      <c r="AJ7" s="1">
        <f t="shared" si="10"/>
        <v>0</v>
      </c>
      <c r="AK7" s="1">
        <v>1</v>
      </c>
      <c r="AL7" s="1">
        <f>1+OR(NOT(ISNA(MATCH("Trickery",Domains,0))),NOT(ISNA(MATCH("Dragon",Domains,0))),NOT(ISNA(MATCH("Baator-1",Domains,0))),NOT(ISNA(MATCH("Envy",Domains,0))))</f>
        <v>1</v>
      </c>
      <c r="AM7" s="1">
        <f>IF(FtFarHorizons,2,1)</f>
        <v>1</v>
      </c>
      <c r="AN7" s="1">
        <f t="shared" si="11"/>
        <v>0</v>
      </c>
      <c r="AO7" s="1">
        <v>2</v>
      </c>
      <c r="AP7" s="1">
        <v>2</v>
      </c>
      <c r="AQ7" s="1">
        <v>2</v>
      </c>
      <c r="AR7" s="1">
        <v>2</v>
      </c>
      <c r="AS7" s="1">
        <v>2</v>
      </c>
      <c r="AT7" s="1">
        <v>2</v>
      </c>
      <c r="AU7" s="1">
        <v>2</v>
      </c>
      <c r="AV7" s="1">
        <v>2</v>
      </c>
      <c r="AW7" s="1">
        <v>1</v>
      </c>
      <c r="AX7" s="1">
        <v>2</v>
      </c>
      <c r="AY7" s="1">
        <f>IF(FtInitiateOfGond,2,1)</f>
        <v>1</v>
      </c>
      <c r="AZ7" s="1">
        <f>1+NOT(ISNA(MATCH("Trickery",Domains,0)))</f>
        <v>1</v>
      </c>
      <c r="BA7" s="1">
        <v>1</v>
      </c>
      <c r="BB7" s="1">
        <v>1</v>
      </c>
      <c r="BC7" s="1">
        <v>1</v>
      </c>
      <c r="BD7" s="1">
        <v>1</v>
      </c>
      <c r="BE7" s="1">
        <v>2</v>
      </c>
      <c r="BF7" s="1">
        <f>1+NOT(ISNA(MATCH("Trickery",Domains,0)))</f>
        <v>1</v>
      </c>
      <c r="BG7" s="1">
        <f t="shared" si="12"/>
        <v>0</v>
      </c>
      <c r="BH7" s="1">
        <f t="shared" si="13"/>
        <v>0</v>
      </c>
      <c r="BI7" s="1">
        <f>1+OR(FtDreadTyranny,NOT(ISNA(MATCH("Dragon",Domains,0))),NOT(ISNA(MATCH("Pact",Domains,0))),NOT(ISNA(MATCH("Herald",Domains,0))),NOT(ISNA(MATCH("Abyss-1",Domains,0))))</f>
        <v>1</v>
      </c>
      <c r="BJ7" s="1">
        <f>IF(FtFarHorizons,2,1)</f>
        <v>1</v>
      </c>
      <c r="BK7" s="1">
        <v>2</v>
      </c>
      <c r="BL7" s="1">
        <f>1+NOT(ISNA(MATCH("Knowledge",Domains,0)))</f>
        <v>1</v>
      </c>
      <c r="BM7" s="1">
        <f>1+NOT(ISNA(MATCH("Knowledge",Domains,0)))</f>
        <v>1</v>
      </c>
      <c r="BN7" s="1">
        <f>1+NOT(ISNA(MATCH("Knowledge",Domains,0)))</f>
        <v>1</v>
      </c>
      <c r="BO7" s="1">
        <v>2</v>
      </c>
      <c r="BP7" s="1">
        <f>1+NOT(ISNA(MATCH("Knowledge",Domains,0)))</f>
        <v>1</v>
      </c>
      <c r="BQ7" s="1">
        <f>IF(CampaignCell&lt;&gt;5,0,1+OR(NOT(ISNA(MATCH("Animal",Domains,0))),NOT(ISNA(MATCH("Plant",Domains,0))),NOT(ISNA(MATCH("Knowledge",Domains,0)))))</f>
        <v>0</v>
      </c>
      <c r="BR7" s="1">
        <f>1+OR(NOT(ISNA(MATCH("Animal",Domains,0))),NOT(ISNA(MATCH("Plant",Domains,0))),NOT(ISNA(MATCH("Knowledge",Domains,0))))</f>
        <v>1</v>
      </c>
      <c r="BS7" s="1">
        <f>1+NOT(ISNA(MATCH("Knowledge",Domains,0)))</f>
        <v>1</v>
      </c>
      <c r="BT7" s="1">
        <f t="shared" ref="BT7:BT13" si="24">IF(HRXPH,1,0)</f>
        <v>0</v>
      </c>
      <c r="BU7" s="1">
        <f>IF(HRRVL,2,0)</f>
        <v>0</v>
      </c>
      <c r="BV7" s="1">
        <v>2</v>
      </c>
      <c r="BW7" s="1">
        <v>2</v>
      </c>
      <c r="BX7" s="1">
        <f t="shared" ref="BX7:CE7" si="25">1+NOT(ISNA(MATCH("Knowledge",Domains,0)))</f>
        <v>1</v>
      </c>
      <c r="BY7" s="1">
        <f t="shared" si="25"/>
        <v>1</v>
      </c>
      <c r="BZ7" s="1">
        <f t="shared" si="25"/>
        <v>1</v>
      </c>
      <c r="CA7" s="1">
        <f t="shared" si="25"/>
        <v>1</v>
      </c>
      <c r="CB7" s="1">
        <f t="shared" si="25"/>
        <v>1</v>
      </c>
      <c r="CC7" s="1">
        <f t="shared" si="25"/>
        <v>1</v>
      </c>
      <c r="CD7" s="1">
        <f t="shared" si="25"/>
        <v>1</v>
      </c>
      <c r="CE7" s="1">
        <f t="shared" si="25"/>
        <v>1</v>
      </c>
      <c r="CF7" s="1">
        <f>IF(FtWhisperedSecrets,2,1)</f>
        <v>1</v>
      </c>
      <c r="CG7" s="1">
        <f t="shared" si="14"/>
        <v>0</v>
      </c>
      <c r="CH7" s="1">
        <v>1</v>
      </c>
      <c r="CI7" s="1">
        <f>IF(FtInitiateOfGond,2,1)</f>
        <v>1</v>
      </c>
      <c r="CJ7" s="1">
        <v>1</v>
      </c>
      <c r="CK7" s="1">
        <v>1</v>
      </c>
      <c r="CL7" s="1">
        <v>1</v>
      </c>
      <c r="CM7" s="1">
        <v>1</v>
      </c>
      <c r="CN7" s="1">
        <v>1</v>
      </c>
      <c r="CO7" s="1">
        <v>1</v>
      </c>
      <c r="CP7" s="1">
        <v>2</v>
      </c>
      <c r="CQ7" s="1">
        <v>2</v>
      </c>
      <c r="CR7" s="1">
        <v>2</v>
      </c>
      <c r="CS7" s="1">
        <v>2</v>
      </c>
      <c r="CT7" s="1">
        <v>2</v>
      </c>
      <c r="CU7" s="1">
        <v>2</v>
      </c>
      <c r="CV7" s="1">
        <f t="shared" si="15"/>
        <v>0</v>
      </c>
      <c r="CW7" s="1">
        <v>1</v>
      </c>
      <c r="CX7" s="1">
        <v>1</v>
      </c>
      <c r="CY7" s="1">
        <f>IF(OR(NOT(ISNA(MATCH("Pact",Domains,0))),NOT(ISNA(MATCH("Celestia-1",Domains,0)))),2,1)</f>
        <v>1</v>
      </c>
      <c r="CZ7" s="1">
        <f t="shared" si="16"/>
        <v>0</v>
      </c>
      <c r="DA7" s="1">
        <v>1</v>
      </c>
      <c r="DB7" s="1">
        <v>1</v>
      </c>
      <c r="DC7" s="1">
        <v>2</v>
      </c>
      <c r="DD7" s="1">
        <f>1+OR(FtWhisperedSecrets,NOT(ISNA(MATCH("Sky",Domains,0))))</f>
        <v>1</v>
      </c>
      <c r="DE7" s="1">
        <f>1+OR(NOT(ISNA(MATCH("Travel",Domains,0))),NOT(ISNA(MATCH("Weather",Domains,0))),NOT(ISNA(MATCH("Arborea-1",Domains,0))))</f>
        <v>1</v>
      </c>
      <c r="DF7" s="1">
        <f>IF(FtFarHorizons,2,1)</f>
        <v>1</v>
      </c>
      <c r="DG7" s="1">
        <v>1</v>
      </c>
      <c r="DH7" s="1">
        <v>1</v>
      </c>
      <c r="DI7" s="1">
        <f t="shared" si="17"/>
        <v>0</v>
      </c>
      <c r="DJ7" s="1">
        <v>1</v>
      </c>
      <c r="DK7" s="1" t="s">
        <v>39</v>
      </c>
      <c r="DL7" s="1" t="s">
        <v>40</v>
      </c>
      <c r="EE7" s="1" t="s">
        <v>52</v>
      </c>
      <c r="EF7" s="1">
        <f>ROUND((SUM($AC$5:$AC$795)+IF(HRGestalt,SUM($AF$5:$AF$795),0))/IF(HRGestalt,2,1),0)</f>
        <v>1</v>
      </c>
      <c r="EI7" s="1" t="s">
        <v>53</v>
      </c>
      <c r="EJ7" s="1">
        <f>SUM(J106:J799)</f>
        <v>0</v>
      </c>
      <c r="EL7" s="1" t="s">
        <v>54</v>
      </c>
      <c r="EM7" s="1" t="str">
        <f>IF($EM$5=0,"",INDEX(TblPrestigeReq,PrestigeCell,2))</f>
        <v/>
      </c>
    </row>
    <row r="8" spans="1:150" ht="11.25" customHeight="1" x14ac:dyDescent="0.2">
      <c r="A8" s="1">
        <f t="shared" si="18"/>
        <v>5</v>
      </c>
      <c r="B8" s="1" t="s">
        <v>55</v>
      </c>
      <c r="C8" s="1" t="s">
        <v>56</v>
      </c>
      <c r="D8" s="1" t="s">
        <v>56</v>
      </c>
      <c r="E8" s="1">
        <f t="shared" si="6"/>
        <v>0</v>
      </c>
      <c r="K8" s="1">
        <v>4</v>
      </c>
      <c r="L8" s="1">
        <v>8</v>
      </c>
      <c r="N8" s="1" t="b">
        <v>1</v>
      </c>
      <c r="O8" s="1" t="b">
        <v>1</v>
      </c>
      <c r="Q8" s="1" t="b">
        <v>1</v>
      </c>
      <c r="S8" s="1" t="b">
        <v>1</v>
      </c>
      <c r="T8" s="1" t="b">
        <v>1</v>
      </c>
      <c r="U8" s="1" t="s">
        <v>57</v>
      </c>
      <c r="V8" s="1">
        <v>0.75</v>
      </c>
      <c r="W8" s="1">
        <v>0.5</v>
      </c>
      <c r="X8" s="1">
        <v>0.34</v>
      </c>
      <c r="Y8" s="1">
        <v>0.5</v>
      </c>
      <c r="Z8" s="1" t="b">
        <f>NOT(AlignmentNeutral)</f>
        <v>1</v>
      </c>
      <c r="AA8" s="1" t="str">
        <f t="shared" si="19"/>
        <v/>
      </c>
      <c r="AB8" s="1" t="str">
        <f t="shared" si="20"/>
        <v/>
      </c>
      <c r="AC8" s="1">
        <f t="shared" si="7"/>
        <v>0</v>
      </c>
      <c r="AD8" s="1" t="str">
        <f t="shared" si="21"/>
        <v/>
      </c>
      <c r="AE8" s="1" t="str">
        <f t="shared" si="22"/>
        <v/>
      </c>
      <c r="AF8" s="1">
        <f t="shared" si="8"/>
        <v>0</v>
      </c>
      <c r="AG8" s="1">
        <f t="shared" si="23"/>
        <v>4</v>
      </c>
      <c r="AH8" s="1" t="str">
        <f t="shared" si="9"/>
        <v/>
      </c>
      <c r="AI8" s="1">
        <v>1</v>
      </c>
      <c r="AJ8" s="1">
        <f t="shared" si="10"/>
        <v>0</v>
      </c>
      <c r="AK8" s="1">
        <v>1</v>
      </c>
      <c r="AL8" s="1">
        <f>IF(FtGreensingerInitiate,2,1)</f>
        <v>1</v>
      </c>
      <c r="AM8" s="1">
        <f>IF(FtWardenInitiate,2,1)</f>
        <v>1</v>
      </c>
      <c r="AN8" s="1">
        <f t="shared" si="11"/>
        <v>0</v>
      </c>
      <c r="AO8" s="1">
        <v>2</v>
      </c>
      <c r="AP8" s="1">
        <v>2</v>
      </c>
      <c r="AQ8" s="1">
        <v>2</v>
      </c>
      <c r="AR8" s="1">
        <v>2</v>
      </c>
      <c r="AS8" s="1">
        <v>2</v>
      </c>
      <c r="AT8" s="1">
        <v>2</v>
      </c>
      <c r="AU8" s="1">
        <v>2</v>
      </c>
      <c r="AV8" s="1">
        <v>2</v>
      </c>
      <c r="AW8" s="1">
        <v>1</v>
      </c>
      <c r="AX8" s="1">
        <v>2</v>
      </c>
      <c r="AY8" s="1">
        <v>1</v>
      </c>
      <c r="AZ8" s="1">
        <v>1</v>
      </c>
      <c r="BA8" s="1">
        <v>1</v>
      </c>
      <c r="BB8" s="1">
        <v>1</v>
      </c>
      <c r="BC8" s="1">
        <v>1</v>
      </c>
      <c r="BD8" s="1">
        <v>2</v>
      </c>
      <c r="BE8" s="1">
        <v>2</v>
      </c>
      <c r="BF8" s="1">
        <f>IF(FtGreensingerInitiate,2,1)</f>
        <v>1</v>
      </c>
      <c r="BG8" s="1">
        <f t="shared" si="12"/>
        <v>0</v>
      </c>
      <c r="BH8" s="1">
        <f t="shared" si="13"/>
        <v>0</v>
      </c>
      <c r="BI8" s="1">
        <v>1</v>
      </c>
      <c r="BJ8" s="1">
        <f>IF(FtWardenInitiate,2,1)</f>
        <v>1</v>
      </c>
      <c r="BK8" s="1">
        <v>1</v>
      </c>
      <c r="BL8" s="1">
        <v>1</v>
      </c>
      <c r="BM8" s="1">
        <v>1</v>
      </c>
      <c r="BN8" s="1">
        <v>1</v>
      </c>
      <c r="BO8" s="1">
        <v>1</v>
      </c>
      <c r="BP8" s="1">
        <v>1</v>
      </c>
      <c r="BQ8" s="1">
        <f>IF(HRRVL,1,0)</f>
        <v>0</v>
      </c>
      <c r="BR8" s="1">
        <v>2</v>
      </c>
      <c r="BS8" s="1">
        <v>1</v>
      </c>
      <c r="BT8" s="1">
        <f t="shared" si="24"/>
        <v>0</v>
      </c>
      <c r="BU8" s="1">
        <f>IF(HRRVL,1,0)</f>
        <v>0</v>
      </c>
      <c r="BV8" s="1">
        <v>1</v>
      </c>
      <c r="BW8" s="1">
        <f>IF(FtGatekeeperInitiate,2,1)</f>
        <v>1</v>
      </c>
      <c r="BX8" s="1">
        <v>1</v>
      </c>
      <c r="BY8" s="1">
        <v>1</v>
      </c>
      <c r="BZ8" s="1">
        <v>1</v>
      </c>
      <c r="CA8" s="1">
        <v>1</v>
      </c>
      <c r="CB8" s="1">
        <v>1</v>
      </c>
      <c r="CC8" s="1">
        <v>1</v>
      </c>
      <c r="CD8" s="1">
        <v>1</v>
      </c>
      <c r="CE8" s="1">
        <v>1</v>
      </c>
      <c r="CF8" s="1">
        <v>2</v>
      </c>
      <c r="CG8" s="1">
        <f t="shared" si="14"/>
        <v>0</v>
      </c>
      <c r="CH8" s="1">
        <v>1</v>
      </c>
      <c r="CI8" s="1">
        <v>1</v>
      </c>
      <c r="CJ8" s="1">
        <f t="shared" ref="CJ8:CO8" si="26">IF(FtGreensingerInitiate,2,1)</f>
        <v>1</v>
      </c>
      <c r="CK8" s="1">
        <f t="shared" si="26"/>
        <v>1</v>
      </c>
      <c r="CL8" s="1">
        <f t="shared" si="26"/>
        <v>1</v>
      </c>
      <c r="CM8" s="1">
        <f t="shared" si="26"/>
        <v>1</v>
      </c>
      <c r="CN8" s="1">
        <f t="shared" si="26"/>
        <v>1</v>
      </c>
      <c r="CO8" s="1">
        <f t="shared" si="26"/>
        <v>1</v>
      </c>
      <c r="CP8" s="1">
        <v>2</v>
      </c>
      <c r="CQ8" s="1">
        <v>2</v>
      </c>
      <c r="CR8" s="1">
        <v>2</v>
      </c>
      <c r="CS8" s="1">
        <v>2</v>
      </c>
      <c r="CT8" s="1">
        <v>2</v>
      </c>
      <c r="CU8" s="1">
        <v>2</v>
      </c>
      <c r="CV8" s="1">
        <f t="shared" si="15"/>
        <v>0</v>
      </c>
      <c r="CW8" s="1">
        <v>2</v>
      </c>
      <c r="CX8" s="1">
        <v>1</v>
      </c>
      <c r="CY8" s="1">
        <v>1</v>
      </c>
      <c r="CZ8" s="1">
        <f t="shared" si="16"/>
        <v>0</v>
      </c>
      <c r="DA8" s="1">
        <v>1</v>
      </c>
      <c r="DB8" s="1">
        <v>1</v>
      </c>
      <c r="DC8" s="1">
        <v>2</v>
      </c>
      <c r="DD8" s="1">
        <v>2</v>
      </c>
      <c r="DE8" s="1">
        <v>2</v>
      </c>
      <c r="DF8" s="1">
        <v>2</v>
      </c>
      <c r="DG8" s="1">
        <v>1</v>
      </c>
      <c r="DH8" s="1">
        <v>1</v>
      </c>
      <c r="DI8" s="1">
        <f t="shared" si="17"/>
        <v>0</v>
      </c>
      <c r="DJ8" s="1">
        <v>1</v>
      </c>
      <c r="DK8" s="1" t="s">
        <v>39</v>
      </c>
      <c r="DL8" s="1" t="s">
        <v>40</v>
      </c>
      <c r="EE8" s="1" t="s">
        <v>58</v>
      </c>
      <c r="EF8" s="1">
        <f>ROUND(MonSelected+TemplateAddedHD+ClassLvl,0)</f>
        <v>1</v>
      </c>
      <c r="EI8" s="1" t="s">
        <v>59</v>
      </c>
      <c r="EJ8" s="1">
        <f>SUM($M$5:$M$799)+MagicTurn+FtImprovedTurning+IF(MagicEquipHeadType=13,4,0)+1*AND(AlignmentGood,MagicEquipTorsoType=8)</f>
        <v>0</v>
      </c>
      <c r="EK8" s="1">
        <f>3+ChaMod+4*COUNTIF(TblExtraTurning,TRUE)+4*(MoSLvl&gt;=1)+EnhTurnAttempts</f>
        <v>1</v>
      </c>
      <c r="EL8" s="1" t="s">
        <v>60</v>
      </c>
      <c r="EM8" s="1" t="str">
        <f>"Congratulations!" &amp; CHAR(10) &amp; "You qualify for this class."</f>
        <v>Congratulations!
You qualify for this class.</v>
      </c>
    </row>
    <row r="9" spans="1:150" ht="11.25" customHeight="1" x14ac:dyDescent="0.2">
      <c r="A9" s="1">
        <f t="shared" si="18"/>
        <v>6</v>
      </c>
      <c r="B9" s="1" t="s">
        <v>61</v>
      </c>
      <c r="C9" s="1" t="s">
        <v>62</v>
      </c>
      <c r="D9" s="1" t="s">
        <v>62</v>
      </c>
      <c r="E9" s="1">
        <f t="shared" si="6"/>
        <v>0</v>
      </c>
      <c r="K9" s="1">
        <v>2</v>
      </c>
      <c r="L9" s="1">
        <v>10</v>
      </c>
      <c r="N9" s="1" t="b">
        <v>1</v>
      </c>
      <c r="O9" s="1" t="b">
        <v>1</v>
      </c>
      <c r="P9" s="1" t="b">
        <v>1</v>
      </c>
      <c r="Q9" s="1" t="b">
        <v>1</v>
      </c>
      <c r="R9" s="1" t="b">
        <v>1</v>
      </c>
      <c r="S9" s="1" t="b">
        <v>1</v>
      </c>
      <c r="T9" s="1" t="b">
        <v>1</v>
      </c>
      <c r="V9" s="1">
        <v>1</v>
      </c>
      <c r="W9" s="1">
        <v>0.5</v>
      </c>
      <c r="X9" s="1">
        <v>0.34</v>
      </c>
      <c r="Y9" s="1">
        <v>0.34</v>
      </c>
      <c r="Z9" s="1" t="b">
        <f>FALSE</f>
        <v>0</v>
      </c>
      <c r="AA9" s="1" t="str">
        <f t="shared" si="19"/>
        <v/>
      </c>
      <c r="AB9" s="1" t="str">
        <f t="shared" si="20"/>
        <v/>
      </c>
      <c r="AC9" s="1">
        <f t="shared" si="7"/>
        <v>0</v>
      </c>
      <c r="AD9" s="1" t="str">
        <f t="shared" si="21"/>
        <v/>
      </c>
      <c r="AE9" s="1" t="str">
        <f t="shared" si="22"/>
        <v/>
      </c>
      <c r="AF9" s="1">
        <f t="shared" si="8"/>
        <v>0</v>
      </c>
      <c r="AG9" s="1">
        <f t="shared" si="23"/>
        <v>4</v>
      </c>
      <c r="AH9" s="1" t="str">
        <f t="shared" si="9"/>
        <v/>
      </c>
      <c r="AI9" s="1">
        <v>1</v>
      </c>
      <c r="AJ9" s="1">
        <f t="shared" si="10"/>
        <v>0</v>
      </c>
      <c r="AK9" s="1">
        <v>1</v>
      </c>
      <c r="AL9" s="1">
        <v>1</v>
      </c>
      <c r="AM9" s="1">
        <v>2</v>
      </c>
      <c r="AN9" s="1">
        <f t="shared" si="11"/>
        <v>0</v>
      </c>
      <c r="AO9" s="1">
        <v>1</v>
      </c>
      <c r="AP9" s="1">
        <v>2</v>
      </c>
      <c r="AQ9" s="1">
        <v>2</v>
      </c>
      <c r="AR9" s="1">
        <v>2</v>
      </c>
      <c r="AS9" s="1">
        <v>2</v>
      </c>
      <c r="AT9" s="1">
        <v>2</v>
      </c>
      <c r="AU9" s="1">
        <v>2</v>
      </c>
      <c r="AV9" s="1">
        <v>2</v>
      </c>
      <c r="AW9" s="1">
        <v>1</v>
      </c>
      <c r="AX9" s="1">
        <v>1</v>
      </c>
      <c r="AY9" s="1">
        <v>1</v>
      </c>
      <c r="AZ9" s="1">
        <v>1</v>
      </c>
      <c r="BA9" s="1">
        <v>1</v>
      </c>
      <c r="BB9" s="1">
        <v>1</v>
      </c>
      <c r="BC9" s="1">
        <v>1</v>
      </c>
      <c r="BD9" s="1">
        <v>2</v>
      </c>
      <c r="BE9" s="1">
        <v>1</v>
      </c>
      <c r="BF9" s="1">
        <v>1</v>
      </c>
      <c r="BG9" s="1">
        <f t="shared" si="12"/>
        <v>0</v>
      </c>
      <c r="BH9" s="1">
        <f t="shared" si="13"/>
        <v>0</v>
      </c>
      <c r="BI9" s="1">
        <v>2</v>
      </c>
      <c r="BJ9" s="1">
        <v>2</v>
      </c>
      <c r="BK9" s="1">
        <v>1</v>
      </c>
      <c r="BL9" s="1">
        <v>1</v>
      </c>
      <c r="BM9" s="1">
        <v>1</v>
      </c>
      <c r="BN9" s="1">
        <v>1</v>
      </c>
      <c r="BO9" s="1">
        <v>1</v>
      </c>
      <c r="BP9" s="1">
        <v>1</v>
      </c>
      <c r="BQ9" s="1">
        <f>IF(HRRVL,1,0)</f>
        <v>0</v>
      </c>
      <c r="BR9" s="1">
        <v>1</v>
      </c>
      <c r="BS9" s="1">
        <v>1</v>
      </c>
      <c r="BT9" s="1">
        <f t="shared" si="24"/>
        <v>0</v>
      </c>
      <c r="BU9" s="1">
        <f>IF(HRRVL,1,0)</f>
        <v>0</v>
      </c>
      <c r="BV9" s="1">
        <v>1</v>
      </c>
      <c r="BW9" s="1">
        <v>1</v>
      </c>
      <c r="BX9" s="1">
        <v>1</v>
      </c>
      <c r="BY9" s="1">
        <v>1</v>
      </c>
      <c r="BZ9" s="1">
        <v>1</v>
      </c>
      <c r="CA9" s="1">
        <v>1</v>
      </c>
      <c r="CB9" s="1">
        <v>1</v>
      </c>
      <c r="CC9" s="1">
        <v>1</v>
      </c>
      <c r="CD9" s="1">
        <v>1</v>
      </c>
      <c r="CE9" s="1">
        <v>1</v>
      </c>
      <c r="CF9" s="1">
        <v>1</v>
      </c>
      <c r="CG9" s="1">
        <f t="shared" si="14"/>
        <v>0</v>
      </c>
      <c r="CH9" s="1">
        <v>1</v>
      </c>
      <c r="CI9" s="1">
        <v>1</v>
      </c>
      <c r="CJ9" s="1">
        <v>1</v>
      </c>
      <c r="CK9" s="1">
        <v>1</v>
      </c>
      <c r="CL9" s="1">
        <v>1</v>
      </c>
      <c r="CM9" s="1">
        <v>1</v>
      </c>
      <c r="CN9" s="1">
        <v>1</v>
      </c>
      <c r="CO9" s="1">
        <v>1</v>
      </c>
      <c r="CP9" s="1">
        <v>1</v>
      </c>
      <c r="CQ9" s="1">
        <v>1</v>
      </c>
      <c r="CR9" s="1">
        <v>1</v>
      </c>
      <c r="CS9" s="1">
        <v>1</v>
      </c>
      <c r="CT9" s="1">
        <v>1</v>
      </c>
      <c r="CU9" s="1">
        <v>1</v>
      </c>
      <c r="CV9" s="1">
        <f t="shared" si="15"/>
        <v>0</v>
      </c>
      <c r="CW9" s="1">
        <v>2</v>
      </c>
      <c r="CX9" s="1">
        <v>1</v>
      </c>
      <c r="CY9" s="1">
        <v>1</v>
      </c>
      <c r="CZ9" s="1">
        <f t="shared" si="16"/>
        <v>0</v>
      </c>
      <c r="DA9" s="1">
        <v>1</v>
      </c>
      <c r="DB9" s="1">
        <v>1</v>
      </c>
      <c r="DC9" s="1">
        <v>1</v>
      </c>
      <c r="DD9" s="1">
        <v>1</v>
      </c>
      <c r="DE9" s="1">
        <v>1</v>
      </c>
      <c r="DF9" s="1">
        <v>2</v>
      </c>
      <c r="DG9" s="1">
        <v>1</v>
      </c>
      <c r="DH9" s="1">
        <v>1</v>
      </c>
      <c r="DI9" s="1">
        <f t="shared" si="17"/>
        <v>0</v>
      </c>
      <c r="DJ9" s="1">
        <v>1</v>
      </c>
      <c r="DK9" s="1" t="s">
        <v>39</v>
      </c>
      <c r="DL9" s="1" t="s">
        <v>40</v>
      </c>
      <c r="EE9" s="1" t="s">
        <v>63</v>
      </c>
      <c r="EF9" s="1">
        <f>HitDice+RaceLvlAdj+TemplateLA</f>
        <v>1</v>
      </c>
      <c r="EI9" s="1" t="s">
        <v>64</v>
      </c>
      <c r="EJ9" s="1">
        <f>IF(TurnLvl&gt;0,3+ChaMod+4*COUNTIF(TblExtraTurning,TRUE)+4*(MoSLvl&gt;=1)+EnhTurnAttempts,0)</f>
        <v>0</v>
      </c>
      <c r="EL9" s="1" t="s">
        <v>65</v>
      </c>
      <c r="EM9" s="1" t="s">
        <v>66</v>
      </c>
    </row>
    <row r="10" spans="1:150" ht="11.25" customHeight="1" x14ac:dyDescent="0.2">
      <c r="A10" s="1">
        <f t="shared" si="18"/>
        <v>7</v>
      </c>
      <c r="B10" s="1" t="s">
        <v>67</v>
      </c>
      <c r="C10" s="1" t="s">
        <v>68</v>
      </c>
      <c r="D10" s="1" t="s">
        <v>68</v>
      </c>
      <c r="E10" s="1">
        <f t="shared" si="6"/>
        <v>0</v>
      </c>
      <c r="K10" s="1">
        <v>4</v>
      </c>
      <c r="L10" s="1">
        <v>8</v>
      </c>
      <c r="U10" s="1" t="s">
        <v>69</v>
      </c>
      <c r="V10" s="1">
        <v>0.75</v>
      </c>
      <c r="W10" s="1">
        <v>0.5</v>
      </c>
      <c r="X10" s="1">
        <v>0.5</v>
      </c>
      <c r="Y10" s="1">
        <v>0.5</v>
      </c>
      <c r="Z10" s="1" t="b">
        <f>AlignmentNonLawful</f>
        <v>0</v>
      </c>
      <c r="AA10" s="1" t="str">
        <f t="shared" si="19"/>
        <v/>
      </c>
      <c r="AB10" s="1" t="str">
        <f t="shared" si="20"/>
        <v/>
      </c>
      <c r="AC10" s="1">
        <f t="shared" si="7"/>
        <v>0</v>
      </c>
      <c r="AD10" s="1" t="str">
        <f t="shared" si="21"/>
        <v/>
      </c>
      <c r="AE10" s="1" t="str">
        <f t="shared" si="22"/>
        <v/>
      </c>
      <c r="AF10" s="1">
        <f t="shared" si="8"/>
        <v>0</v>
      </c>
      <c r="AG10" s="1">
        <f t="shared" si="23"/>
        <v>4</v>
      </c>
      <c r="AH10" s="1" t="str">
        <f t="shared" si="9"/>
        <v/>
      </c>
      <c r="AI10" s="1">
        <v>1</v>
      </c>
      <c r="AJ10" s="1">
        <f t="shared" si="10"/>
        <v>0</v>
      </c>
      <c r="AK10" s="1">
        <v>2</v>
      </c>
      <c r="AL10" s="1">
        <v>1</v>
      </c>
      <c r="AM10" s="1">
        <v>2</v>
      </c>
      <c r="AN10" s="1">
        <f t="shared" si="11"/>
        <v>0</v>
      </c>
      <c r="AO10" s="1">
        <v>2</v>
      </c>
      <c r="AP10" s="1">
        <v>2</v>
      </c>
      <c r="AQ10" s="1">
        <v>2</v>
      </c>
      <c r="AR10" s="1">
        <v>2</v>
      </c>
      <c r="AS10" s="1">
        <v>2</v>
      </c>
      <c r="AT10" s="1">
        <v>2</v>
      </c>
      <c r="AU10" s="1">
        <v>2</v>
      </c>
      <c r="AV10" s="1">
        <v>2</v>
      </c>
      <c r="AW10" s="1">
        <v>1</v>
      </c>
      <c r="AX10" s="1">
        <v>2</v>
      </c>
      <c r="AY10" s="1">
        <v>1</v>
      </c>
      <c r="AZ10" s="1">
        <v>1</v>
      </c>
      <c r="BA10" s="1">
        <v>2</v>
      </c>
      <c r="BB10" s="1">
        <v>1</v>
      </c>
      <c r="BC10" s="1">
        <v>1</v>
      </c>
      <c r="BD10" s="1">
        <v>1</v>
      </c>
      <c r="BE10" s="1">
        <v>1</v>
      </c>
      <c r="BF10" s="1">
        <v>2</v>
      </c>
      <c r="BG10" s="1">
        <f t="shared" si="12"/>
        <v>0</v>
      </c>
      <c r="BH10" s="1">
        <f t="shared" si="13"/>
        <v>0</v>
      </c>
      <c r="BI10" s="1">
        <v>1</v>
      </c>
      <c r="BJ10" s="1">
        <v>2</v>
      </c>
      <c r="BK10" s="1">
        <v>2</v>
      </c>
      <c r="BL10" s="1">
        <v>1</v>
      </c>
      <c r="BM10" s="1">
        <v>1</v>
      </c>
      <c r="BN10" s="1">
        <v>1</v>
      </c>
      <c r="BO10" s="1">
        <v>1</v>
      </c>
      <c r="BP10" s="1">
        <v>1</v>
      </c>
      <c r="BQ10" s="1">
        <f>IF(HRRVL,1,0)</f>
        <v>0</v>
      </c>
      <c r="BR10" s="1">
        <v>1</v>
      </c>
      <c r="BS10" s="1">
        <v>1</v>
      </c>
      <c r="BT10" s="1">
        <f t="shared" si="24"/>
        <v>0</v>
      </c>
      <c r="BU10" s="1">
        <f>IF(HRRVL,2,0)</f>
        <v>0</v>
      </c>
      <c r="BV10" s="1">
        <v>2</v>
      </c>
      <c r="BW10" s="1">
        <v>1</v>
      </c>
      <c r="BX10" s="1">
        <v>1</v>
      </c>
      <c r="BY10" s="1">
        <v>1</v>
      </c>
      <c r="BZ10" s="1">
        <v>1</v>
      </c>
      <c r="CA10" s="1">
        <v>1</v>
      </c>
      <c r="CB10" s="1">
        <v>1</v>
      </c>
      <c r="CC10" s="1">
        <v>1</v>
      </c>
      <c r="CD10" s="1">
        <v>1</v>
      </c>
      <c r="CE10" s="1">
        <v>1</v>
      </c>
      <c r="CF10" s="1">
        <v>2</v>
      </c>
      <c r="CG10" s="1">
        <f t="shared" si="14"/>
        <v>0</v>
      </c>
      <c r="CH10" s="1">
        <v>2</v>
      </c>
      <c r="CI10" s="1">
        <v>1</v>
      </c>
      <c r="CJ10" s="1">
        <v>2</v>
      </c>
      <c r="CK10" s="1">
        <v>2</v>
      </c>
      <c r="CL10" s="1">
        <v>2</v>
      </c>
      <c r="CM10" s="1">
        <v>2</v>
      </c>
      <c r="CN10" s="1">
        <v>2</v>
      </c>
      <c r="CO10" s="1">
        <v>2</v>
      </c>
      <c r="CP10" s="1">
        <v>2</v>
      </c>
      <c r="CQ10" s="1">
        <v>2</v>
      </c>
      <c r="CR10" s="1">
        <v>2</v>
      </c>
      <c r="CS10" s="1">
        <v>2</v>
      </c>
      <c r="CT10" s="1">
        <v>2</v>
      </c>
      <c r="CU10" s="1">
        <v>2</v>
      </c>
      <c r="CV10" s="1">
        <f t="shared" si="15"/>
        <v>0</v>
      </c>
      <c r="CW10" s="1">
        <v>1</v>
      </c>
      <c r="CX10" s="1">
        <v>1</v>
      </c>
      <c r="CY10" s="1">
        <v>2</v>
      </c>
      <c r="CZ10" s="1">
        <f t="shared" si="16"/>
        <v>0</v>
      </c>
      <c r="DA10" s="1">
        <v>1</v>
      </c>
      <c r="DB10" s="1">
        <v>1</v>
      </c>
      <c r="DC10" s="1">
        <v>1</v>
      </c>
      <c r="DD10" s="1">
        <v>2</v>
      </c>
      <c r="DE10" s="1">
        <v>1</v>
      </c>
      <c r="DF10" s="1">
        <v>2</v>
      </c>
      <c r="DG10" s="1">
        <v>2</v>
      </c>
      <c r="DH10" s="1">
        <v>1</v>
      </c>
      <c r="DI10" s="1">
        <f t="shared" si="17"/>
        <v>0</v>
      </c>
      <c r="DJ10" s="1">
        <v>1</v>
      </c>
      <c r="DK10" s="1" t="s">
        <v>39</v>
      </c>
      <c r="DL10" s="1" t="s">
        <v>40</v>
      </c>
      <c r="EE10" s="1" t="s">
        <v>24</v>
      </c>
      <c r="EF10" s="1" t="e">
        <f ca="1">RANGECONCAT("/",TRUE,$AA$5:$AA$799)&amp;IF(IsGestalt,"||"&amp;RANGECONCAT("/",TRUE,$AD$5:$AD$799),"")</f>
        <v>#NAME?</v>
      </c>
      <c r="EG10" s="1" t="e">
        <f ca="1">LEN(EF10)</f>
        <v>#NAME?</v>
      </c>
      <c r="EI10" s="1" t="s">
        <v>70</v>
      </c>
      <c r="EJ10" s="1">
        <f>ChaMod+2*(SkKnowledgeReligionRanks&gt;=5)+2*(SkKnowledgeReligionRanks&gt;=25)+2*(SkKnowledgeReligionRanks&gt;=45)+2*(NOT(ISNA(MATCH("Glory",Domains,0))))+EnhTurnCheck+2*FtNymphsKiss-AberrantSelected+MotivateChaMod+IF(MagicEquipHeadType=4,3,0)</f>
        <v>-2</v>
      </c>
      <c r="EL10" s="1" t="s">
        <v>71</v>
      </c>
      <c r="EM10" s="1" t="s">
        <v>72</v>
      </c>
    </row>
    <row r="11" spans="1:150" ht="11.25" customHeight="1" x14ac:dyDescent="0.2">
      <c r="A11" s="1">
        <f t="shared" si="18"/>
        <v>8</v>
      </c>
      <c r="B11" s="1" t="s">
        <v>73</v>
      </c>
      <c r="C11" s="1" t="s">
        <v>74</v>
      </c>
      <c r="D11" s="1" t="s">
        <v>74</v>
      </c>
      <c r="E11" s="1">
        <f t="shared" si="6"/>
        <v>0</v>
      </c>
      <c r="K11" s="1">
        <v>2</v>
      </c>
      <c r="L11" s="1">
        <v>10</v>
      </c>
      <c r="M11" s="1">
        <f>IF(OR(CMPalDivCounterSpell,RslDbPal4,UAPalFavEn),0,IF(AND(PalLvl&gt;=4,AND(AlignmentLawful,AlignmentGood)),PalLvl-3,0))</f>
        <v>0</v>
      </c>
      <c r="N11" s="1" t="b">
        <v>1</v>
      </c>
      <c r="O11" s="1" t="b">
        <v>1</v>
      </c>
      <c r="P11" s="1" t="b">
        <v>1</v>
      </c>
      <c r="Q11" s="1" t="b">
        <v>1</v>
      </c>
      <c r="S11" s="1" t="b">
        <v>1</v>
      </c>
      <c r="T11" s="1" t="b">
        <v>1</v>
      </c>
      <c r="V11" s="1">
        <v>1</v>
      </c>
      <c r="W11" s="1">
        <v>0.5</v>
      </c>
      <c r="X11" s="1">
        <v>0.34</v>
      </c>
      <c r="Y11" s="1">
        <v>0.34</v>
      </c>
      <c r="Z11" s="1" t="b">
        <f>NOT(AND(AlignmentLawful,AlignmentGood))</f>
        <v>0</v>
      </c>
      <c r="AA11" s="1" t="str">
        <f t="shared" si="19"/>
        <v/>
      </c>
      <c r="AB11" s="1" t="str">
        <f t="shared" si="20"/>
        <v/>
      </c>
      <c r="AC11" s="1">
        <f t="shared" si="7"/>
        <v>0</v>
      </c>
      <c r="AD11" s="1" t="str">
        <f t="shared" si="21"/>
        <v/>
      </c>
      <c r="AE11" s="1" t="str">
        <f t="shared" si="22"/>
        <v/>
      </c>
      <c r="AF11" s="1">
        <f t="shared" si="8"/>
        <v>0</v>
      </c>
      <c r="AG11" s="1">
        <f t="shared" si="23"/>
        <v>4</v>
      </c>
      <c r="AH11" s="1" t="str">
        <f t="shared" si="9"/>
        <v/>
      </c>
      <c r="AI11" s="1">
        <v>1</v>
      </c>
      <c r="AJ11" s="1">
        <f t="shared" si="10"/>
        <v>0</v>
      </c>
      <c r="AK11" s="1">
        <v>1</v>
      </c>
      <c r="AL11" s="1">
        <v>1</v>
      </c>
      <c r="AM11" s="1">
        <v>1</v>
      </c>
      <c r="AN11" s="1">
        <f t="shared" si="11"/>
        <v>0</v>
      </c>
      <c r="AO11" s="1">
        <v>2</v>
      </c>
      <c r="AP11" s="1">
        <v>2</v>
      </c>
      <c r="AQ11" s="1">
        <v>2</v>
      </c>
      <c r="AR11" s="1">
        <v>2</v>
      </c>
      <c r="AS11" s="1">
        <v>2</v>
      </c>
      <c r="AT11" s="1">
        <v>2</v>
      </c>
      <c r="AU11" s="1">
        <v>2</v>
      </c>
      <c r="AV11" s="1">
        <v>2</v>
      </c>
      <c r="AW11" s="1">
        <v>1</v>
      </c>
      <c r="AX11" s="1">
        <v>2</v>
      </c>
      <c r="AY11" s="1">
        <v>1</v>
      </c>
      <c r="AZ11" s="1">
        <v>1</v>
      </c>
      <c r="BA11" s="1">
        <v>1</v>
      </c>
      <c r="BB11" s="1">
        <v>1</v>
      </c>
      <c r="BC11" s="1">
        <v>1</v>
      </c>
      <c r="BD11" s="1">
        <v>2</v>
      </c>
      <c r="BE11" s="1">
        <v>2</v>
      </c>
      <c r="BF11" s="1">
        <v>1</v>
      </c>
      <c r="BG11" s="1">
        <f t="shared" si="12"/>
        <v>0</v>
      </c>
      <c r="BH11" s="1">
        <f t="shared" si="13"/>
        <v>0</v>
      </c>
      <c r="BI11" s="1">
        <v>1</v>
      </c>
      <c r="BJ11" s="1">
        <v>1</v>
      </c>
      <c r="BK11" s="1">
        <v>1</v>
      </c>
      <c r="BL11" s="1">
        <v>1</v>
      </c>
      <c r="BM11" s="1">
        <v>1</v>
      </c>
      <c r="BN11" s="1">
        <v>1</v>
      </c>
      <c r="BO11" s="1">
        <v>1</v>
      </c>
      <c r="BP11" s="1">
        <v>1</v>
      </c>
      <c r="BQ11" s="1">
        <f>IF(HRRVL,1,0)</f>
        <v>0</v>
      </c>
      <c r="BR11" s="1">
        <v>1</v>
      </c>
      <c r="BS11" s="1">
        <v>2</v>
      </c>
      <c r="BT11" s="1">
        <f t="shared" si="24"/>
        <v>0</v>
      </c>
      <c r="BU11" s="1">
        <f>IF(HRRVL,1,0)</f>
        <v>0</v>
      </c>
      <c r="BV11" s="1">
        <v>2</v>
      </c>
      <c r="BW11" s="1">
        <v>1</v>
      </c>
      <c r="BX11" s="1">
        <v>1</v>
      </c>
      <c r="BY11" s="1">
        <v>1</v>
      </c>
      <c r="BZ11" s="1">
        <v>1</v>
      </c>
      <c r="CA11" s="1">
        <v>1</v>
      </c>
      <c r="CB11" s="1">
        <v>1</v>
      </c>
      <c r="CC11" s="1">
        <v>1</v>
      </c>
      <c r="CD11" s="1">
        <v>1</v>
      </c>
      <c r="CE11" s="1">
        <v>1</v>
      </c>
      <c r="CF11" s="1">
        <v>1</v>
      </c>
      <c r="CG11" s="1">
        <f t="shared" si="14"/>
        <v>0</v>
      </c>
      <c r="CH11" s="1">
        <v>1</v>
      </c>
      <c r="CI11" s="1">
        <v>1</v>
      </c>
      <c r="CJ11" s="1">
        <v>1</v>
      </c>
      <c r="CK11" s="1">
        <v>1</v>
      </c>
      <c r="CL11" s="1">
        <v>1</v>
      </c>
      <c r="CM11" s="1">
        <v>1</v>
      </c>
      <c r="CN11" s="1">
        <v>1</v>
      </c>
      <c r="CO11" s="1">
        <v>1</v>
      </c>
      <c r="CP11" s="1">
        <v>2</v>
      </c>
      <c r="CQ11" s="1">
        <v>2</v>
      </c>
      <c r="CR11" s="1">
        <v>2</v>
      </c>
      <c r="CS11" s="1">
        <v>2</v>
      </c>
      <c r="CT11" s="1">
        <v>2</v>
      </c>
      <c r="CU11" s="1">
        <v>2</v>
      </c>
      <c r="CV11" s="1">
        <f t="shared" si="15"/>
        <v>0</v>
      </c>
      <c r="CW11" s="1">
        <v>2</v>
      </c>
      <c r="CX11" s="1">
        <v>1</v>
      </c>
      <c r="CY11" s="1">
        <v>2</v>
      </c>
      <c r="CZ11" s="1">
        <f t="shared" si="16"/>
        <v>0</v>
      </c>
      <c r="DA11" s="1">
        <v>1</v>
      </c>
      <c r="DB11" s="1">
        <v>1</v>
      </c>
      <c r="DC11" s="1">
        <v>1</v>
      </c>
      <c r="DD11" s="1">
        <v>1</v>
      </c>
      <c r="DE11" s="1">
        <v>1</v>
      </c>
      <c r="DF11" s="1">
        <v>1</v>
      </c>
      <c r="DG11" s="1">
        <v>1</v>
      </c>
      <c r="DH11" s="1">
        <v>1</v>
      </c>
      <c r="DI11" s="1">
        <f t="shared" si="17"/>
        <v>0</v>
      </c>
      <c r="DJ11" s="1">
        <v>1</v>
      </c>
      <c r="DK11" s="1" t="s">
        <v>39</v>
      </c>
      <c r="DL11" s="1" t="s">
        <v>40</v>
      </c>
      <c r="EE11" s="1" t="s">
        <v>75</v>
      </c>
      <c r="EF11" s="1" t="e">
        <f ca="1">RANGECONCAT("/",TRUE,$AB$5:$AB$799)&amp;IF(IsGestalt,"||"&amp;RANGECONCAT("/",TRUE,$AE$5:$AE$799),"")</f>
        <v>#NAME?</v>
      </c>
      <c r="EG11" s="1" t="e">
        <f ca="1">LEN(EF11)</f>
        <v>#NAME?</v>
      </c>
      <c r="EI11" s="1" t="s">
        <v>76</v>
      </c>
      <c r="EJ11" s="1" t="b">
        <f>OR(N5:N799,(Race="Karsite"))</f>
        <v>1</v>
      </c>
    </row>
    <row r="12" spans="1:150" ht="11.25" customHeight="1" x14ac:dyDescent="0.2">
      <c r="A12" s="1">
        <f t="shared" si="18"/>
        <v>9</v>
      </c>
      <c r="B12" s="1" t="s">
        <v>77</v>
      </c>
      <c r="C12" s="1" t="s">
        <v>78</v>
      </c>
      <c r="D12" s="1" t="s">
        <v>78</v>
      </c>
      <c r="E12" s="1">
        <f t="shared" si="6"/>
        <v>0</v>
      </c>
      <c r="K12" s="1">
        <v>6</v>
      </c>
      <c r="L12" s="1">
        <v>8</v>
      </c>
      <c r="N12" s="1" t="b">
        <v>1</v>
      </c>
      <c r="Q12" s="1" t="b">
        <v>1</v>
      </c>
      <c r="S12" s="1" t="b">
        <v>1</v>
      </c>
      <c r="T12" s="1" t="b">
        <v>1</v>
      </c>
      <c r="V12" s="1">
        <v>1</v>
      </c>
      <c r="W12" s="1">
        <v>0.5</v>
      </c>
      <c r="X12" s="1">
        <v>0.5</v>
      </c>
      <c r="Y12" s="1">
        <v>0.34</v>
      </c>
      <c r="Z12" s="1" t="b">
        <f>FALSE</f>
        <v>0</v>
      </c>
      <c r="AA12" s="1" t="str">
        <f t="shared" si="19"/>
        <v/>
      </c>
      <c r="AB12" s="1" t="str">
        <f t="shared" si="20"/>
        <v/>
      </c>
      <c r="AC12" s="1">
        <f t="shared" si="7"/>
        <v>0</v>
      </c>
      <c r="AD12" s="1" t="str">
        <f t="shared" si="21"/>
        <v/>
      </c>
      <c r="AE12" s="1" t="str">
        <f t="shared" si="22"/>
        <v/>
      </c>
      <c r="AF12" s="1">
        <f t="shared" si="8"/>
        <v>0</v>
      </c>
      <c r="AG12" s="1">
        <f t="shared" si="23"/>
        <v>4</v>
      </c>
      <c r="AH12" s="1" t="str">
        <f t="shared" si="9"/>
        <v/>
      </c>
      <c r="AI12" s="1">
        <v>1</v>
      </c>
      <c r="AJ12" s="1">
        <f t="shared" si="10"/>
        <v>0</v>
      </c>
      <c r="AK12" s="1">
        <v>1</v>
      </c>
      <c r="AL12" s="1">
        <v>1</v>
      </c>
      <c r="AM12" s="1">
        <v>2</v>
      </c>
      <c r="AN12" s="1">
        <f t="shared" si="11"/>
        <v>0</v>
      </c>
      <c r="AO12" s="1">
        <v>2</v>
      </c>
      <c r="AP12" s="1">
        <v>2</v>
      </c>
      <c r="AQ12" s="1">
        <v>2</v>
      </c>
      <c r="AR12" s="1">
        <v>2</v>
      </c>
      <c r="AS12" s="1">
        <v>2</v>
      </c>
      <c r="AT12" s="1">
        <v>2</v>
      </c>
      <c r="AU12" s="1">
        <v>2</v>
      </c>
      <c r="AV12" s="1">
        <v>2</v>
      </c>
      <c r="AW12" s="1">
        <v>1</v>
      </c>
      <c r="AX12" s="1">
        <v>1</v>
      </c>
      <c r="AY12" s="1">
        <f>IF(DSRgrTrapExpert,2,1)</f>
        <v>1</v>
      </c>
      <c r="AZ12" s="1">
        <v>1</v>
      </c>
      <c r="BA12" s="1">
        <v>1</v>
      </c>
      <c r="BB12" s="1">
        <v>1</v>
      </c>
      <c r="BC12" s="1">
        <v>1</v>
      </c>
      <c r="BD12" s="1">
        <v>2</v>
      </c>
      <c r="BE12" s="1">
        <v>2</v>
      </c>
      <c r="BF12" s="1">
        <v>2</v>
      </c>
      <c r="BG12" s="1">
        <f t="shared" si="12"/>
        <v>0</v>
      </c>
      <c r="BH12" s="1">
        <f t="shared" si="13"/>
        <v>0</v>
      </c>
      <c r="BI12" s="1">
        <v>1</v>
      </c>
      <c r="BJ12" s="1">
        <v>2</v>
      </c>
      <c r="BK12" s="1">
        <v>1</v>
      </c>
      <c r="BL12" s="1">
        <v>1</v>
      </c>
      <c r="BM12" s="1">
        <v>2</v>
      </c>
      <c r="BN12" s="1">
        <v>2</v>
      </c>
      <c r="BO12" s="1">
        <v>1</v>
      </c>
      <c r="BP12" s="1">
        <v>1</v>
      </c>
      <c r="BQ12" s="1">
        <f>IF(HRRVL,2,0)</f>
        <v>0</v>
      </c>
      <c r="BR12" s="1">
        <v>2</v>
      </c>
      <c r="BS12" s="1">
        <v>1</v>
      </c>
      <c r="BT12" s="1">
        <f t="shared" si="24"/>
        <v>0</v>
      </c>
      <c r="BU12" s="1">
        <f>IF(HRPGtA,2,IF(HRRVL,1,0))</f>
        <v>0</v>
      </c>
      <c r="BV12" s="1">
        <f>IF(HRPGtA,2,1)</f>
        <v>1</v>
      </c>
      <c r="BW12" s="1">
        <f>IF(FtEdgewalkerSentinel,2,1)</f>
        <v>1</v>
      </c>
      <c r="BX12" s="1">
        <v>1</v>
      </c>
      <c r="BY12" s="1">
        <v>1</v>
      </c>
      <c r="BZ12" s="1">
        <v>1</v>
      </c>
      <c r="CA12" s="1">
        <v>1</v>
      </c>
      <c r="CB12" s="1">
        <v>1</v>
      </c>
      <c r="CC12" s="1">
        <v>1</v>
      </c>
      <c r="CD12" s="1">
        <v>1</v>
      </c>
      <c r="CE12" s="1">
        <v>1</v>
      </c>
      <c r="CF12" s="1">
        <v>2</v>
      </c>
      <c r="CG12" s="1">
        <f t="shared" si="14"/>
        <v>0</v>
      </c>
      <c r="CH12" s="1">
        <v>2</v>
      </c>
      <c r="CI12" s="1">
        <v>1</v>
      </c>
      <c r="CJ12" s="1">
        <v>1</v>
      </c>
      <c r="CK12" s="1">
        <v>1</v>
      </c>
      <c r="CL12" s="1">
        <v>1</v>
      </c>
      <c r="CM12" s="1">
        <v>1</v>
      </c>
      <c r="CN12" s="1">
        <v>1</v>
      </c>
      <c r="CO12" s="1">
        <v>1</v>
      </c>
      <c r="CP12" s="1">
        <v>2</v>
      </c>
      <c r="CQ12" s="1">
        <v>2</v>
      </c>
      <c r="CR12" s="1">
        <v>2</v>
      </c>
      <c r="CS12" s="1">
        <v>2</v>
      </c>
      <c r="CT12" s="1">
        <v>2</v>
      </c>
      <c r="CU12" s="1">
        <v>2</v>
      </c>
      <c r="CV12" s="1">
        <f t="shared" si="15"/>
        <v>0</v>
      </c>
      <c r="CW12" s="1">
        <v>2</v>
      </c>
      <c r="CX12" s="1">
        <v>2</v>
      </c>
      <c r="CY12" s="1">
        <v>1</v>
      </c>
      <c r="CZ12" s="1">
        <f t="shared" si="16"/>
        <v>0</v>
      </c>
      <c r="DA12" s="1">
        <v>1</v>
      </c>
      <c r="DB12" s="1">
        <v>1</v>
      </c>
      <c r="DC12" s="1">
        <v>1</v>
      </c>
      <c r="DD12" s="1">
        <v>2</v>
      </c>
      <c r="DE12" s="1">
        <v>2</v>
      </c>
      <c r="DF12" s="1">
        <v>2</v>
      </c>
      <c r="DG12" s="1">
        <v>1</v>
      </c>
      <c r="DH12" s="1">
        <v>1</v>
      </c>
      <c r="DI12" s="1">
        <f t="shared" si="17"/>
        <v>0</v>
      </c>
      <c r="DJ12" s="1">
        <v>2</v>
      </c>
      <c r="DK12" s="1" t="s">
        <v>39</v>
      </c>
      <c r="DL12" s="1" t="s">
        <v>40</v>
      </c>
      <c r="EE12" s="1" t="s">
        <v>79</v>
      </c>
      <c r="EF12" s="1" t="e">
        <f t="array" aca="1" ref="EF12" ca="1">RANGECONCAT("/",TRUE,IF(AC5:AC799=0,"",AC5:AC799))&amp;IF(IsGestalt,"||"&amp;RANGECONCAT("/",TRUE,IF(AF5:AF799=0,"",AF5:AF799)),"")</f>
        <v>#NAME?</v>
      </c>
      <c r="EI12" s="1" t="s">
        <v>80</v>
      </c>
      <c r="EJ12" s="1" t="b">
        <f>OR(O5:O799,(Race="Karsite"))</f>
        <v>1</v>
      </c>
    </row>
    <row r="13" spans="1:150" ht="11.25" customHeight="1" x14ac:dyDescent="0.2">
      <c r="A13" s="1">
        <f t="shared" si="18"/>
        <v>10</v>
      </c>
      <c r="B13" s="1" t="s">
        <v>81</v>
      </c>
      <c r="C13" s="1" t="s">
        <v>82</v>
      </c>
      <c r="D13" s="1" t="s">
        <v>82</v>
      </c>
      <c r="E13" s="1">
        <f t="shared" ref="E13:E88" si="27">$AC13+$AF13+IF(HasVirtualClasses,COUNTIF(TblVClassesAtLvlCS,$A13),0)</f>
        <v>0</v>
      </c>
      <c r="K13" s="1">
        <v>8</v>
      </c>
      <c r="L13" s="1">
        <v>6</v>
      </c>
      <c r="N13" s="1" t="b">
        <v>1</v>
      </c>
      <c r="S13" s="1" t="b">
        <v>1</v>
      </c>
      <c r="U13" s="1" t="s">
        <v>83</v>
      </c>
      <c r="V13" s="1">
        <v>0.75</v>
      </c>
      <c r="W13" s="1">
        <v>0.34</v>
      </c>
      <c r="X13" s="1">
        <v>0.5</v>
      </c>
      <c r="Y13" s="1">
        <v>0.34</v>
      </c>
      <c r="Z13" s="1" t="b">
        <f>FALSE</f>
        <v>0</v>
      </c>
      <c r="AA13" s="1" t="str">
        <f t="shared" si="19"/>
        <v/>
      </c>
      <c r="AB13" s="1" t="str">
        <f t="shared" si="20"/>
        <v/>
      </c>
      <c r="AC13" s="1">
        <f t="shared" ref="AC13:AC88" si="28">COUNTIF(TblClassesAtLvlCS,$A13)</f>
        <v>0</v>
      </c>
      <c r="AD13" s="1" t="str">
        <f t="shared" si="21"/>
        <v/>
      </c>
      <c r="AE13" s="1" t="str">
        <f t="shared" si="22"/>
        <v/>
      </c>
      <c r="AF13" s="1">
        <f t="shared" ref="AF13:AF88" si="29">IF(HRGestalt,COUNTIF(TblGClassesAtLvlCS,$A13),0)</f>
        <v>0</v>
      </c>
      <c r="AG13" s="1">
        <f t="shared" si="23"/>
        <v>4</v>
      </c>
      <c r="AH13" s="1" t="str">
        <f t="shared" si="9"/>
        <v/>
      </c>
      <c r="AI13" s="1">
        <v>2</v>
      </c>
      <c r="AJ13" s="1">
        <f t="shared" ref="AJ13:AJ28" si="30">IF(HRXPH,1,0)</f>
        <v>0</v>
      </c>
      <c r="AK13" s="1">
        <v>2</v>
      </c>
      <c r="AL13" s="1">
        <v>2</v>
      </c>
      <c r="AM13" s="1">
        <v>2</v>
      </c>
      <c r="AN13" s="1">
        <f t="shared" ref="AN13:AN23" si="31">IF(IsLycanthrope,2,0)</f>
        <v>0</v>
      </c>
      <c r="AO13" s="1">
        <v>1</v>
      </c>
      <c r="AP13" s="1">
        <v>2</v>
      </c>
      <c r="AQ13" s="1">
        <v>2</v>
      </c>
      <c r="AR13" s="1">
        <v>2</v>
      </c>
      <c r="AS13" s="1">
        <v>2</v>
      </c>
      <c r="AT13" s="1">
        <v>2</v>
      </c>
      <c r="AU13" s="1">
        <v>2</v>
      </c>
      <c r="AV13" s="1">
        <v>2</v>
      </c>
      <c r="AW13" s="1">
        <v>2</v>
      </c>
      <c r="AX13" s="1">
        <v>2</v>
      </c>
      <c r="AY13" s="1">
        <v>2</v>
      </c>
      <c r="AZ13" s="1">
        <v>2</v>
      </c>
      <c r="BA13" s="1">
        <v>2</v>
      </c>
      <c r="BB13" s="1">
        <v>2</v>
      </c>
      <c r="BC13" s="1">
        <v>2</v>
      </c>
      <c r="BD13" s="1">
        <v>1</v>
      </c>
      <c r="BE13" s="1">
        <v>1</v>
      </c>
      <c r="BF13" s="1">
        <v>2</v>
      </c>
      <c r="BG13" s="1">
        <f t="shared" ref="BG13:BG23" si="32">IF(HRRVL,1,0)</f>
        <v>0</v>
      </c>
      <c r="BH13" s="1">
        <f t="shared" ref="BH13:BH23" si="33">IF(HROA,1,0)</f>
        <v>0</v>
      </c>
      <c r="BI13" s="1">
        <v>2</v>
      </c>
      <c r="BJ13" s="1">
        <v>2</v>
      </c>
      <c r="BK13" s="1">
        <v>1</v>
      </c>
      <c r="BL13" s="1">
        <v>1</v>
      </c>
      <c r="BM13" s="1">
        <v>1</v>
      </c>
      <c r="BN13" s="1">
        <v>1</v>
      </c>
      <c r="BO13" s="1">
        <v>1</v>
      </c>
      <c r="BP13" s="1">
        <f>1+NOT(HRLivingGreyhawk)</f>
        <v>2</v>
      </c>
      <c r="BQ13" s="1">
        <f>IF(HRRVL,1,0)</f>
        <v>0</v>
      </c>
      <c r="BR13" s="1">
        <v>1</v>
      </c>
      <c r="BS13" s="1">
        <v>1</v>
      </c>
      <c r="BT13" s="1">
        <f t="shared" ref="BT13:BT19" si="34">IF(HRXPH,1,0)</f>
        <v>0</v>
      </c>
      <c r="BU13" s="1">
        <f>IF(HRRVL,1,0)</f>
        <v>0</v>
      </c>
      <c r="BV13" s="1">
        <v>1</v>
      </c>
      <c r="BW13" s="1">
        <v>1</v>
      </c>
      <c r="BX13" s="1">
        <v>1</v>
      </c>
      <c r="BY13" s="1">
        <f t="shared" ref="BY13:CE13" si="35">1+NOT(ISERROR(MATCH(BY$2,TblLGMetaRegions,0)))</f>
        <v>1</v>
      </c>
      <c r="BZ13" s="1">
        <f t="shared" si="35"/>
        <v>1</v>
      </c>
      <c r="CA13" s="1">
        <f t="shared" si="35"/>
        <v>1</v>
      </c>
      <c r="CB13" s="1">
        <f t="shared" si="35"/>
        <v>1</v>
      </c>
      <c r="CC13" s="1">
        <f t="shared" si="35"/>
        <v>1</v>
      </c>
      <c r="CD13" s="1">
        <f t="shared" si="35"/>
        <v>1</v>
      </c>
      <c r="CE13" s="1">
        <f t="shared" si="35"/>
        <v>1</v>
      </c>
      <c r="CF13" s="1">
        <v>2</v>
      </c>
      <c r="CG13" s="1">
        <f t="shared" ref="CG13:CG23" si="36">IF(HRToB,1,0)</f>
        <v>0</v>
      </c>
      <c r="CH13" s="1">
        <v>2</v>
      </c>
      <c r="CI13" s="1">
        <v>2</v>
      </c>
      <c r="CJ13" s="1">
        <v>2</v>
      </c>
      <c r="CK13" s="1">
        <v>2</v>
      </c>
      <c r="CL13" s="1">
        <v>2</v>
      </c>
      <c r="CM13" s="1">
        <v>2</v>
      </c>
      <c r="CN13" s="1">
        <v>2</v>
      </c>
      <c r="CO13" s="1">
        <v>2</v>
      </c>
      <c r="CP13" s="1">
        <v>2</v>
      </c>
      <c r="CQ13" s="1">
        <v>2</v>
      </c>
      <c r="CR13" s="1">
        <v>2</v>
      </c>
      <c r="CS13" s="1">
        <v>2</v>
      </c>
      <c r="CT13" s="1">
        <v>2</v>
      </c>
      <c r="CU13" s="1">
        <v>2</v>
      </c>
      <c r="CV13" s="1">
        <f t="shared" ref="CV13:CV28" si="37">IF(HRXPH,1,0)</f>
        <v>0</v>
      </c>
      <c r="CW13" s="1">
        <v>1</v>
      </c>
      <c r="CX13" s="1">
        <v>2</v>
      </c>
      <c r="CY13" s="1">
        <v>2</v>
      </c>
      <c r="CZ13" s="1">
        <f t="shared" ref="CZ13:CZ23" si="38">IF(HRCS,1,0)</f>
        <v>0</v>
      </c>
      <c r="DA13" s="1">
        <v>2</v>
      </c>
      <c r="DB13" s="1">
        <v>1</v>
      </c>
      <c r="DC13" s="1">
        <v>1</v>
      </c>
      <c r="DD13" s="1">
        <v>2</v>
      </c>
      <c r="DE13" s="1">
        <v>1</v>
      </c>
      <c r="DF13" s="1">
        <v>2</v>
      </c>
      <c r="DG13" s="1">
        <v>2</v>
      </c>
      <c r="DH13" s="1">
        <v>2</v>
      </c>
      <c r="DI13" s="1">
        <f t="shared" ref="DI13:DI28" si="39">IF(HRXPH,1,0)</f>
        <v>0</v>
      </c>
      <c r="DJ13" s="1">
        <v>2</v>
      </c>
      <c r="DK13" s="1" t="s">
        <v>39</v>
      </c>
      <c r="DL13" s="1" t="s">
        <v>40</v>
      </c>
      <c r="EE13" s="1" t="s">
        <v>84</v>
      </c>
      <c r="EF13" s="1" t="e">
        <f t="array" aca="1" ref="EF13" ca="1">RANGECONCAT("/",TRUE,IF($AC$5:$AC$799=0,"",$AB$5:$AB$799&amp;$AC$5:$AC$799))&amp;IF(IsGestalt,"||"&amp;RANGECONCAT("/",TRUE,IF($AF$5:$AF$799=0,"",$AE$5:$AE$799&amp;$AF$5:$AF$799)),"")</f>
        <v>#NAME?</v>
      </c>
      <c r="EI13" s="1" t="s">
        <v>85</v>
      </c>
      <c r="EJ13" s="1" t="b">
        <f>OR(P5:P799)</f>
        <v>1</v>
      </c>
    </row>
    <row r="14" spans="1:150" ht="11.25" customHeight="1" x14ac:dyDescent="0.2">
      <c r="A14" s="1">
        <f t="shared" si="18"/>
        <v>11</v>
      </c>
      <c r="B14" s="1" t="s">
        <v>86</v>
      </c>
      <c r="C14" s="1" t="s">
        <v>87</v>
      </c>
      <c r="D14" s="1" t="s">
        <v>87</v>
      </c>
      <c r="E14" s="1">
        <f t="shared" ref="E14:E89" si="40">$AC14+$AF14+IF(HasVirtualClasses,COUNTIF(TblVClassesAtLvlCS,$A14),0)</f>
        <v>0</v>
      </c>
      <c r="K14" s="1">
        <v>2</v>
      </c>
      <c r="L14" s="1">
        <v>4</v>
      </c>
      <c r="S14" s="1" t="b">
        <v>1</v>
      </c>
      <c r="V14" s="1">
        <f>0.5+IF(RaceCi="Aranea",-1,0)+IF(Subrace="Sorcerer",-3,0)</f>
        <v>0.5</v>
      </c>
      <c r="W14" s="1">
        <f>0.34</f>
        <v>0.34</v>
      </c>
      <c r="X14" s="1">
        <f>0.34</f>
        <v>0.34</v>
      </c>
      <c r="Y14" s="1">
        <v>0.5</v>
      </c>
      <c r="Z14" s="1" t="b">
        <f>FALSE</f>
        <v>0</v>
      </c>
      <c r="AA14" s="1" t="str">
        <f t="shared" si="19"/>
        <v/>
      </c>
      <c r="AB14" s="1" t="str">
        <f t="shared" si="20"/>
        <v/>
      </c>
      <c r="AC14" s="1">
        <f t="shared" ref="AC14:AC89" si="41">COUNTIF(TblClassesAtLvlCS,$A14)</f>
        <v>0</v>
      </c>
      <c r="AD14" s="1" t="str">
        <f t="shared" si="21"/>
        <v/>
      </c>
      <c r="AE14" s="1" t="str">
        <f t="shared" si="22"/>
        <v/>
      </c>
      <c r="AF14" s="1">
        <f t="shared" ref="AF14:AF89" si="42">IF(HRGestalt,COUNTIF(TblGClassesAtLvlCS,$A14),0)</f>
        <v>0</v>
      </c>
      <c r="AG14" s="1">
        <f t="shared" si="23"/>
        <v>4</v>
      </c>
      <c r="AH14" s="1" t="str">
        <f t="shared" si="9"/>
        <v/>
      </c>
      <c r="AI14" s="1">
        <f>IF(DraconicHeritageSkill=AI2,2,1)</f>
        <v>1</v>
      </c>
      <c r="AJ14" s="1">
        <f t="shared" ref="AJ14:AJ29" si="43">IF(HRXPH,1,0)</f>
        <v>0</v>
      </c>
      <c r="AK14" s="1">
        <f>IF(DraconicHeritageSkill=AK2,2,1)</f>
        <v>1</v>
      </c>
      <c r="AL14" s="1">
        <v>2</v>
      </c>
      <c r="AM14" s="1">
        <f>IF(DraconicHeritageSkill=AM2,2,1)</f>
        <v>1</v>
      </c>
      <c r="AN14" s="1">
        <f t="shared" ref="AN14:AN24" si="44">IF(IsLycanthrope,2,0)</f>
        <v>0</v>
      </c>
      <c r="AO14" s="1">
        <v>2</v>
      </c>
      <c r="AP14" s="1">
        <v>2</v>
      </c>
      <c r="AQ14" s="1">
        <v>2</v>
      </c>
      <c r="AR14" s="1">
        <v>2</v>
      </c>
      <c r="AS14" s="1">
        <v>2</v>
      </c>
      <c r="AT14" s="1">
        <v>2</v>
      </c>
      <c r="AU14" s="1">
        <v>2</v>
      </c>
      <c r="AV14" s="1">
        <v>2</v>
      </c>
      <c r="AW14" s="1">
        <f t="shared" ref="AW14:BJ14" si="45">IF(DraconicHeritageSkill=AW2,2,1)</f>
        <v>1</v>
      </c>
      <c r="AX14" s="1">
        <f t="shared" si="45"/>
        <v>1</v>
      </c>
      <c r="AY14" s="1">
        <f t="shared" si="45"/>
        <v>1</v>
      </c>
      <c r="AZ14" s="1">
        <f t="shared" si="45"/>
        <v>1</v>
      </c>
      <c r="BA14" s="1">
        <f t="shared" si="45"/>
        <v>1</v>
      </c>
      <c r="BB14" s="1">
        <f t="shared" si="45"/>
        <v>1</v>
      </c>
      <c r="BC14" s="1">
        <f t="shared" si="45"/>
        <v>1</v>
      </c>
      <c r="BD14" s="1">
        <f t="shared" si="45"/>
        <v>1</v>
      </c>
      <c r="BE14" s="1">
        <f t="shared" si="45"/>
        <v>1</v>
      </c>
      <c r="BF14" s="1">
        <f t="shared" si="45"/>
        <v>1</v>
      </c>
      <c r="BG14" s="1">
        <f t="shared" ref="BG14:BG24" si="46">IF(HRRVL,1,0)</f>
        <v>0</v>
      </c>
      <c r="BH14" s="1">
        <f t="shared" ref="BH14:BH24" si="47">IF(HROA,1,0)</f>
        <v>0</v>
      </c>
      <c r="BI14" s="1">
        <f t="shared" si="45"/>
        <v>1</v>
      </c>
      <c r="BJ14" s="1">
        <f t="shared" si="45"/>
        <v>1</v>
      </c>
      <c r="BK14" s="1">
        <v>2</v>
      </c>
      <c r="BL14" s="1">
        <f t="shared" ref="BL14:BR14" si="48">IF(DraconicHeritageSkill=BL2,2,1)</f>
        <v>1</v>
      </c>
      <c r="BM14" s="1">
        <f t="shared" si="48"/>
        <v>1</v>
      </c>
      <c r="BN14" s="1">
        <f t="shared" si="48"/>
        <v>1</v>
      </c>
      <c r="BO14" s="1">
        <f t="shared" si="48"/>
        <v>1</v>
      </c>
      <c r="BP14" s="1">
        <f t="shared" si="48"/>
        <v>1</v>
      </c>
      <c r="BQ14" s="1">
        <f>IF(DraconicHeritageSkill=BQ2,2,IF(CampaignCell&lt;&gt;5,0,1))</f>
        <v>0</v>
      </c>
      <c r="BR14" s="1">
        <f t="shared" si="48"/>
        <v>1</v>
      </c>
      <c r="BS14" s="1">
        <f>IF(DraconicHeritageSkill=BS2,2,1)</f>
        <v>1</v>
      </c>
      <c r="BT14" s="1">
        <f>IF(HRXPH,1,0)</f>
        <v>0</v>
      </c>
      <c r="BU14" s="1">
        <f>IF(DraconicHeritageSkill=BU2,2,IF(CampaignCell&lt;&gt;5,0,1))</f>
        <v>0</v>
      </c>
      <c r="BV14" s="1">
        <f>IF(DraconicHeritageSkill=BV2,2,1)</f>
        <v>1</v>
      </c>
      <c r="BW14" s="1">
        <f>IF(DraconicHeritageSkill=BW2,2,1)</f>
        <v>1</v>
      </c>
      <c r="BX14" s="1">
        <v>1</v>
      </c>
      <c r="BY14" s="1">
        <v>1</v>
      </c>
      <c r="BZ14" s="1">
        <v>1</v>
      </c>
      <c r="CA14" s="1">
        <v>1</v>
      </c>
      <c r="CB14" s="1">
        <v>1</v>
      </c>
      <c r="CC14" s="1">
        <v>1</v>
      </c>
      <c r="CD14" s="1">
        <v>1</v>
      </c>
      <c r="CE14" s="1">
        <v>1</v>
      </c>
      <c r="CF14" s="1">
        <f>IF(DraconicHeritageSkill=CF2,2,1)</f>
        <v>1</v>
      </c>
      <c r="CG14" s="1">
        <f t="shared" ref="CG14:CG24" si="49">IF(HRToB,1,0)</f>
        <v>0</v>
      </c>
      <c r="CH14" s="1">
        <f>IF(DraconicHeritageSkill=CH2,2,1)</f>
        <v>1</v>
      </c>
      <c r="CI14" s="1">
        <f>IF(DraconicHeritageSkill=CI2,2,1)</f>
        <v>1</v>
      </c>
      <c r="CJ14" s="1">
        <f>IF(DraconicHeritageSkill=CJ2,2,1)</f>
        <v>1</v>
      </c>
      <c r="CK14" s="1">
        <f>IF(OR(DraconicHeritageSkill=$CJ2,DraconicHeritageSkill=CK2),2,1)</f>
        <v>1</v>
      </c>
      <c r="CL14" s="1">
        <f>IF(OR(DraconicHeritageSkill=$CJ2,DraconicHeritageSkill=CL2),2,1)</f>
        <v>1</v>
      </c>
      <c r="CM14" s="1">
        <f>IF(OR(DraconicHeritageSkill=$CJ2,DraconicHeritageSkill=CM2),2,1)</f>
        <v>1</v>
      </c>
      <c r="CN14" s="1">
        <f>IF(OR(DraconicHeritageSkill=$CJ2,DraconicHeritageSkill=CN2),2,1)</f>
        <v>1</v>
      </c>
      <c r="CO14" s="1">
        <f>IF(OR(DraconicHeritageSkill=$CJ2,DraconicHeritageSkill=CO2),2,1)</f>
        <v>1</v>
      </c>
      <c r="CP14" s="1">
        <v>2</v>
      </c>
      <c r="CQ14" s="1">
        <v>2</v>
      </c>
      <c r="CR14" s="1">
        <v>2</v>
      </c>
      <c r="CS14" s="1">
        <v>2</v>
      </c>
      <c r="CT14" s="1">
        <v>2</v>
      </c>
      <c r="CU14" s="1">
        <v>2</v>
      </c>
      <c r="CV14" s="1">
        <f t="shared" ref="CV14:CV29" si="50">IF(HRXPH,1,0)</f>
        <v>0</v>
      </c>
      <c r="CW14" s="1">
        <f>IF(DraconicHeritageSkill=CW2,2,1)</f>
        <v>1</v>
      </c>
      <c r="CX14" s="1">
        <f>IF(DraconicHeritageSkill=CX2,2,1)</f>
        <v>1</v>
      </c>
      <c r="CY14" s="1">
        <f>IF(DraconicHeritageSkill=CY2,2,1)</f>
        <v>1</v>
      </c>
      <c r="CZ14" s="1">
        <f t="shared" ref="CZ14:CZ24" si="51">IF(HRCS,1,0)</f>
        <v>0</v>
      </c>
      <c r="DA14" s="1">
        <f>IF(DraconicHeritageSkill=DA2,2,1)</f>
        <v>1</v>
      </c>
      <c r="DB14" s="1">
        <f>IF(DraconicHeritageSkill=DB2,2,1)</f>
        <v>1</v>
      </c>
      <c r="DC14" s="1">
        <v>2</v>
      </c>
      <c r="DD14" s="1">
        <f>IF(DraconicHeritageSkill=DD2,2,1)</f>
        <v>1</v>
      </c>
      <c r="DE14" s="1">
        <f>IF(DraconicHeritageSkill=DE2,2,1)</f>
        <v>1</v>
      </c>
      <c r="DF14" s="1">
        <f>IF(DraconicHeritageSkill=DF2,2,1)</f>
        <v>1</v>
      </c>
      <c r="DG14" s="1">
        <f>IF(DraconicHeritageSkill=DG2,2,1)</f>
        <v>1</v>
      </c>
      <c r="DH14" s="1">
        <f>IF(DraconicHeritageSkill=DH2,2,1)</f>
        <v>1</v>
      </c>
      <c r="DI14" s="1">
        <f t="shared" ref="DI14:DI29" si="52">IF(HRXPH,1,0)</f>
        <v>0</v>
      </c>
      <c r="DJ14" s="1">
        <f>IF(DraconicHeritageSkill=DJ2,2,1)</f>
        <v>1</v>
      </c>
      <c r="DK14" s="1" t="s">
        <v>39</v>
      </c>
      <c r="DL14" s="1" t="s">
        <v>40</v>
      </c>
      <c r="EI14" s="1" t="s">
        <v>88</v>
      </c>
      <c r="EJ14" s="1" t="b">
        <f>OR(Q5:Q799)</f>
        <v>1</v>
      </c>
    </row>
    <row r="15" spans="1:150" ht="11.25" customHeight="1" x14ac:dyDescent="0.2">
      <c r="A15" s="1">
        <f t="shared" si="18"/>
        <v>12</v>
      </c>
      <c r="B15" s="1" t="s">
        <v>89</v>
      </c>
      <c r="C15" s="1" t="s">
        <v>90</v>
      </c>
      <c r="D15" s="1" t="s">
        <v>90</v>
      </c>
      <c r="E15" s="1">
        <f t="shared" si="40"/>
        <v>1</v>
      </c>
      <c r="K15" s="1">
        <v>2</v>
      </c>
      <c r="L15" s="1">
        <v>4</v>
      </c>
      <c r="U15" s="1" t="s">
        <v>91</v>
      </c>
      <c r="V15" s="1">
        <f>0.5+IF(Subrace="Wizard",-3,0)</f>
        <v>0.5</v>
      </c>
      <c r="W15" s="1">
        <f>0.34</f>
        <v>0.34</v>
      </c>
      <c r="X15" s="1">
        <f>0.34</f>
        <v>0.34</v>
      </c>
      <c r="Y15" s="1">
        <v>0.5</v>
      </c>
      <c r="Z15" s="1" t="b">
        <f>FALSE</f>
        <v>0</v>
      </c>
      <c r="AA15" s="1" t="str">
        <f t="shared" si="19"/>
        <v>Wizard</v>
      </c>
      <c r="AB15" s="1" t="str">
        <f t="shared" si="20"/>
        <v>Wiz</v>
      </c>
      <c r="AC15" s="1">
        <f t="shared" si="41"/>
        <v>1</v>
      </c>
      <c r="AD15" s="1" t="str">
        <f t="shared" si="21"/>
        <v/>
      </c>
      <c r="AE15" s="1" t="str">
        <f t="shared" si="22"/>
        <v/>
      </c>
      <c r="AF15" s="1">
        <f t="shared" si="42"/>
        <v>0</v>
      </c>
      <c r="AG15" s="1">
        <f t="shared" si="23"/>
        <v>5</v>
      </c>
      <c r="AH15" s="1" t="str">
        <f t="shared" si="9"/>
        <v/>
      </c>
      <c r="AI15" s="1">
        <v>1</v>
      </c>
      <c r="AJ15" s="1">
        <f t="shared" si="43"/>
        <v>0</v>
      </c>
      <c r="AK15" s="1">
        <v>1</v>
      </c>
      <c r="AL15" s="1">
        <v>1</v>
      </c>
      <c r="AM15" s="1">
        <v>1</v>
      </c>
      <c r="AN15" s="1">
        <f t="shared" si="44"/>
        <v>0</v>
      </c>
      <c r="AO15" s="1">
        <v>2</v>
      </c>
      <c r="AP15" s="1">
        <v>2</v>
      </c>
      <c r="AQ15" s="1">
        <v>2</v>
      </c>
      <c r="AR15" s="1">
        <v>2</v>
      </c>
      <c r="AS15" s="1">
        <v>2</v>
      </c>
      <c r="AT15" s="1">
        <v>2</v>
      </c>
      <c r="AU15" s="1">
        <v>2</v>
      </c>
      <c r="AV15" s="1">
        <v>2</v>
      </c>
      <c r="AW15" s="1">
        <v>2</v>
      </c>
      <c r="AX15" s="1">
        <v>1</v>
      </c>
      <c r="AY15" s="1">
        <v>1</v>
      </c>
      <c r="AZ15" s="1">
        <v>1</v>
      </c>
      <c r="BA15" s="1">
        <v>1</v>
      </c>
      <c r="BB15" s="1">
        <v>1</v>
      </c>
      <c r="BC15" s="1">
        <v>1</v>
      </c>
      <c r="BD15" s="1">
        <v>1</v>
      </c>
      <c r="BE15" s="1">
        <v>1</v>
      </c>
      <c r="BF15" s="1">
        <v>1</v>
      </c>
      <c r="BG15" s="1">
        <f t="shared" si="46"/>
        <v>0</v>
      </c>
      <c r="BH15" s="1">
        <f t="shared" si="47"/>
        <v>0</v>
      </c>
      <c r="BI15" s="1">
        <v>1</v>
      </c>
      <c r="BJ15" s="1">
        <v>1</v>
      </c>
      <c r="BK15" s="1">
        <v>2</v>
      </c>
      <c r="BL15" s="1">
        <v>2</v>
      </c>
      <c r="BM15" s="1">
        <v>2</v>
      </c>
      <c r="BN15" s="1">
        <v>2</v>
      </c>
      <c r="BO15" s="1">
        <v>2</v>
      </c>
      <c r="BP15" s="1">
        <f>1+NOT(HRLivingGreyhawk)</f>
        <v>2</v>
      </c>
      <c r="BQ15" s="1">
        <f>IF(HRRVL,2,0)</f>
        <v>0</v>
      </c>
      <c r="BR15" s="1">
        <v>2</v>
      </c>
      <c r="BS15" s="1">
        <v>2</v>
      </c>
      <c r="BT15" s="1">
        <f>IF(HRXPH,2,0)</f>
        <v>0</v>
      </c>
      <c r="BU15" s="1">
        <f>IF(HRRVL,2,0)</f>
        <v>0</v>
      </c>
      <c r="BV15" s="1">
        <v>2</v>
      </c>
      <c r="BW15" s="1">
        <v>2</v>
      </c>
      <c r="BX15" s="1">
        <v>2</v>
      </c>
      <c r="BY15" s="1">
        <v>2</v>
      </c>
      <c r="BZ15" s="1">
        <v>2</v>
      </c>
      <c r="CA15" s="1">
        <v>2</v>
      </c>
      <c r="CB15" s="1">
        <v>2</v>
      </c>
      <c r="CC15" s="1">
        <v>2</v>
      </c>
      <c r="CD15" s="1">
        <v>2</v>
      </c>
      <c r="CE15" s="1">
        <v>2</v>
      </c>
      <c r="CF15" s="1">
        <v>1</v>
      </c>
      <c r="CG15" s="1">
        <f t="shared" si="49"/>
        <v>0</v>
      </c>
      <c r="CH15" s="1">
        <v>1</v>
      </c>
      <c r="CI15" s="1">
        <v>1</v>
      </c>
      <c r="CJ15" s="1">
        <v>1</v>
      </c>
      <c r="CK15" s="1">
        <v>1</v>
      </c>
      <c r="CL15" s="1">
        <v>1</v>
      </c>
      <c r="CM15" s="1">
        <v>1</v>
      </c>
      <c r="CN15" s="1">
        <v>1</v>
      </c>
      <c r="CO15" s="1">
        <v>1</v>
      </c>
      <c r="CP15" s="1">
        <v>2</v>
      </c>
      <c r="CQ15" s="1">
        <v>2</v>
      </c>
      <c r="CR15" s="1">
        <v>2</v>
      </c>
      <c r="CS15" s="1">
        <v>2</v>
      </c>
      <c r="CT15" s="1">
        <v>2</v>
      </c>
      <c r="CU15" s="1">
        <v>2</v>
      </c>
      <c r="CV15" s="1">
        <f t="shared" si="50"/>
        <v>0</v>
      </c>
      <c r="CW15" s="1">
        <v>1</v>
      </c>
      <c r="CX15" s="1">
        <v>1</v>
      </c>
      <c r="CY15" s="1">
        <v>1</v>
      </c>
      <c r="CZ15" s="1">
        <f t="shared" si="51"/>
        <v>0</v>
      </c>
      <c r="DA15" s="1">
        <v>1</v>
      </c>
      <c r="DB15" s="1">
        <v>1</v>
      </c>
      <c r="DC15" s="1">
        <v>2</v>
      </c>
      <c r="DD15" s="1">
        <v>1</v>
      </c>
      <c r="DE15" s="1">
        <v>1</v>
      </c>
      <c r="DF15" s="1">
        <v>1</v>
      </c>
      <c r="DG15" s="1">
        <v>1</v>
      </c>
      <c r="DH15" s="1">
        <v>1</v>
      </c>
      <c r="DI15" s="1">
        <f t="shared" si="52"/>
        <v>0</v>
      </c>
      <c r="DJ15" s="1">
        <v>1</v>
      </c>
      <c r="DK15" s="1" t="s">
        <v>39</v>
      </c>
      <c r="DL15" s="1" t="s">
        <v>40</v>
      </c>
      <c r="EI15" s="1" t="s">
        <v>92</v>
      </c>
      <c r="EJ15" s="1" t="b">
        <f>OR(R5:R799)</f>
        <v>1</v>
      </c>
    </row>
    <row r="16" spans="1:150" ht="11.25" customHeight="1" x14ac:dyDescent="0.2">
      <c r="A16" s="1">
        <f t="shared" si="18"/>
        <v>13</v>
      </c>
      <c r="B16" s="1" t="s">
        <v>93</v>
      </c>
      <c r="E16" s="1">
        <f t="shared" si="40"/>
        <v>0</v>
      </c>
      <c r="F16" s="1">
        <v>1</v>
      </c>
      <c r="Z16" s="1" t="b">
        <f>FALSE</f>
        <v>0</v>
      </c>
      <c r="AA16" s="1" t="str">
        <f t="shared" si="19"/>
        <v/>
      </c>
      <c r="AB16" s="1" t="str">
        <f t="shared" si="20"/>
        <v/>
      </c>
      <c r="AC16" s="1">
        <f t="shared" si="41"/>
        <v>0</v>
      </c>
      <c r="AD16" s="1" t="str">
        <f t="shared" si="21"/>
        <v/>
      </c>
      <c r="AE16" s="1" t="str">
        <f t="shared" si="22"/>
        <v/>
      </c>
      <c r="AF16" s="1">
        <f t="shared" si="42"/>
        <v>0</v>
      </c>
      <c r="AG16" s="1">
        <f t="shared" si="23"/>
        <v>5</v>
      </c>
      <c r="AH16" s="1" t="str">
        <f t="shared" si="9"/>
        <v/>
      </c>
      <c r="EI16" s="1" t="s">
        <v>94</v>
      </c>
      <c r="EJ16" s="1" t="b">
        <f>OR(S5:S799)</f>
        <v>1</v>
      </c>
    </row>
    <row r="17" spans="1:145" ht="11.25" customHeight="1" x14ac:dyDescent="0.2">
      <c r="A17" s="1">
        <f t="shared" si="18"/>
        <v>14</v>
      </c>
      <c r="B17" s="1" t="s">
        <v>95</v>
      </c>
      <c r="C17" s="1" t="s">
        <v>96</v>
      </c>
      <c r="D17" s="1" t="s">
        <v>96</v>
      </c>
      <c r="E17" s="1">
        <f t="shared" si="40"/>
        <v>0</v>
      </c>
      <c r="K17" s="1">
        <v>6</v>
      </c>
      <c r="L17" s="1">
        <v>6</v>
      </c>
      <c r="N17" s="1" t="b">
        <v>1</v>
      </c>
      <c r="S17" s="1" t="b">
        <v>1</v>
      </c>
      <c r="V17" s="1">
        <f>0.5+IF(Subrace="Wizard",-3,0)</f>
        <v>0.5</v>
      </c>
      <c r="W17" s="1">
        <v>0.34</v>
      </c>
      <c r="X17" s="1">
        <v>0.34</v>
      </c>
      <c r="Y17" s="1">
        <v>0.5</v>
      </c>
      <c r="Z17" s="1" t="b">
        <f>FALSE</f>
        <v>0</v>
      </c>
      <c r="AA17" s="1" t="str">
        <f t="shared" si="19"/>
        <v/>
      </c>
      <c r="AB17" s="1" t="str">
        <f t="shared" si="20"/>
        <v/>
      </c>
      <c r="AC17" s="1">
        <f t="shared" si="41"/>
        <v>0</v>
      </c>
      <c r="AD17" s="1" t="str">
        <f t="shared" si="21"/>
        <v/>
      </c>
      <c r="AE17" s="1" t="str">
        <f t="shared" si="22"/>
        <v/>
      </c>
      <c r="AF17" s="1">
        <f t="shared" si="42"/>
        <v>0</v>
      </c>
      <c r="AG17" s="1">
        <f t="shared" si="23"/>
        <v>5</v>
      </c>
      <c r="AH17" s="1" t="str">
        <f t="shared" si="9"/>
        <v/>
      </c>
      <c r="AI17" s="1">
        <v>2</v>
      </c>
      <c r="AJ17" s="1">
        <f t="shared" si="43"/>
        <v>0</v>
      </c>
      <c r="AK17" s="1">
        <v>2</v>
      </c>
      <c r="AL17" s="1">
        <v>2</v>
      </c>
      <c r="AM17" s="1">
        <v>2</v>
      </c>
      <c r="AN17" s="1">
        <f>IF(IsLycanthrope,2,0)</f>
        <v>0</v>
      </c>
      <c r="AO17" s="1">
        <v>2</v>
      </c>
      <c r="AP17" s="1">
        <v>1</v>
      </c>
      <c r="AQ17" s="1">
        <v>1</v>
      </c>
      <c r="AR17" s="1">
        <v>1</v>
      </c>
      <c r="AS17" s="1">
        <v>1</v>
      </c>
      <c r="AT17" s="1">
        <v>1</v>
      </c>
      <c r="AU17" s="1">
        <v>1</v>
      </c>
      <c r="AV17" s="1">
        <v>1</v>
      </c>
      <c r="AW17" s="1">
        <v>2</v>
      </c>
      <c r="AX17" s="1">
        <v>2</v>
      </c>
      <c r="AY17" s="1">
        <v>2</v>
      </c>
      <c r="AZ17" s="1">
        <v>2</v>
      </c>
      <c r="BA17" s="1">
        <v>2</v>
      </c>
      <c r="BB17" s="1">
        <v>2</v>
      </c>
      <c r="BC17" s="1">
        <v>2</v>
      </c>
      <c r="BD17" s="1">
        <v>1</v>
      </c>
      <c r="BE17" s="1">
        <v>1</v>
      </c>
      <c r="BF17" s="1">
        <v>2</v>
      </c>
      <c r="BG17" s="1">
        <f>IF(HRRVL,1,0)</f>
        <v>0</v>
      </c>
      <c r="BH17" s="1">
        <f>IF(HROA,1,0)</f>
        <v>0</v>
      </c>
      <c r="BI17" s="1">
        <v>1</v>
      </c>
      <c r="BJ17" s="1">
        <v>2</v>
      </c>
      <c r="BK17" s="1">
        <v>2</v>
      </c>
      <c r="BL17" s="1">
        <v>1</v>
      </c>
      <c r="BM17" s="1">
        <v>1</v>
      </c>
      <c r="BN17" s="1">
        <v>1</v>
      </c>
      <c r="BO17" s="1">
        <v>1</v>
      </c>
      <c r="BP17" s="1">
        <f>1+NOT(HRLivingGreyhawk)</f>
        <v>2</v>
      </c>
      <c r="BQ17" s="1">
        <f>IF(HRRVL,1,0)</f>
        <v>0</v>
      </c>
      <c r="BR17" s="1">
        <v>1</v>
      </c>
      <c r="BS17" s="1">
        <v>1</v>
      </c>
      <c r="BT17" s="1">
        <f>IF(HRXPH,1,0)</f>
        <v>0</v>
      </c>
      <c r="BU17" s="1">
        <f>IF(HRRVL,1,0)</f>
        <v>0</v>
      </c>
      <c r="BV17" s="1">
        <v>1</v>
      </c>
      <c r="BW17" s="1">
        <v>1</v>
      </c>
      <c r="BX17" s="1">
        <v>1</v>
      </c>
      <c r="BY17" s="1">
        <f t="shared" ref="BY17:CE17" si="53">1+NOT(ISERROR(MATCH(BY$2,TblLGMetaRegions,0)))</f>
        <v>1</v>
      </c>
      <c r="BZ17" s="1">
        <f t="shared" si="53"/>
        <v>1</v>
      </c>
      <c r="CA17" s="1">
        <f t="shared" si="53"/>
        <v>1</v>
      </c>
      <c r="CB17" s="1">
        <f t="shared" si="53"/>
        <v>1</v>
      </c>
      <c r="CC17" s="1">
        <f t="shared" si="53"/>
        <v>1</v>
      </c>
      <c r="CD17" s="1">
        <f t="shared" si="53"/>
        <v>1</v>
      </c>
      <c r="CE17" s="1">
        <f t="shared" si="53"/>
        <v>1</v>
      </c>
      <c r="CF17" s="1">
        <v>2</v>
      </c>
      <c r="CG17" s="1">
        <f>IF(HRToB,1,0)</f>
        <v>0</v>
      </c>
      <c r="CH17" s="1">
        <v>2</v>
      </c>
      <c r="CI17" s="1">
        <v>2</v>
      </c>
      <c r="CJ17" s="1">
        <v>1</v>
      </c>
      <c r="CK17" s="1">
        <v>1</v>
      </c>
      <c r="CL17" s="1">
        <v>1</v>
      </c>
      <c r="CM17" s="1">
        <v>1</v>
      </c>
      <c r="CN17" s="1">
        <v>1</v>
      </c>
      <c r="CO17" s="1">
        <v>1</v>
      </c>
      <c r="CP17" s="1">
        <v>2</v>
      </c>
      <c r="CQ17" s="1">
        <v>2</v>
      </c>
      <c r="CR17" s="1">
        <v>2</v>
      </c>
      <c r="CS17" s="1">
        <v>2</v>
      </c>
      <c r="CT17" s="1">
        <v>2</v>
      </c>
      <c r="CU17" s="1">
        <v>2</v>
      </c>
      <c r="CV17" s="1">
        <f t="shared" si="50"/>
        <v>0</v>
      </c>
      <c r="CW17" s="1">
        <v>1</v>
      </c>
      <c r="CX17" s="1">
        <v>2</v>
      </c>
      <c r="CY17" s="1">
        <v>2</v>
      </c>
      <c r="CZ17" s="1">
        <f>IF(HRCS,1,0)</f>
        <v>0</v>
      </c>
      <c r="DA17" s="1">
        <v>2</v>
      </c>
      <c r="DB17" s="1">
        <v>2</v>
      </c>
      <c r="DC17" s="1">
        <v>2</v>
      </c>
      <c r="DD17" s="1">
        <v>2</v>
      </c>
      <c r="DE17" s="1">
        <v>1</v>
      </c>
      <c r="DF17" s="1">
        <v>2</v>
      </c>
      <c r="DG17" s="1">
        <v>2</v>
      </c>
      <c r="DH17" s="1">
        <v>2</v>
      </c>
      <c r="DI17" s="1">
        <f t="shared" si="52"/>
        <v>0</v>
      </c>
      <c r="DJ17" s="1">
        <v>1</v>
      </c>
      <c r="DK17" s="1" t="s">
        <v>97</v>
      </c>
      <c r="DL17" s="1" t="s">
        <v>40</v>
      </c>
      <c r="EI17" s="1" t="s">
        <v>98</v>
      </c>
      <c r="EJ17" s="1" t="b">
        <f>OR(T5:T799,(Race="Karsite"))</f>
        <v>1</v>
      </c>
    </row>
    <row r="18" spans="1:145" ht="11.25" customHeight="1" thickBot="1" x14ac:dyDescent="0.25">
      <c r="A18" s="1">
        <f t="shared" si="18"/>
        <v>15</v>
      </c>
      <c r="B18" s="1" t="s">
        <v>99</v>
      </c>
      <c r="C18" s="1" t="s">
        <v>100</v>
      </c>
      <c r="D18" s="1" t="s">
        <v>100</v>
      </c>
      <c r="E18" s="1">
        <f t="shared" si="40"/>
        <v>0</v>
      </c>
      <c r="K18" s="1">
        <v>2</v>
      </c>
      <c r="L18" s="1">
        <v>10</v>
      </c>
      <c r="N18" s="1" t="b">
        <v>1</v>
      </c>
      <c r="O18" s="1" t="b">
        <v>1</v>
      </c>
      <c r="Q18" s="1" t="b">
        <v>1</v>
      </c>
      <c r="S18" s="1" t="b">
        <v>1</v>
      </c>
      <c r="V18" s="1">
        <v>0.75</v>
      </c>
      <c r="W18" s="1">
        <v>0.5</v>
      </c>
      <c r="X18" s="1">
        <v>0.34</v>
      </c>
      <c r="Y18" s="1">
        <v>0.5</v>
      </c>
      <c r="Z18" s="1" t="b">
        <f>FALSE</f>
        <v>0</v>
      </c>
      <c r="AA18" s="1" t="str">
        <f t="shared" si="19"/>
        <v/>
      </c>
      <c r="AB18" s="1" t="str">
        <f t="shared" si="20"/>
        <v/>
      </c>
      <c r="AC18" s="1">
        <f t="shared" si="41"/>
        <v>0</v>
      </c>
      <c r="AD18" s="1" t="str">
        <f t="shared" si="21"/>
        <v/>
      </c>
      <c r="AE18" s="1" t="str">
        <f t="shared" si="22"/>
        <v/>
      </c>
      <c r="AF18" s="1">
        <f t="shared" si="42"/>
        <v>0</v>
      </c>
      <c r="AG18" s="1">
        <f t="shared" si="23"/>
        <v>5</v>
      </c>
      <c r="AH18" s="1" t="str">
        <f t="shared" si="9"/>
        <v/>
      </c>
      <c r="AI18" s="1">
        <f>IF(DragShamanColor="Red",2,1)</f>
        <v>1</v>
      </c>
      <c r="AJ18" s="1">
        <f t="shared" si="43"/>
        <v>0</v>
      </c>
      <c r="AK18" s="1">
        <v>1</v>
      </c>
      <c r="AL18" s="1">
        <f>IF(OR(DragShamanColor="Blue",DragShamanColor="Brass",DragShamanColor="Copper",DragShamanColor="Green",DragShamanColor="Silver"),2,1)</f>
        <v>1</v>
      </c>
      <c r="AM18" s="1">
        <v>2</v>
      </c>
      <c r="AN18" s="1">
        <f>IF(IsLycanthrope,2,0)</f>
        <v>0</v>
      </c>
      <c r="AO18" s="1">
        <v>1</v>
      </c>
      <c r="AP18" s="1">
        <v>2</v>
      </c>
      <c r="AQ18" s="1">
        <v>2</v>
      </c>
      <c r="AR18" s="1">
        <v>2</v>
      </c>
      <c r="AS18" s="1">
        <v>2</v>
      </c>
      <c r="AT18" s="1">
        <v>2</v>
      </c>
      <c r="AU18" s="1">
        <v>2</v>
      </c>
      <c r="AV18" s="1">
        <v>2</v>
      </c>
      <c r="AW18" s="1">
        <v>1</v>
      </c>
      <c r="AX18" s="1">
        <v>1</v>
      </c>
      <c r="AY18" s="1">
        <v>1</v>
      </c>
      <c r="AZ18" s="1">
        <f>IF(OR(DragShamanColor="Bronze",DragShamanColor="Gold", DragShamanColor="Silver"),2,1)</f>
        <v>1</v>
      </c>
      <c r="BA18" s="1">
        <v>1</v>
      </c>
      <c r="BB18" s="1">
        <v>1</v>
      </c>
      <c r="BC18" s="1">
        <f>IF(DragShamanColor="Brass",2,1)</f>
        <v>1</v>
      </c>
      <c r="BD18" s="1">
        <v>1</v>
      </c>
      <c r="BE18" s="1">
        <f>IF(DragShamanColor="Gold",2,1)</f>
        <v>1</v>
      </c>
      <c r="BF18" s="1">
        <f>IF(OR(DragShamanColor="Black",DragShamanColor="Blue",DragShamanColor="Copper",DragShamanColor="Green",DragShamanColor="White"),2,1)</f>
        <v>1</v>
      </c>
      <c r="BG18" s="1">
        <f>IF(HRRVL,1,0)</f>
        <v>0</v>
      </c>
      <c r="BH18" s="1">
        <f>IF(HROA,1,0)</f>
        <v>0</v>
      </c>
      <c r="BI18" s="1">
        <v>2</v>
      </c>
      <c r="BJ18" s="1">
        <f>IF(OR(DragShamanColor="Copper",DragShamanColor="Red",DragShamanColor="Silver"),2,1)</f>
        <v>1</v>
      </c>
      <c r="BK18" s="1">
        <v>2</v>
      </c>
      <c r="BL18" s="1">
        <v>1</v>
      </c>
      <c r="BM18" s="1">
        <v>1</v>
      </c>
      <c r="BN18" s="1">
        <v>1</v>
      </c>
      <c r="BO18" s="1">
        <v>1</v>
      </c>
      <c r="BP18" s="1">
        <v>1</v>
      </c>
      <c r="BQ18" s="1">
        <f>IF(HRRVL,1,0)</f>
        <v>0</v>
      </c>
      <c r="BR18" s="1">
        <v>2</v>
      </c>
      <c r="BS18" s="1">
        <v>1</v>
      </c>
      <c r="BT18" s="1">
        <f>IF(HRXPH,1,0)</f>
        <v>0</v>
      </c>
      <c r="BU18" s="1">
        <f>IF(HRRVL,1,0)</f>
        <v>0</v>
      </c>
      <c r="BV18" s="1">
        <v>1</v>
      </c>
      <c r="BW18" s="1">
        <v>1</v>
      </c>
      <c r="BX18" s="1">
        <v>1</v>
      </c>
      <c r="BY18" s="1">
        <v>1</v>
      </c>
      <c r="BZ18" s="1">
        <v>1</v>
      </c>
      <c r="CA18" s="1">
        <v>1</v>
      </c>
      <c r="CB18" s="1">
        <v>1</v>
      </c>
      <c r="CC18" s="1">
        <v>1</v>
      </c>
      <c r="CD18" s="1">
        <v>1</v>
      </c>
      <c r="CE18" s="1">
        <v>1</v>
      </c>
      <c r="CF18" s="1">
        <v>1</v>
      </c>
      <c r="CG18" s="1">
        <f>IF(HRToB,1,0)</f>
        <v>0</v>
      </c>
      <c r="CH18" s="1">
        <f>IF(OR(DragShamanColor="Black",DragShamanColor="Green",DragShamanColor="White"),2,1)</f>
        <v>1</v>
      </c>
      <c r="CI18" s="1">
        <v>1</v>
      </c>
      <c r="CJ18" s="1">
        <v>1</v>
      </c>
      <c r="CK18" s="1">
        <v>1</v>
      </c>
      <c r="CL18" s="1">
        <v>1</v>
      </c>
      <c r="CM18" s="1">
        <v>1</v>
      </c>
      <c r="CN18" s="1">
        <v>1</v>
      </c>
      <c r="CO18" s="1">
        <v>1</v>
      </c>
      <c r="CP18" s="1">
        <v>1</v>
      </c>
      <c r="CQ18" s="1">
        <v>1</v>
      </c>
      <c r="CR18" s="1">
        <v>1</v>
      </c>
      <c r="CS18" s="1">
        <v>1</v>
      </c>
      <c r="CT18" s="1">
        <v>1</v>
      </c>
      <c r="CU18" s="1">
        <v>1</v>
      </c>
      <c r="CV18" s="1">
        <f t="shared" si="50"/>
        <v>0</v>
      </c>
      <c r="CW18" s="1">
        <v>1</v>
      </c>
      <c r="CX18" s="1">
        <v>2</v>
      </c>
      <c r="CY18" s="1">
        <v>1</v>
      </c>
      <c r="CZ18" s="1">
        <f>IF(HRCS,1,0)</f>
        <v>0</v>
      </c>
      <c r="DA18" s="1">
        <v>1</v>
      </c>
      <c r="DB18" s="1">
        <v>1</v>
      </c>
      <c r="DC18" s="1">
        <f>IF(DragShamanColor="Blue",2,1)</f>
        <v>1</v>
      </c>
      <c r="DD18" s="1">
        <v>1</v>
      </c>
      <c r="DE18" s="1">
        <f>IF(OR(DragShamanColor="Brass",DragShamanColor="Bronze"),2,1)</f>
        <v>1</v>
      </c>
      <c r="DF18" s="1">
        <f>IF(OR(DragShamanColor="Black",DragShamanColor="Bronze",DragShamanColor="Gold",),2,1)</f>
        <v>1</v>
      </c>
      <c r="DG18" s="1">
        <v>1</v>
      </c>
      <c r="DH18" s="1">
        <v>1</v>
      </c>
      <c r="DI18" s="1">
        <f t="shared" si="52"/>
        <v>0</v>
      </c>
      <c r="DJ18" s="1">
        <v>1</v>
      </c>
      <c r="DK18" s="1" t="s">
        <v>97</v>
      </c>
      <c r="DL18" s="1" t="s">
        <v>101</v>
      </c>
      <c r="EE18" s="4" t="s">
        <v>102</v>
      </c>
      <c r="EI18" s="1" t="s">
        <v>103</v>
      </c>
      <c r="EJ18" s="1" t="e">
        <f ca="1">CONCATIF($E$5:$E$799,"&gt;0",$U$5:$U$799,";",TRUE)</f>
        <v>#NAME?</v>
      </c>
    </row>
    <row r="19" spans="1:145" ht="11.25" customHeight="1" x14ac:dyDescent="0.2">
      <c r="A19" s="1">
        <f t="shared" si="18"/>
        <v>16</v>
      </c>
      <c r="B19" s="1" t="s">
        <v>104</v>
      </c>
      <c r="C19" s="1" t="s">
        <v>105</v>
      </c>
      <c r="D19" s="1" t="s">
        <v>105</v>
      </c>
      <c r="E19" s="1">
        <f t="shared" si="40"/>
        <v>0</v>
      </c>
      <c r="K19" s="1">
        <v>2</v>
      </c>
      <c r="L19" s="1">
        <v>8</v>
      </c>
      <c r="N19" s="1" t="b">
        <v>1</v>
      </c>
      <c r="O19" s="1" t="b">
        <v>1</v>
      </c>
      <c r="P19" s="1" t="b">
        <v>1</v>
      </c>
      <c r="Q19" s="1" t="b">
        <v>1</v>
      </c>
      <c r="S19" s="1" t="b">
        <v>1</v>
      </c>
      <c r="T19" s="1" t="b">
        <v>1</v>
      </c>
      <c r="V19" s="1">
        <v>1</v>
      </c>
      <c r="W19" s="1">
        <v>0.5</v>
      </c>
      <c r="X19" s="1">
        <v>0.34</v>
      </c>
      <c r="Y19" s="1">
        <v>0.5</v>
      </c>
      <c r="Z19" s="1" t="b">
        <f>FALSE</f>
        <v>0</v>
      </c>
      <c r="AA19" s="1" t="str">
        <f t="shared" si="19"/>
        <v/>
      </c>
      <c r="AB19" s="1" t="str">
        <f t="shared" si="20"/>
        <v/>
      </c>
      <c r="AC19" s="1">
        <f t="shared" si="41"/>
        <v>0</v>
      </c>
      <c r="AD19" s="1" t="str">
        <f t="shared" si="21"/>
        <v/>
      </c>
      <c r="AE19" s="1" t="str">
        <f t="shared" si="22"/>
        <v/>
      </c>
      <c r="AF19" s="1">
        <f t="shared" si="42"/>
        <v>0</v>
      </c>
      <c r="AG19" s="1">
        <f t="shared" si="23"/>
        <v>5</v>
      </c>
      <c r="AH19" s="1" t="str">
        <f t="shared" si="9"/>
        <v/>
      </c>
      <c r="AI19" s="1">
        <v>1</v>
      </c>
      <c r="AJ19" s="1">
        <f t="shared" si="43"/>
        <v>0</v>
      </c>
      <c r="AK19" s="1">
        <v>1</v>
      </c>
      <c r="AL19" s="1">
        <v>1</v>
      </c>
      <c r="AM19" s="1">
        <v>2</v>
      </c>
      <c r="AN19" s="1">
        <f>IF(IsLycanthrope,2,0)</f>
        <v>0</v>
      </c>
      <c r="AO19" s="1">
        <v>2</v>
      </c>
      <c r="AP19" s="1">
        <v>2</v>
      </c>
      <c r="AQ19" s="1">
        <v>2</v>
      </c>
      <c r="AR19" s="1">
        <v>2</v>
      </c>
      <c r="AS19" s="1">
        <v>2</v>
      </c>
      <c r="AT19" s="1">
        <v>2</v>
      </c>
      <c r="AU19" s="1">
        <v>2</v>
      </c>
      <c r="AV19" s="1">
        <v>2</v>
      </c>
      <c r="AW19" s="1">
        <v>2</v>
      </c>
      <c r="AX19" s="1">
        <v>1</v>
      </c>
      <c r="AY19" s="1">
        <v>1</v>
      </c>
      <c r="AZ19" s="1">
        <v>1</v>
      </c>
      <c r="BA19" s="1">
        <v>1</v>
      </c>
      <c r="BB19" s="1">
        <v>1</v>
      </c>
      <c r="BC19" s="1">
        <v>1</v>
      </c>
      <c r="BD19" s="1">
        <v>1</v>
      </c>
      <c r="BE19" s="1">
        <v>1</v>
      </c>
      <c r="BF19" s="1">
        <v>1</v>
      </c>
      <c r="BG19" s="1">
        <f>IF(HRRVL,1,0)</f>
        <v>0</v>
      </c>
      <c r="BH19" s="1">
        <f>IF(HROA,1,0)</f>
        <v>0</v>
      </c>
      <c r="BI19" s="1">
        <v>1</v>
      </c>
      <c r="BJ19" s="1">
        <v>2</v>
      </c>
      <c r="BK19" s="1">
        <v>2</v>
      </c>
      <c r="BL19" s="1">
        <v>2</v>
      </c>
      <c r="BM19" s="1">
        <v>2</v>
      </c>
      <c r="BN19" s="1">
        <v>2</v>
      </c>
      <c r="BO19" s="1">
        <v>2</v>
      </c>
      <c r="BP19" s="1">
        <v>2</v>
      </c>
      <c r="BQ19" s="1">
        <f>IF(HRRVL,2,0)</f>
        <v>0</v>
      </c>
      <c r="BR19" s="1">
        <v>2</v>
      </c>
      <c r="BS19" s="1">
        <v>2</v>
      </c>
      <c r="BT19" s="1">
        <f>IF(HRXPH,1,0)</f>
        <v>0</v>
      </c>
      <c r="BU19" s="1">
        <f>IF(HRRVL,2,0)</f>
        <v>0</v>
      </c>
      <c r="BV19" s="1">
        <v>2</v>
      </c>
      <c r="BW19" s="1">
        <v>2</v>
      </c>
      <c r="BX19" s="1">
        <v>2</v>
      </c>
      <c r="BY19" s="1">
        <v>2</v>
      </c>
      <c r="BZ19" s="1">
        <v>2</v>
      </c>
      <c r="CA19" s="1">
        <v>2</v>
      </c>
      <c r="CB19" s="1">
        <v>2</v>
      </c>
      <c r="CC19" s="1">
        <v>2</v>
      </c>
      <c r="CD19" s="1">
        <v>2</v>
      </c>
      <c r="CE19" s="1">
        <v>2</v>
      </c>
      <c r="CF19" s="1">
        <v>1</v>
      </c>
      <c r="CG19" s="1">
        <f>IF(HRToB,1,0)</f>
        <v>0</v>
      </c>
      <c r="CH19" s="1">
        <v>1</v>
      </c>
      <c r="CI19" s="1">
        <v>1</v>
      </c>
      <c r="CJ19" s="1">
        <v>1</v>
      </c>
      <c r="CK19" s="1">
        <v>1</v>
      </c>
      <c r="CL19" s="1">
        <v>1</v>
      </c>
      <c r="CM19" s="1">
        <v>1</v>
      </c>
      <c r="CN19" s="1">
        <v>1</v>
      </c>
      <c r="CO19" s="1">
        <v>1</v>
      </c>
      <c r="CP19" s="1">
        <v>1</v>
      </c>
      <c r="CQ19" s="1">
        <v>1</v>
      </c>
      <c r="CR19" s="1">
        <v>1</v>
      </c>
      <c r="CS19" s="1">
        <v>1</v>
      </c>
      <c r="CT19" s="1">
        <v>1</v>
      </c>
      <c r="CU19" s="1">
        <v>1</v>
      </c>
      <c r="CV19" s="1">
        <f t="shared" si="50"/>
        <v>0</v>
      </c>
      <c r="CW19" s="1">
        <v>2</v>
      </c>
      <c r="CX19" s="1">
        <v>1</v>
      </c>
      <c r="CY19" s="1">
        <v>2</v>
      </c>
      <c r="CZ19" s="1">
        <f>IF(HRCS,1,0)</f>
        <v>0</v>
      </c>
      <c r="DA19" s="1">
        <v>1</v>
      </c>
      <c r="DB19" s="1">
        <v>1</v>
      </c>
      <c r="DC19" s="1">
        <v>2</v>
      </c>
      <c r="DD19" s="1">
        <v>1</v>
      </c>
      <c r="DE19" s="1">
        <v>1</v>
      </c>
      <c r="DF19" s="1">
        <v>2</v>
      </c>
      <c r="DG19" s="1">
        <v>1</v>
      </c>
      <c r="DH19" s="1">
        <v>1</v>
      </c>
      <c r="DI19" s="1">
        <f t="shared" si="52"/>
        <v>0</v>
      </c>
      <c r="DJ19" s="1">
        <v>1</v>
      </c>
      <c r="DK19" s="1" t="s">
        <v>97</v>
      </c>
      <c r="DL19" s="1" t="s">
        <v>101</v>
      </c>
      <c r="EE19" s="5" t="s">
        <v>106</v>
      </c>
      <c r="EF19" s="6" t="s">
        <v>26</v>
      </c>
      <c r="EG19" s="6" t="s">
        <v>107</v>
      </c>
      <c r="EH19" s="6" t="s">
        <v>108</v>
      </c>
      <c r="EI19" s="6" t="s">
        <v>109</v>
      </c>
      <c r="EJ19" s="6" t="s">
        <v>52</v>
      </c>
      <c r="EK19" s="6" t="s">
        <v>110</v>
      </c>
      <c r="EL19" s="6" t="s">
        <v>111</v>
      </c>
      <c r="EM19" s="6" t="s">
        <v>112</v>
      </c>
      <c r="EN19" s="6" t="s">
        <v>113</v>
      </c>
      <c r="EO19" s="7" t="s">
        <v>114</v>
      </c>
    </row>
    <row r="20" spans="1:145" ht="11.25" customHeight="1" x14ac:dyDescent="0.2">
      <c r="A20" s="1">
        <f t="shared" si="18"/>
        <v>17</v>
      </c>
      <c r="B20" s="1" t="s">
        <v>115</v>
      </c>
      <c r="C20" s="1" t="s">
        <v>116</v>
      </c>
      <c r="D20" s="1" t="s">
        <v>116</v>
      </c>
      <c r="E20" s="1">
        <f t="shared" si="40"/>
        <v>0</v>
      </c>
      <c r="K20" s="1">
        <v>2</v>
      </c>
      <c r="L20" s="1">
        <v>12</v>
      </c>
      <c r="N20" s="1" t="b">
        <v>1</v>
      </c>
      <c r="O20" s="1" t="b">
        <v>1</v>
      </c>
      <c r="P20" s="1" t="b">
        <v>1</v>
      </c>
      <c r="Q20" s="1" t="b">
        <v>1</v>
      </c>
      <c r="S20" s="1" t="b">
        <v>1</v>
      </c>
      <c r="T20" s="1" t="b">
        <v>1</v>
      </c>
      <c r="V20" s="1">
        <v>1</v>
      </c>
      <c r="W20" s="1">
        <v>0.34</v>
      </c>
      <c r="X20" s="1">
        <v>0.34</v>
      </c>
      <c r="Y20" s="1">
        <v>0.5</v>
      </c>
      <c r="Z20" s="1" t="b">
        <f>FALSE</f>
        <v>0</v>
      </c>
      <c r="AA20" s="1" t="str">
        <f t="shared" si="19"/>
        <v/>
      </c>
      <c r="AB20" s="1" t="str">
        <f t="shared" si="20"/>
        <v/>
      </c>
      <c r="AC20" s="1">
        <f t="shared" si="41"/>
        <v>0</v>
      </c>
      <c r="AD20" s="1" t="str">
        <f t="shared" si="21"/>
        <v/>
      </c>
      <c r="AE20" s="1" t="str">
        <f t="shared" si="22"/>
        <v/>
      </c>
      <c r="AF20" s="1">
        <f t="shared" si="42"/>
        <v>0</v>
      </c>
      <c r="AG20" s="1">
        <f t="shared" si="23"/>
        <v>5</v>
      </c>
      <c r="AH20" s="1" t="str">
        <f t="shared" si="9"/>
        <v/>
      </c>
      <c r="AI20" s="1">
        <v>1</v>
      </c>
      <c r="AJ20" s="1">
        <f t="shared" si="43"/>
        <v>0</v>
      </c>
      <c r="AK20" s="1">
        <v>1</v>
      </c>
      <c r="AL20" s="1">
        <v>1</v>
      </c>
      <c r="AM20" s="1">
        <v>2</v>
      </c>
      <c r="AN20" s="1">
        <f>IF(IsLycanthrope,2,0)</f>
        <v>0</v>
      </c>
      <c r="AO20" s="1">
        <v>1</v>
      </c>
      <c r="AP20" s="1">
        <v>1</v>
      </c>
      <c r="AQ20" s="1">
        <v>1</v>
      </c>
      <c r="AR20" s="1">
        <v>1</v>
      </c>
      <c r="AS20" s="1">
        <v>1</v>
      </c>
      <c r="AT20" s="1">
        <v>1</v>
      </c>
      <c r="AU20" s="1">
        <v>1</v>
      </c>
      <c r="AV20" s="1">
        <v>1</v>
      </c>
      <c r="AW20" s="1">
        <v>1</v>
      </c>
      <c r="AX20" s="1">
        <v>1</v>
      </c>
      <c r="AY20" s="1">
        <v>1</v>
      </c>
      <c r="AZ20" s="1">
        <v>1</v>
      </c>
      <c r="BA20" s="1">
        <v>1</v>
      </c>
      <c r="BB20" s="1">
        <v>1</v>
      </c>
      <c r="BC20" s="1">
        <v>1</v>
      </c>
      <c r="BD20" s="1">
        <v>2</v>
      </c>
      <c r="BE20" s="1">
        <v>1</v>
      </c>
      <c r="BF20" s="1">
        <v>1</v>
      </c>
      <c r="BG20" s="1">
        <f>IF(HRRVL,1,0)</f>
        <v>0</v>
      </c>
      <c r="BH20" s="1">
        <f>IF(HROA,1,0)</f>
        <v>0</v>
      </c>
      <c r="BI20" s="1">
        <v>2</v>
      </c>
      <c r="BJ20" s="1">
        <v>2</v>
      </c>
      <c r="BK20" s="1">
        <v>1</v>
      </c>
      <c r="BL20" s="1">
        <v>1</v>
      </c>
      <c r="BM20" s="1">
        <v>1</v>
      </c>
      <c r="BN20" s="1">
        <v>1</v>
      </c>
      <c r="BO20" s="1">
        <v>1</v>
      </c>
      <c r="BP20" s="1">
        <v>1</v>
      </c>
      <c r="BQ20" s="1">
        <f>IF(HRRVL,1,0)</f>
        <v>0</v>
      </c>
      <c r="BR20" s="1">
        <v>1</v>
      </c>
      <c r="BS20" s="1">
        <v>2</v>
      </c>
      <c r="BT20" s="1">
        <f>IF(HRXPH,1,0)</f>
        <v>0</v>
      </c>
      <c r="BU20" s="1">
        <f>IF(HRRVL,1,0)</f>
        <v>0</v>
      </c>
      <c r="BV20" s="1">
        <v>1</v>
      </c>
      <c r="BW20" s="1">
        <v>1</v>
      </c>
      <c r="BX20" s="1">
        <v>1</v>
      </c>
      <c r="BY20" s="1">
        <v>1</v>
      </c>
      <c r="BZ20" s="1">
        <v>1</v>
      </c>
      <c r="CA20" s="1">
        <v>1</v>
      </c>
      <c r="CB20" s="1">
        <v>1</v>
      </c>
      <c r="CC20" s="1">
        <v>1</v>
      </c>
      <c r="CD20" s="1">
        <v>1</v>
      </c>
      <c r="CE20" s="1">
        <v>1</v>
      </c>
      <c r="CF20" s="1">
        <v>1</v>
      </c>
      <c r="CG20" s="1">
        <f>IF(HRToB,1,0)</f>
        <v>0</v>
      </c>
      <c r="CH20" s="1">
        <v>1</v>
      </c>
      <c r="CI20" s="1">
        <v>1</v>
      </c>
      <c r="CJ20" s="1">
        <v>1</v>
      </c>
      <c r="CK20" s="1">
        <v>1</v>
      </c>
      <c r="CL20" s="1">
        <v>1</v>
      </c>
      <c r="CM20" s="1">
        <v>1</v>
      </c>
      <c r="CN20" s="1">
        <v>1</v>
      </c>
      <c r="CO20" s="1">
        <v>1</v>
      </c>
      <c r="CP20" s="1">
        <v>1</v>
      </c>
      <c r="CQ20" s="1">
        <v>1</v>
      </c>
      <c r="CR20" s="1">
        <v>1</v>
      </c>
      <c r="CS20" s="1">
        <v>1</v>
      </c>
      <c r="CT20" s="1">
        <v>1</v>
      </c>
      <c r="CU20" s="1">
        <v>1</v>
      </c>
      <c r="CV20" s="1">
        <f t="shared" si="50"/>
        <v>0</v>
      </c>
      <c r="CW20" s="1">
        <v>2</v>
      </c>
      <c r="CX20" s="1">
        <v>1</v>
      </c>
      <c r="CY20" s="1">
        <v>1</v>
      </c>
      <c r="CZ20" s="1">
        <f>IF(HRCS,1,0)</f>
        <v>0</v>
      </c>
      <c r="DA20" s="1">
        <v>1</v>
      </c>
      <c r="DB20" s="1">
        <v>1</v>
      </c>
      <c r="DC20" s="1">
        <v>1</v>
      </c>
      <c r="DD20" s="1">
        <v>1</v>
      </c>
      <c r="DE20" s="1">
        <v>1</v>
      </c>
      <c r="DF20" s="1">
        <v>2</v>
      </c>
      <c r="DG20" s="1">
        <v>1</v>
      </c>
      <c r="DH20" s="1">
        <v>1</v>
      </c>
      <c r="DI20" s="1">
        <f t="shared" si="52"/>
        <v>0</v>
      </c>
      <c r="DJ20" s="1">
        <v>1</v>
      </c>
      <c r="DK20" s="1" t="s">
        <v>97</v>
      </c>
      <c r="DL20" s="1" t="s">
        <v>40</v>
      </c>
      <c r="EE20" s="8" t="s">
        <v>117</v>
      </c>
      <c r="EF20" s="9">
        <v>2</v>
      </c>
      <c r="EG20" s="9" t="s">
        <v>118</v>
      </c>
      <c r="EH20" s="9">
        <v>-2</v>
      </c>
      <c r="EI20" s="9" t="b">
        <f t="shared" ref="EI20:EI51" si="54">(INDEX(TblClasses,MATCH($EE20,TblTLAList,0),ClassInfoLevelColumn)&gt;=$EF20)</f>
        <v>0</v>
      </c>
      <c r="EJ20" s="9" t="str">
        <f t="shared" ref="EJ20:EJ83" si="55">IF(EI20,$EE20&amp;$EF20,"")</f>
        <v/>
      </c>
      <c r="EK20" s="9">
        <f>IF($EI20,MATCH($EJ20,TblClass1,0),99)</f>
        <v>99</v>
      </c>
      <c r="EL20" s="9">
        <f>IF($EI20,IF(HRGestalt,MATCH($EJ20,TblClass2,0),99),99)</f>
        <v>99</v>
      </c>
      <c r="EM20" s="9">
        <f t="shared" ref="EM20:EM51" si="56">IF($EI20,IF(HasVirtualClasses,MATCH($EJ20,TblClass3,0),99),99)</f>
        <v>99</v>
      </c>
      <c r="EN20" s="9">
        <f t="shared" ref="EN20:EN83" si="57">IF($EI20,MIN(IF(ISNA($EK20),99,$EK20),IF(ISNA($EL20),99,$EL20),IF(ISNA($EM20),99,$EM20)),99)</f>
        <v>99</v>
      </c>
      <c r="EO20" s="10">
        <f t="shared" ref="EO20:EO51" si="58">IF(DoClassIntAdj,IF($EG20="Int",$EH20*($EN20&lt;=LvlMax),0),0)</f>
        <v>0</v>
      </c>
    </row>
    <row r="21" spans="1:145" ht="11.25" customHeight="1" x14ac:dyDescent="0.2">
      <c r="A21" s="1">
        <f t="shared" si="18"/>
        <v>18</v>
      </c>
      <c r="B21" s="1" t="s">
        <v>119</v>
      </c>
      <c r="E21" s="1">
        <f t="shared" si="40"/>
        <v>0</v>
      </c>
      <c r="F21" s="1">
        <v>1</v>
      </c>
      <c r="Z21" s="1" t="b">
        <f>FALSE</f>
        <v>0</v>
      </c>
      <c r="AA21" s="1" t="str">
        <f t="shared" si="19"/>
        <v/>
      </c>
      <c r="AB21" s="1" t="str">
        <f t="shared" si="20"/>
        <v/>
      </c>
      <c r="AC21" s="1">
        <f t="shared" si="41"/>
        <v>0</v>
      </c>
      <c r="AD21" s="1" t="str">
        <f t="shared" si="21"/>
        <v/>
      </c>
      <c r="AE21" s="1" t="str">
        <f t="shared" si="22"/>
        <v/>
      </c>
      <c r="AF21" s="1">
        <f t="shared" si="42"/>
        <v>0</v>
      </c>
      <c r="AG21" s="1">
        <f t="shared" si="23"/>
        <v>5</v>
      </c>
      <c r="AH21" s="1" t="str">
        <f t="shared" si="9"/>
        <v/>
      </c>
      <c r="EE21" s="8" t="s">
        <v>120</v>
      </c>
      <c r="EF21" s="9">
        <f>IF(ISNA($EF$144),99,CHOOSE($EF$144,1,4,7,10))</f>
        <v>99</v>
      </c>
      <c r="EG21" s="9" t="str">
        <f>IF($EI$21,LEFT(INDEX(TblAnointSelfStatBump,AnointSelfStatBump),3),"")</f>
        <v/>
      </c>
      <c r="EH21" s="9">
        <v>1</v>
      </c>
      <c r="EI21" s="9" t="b">
        <f t="shared" si="54"/>
        <v>0</v>
      </c>
      <c r="EJ21" s="9" t="str">
        <f t="shared" si="55"/>
        <v/>
      </c>
      <c r="EK21" s="9">
        <f t="shared" ref="EK21:EK52" si="59">IF($EI21,MATCH($EJ21,TblClassN,0),99)</f>
        <v>99</v>
      </c>
      <c r="EL21" s="9">
        <f t="shared" ref="EL21:EL52" si="60">IF($EI21,IF(HRGestalt,MATCH($EJ21,TblGClassN,0),99),99)</f>
        <v>99</v>
      </c>
      <c r="EM21" s="9">
        <f t="shared" si="56"/>
        <v>99</v>
      </c>
      <c r="EN21" s="9">
        <f t="shared" si="57"/>
        <v>99</v>
      </c>
      <c r="EO21" s="10">
        <f t="shared" si="58"/>
        <v>0</v>
      </c>
    </row>
    <row r="22" spans="1:145" ht="11.25" customHeight="1" x14ac:dyDescent="0.2">
      <c r="A22" s="1">
        <f t="shared" si="18"/>
        <v>19</v>
      </c>
      <c r="B22" s="1" t="s">
        <v>121</v>
      </c>
      <c r="C22" s="1" t="s">
        <v>122</v>
      </c>
      <c r="D22" s="1" t="s">
        <v>123</v>
      </c>
      <c r="E22" s="1">
        <f t="shared" si="40"/>
        <v>0</v>
      </c>
      <c r="K22" s="1">
        <v>2</v>
      </c>
      <c r="L22" s="1">
        <v>10</v>
      </c>
      <c r="N22" s="1" t="b">
        <v>1</v>
      </c>
      <c r="S22" s="1" t="b">
        <v>1</v>
      </c>
      <c r="T22" s="1" t="b">
        <v>1</v>
      </c>
      <c r="V22" s="1">
        <v>1</v>
      </c>
      <c r="W22" s="1">
        <v>0.34</v>
      </c>
      <c r="X22" s="1">
        <v>0.34</v>
      </c>
      <c r="Y22" s="1">
        <v>0.5</v>
      </c>
      <c r="Z22" s="1" t="b">
        <f>FALSE</f>
        <v>0</v>
      </c>
      <c r="AA22" s="1" t="str">
        <f t="shared" si="19"/>
        <v/>
      </c>
      <c r="AB22" s="1" t="str">
        <f t="shared" si="20"/>
        <v/>
      </c>
      <c r="AC22" s="1">
        <f t="shared" si="41"/>
        <v>0</v>
      </c>
      <c r="AD22" s="1" t="str">
        <f t="shared" si="21"/>
        <v/>
      </c>
      <c r="AE22" s="1" t="str">
        <f t="shared" si="22"/>
        <v/>
      </c>
      <c r="AF22" s="1">
        <f t="shared" si="42"/>
        <v>0</v>
      </c>
      <c r="AG22" s="1">
        <f t="shared" si="23"/>
        <v>5</v>
      </c>
      <c r="AH22" s="1" t="str">
        <f t="shared" si="9"/>
        <v/>
      </c>
      <c r="AI22" s="1">
        <v>1</v>
      </c>
      <c r="AJ22" s="1">
        <f>IF(HRXPH,1,0)</f>
        <v>0</v>
      </c>
      <c r="AK22" s="1">
        <v>1</v>
      </c>
      <c r="AL22" s="1">
        <v>2</v>
      </c>
      <c r="AM22" s="1">
        <v>1</v>
      </c>
      <c r="AN22" s="1">
        <f>IF(IsLycanthrope,2,0)</f>
        <v>0</v>
      </c>
      <c r="AO22" s="1">
        <v>2</v>
      </c>
      <c r="AP22" s="1">
        <v>2</v>
      </c>
      <c r="AQ22" s="1">
        <v>2</v>
      </c>
      <c r="AR22" s="1">
        <v>2</v>
      </c>
      <c r="AS22" s="1">
        <v>2</v>
      </c>
      <c r="AT22" s="1">
        <v>2</v>
      </c>
      <c r="AU22" s="1">
        <v>2</v>
      </c>
      <c r="AV22" s="1">
        <v>2</v>
      </c>
      <c r="AW22" s="1">
        <v>1</v>
      </c>
      <c r="AX22" s="1">
        <v>2</v>
      </c>
      <c r="AY22" s="1">
        <v>1</v>
      </c>
      <c r="AZ22" s="1">
        <v>1</v>
      </c>
      <c r="BA22" s="1">
        <v>1</v>
      </c>
      <c r="BB22" s="1">
        <v>1</v>
      </c>
      <c r="BC22" s="1">
        <v>1</v>
      </c>
      <c r="BD22" s="1">
        <v>1</v>
      </c>
      <c r="BE22" s="1">
        <v>1</v>
      </c>
      <c r="BF22" s="1">
        <v>1</v>
      </c>
      <c r="BG22" s="1">
        <f>IF(HRRVL,1,0)</f>
        <v>0</v>
      </c>
      <c r="BH22" s="1">
        <f>IF(HROA,1,0)</f>
        <v>0</v>
      </c>
      <c r="BI22" s="1">
        <v>2</v>
      </c>
      <c r="BJ22" s="1">
        <v>1</v>
      </c>
      <c r="BK22" s="1">
        <v>2</v>
      </c>
      <c r="BL22" s="1">
        <v>1</v>
      </c>
      <c r="BM22" s="1">
        <v>1</v>
      </c>
      <c r="BN22" s="1">
        <v>1</v>
      </c>
      <c r="BO22" s="1">
        <v>1</v>
      </c>
      <c r="BP22" s="1">
        <v>1</v>
      </c>
      <c r="BQ22" s="1">
        <f>IF(HRRVL,1,0)</f>
        <v>0</v>
      </c>
      <c r="BR22" s="1">
        <v>1</v>
      </c>
      <c r="BS22" s="1">
        <v>1</v>
      </c>
      <c r="BT22" s="1">
        <f>IF(HRXPH,1,0)</f>
        <v>0</v>
      </c>
      <c r="BU22" s="1">
        <f>IF(HRRVL,1,0)</f>
        <v>0</v>
      </c>
      <c r="BV22" s="1">
        <v>1</v>
      </c>
      <c r="BW22" s="1">
        <v>1</v>
      </c>
      <c r="BX22" s="1">
        <v>1</v>
      </c>
      <c r="BY22" s="1">
        <v>1</v>
      </c>
      <c r="BZ22" s="1">
        <v>1</v>
      </c>
      <c r="CA22" s="1">
        <v>1</v>
      </c>
      <c r="CB22" s="1">
        <v>1</v>
      </c>
      <c r="CC22" s="1">
        <v>1</v>
      </c>
      <c r="CD22" s="1">
        <v>1</v>
      </c>
      <c r="CE22" s="1">
        <v>1</v>
      </c>
      <c r="CF22" s="1">
        <v>1</v>
      </c>
      <c r="CG22" s="1">
        <f>IF(HRToB,1,0)</f>
        <v>0</v>
      </c>
      <c r="CH22" s="1">
        <v>1</v>
      </c>
      <c r="CI22" s="1">
        <v>1</v>
      </c>
      <c r="CJ22" s="1">
        <v>1</v>
      </c>
      <c r="CK22" s="1">
        <v>1</v>
      </c>
      <c r="CL22" s="1">
        <v>1</v>
      </c>
      <c r="CM22" s="1">
        <v>1</v>
      </c>
      <c r="CN22" s="1">
        <v>1</v>
      </c>
      <c r="CO22" s="1">
        <v>1</v>
      </c>
      <c r="CP22" s="1">
        <v>2</v>
      </c>
      <c r="CQ22" s="1">
        <v>2</v>
      </c>
      <c r="CR22" s="1">
        <v>2</v>
      </c>
      <c r="CS22" s="1">
        <v>2</v>
      </c>
      <c r="CT22" s="1">
        <v>2</v>
      </c>
      <c r="CU22" s="1">
        <v>2</v>
      </c>
      <c r="CV22" s="1">
        <f>IF(HRXPH,1,0)</f>
        <v>0</v>
      </c>
      <c r="CW22" s="1">
        <v>2</v>
      </c>
      <c r="CX22" s="1">
        <v>1</v>
      </c>
      <c r="CY22" s="1">
        <v>1</v>
      </c>
      <c r="CZ22" s="1">
        <f>IF(HRCS,1,0)</f>
        <v>0</v>
      </c>
      <c r="DA22" s="1">
        <v>1</v>
      </c>
      <c r="DB22" s="1">
        <v>1</v>
      </c>
      <c r="DC22" s="1">
        <v>2</v>
      </c>
      <c r="DD22" s="1">
        <v>1</v>
      </c>
      <c r="DE22" s="1">
        <v>1</v>
      </c>
      <c r="DF22" s="1">
        <v>1</v>
      </c>
      <c r="DG22" s="1">
        <v>1</v>
      </c>
      <c r="DH22" s="1">
        <v>1</v>
      </c>
      <c r="DI22" s="1">
        <f>IF(HRXPH,1,0)</f>
        <v>0</v>
      </c>
      <c r="DJ22" s="1">
        <v>1</v>
      </c>
      <c r="DK22" s="1" t="s">
        <v>124</v>
      </c>
      <c r="DL22" s="1" t="s">
        <v>40</v>
      </c>
      <c r="EE22" s="8" t="s">
        <v>125</v>
      </c>
      <c r="EF22" s="9">
        <v>1</v>
      </c>
      <c r="EG22" s="9" t="s">
        <v>126</v>
      </c>
      <c r="EH22" s="9">
        <v>2</v>
      </c>
      <c r="EI22" s="9" t="b">
        <f t="shared" si="54"/>
        <v>0</v>
      </c>
      <c r="EJ22" s="9" t="str">
        <f t="shared" si="55"/>
        <v/>
      </c>
      <c r="EK22" s="9">
        <f t="shared" si="59"/>
        <v>99</v>
      </c>
      <c r="EL22" s="9">
        <f t="shared" si="60"/>
        <v>99</v>
      </c>
      <c r="EM22" s="9">
        <f t="shared" si="56"/>
        <v>99</v>
      </c>
      <c r="EN22" s="9">
        <f t="shared" si="57"/>
        <v>99</v>
      </c>
      <c r="EO22" s="10">
        <f t="shared" si="58"/>
        <v>0</v>
      </c>
    </row>
    <row r="23" spans="1:145" ht="11.25" customHeight="1" x14ac:dyDescent="0.2">
      <c r="A23" s="1">
        <f t="shared" si="18"/>
        <v>20</v>
      </c>
      <c r="B23" s="1" t="s">
        <v>127</v>
      </c>
      <c r="C23" s="1" t="s">
        <v>128</v>
      </c>
      <c r="D23" s="1" t="s">
        <v>128</v>
      </c>
      <c r="E23" s="1">
        <f t="shared" si="40"/>
        <v>0</v>
      </c>
      <c r="K23" s="1">
        <v>2</v>
      </c>
      <c r="L23" s="1">
        <v>10</v>
      </c>
      <c r="N23" s="1" t="b">
        <v>1</v>
      </c>
      <c r="O23" s="1" t="b">
        <v>1</v>
      </c>
      <c r="P23" s="1" t="b">
        <v>1</v>
      </c>
      <c r="S23" s="1" t="b">
        <v>1</v>
      </c>
      <c r="T23" s="1" t="b">
        <v>1</v>
      </c>
      <c r="V23" s="1">
        <v>1</v>
      </c>
      <c r="W23" s="1">
        <v>0.5</v>
      </c>
      <c r="X23" s="1">
        <v>0.34</v>
      </c>
      <c r="Y23" s="1">
        <v>0.34</v>
      </c>
      <c r="Z23" s="1" t="b">
        <f>FALSE</f>
        <v>0</v>
      </c>
      <c r="AA23" s="1" t="str">
        <f t="shared" si="19"/>
        <v/>
      </c>
      <c r="AB23" s="1" t="str">
        <f t="shared" si="20"/>
        <v/>
      </c>
      <c r="AC23" s="1">
        <f t="shared" si="41"/>
        <v>0</v>
      </c>
      <c r="AD23" s="1" t="str">
        <f t="shared" si="21"/>
        <v/>
      </c>
      <c r="AE23" s="1" t="str">
        <f t="shared" si="22"/>
        <v/>
      </c>
      <c r="AF23" s="1">
        <f t="shared" si="42"/>
        <v>0</v>
      </c>
      <c r="AG23" s="1">
        <f t="shared" si="23"/>
        <v>5</v>
      </c>
      <c r="AH23" s="1" t="str">
        <f t="shared" si="9"/>
        <v/>
      </c>
      <c r="AI23" s="1">
        <v>1</v>
      </c>
      <c r="AJ23" s="1">
        <f>IF(HRXPH,1,0)</f>
        <v>0</v>
      </c>
      <c r="AK23" s="1">
        <v>1</v>
      </c>
      <c r="AL23" s="1">
        <v>1</v>
      </c>
      <c r="AM23" s="1">
        <v>1</v>
      </c>
      <c r="AN23" s="1">
        <f>IF(IsLycanthrope,2,0)</f>
        <v>0</v>
      </c>
      <c r="AO23" s="1">
        <v>2</v>
      </c>
      <c r="AP23" s="1">
        <v>2</v>
      </c>
      <c r="AQ23" s="1">
        <v>2</v>
      </c>
      <c r="AR23" s="1">
        <v>2</v>
      </c>
      <c r="AS23" s="1">
        <v>2</v>
      </c>
      <c r="AT23" s="1">
        <v>2</v>
      </c>
      <c r="AU23" s="1">
        <v>2</v>
      </c>
      <c r="AV23" s="1">
        <v>2</v>
      </c>
      <c r="AW23" s="1">
        <v>1</v>
      </c>
      <c r="AX23" s="1">
        <v>2</v>
      </c>
      <c r="AY23" s="1">
        <v>1</v>
      </c>
      <c r="AZ23" s="1">
        <v>1</v>
      </c>
      <c r="BA23" s="1">
        <v>1</v>
      </c>
      <c r="BB23" s="1">
        <v>1</v>
      </c>
      <c r="BC23" s="1">
        <v>1</v>
      </c>
      <c r="BD23" s="1">
        <v>1</v>
      </c>
      <c r="BE23" s="1">
        <v>1</v>
      </c>
      <c r="BF23" s="1">
        <v>1</v>
      </c>
      <c r="BG23" s="1">
        <f>IF(HRRVL,1,0)</f>
        <v>0</v>
      </c>
      <c r="BH23" s="1">
        <f>IF(HROA,1,0)</f>
        <v>0</v>
      </c>
      <c r="BI23" s="1">
        <v>2</v>
      </c>
      <c r="BJ23" s="1">
        <v>1</v>
      </c>
      <c r="BK23" s="1">
        <v>1</v>
      </c>
      <c r="BL23" s="1">
        <v>1</v>
      </c>
      <c r="BM23" s="1">
        <v>1</v>
      </c>
      <c r="BN23" s="1">
        <v>1</v>
      </c>
      <c r="BO23" s="1">
        <v>2</v>
      </c>
      <c r="BP23" s="1">
        <v>1</v>
      </c>
      <c r="BQ23" s="1">
        <f>IF(HRRVL,1,0)</f>
        <v>0</v>
      </c>
      <c r="BR23" s="1">
        <v>1</v>
      </c>
      <c r="BS23" s="1">
        <v>2</v>
      </c>
      <c r="BT23" s="1">
        <f>IF(HRXPH,1,0)</f>
        <v>0</v>
      </c>
      <c r="BU23" s="1">
        <f>IF(HRRVL,1,0)</f>
        <v>0</v>
      </c>
      <c r="BV23" s="1">
        <v>1</v>
      </c>
      <c r="BW23" s="1">
        <v>1</v>
      </c>
      <c r="BX23" s="1">
        <v>1</v>
      </c>
      <c r="BY23" s="1">
        <v>1</v>
      </c>
      <c r="BZ23" s="1">
        <v>1</v>
      </c>
      <c r="CA23" s="1">
        <v>1</v>
      </c>
      <c r="CB23" s="1">
        <v>1</v>
      </c>
      <c r="CC23" s="1">
        <v>1</v>
      </c>
      <c r="CD23" s="1">
        <v>1</v>
      </c>
      <c r="CE23" s="1">
        <v>1</v>
      </c>
      <c r="CF23" s="1">
        <v>1</v>
      </c>
      <c r="CG23" s="1">
        <f>IF(HRToB,1,0)</f>
        <v>0</v>
      </c>
      <c r="CH23" s="1">
        <v>1</v>
      </c>
      <c r="CI23" s="1">
        <v>1</v>
      </c>
      <c r="CJ23" s="1">
        <v>1</v>
      </c>
      <c r="CK23" s="1">
        <v>1</v>
      </c>
      <c r="CL23" s="1">
        <v>1</v>
      </c>
      <c r="CM23" s="1">
        <v>1</v>
      </c>
      <c r="CN23" s="1">
        <v>1</v>
      </c>
      <c r="CO23" s="1">
        <v>1</v>
      </c>
      <c r="CP23" s="1">
        <v>1</v>
      </c>
      <c r="CQ23" s="1">
        <v>1</v>
      </c>
      <c r="CR23" s="1">
        <v>1</v>
      </c>
      <c r="CS23" s="1">
        <v>1</v>
      </c>
      <c r="CT23" s="1">
        <v>1</v>
      </c>
      <c r="CU23" s="1">
        <v>1</v>
      </c>
      <c r="CV23" s="1">
        <f>IF(HRXPH,1,0)</f>
        <v>0</v>
      </c>
      <c r="CW23" s="1">
        <v>2</v>
      </c>
      <c r="CX23" s="1">
        <v>1</v>
      </c>
      <c r="CY23" s="1">
        <v>2</v>
      </c>
      <c r="CZ23" s="1">
        <f>IF(HRCS,1,0)</f>
        <v>0</v>
      </c>
      <c r="DA23" s="1">
        <v>1</v>
      </c>
      <c r="DB23" s="1">
        <v>1</v>
      </c>
      <c r="DC23" s="1">
        <v>1</v>
      </c>
      <c r="DD23" s="1">
        <v>1</v>
      </c>
      <c r="DE23" s="1">
        <v>1</v>
      </c>
      <c r="DF23" s="1">
        <v>1</v>
      </c>
      <c r="DG23" s="1">
        <v>1</v>
      </c>
      <c r="DH23" s="1">
        <v>1</v>
      </c>
      <c r="DI23" s="1">
        <f>IF(HRXPH,1,0)</f>
        <v>0</v>
      </c>
      <c r="DJ23" s="1">
        <v>1</v>
      </c>
      <c r="DK23" s="1" t="s">
        <v>124</v>
      </c>
      <c r="DL23" s="1" t="s">
        <v>101</v>
      </c>
      <c r="EE23" s="8" t="s">
        <v>125</v>
      </c>
      <c r="EF23" s="9">
        <v>5</v>
      </c>
      <c r="EG23" s="9" t="s">
        <v>129</v>
      </c>
      <c r="EH23" s="9">
        <v>2</v>
      </c>
      <c r="EI23" s="9" t="b">
        <f t="shared" si="54"/>
        <v>0</v>
      </c>
      <c r="EJ23" s="9" t="str">
        <f t="shared" si="55"/>
        <v/>
      </c>
      <c r="EK23" s="9">
        <f t="shared" si="59"/>
        <v>99</v>
      </c>
      <c r="EL23" s="9">
        <f t="shared" si="60"/>
        <v>99</v>
      </c>
      <c r="EM23" s="9">
        <f t="shared" si="56"/>
        <v>99</v>
      </c>
      <c r="EN23" s="9">
        <f t="shared" si="57"/>
        <v>99</v>
      </c>
      <c r="EO23" s="10">
        <f t="shared" si="58"/>
        <v>0</v>
      </c>
    </row>
    <row r="24" spans="1:145" ht="11.25" customHeight="1" x14ac:dyDescent="0.2">
      <c r="A24" s="1">
        <f t="shared" si="18"/>
        <v>21</v>
      </c>
      <c r="B24" s="1" t="s">
        <v>130</v>
      </c>
      <c r="C24" s="1" t="s">
        <v>131</v>
      </c>
      <c r="D24" s="1" t="s">
        <v>132</v>
      </c>
      <c r="E24" s="1">
        <f t="shared" si="40"/>
        <v>0</v>
      </c>
      <c r="K24" s="1">
        <v>4</v>
      </c>
      <c r="L24" s="1">
        <v>10</v>
      </c>
      <c r="N24" s="1" t="b">
        <v>1</v>
      </c>
      <c r="S24" s="1" t="b">
        <v>1</v>
      </c>
      <c r="T24" s="1" t="b">
        <v>1</v>
      </c>
      <c r="V24" s="1">
        <v>1</v>
      </c>
      <c r="W24" s="1">
        <v>0.5</v>
      </c>
      <c r="X24" s="1">
        <v>0.34</v>
      </c>
      <c r="Y24" s="1">
        <v>0.34</v>
      </c>
      <c r="Z24" s="1" t="b">
        <f>FALSE</f>
        <v>0</v>
      </c>
      <c r="AA24" s="1" t="str">
        <f t="shared" si="19"/>
        <v/>
      </c>
      <c r="AB24" s="1" t="str">
        <f t="shared" si="20"/>
        <v/>
      </c>
      <c r="AC24" s="1">
        <f t="shared" si="41"/>
        <v>0</v>
      </c>
      <c r="AD24" s="1" t="str">
        <f t="shared" si="21"/>
        <v/>
      </c>
      <c r="AE24" s="1" t="str">
        <f t="shared" si="22"/>
        <v/>
      </c>
      <c r="AF24" s="1">
        <f t="shared" si="42"/>
        <v>0</v>
      </c>
      <c r="AG24" s="1">
        <f t="shared" si="23"/>
        <v>5</v>
      </c>
      <c r="AH24" s="1" t="str">
        <f t="shared" si="9"/>
        <v/>
      </c>
      <c r="AI24" s="1">
        <v>1</v>
      </c>
      <c r="AJ24" s="1">
        <f>IF(HRXPH,1,0)</f>
        <v>0</v>
      </c>
      <c r="AK24" s="1">
        <v>2</v>
      </c>
      <c r="AL24" s="1">
        <v>2</v>
      </c>
      <c r="AM24" s="1">
        <v>2</v>
      </c>
      <c r="AN24" s="1">
        <f>IF(IsLycanthrope,2,0)</f>
        <v>0</v>
      </c>
      <c r="AO24" s="1">
        <v>1</v>
      </c>
      <c r="AP24" s="1">
        <v>2</v>
      </c>
      <c r="AQ24" s="1">
        <v>2</v>
      </c>
      <c r="AR24" s="1">
        <v>2</v>
      </c>
      <c r="AS24" s="1">
        <v>2</v>
      </c>
      <c r="AT24" s="1">
        <v>2</v>
      </c>
      <c r="AU24" s="1">
        <v>2</v>
      </c>
      <c r="AV24" s="1">
        <v>2</v>
      </c>
      <c r="AW24" s="1">
        <v>1</v>
      </c>
      <c r="AX24" s="1">
        <v>2</v>
      </c>
      <c r="AY24" s="1">
        <v>1</v>
      </c>
      <c r="AZ24" s="1">
        <v>1</v>
      </c>
      <c r="BA24" s="1">
        <v>2</v>
      </c>
      <c r="BB24" s="1">
        <v>1</v>
      </c>
      <c r="BC24" s="1">
        <v>1</v>
      </c>
      <c r="BD24" s="1">
        <v>1</v>
      </c>
      <c r="BE24" s="1">
        <v>1</v>
      </c>
      <c r="BF24" s="1">
        <v>1</v>
      </c>
      <c r="BG24" s="1">
        <f>IF(HRRVL,1,0)</f>
        <v>0</v>
      </c>
      <c r="BH24" s="1">
        <f>IF(HROA,1,0)</f>
        <v>0</v>
      </c>
      <c r="BI24" s="1">
        <v>1</v>
      </c>
      <c r="BJ24" s="1">
        <v>2</v>
      </c>
      <c r="BK24" s="1">
        <v>1</v>
      </c>
      <c r="BL24" s="1">
        <v>1</v>
      </c>
      <c r="BM24" s="1">
        <v>1</v>
      </c>
      <c r="BN24" s="1">
        <v>1</v>
      </c>
      <c r="BO24" s="1">
        <v>1</v>
      </c>
      <c r="BP24" s="1">
        <v>1</v>
      </c>
      <c r="BQ24" s="1">
        <f>IF(HRRVL,1,0)</f>
        <v>0</v>
      </c>
      <c r="BR24" s="1">
        <v>1</v>
      </c>
      <c r="BS24" s="1">
        <v>1</v>
      </c>
      <c r="BT24" s="1">
        <f>IF(HRXPH,1,0)</f>
        <v>0</v>
      </c>
      <c r="BU24" s="1">
        <f>IF(HRRVL,1,0)</f>
        <v>0</v>
      </c>
      <c r="BV24" s="1">
        <v>1</v>
      </c>
      <c r="BW24" s="1">
        <v>1</v>
      </c>
      <c r="BX24" s="1">
        <v>1</v>
      </c>
      <c r="BY24" s="1">
        <v>1</v>
      </c>
      <c r="BZ24" s="1">
        <v>1</v>
      </c>
      <c r="CA24" s="1">
        <v>1</v>
      </c>
      <c r="CB24" s="1">
        <v>1</v>
      </c>
      <c r="CC24" s="1">
        <v>1</v>
      </c>
      <c r="CD24" s="1">
        <v>1</v>
      </c>
      <c r="CE24" s="1">
        <v>1</v>
      </c>
      <c r="CF24" s="1">
        <v>1</v>
      </c>
      <c r="CG24" s="1">
        <f>IF(HRToB,1,0)</f>
        <v>0</v>
      </c>
      <c r="CH24" s="1">
        <v>1</v>
      </c>
      <c r="CI24" s="1">
        <v>1</v>
      </c>
      <c r="CJ24" s="1">
        <v>1</v>
      </c>
      <c r="CK24" s="1">
        <v>1</v>
      </c>
      <c r="CL24" s="1">
        <v>1</v>
      </c>
      <c r="CM24" s="1">
        <v>1</v>
      </c>
      <c r="CN24" s="1">
        <v>1</v>
      </c>
      <c r="CO24" s="1">
        <v>1</v>
      </c>
      <c r="CP24" s="1">
        <v>2</v>
      </c>
      <c r="CQ24" s="1">
        <v>2</v>
      </c>
      <c r="CR24" s="1">
        <v>2</v>
      </c>
      <c r="CS24" s="1">
        <v>2</v>
      </c>
      <c r="CT24" s="1">
        <v>2</v>
      </c>
      <c r="CU24" s="1">
        <v>2</v>
      </c>
      <c r="CV24" s="1">
        <f>IF(HRXPH,1,0)</f>
        <v>0</v>
      </c>
      <c r="CW24" s="1">
        <v>1</v>
      </c>
      <c r="CX24" s="1">
        <v>1</v>
      </c>
      <c r="CY24" s="1">
        <v>2</v>
      </c>
      <c r="CZ24" s="1">
        <f>IF(HRCS,1,0)</f>
        <v>0</v>
      </c>
      <c r="DA24" s="1">
        <v>1</v>
      </c>
      <c r="DB24" s="1">
        <v>1</v>
      </c>
      <c r="DC24" s="1">
        <v>1</v>
      </c>
      <c r="DD24" s="1">
        <v>1</v>
      </c>
      <c r="DE24" s="1">
        <v>1</v>
      </c>
      <c r="DF24" s="1">
        <v>2</v>
      </c>
      <c r="DG24" s="1">
        <v>2</v>
      </c>
      <c r="DH24" s="1">
        <v>1</v>
      </c>
      <c r="DI24" s="1">
        <f>IF(HRXPH,1,0)</f>
        <v>0</v>
      </c>
      <c r="DJ24" s="1">
        <v>2</v>
      </c>
      <c r="DK24" s="1" t="s">
        <v>124</v>
      </c>
      <c r="DL24" s="1" t="s">
        <v>40</v>
      </c>
      <c r="EE24" s="8" t="s">
        <v>133</v>
      </c>
      <c r="EF24" s="9">
        <v>10</v>
      </c>
      <c r="EG24" s="9" t="s">
        <v>134</v>
      </c>
      <c r="EH24" s="9">
        <v>2</v>
      </c>
      <c r="EI24" s="9" t="b">
        <f t="shared" si="54"/>
        <v>0</v>
      </c>
      <c r="EJ24" s="9" t="str">
        <f t="shared" si="55"/>
        <v/>
      </c>
      <c r="EK24" s="9">
        <f t="shared" si="59"/>
        <v>99</v>
      </c>
      <c r="EL24" s="9">
        <f t="shared" si="60"/>
        <v>99</v>
      </c>
      <c r="EM24" s="9">
        <f t="shared" si="56"/>
        <v>99</v>
      </c>
      <c r="EN24" s="9">
        <f t="shared" si="57"/>
        <v>99</v>
      </c>
      <c r="EO24" s="10">
        <f t="shared" si="58"/>
        <v>0</v>
      </c>
    </row>
    <row r="25" spans="1:145" ht="11.25" customHeight="1" x14ac:dyDescent="0.2">
      <c r="A25" s="1">
        <f t="shared" si="18"/>
        <v>22</v>
      </c>
      <c r="B25" s="1" t="s">
        <v>135</v>
      </c>
      <c r="E25" s="1">
        <f t="shared" si="40"/>
        <v>0</v>
      </c>
      <c r="F25" s="1">
        <v>1</v>
      </c>
      <c r="Z25" s="1" t="b">
        <f>FALSE</f>
        <v>0</v>
      </c>
      <c r="AA25" s="1" t="str">
        <f t="shared" si="19"/>
        <v/>
      </c>
      <c r="AB25" s="1" t="str">
        <f t="shared" si="20"/>
        <v/>
      </c>
      <c r="AC25" s="1">
        <f t="shared" si="41"/>
        <v>0</v>
      </c>
      <c r="AD25" s="1" t="str">
        <f t="shared" si="21"/>
        <v/>
      </c>
      <c r="AE25" s="1" t="str">
        <f t="shared" si="22"/>
        <v/>
      </c>
      <c r="AF25" s="1">
        <f t="shared" si="42"/>
        <v>0</v>
      </c>
      <c r="AG25" s="1">
        <f t="shared" si="23"/>
        <v>5</v>
      </c>
      <c r="AH25" s="1" t="str">
        <f t="shared" si="9"/>
        <v/>
      </c>
      <c r="EE25" s="8" t="s">
        <v>136</v>
      </c>
      <c r="EF25" s="9">
        <v>10</v>
      </c>
      <c r="EG25" s="9" t="s">
        <v>129</v>
      </c>
      <c r="EH25" s="9">
        <v>2</v>
      </c>
      <c r="EI25" s="9" t="b">
        <f t="shared" si="54"/>
        <v>0</v>
      </c>
      <c r="EJ25" s="9" t="str">
        <f t="shared" si="55"/>
        <v/>
      </c>
      <c r="EK25" s="9">
        <f t="shared" si="59"/>
        <v>99</v>
      </c>
      <c r="EL25" s="9">
        <f t="shared" si="60"/>
        <v>99</v>
      </c>
      <c r="EM25" s="9">
        <f t="shared" si="56"/>
        <v>99</v>
      </c>
      <c r="EN25" s="9">
        <f t="shared" si="57"/>
        <v>99</v>
      </c>
      <c r="EO25" s="10">
        <f t="shared" si="58"/>
        <v>0</v>
      </c>
    </row>
    <row r="26" spans="1:145" ht="11.25" customHeight="1" x14ac:dyDescent="0.2">
      <c r="A26" s="1">
        <f t="shared" si="18"/>
        <v>23</v>
      </c>
      <c r="B26" s="1" t="s">
        <v>137</v>
      </c>
      <c r="C26" s="1" t="s">
        <v>138</v>
      </c>
      <c r="D26" s="1" t="s">
        <v>139</v>
      </c>
      <c r="E26" s="1">
        <f t="shared" si="40"/>
        <v>0</v>
      </c>
      <c r="K26" s="1">
        <v>2</v>
      </c>
      <c r="L26" s="1">
        <v>8</v>
      </c>
      <c r="N26" s="1" t="b">
        <v>1</v>
      </c>
      <c r="O26" s="1" t="b">
        <v>1</v>
      </c>
      <c r="Q26" s="1" t="b">
        <v>1</v>
      </c>
      <c r="S26" s="1" t="b">
        <v>1</v>
      </c>
      <c r="V26" s="1">
        <v>0.75</v>
      </c>
      <c r="W26" s="1">
        <v>0.5</v>
      </c>
      <c r="X26" s="1">
        <v>0.5</v>
      </c>
      <c r="Y26" s="1">
        <v>0.5</v>
      </c>
      <c r="Z26" s="1" t="b">
        <f>FALSE</f>
        <v>0</v>
      </c>
      <c r="AA26" s="1" t="str">
        <f t="shared" si="19"/>
        <v/>
      </c>
      <c r="AB26" s="1" t="str">
        <f t="shared" si="20"/>
        <v/>
      </c>
      <c r="AC26" s="1">
        <f t="shared" si="41"/>
        <v>0</v>
      </c>
      <c r="AD26" s="1" t="str">
        <f t="shared" si="21"/>
        <v/>
      </c>
      <c r="AE26" s="1" t="str">
        <f t="shared" si="22"/>
        <v/>
      </c>
      <c r="AF26" s="1">
        <f t="shared" si="42"/>
        <v>0</v>
      </c>
      <c r="AG26" s="1">
        <f t="shared" si="23"/>
        <v>5</v>
      </c>
      <c r="AH26" s="1" t="str">
        <f t="shared" si="9"/>
        <v/>
      </c>
      <c r="AI26" s="1">
        <v>1</v>
      </c>
      <c r="AJ26" s="1">
        <f>IF(HRXPH,1,0)</f>
        <v>0</v>
      </c>
      <c r="AK26" s="1">
        <v>1</v>
      </c>
      <c r="AL26" s="1">
        <v>1</v>
      </c>
      <c r="AM26" s="1">
        <v>1</v>
      </c>
      <c r="AN26" s="1">
        <f>IF(IsLycanthrope,2,0)</f>
        <v>0</v>
      </c>
      <c r="AO26" s="1">
        <v>2</v>
      </c>
      <c r="AP26" s="1">
        <v>2</v>
      </c>
      <c r="AQ26" s="1">
        <v>2</v>
      </c>
      <c r="AR26" s="1">
        <v>2</v>
      </c>
      <c r="AS26" s="1">
        <v>2</v>
      </c>
      <c r="AT26" s="1">
        <v>2</v>
      </c>
      <c r="AU26" s="1">
        <v>2</v>
      </c>
      <c r="AV26" s="1">
        <v>2</v>
      </c>
      <c r="AW26" s="1">
        <v>1</v>
      </c>
      <c r="AX26" s="1">
        <v>2</v>
      </c>
      <c r="AY26" s="1">
        <v>1</v>
      </c>
      <c r="AZ26" s="1">
        <v>1</v>
      </c>
      <c r="BA26" s="1">
        <v>1</v>
      </c>
      <c r="BB26" s="1">
        <v>1</v>
      </c>
      <c r="BC26" s="1">
        <v>1</v>
      </c>
      <c r="BD26" s="1">
        <v>1</v>
      </c>
      <c r="BE26" s="1">
        <v>2</v>
      </c>
      <c r="BF26" s="1">
        <v>1</v>
      </c>
      <c r="BG26" s="1">
        <f>IF(HRRVL,1,0)</f>
        <v>0</v>
      </c>
      <c r="BH26" s="1">
        <f>IF(HROA,1,0)</f>
        <v>0</v>
      </c>
      <c r="BI26" s="1">
        <v>1</v>
      </c>
      <c r="BJ26" s="1">
        <v>2</v>
      </c>
      <c r="BK26" s="1">
        <v>2</v>
      </c>
      <c r="BL26" s="1">
        <v>1</v>
      </c>
      <c r="BM26" s="1">
        <v>1</v>
      </c>
      <c r="BN26" s="1">
        <v>1</v>
      </c>
      <c r="BO26" s="1">
        <v>1</v>
      </c>
      <c r="BP26" s="1">
        <v>1</v>
      </c>
      <c r="BQ26" s="1">
        <f>IF(HRRVL,1,0)</f>
        <v>0</v>
      </c>
      <c r="BR26" s="1">
        <v>1</v>
      </c>
      <c r="BS26" s="1">
        <v>1</v>
      </c>
      <c r="BT26" s="1">
        <f>IF(HRXPH,1,0)</f>
        <v>0</v>
      </c>
      <c r="BU26" s="1">
        <f>IF(HRRVL,1,0)</f>
        <v>0</v>
      </c>
      <c r="BV26" s="1">
        <v>1</v>
      </c>
      <c r="BW26" s="1">
        <v>1</v>
      </c>
      <c r="BX26" s="1">
        <v>1</v>
      </c>
      <c r="BY26" s="1">
        <v>1</v>
      </c>
      <c r="BZ26" s="1">
        <v>1</v>
      </c>
      <c r="CA26" s="1">
        <v>1</v>
      </c>
      <c r="CB26" s="1">
        <v>1</v>
      </c>
      <c r="CC26" s="1">
        <v>1</v>
      </c>
      <c r="CD26" s="1">
        <v>1</v>
      </c>
      <c r="CE26" s="1">
        <v>1</v>
      </c>
      <c r="CF26" s="1">
        <v>1</v>
      </c>
      <c r="CG26" s="1">
        <f>IF(HRToB,1,0)</f>
        <v>0</v>
      </c>
      <c r="CH26" s="1">
        <v>1</v>
      </c>
      <c r="CI26" s="1">
        <v>1</v>
      </c>
      <c r="CJ26" s="1">
        <v>1</v>
      </c>
      <c r="CK26" s="1">
        <v>1</v>
      </c>
      <c r="CL26" s="1">
        <v>1</v>
      </c>
      <c r="CM26" s="1">
        <v>1</v>
      </c>
      <c r="CN26" s="1">
        <v>1</v>
      </c>
      <c r="CO26" s="1">
        <v>1</v>
      </c>
      <c r="CP26" s="1">
        <v>2</v>
      </c>
      <c r="CQ26" s="1">
        <v>2</v>
      </c>
      <c r="CR26" s="1">
        <v>2</v>
      </c>
      <c r="CS26" s="1">
        <v>2</v>
      </c>
      <c r="CT26" s="1">
        <v>2</v>
      </c>
      <c r="CU26" s="1">
        <v>2</v>
      </c>
      <c r="CV26" s="1">
        <f>IF(HRXPH,1,0)</f>
        <v>0</v>
      </c>
      <c r="CW26" s="1">
        <v>1</v>
      </c>
      <c r="CX26" s="1">
        <v>1</v>
      </c>
      <c r="CY26" s="1">
        <v>2</v>
      </c>
      <c r="CZ26" s="1">
        <f>IF(HRCS,1,0)</f>
        <v>0</v>
      </c>
      <c r="DA26" s="1">
        <v>1</v>
      </c>
      <c r="DB26" s="1">
        <v>1</v>
      </c>
      <c r="DC26" s="1">
        <v>2</v>
      </c>
      <c r="DD26" s="1">
        <v>1</v>
      </c>
      <c r="DE26" s="1">
        <v>1</v>
      </c>
      <c r="DF26" s="1">
        <v>1</v>
      </c>
      <c r="DG26" s="1">
        <v>1</v>
      </c>
      <c r="DH26" s="1">
        <v>1</v>
      </c>
      <c r="DI26" s="1">
        <f>IF(HRXPH,1,0)</f>
        <v>0</v>
      </c>
      <c r="DJ26" s="1">
        <v>1</v>
      </c>
      <c r="DK26" s="1" t="s">
        <v>140</v>
      </c>
      <c r="DL26" s="1" t="s">
        <v>40</v>
      </c>
      <c r="EE26" s="8" t="s">
        <v>141</v>
      </c>
      <c r="EF26" s="9">
        <v>10</v>
      </c>
      <c r="EG26" s="9" t="s">
        <v>118</v>
      </c>
      <c r="EH26" s="9">
        <v>2</v>
      </c>
      <c r="EI26" s="9" t="b">
        <f t="shared" si="54"/>
        <v>0</v>
      </c>
      <c r="EJ26" s="9" t="str">
        <f t="shared" si="55"/>
        <v/>
      </c>
      <c r="EK26" s="9">
        <f t="shared" si="59"/>
        <v>99</v>
      </c>
      <c r="EL26" s="9">
        <f t="shared" si="60"/>
        <v>99</v>
      </c>
      <c r="EM26" s="9">
        <f t="shared" si="56"/>
        <v>99</v>
      </c>
      <c r="EN26" s="9">
        <f t="shared" si="57"/>
        <v>99</v>
      </c>
      <c r="EO26" s="10">
        <f t="shared" si="58"/>
        <v>0</v>
      </c>
    </row>
    <row r="27" spans="1:145" ht="11.25" customHeight="1" x14ac:dyDescent="0.2">
      <c r="A27" s="1">
        <f t="shared" si="18"/>
        <v>24</v>
      </c>
      <c r="B27" s="1" t="s">
        <v>142</v>
      </c>
      <c r="C27" s="1" t="s">
        <v>143</v>
      </c>
      <c r="D27" s="1" t="s">
        <v>144</v>
      </c>
      <c r="E27" s="1">
        <f t="shared" si="40"/>
        <v>0</v>
      </c>
      <c r="K27" s="1">
        <v>4</v>
      </c>
      <c r="L27" s="1">
        <v>6</v>
      </c>
      <c r="S27" s="1" t="b">
        <v>1</v>
      </c>
      <c r="V27" s="1">
        <v>0.5</v>
      </c>
      <c r="W27" s="1">
        <v>0.34</v>
      </c>
      <c r="X27" s="1">
        <v>0.34</v>
      </c>
      <c r="Y27" s="1">
        <v>0.5</v>
      </c>
      <c r="Z27" s="1" t="b">
        <f>FALSE</f>
        <v>0</v>
      </c>
      <c r="AA27" s="1" t="str">
        <f t="shared" si="19"/>
        <v/>
      </c>
      <c r="AB27" s="1" t="str">
        <f t="shared" si="20"/>
        <v/>
      </c>
      <c r="AC27" s="1">
        <f t="shared" si="41"/>
        <v>0</v>
      </c>
      <c r="AD27" s="1" t="str">
        <f t="shared" si="21"/>
        <v/>
      </c>
      <c r="AE27" s="1" t="str">
        <f t="shared" si="22"/>
        <v/>
      </c>
      <c r="AF27" s="1">
        <f t="shared" si="42"/>
        <v>0</v>
      </c>
      <c r="AG27" s="1">
        <f t="shared" si="23"/>
        <v>5</v>
      </c>
      <c r="AH27" s="1" t="str">
        <f t="shared" si="9"/>
        <v/>
      </c>
      <c r="AI27" s="1">
        <v>1</v>
      </c>
      <c r="AJ27" s="1">
        <f>IF(HRXPH,1,0)</f>
        <v>0</v>
      </c>
      <c r="AK27" s="1">
        <v>1</v>
      </c>
      <c r="AL27" s="1">
        <v>1</v>
      </c>
      <c r="AM27" s="1">
        <v>1</v>
      </c>
      <c r="AN27" s="1">
        <f>IF(IsLycanthrope,2,0)</f>
        <v>0</v>
      </c>
      <c r="AO27" s="1">
        <v>2</v>
      </c>
      <c r="AP27" s="1">
        <v>2</v>
      </c>
      <c r="AQ27" s="1">
        <v>2</v>
      </c>
      <c r="AR27" s="1">
        <v>2</v>
      </c>
      <c r="AS27" s="1">
        <v>2</v>
      </c>
      <c r="AT27" s="1">
        <v>2</v>
      </c>
      <c r="AU27" s="1">
        <v>2</v>
      </c>
      <c r="AV27" s="1">
        <v>2</v>
      </c>
      <c r="AW27" s="1">
        <v>1</v>
      </c>
      <c r="AX27" s="1">
        <v>2</v>
      </c>
      <c r="AY27" s="1">
        <v>1</v>
      </c>
      <c r="AZ27" s="1">
        <v>1</v>
      </c>
      <c r="BA27" s="1">
        <v>1</v>
      </c>
      <c r="BB27" s="1">
        <v>1</v>
      </c>
      <c r="BC27" s="1">
        <v>1</v>
      </c>
      <c r="BD27" s="1">
        <v>1</v>
      </c>
      <c r="BE27" s="1">
        <v>2</v>
      </c>
      <c r="BF27" s="1">
        <v>1</v>
      </c>
      <c r="BG27" s="1">
        <f>IF(HRRVL,1,0)</f>
        <v>0</v>
      </c>
      <c r="BH27" s="1">
        <f>IF(HROA,1,0)</f>
        <v>0</v>
      </c>
      <c r="BI27" s="1">
        <v>1</v>
      </c>
      <c r="BJ27" s="1">
        <v>1</v>
      </c>
      <c r="BK27" s="1">
        <v>2</v>
      </c>
      <c r="BL27" s="1">
        <v>2</v>
      </c>
      <c r="BM27" s="1">
        <v>2</v>
      </c>
      <c r="BN27" s="1">
        <v>2</v>
      </c>
      <c r="BO27" s="1">
        <v>2</v>
      </c>
      <c r="BP27" s="1">
        <f>1+NOT(HRLivingGreyhawk)</f>
        <v>2</v>
      </c>
      <c r="BQ27" s="1">
        <f>IF(HRRVL,2,0)</f>
        <v>0</v>
      </c>
      <c r="BR27" s="1">
        <v>2</v>
      </c>
      <c r="BS27" s="1">
        <v>2</v>
      </c>
      <c r="BT27" s="1">
        <f>IF(HRXPH,2,0)</f>
        <v>0</v>
      </c>
      <c r="BU27" s="1">
        <f>IF(HRRVL,2,0)</f>
        <v>0</v>
      </c>
      <c r="BV27" s="1">
        <v>2</v>
      </c>
      <c r="BW27" s="1">
        <v>2</v>
      </c>
      <c r="BX27" s="1">
        <v>2</v>
      </c>
      <c r="BY27" s="1">
        <v>2</v>
      </c>
      <c r="BZ27" s="1">
        <v>2</v>
      </c>
      <c r="CA27" s="1">
        <v>2</v>
      </c>
      <c r="CB27" s="1">
        <v>2</v>
      </c>
      <c r="CC27" s="1">
        <v>2</v>
      </c>
      <c r="CD27" s="1">
        <v>2</v>
      </c>
      <c r="CE27" s="1">
        <v>2</v>
      </c>
      <c r="CF27" s="1">
        <v>1</v>
      </c>
      <c r="CG27" s="1">
        <f>IF(HRToB,1,0)</f>
        <v>0</v>
      </c>
      <c r="CH27" s="1">
        <v>1</v>
      </c>
      <c r="CI27" s="1">
        <v>1</v>
      </c>
      <c r="CJ27" s="1">
        <v>1</v>
      </c>
      <c r="CK27" s="1">
        <v>1</v>
      </c>
      <c r="CL27" s="1">
        <v>1</v>
      </c>
      <c r="CM27" s="1">
        <v>1</v>
      </c>
      <c r="CN27" s="1">
        <v>1</v>
      </c>
      <c r="CO27" s="1">
        <v>1</v>
      </c>
      <c r="CP27" s="1">
        <v>2</v>
      </c>
      <c r="CQ27" s="1">
        <v>2</v>
      </c>
      <c r="CR27" s="1">
        <v>2</v>
      </c>
      <c r="CS27" s="1">
        <v>2</v>
      </c>
      <c r="CT27" s="1">
        <v>2</v>
      </c>
      <c r="CU27" s="1">
        <v>2</v>
      </c>
      <c r="CV27" s="1">
        <f>IF(HRXPH,1,0)</f>
        <v>0</v>
      </c>
      <c r="CW27" s="1">
        <v>1</v>
      </c>
      <c r="CX27" s="1">
        <v>1</v>
      </c>
      <c r="CY27" s="1">
        <v>1</v>
      </c>
      <c r="CZ27" s="1">
        <f>IF(HRCS,1,0)</f>
        <v>0</v>
      </c>
      <c r="DA27" s="1">
        <v>1</v>
      </c>
      <c r="DB27" s="1">
        <v>1</v>
      </c>
      <c r="DC27" s="1">
        <v>2</v>
      </c>
      <c r="DD27" s="1">
        <v>1</v>
      </c>
      <c r="DE27" s="1">
        <v>1</v>
      </c>
      <c r="DF27" s="1">
        <v>1</v>
      </c>
      <c r="DG27" s="1">
        <v>1</v>
      </c>
      <c r="DH27" s="1">
        <v>1</v>
      </c>
      <c r="DI27" s="1">
        <f>IF(HRXPH,1,0)</f>
        <v>0</v>
      </c>
      <c r="DJ27" s="1">
        <v>1</v>
      </c>
      <c r="DK27" s="1" t="s">
        <v>140</v>
      </c>
      <c r="DL27" s="1" t="s">
        <v>101</v>
      </c>
      <c r="EE27" s="8" t="s">
        <v>145</v>
      </c>
      <c r="EF27" s="9">
        <v>10</v>
      </c>
      <c r="EG27" s="9" t="s">
        <v>126</v>
      </c>
      <c r="EH27" s="9">
        <v>2</v>
      </c>
      <c r="EI27" s="9" t="b">
        <f t="shared" si="54"/>
        <v>0</v>
      </c>
      <c r="EJ27" s="9" t="str">
        <f t="shared" si="55"/>
        <v/>
      </c>
      <c r="EK27" s="9">
        <f t="shared" si="59"/>
        <v>99</v>
      </c>
      <c r="EL27" s="9">
        <f t="shared" si="60"/>
        <v>99</v>
      </c>
      <c r="EM27" s="9">
        <f t="shared" si="56"/>
        <v>99</v>
      </c>
      <c r="EN27" s="9">
        <f t="shared" si="57"/>
        <v>99</v>
      </c>
      <c r="EO27" s="10">
        <f t="shared" si="58"/>
        <v>0</v>
      </c>
    </row>
    <row r="28" spans="1:145" ht="11.25" customHeight="1" x14ac:dyDescent="0.2">
      <c r="A28" s="1">
        <f t="shared" si="18"/>
        <v>25</v>
      </c>
      <c r="B28" s="1" t="s">
        <v>146</v>
      </c>
      <c r="C28" s="1" t="s">
        <v>147</v>
      </c>
      <c r="D28" s="1" t="s">
        <v>148</v>
      </c>
      <c r="E28" s="1">
        <f t="shared" si="40"/>
        <v>0</v>
      </c>
      <c r="K28" s="1">
        <v>4</v>
      </c>
      <c r="L28" s="1">
        <v>8</v>
      </c>
      <c r="N28" s="1" t="b">
        <v>1</v>
      </c>
      <c r="Q28" s="1" t="b">
        <v>1</v>
      </c>
      <c r="U28" s="1" t="s">
        <v>149</v>
      </c>
      <c r="V28" s="1">
        <v>0.75</v>
      </c>
      <c r="W28" s="1">
        <v>0.5</v>
      </c>
      <c r="X28" s="1">
        <v>0.34</v>
      </c>
      <c r="Y28" s="1">
        <v>0.5</v>
      </c>
      <c r="Z28" s="1" t="b">
        <f>FALSE</f>
        <v>0</v>
      </c>
      <c r="AA28" s="1" t="str">
        <f t="shared" si="19"/>
        <v/>
      </c>
      <c r="AB28" s="1" t="str">
        <f t="shared" si="20"/>
        <v/>
      </c>
      <c r="AC28" s="1">
        <f t="shared" si="41"/>
        <v>0</v>
      </c>
      <c r="AD28" s="1" t="str">
        <f t="shared" si="21"/>
        <v/>
      </c>
      <c r="AE28" s="1" t="str">
        <f t="shared" si="22"/>
        <v/>
      </c>
      <c r="AF28" s="1">
        <f t="shared" si="42"/>
        <v>0</v>
      </c>
      <c r="AG28" s="1">
        <f t="shared" si="23"/>
        <v>5</v>
      </c>
      <c r="AH28" s="1" t="str">
        <f t="shared" si="9"/>
        <v/>
      </c>
      <c r="AI28" s="1">
        <v>1</v>
      </c>
      <c r="AJ28" s="1">
        <f>IF(HRXPH,1,0)</f>
        <v>0</v>
      </c>
      <c r="AK28" s="1">
        <v>1</v>
      </c>
      <c r="AL28" s="1">
        <v>1</v>
      </c>
      <c r="AM28" s="1">
        <v>1</v>
      </c>
      <c r="AN28" s="1">
        <f>IF(IsLycanthrope,2,0)</f>
        <v>0</v>
      </c>
      <c r="AO28" s="1">
        <v>2</v>
      </c>
      <c r="AP28" s="1">
        <v>2</v>
      </c>
      <c r="AQ28" s="1">
        <v>2</v>
      </c>
      <c r="AR28" s="1">
        <v>2</v>
      </c>
      <c r="AS28" s="1">
        <v>2</v>
      </c>
      <c r="AT28" s="1">
        <v>2</v>
      </c>
      <c r="AU28" s="1">
        <v>2</v>
      </c>
      <c r="AV28" s="1">
        <v>2</v>
      </c>
      <c r="AW28" s="1">
        <v>1</v>
      </c>
      <c r="AX28" s="1">
        <v>2</v>
      </c>
      <c r="AY28" s="1">
        <v>1</v>
      </c>
      <c r="AZ28" s="1">
        <v>1</v>
      </c>
      <c r="BA28" s="1">
        <v>1</v>
      </c>
      <c r="BB28" s="1">
        <v>1</v>
      </c>
      <c r="BC28" s="1">
        <v>1</v>
      </c>
      <c r="BD28" s="1">
        <v>2</v>
      </c>
      <c r="BE28" s="1">
        <v>2</v>
      </c>
      <c r="BF28" s="1">
        <v>1</v>
      </c>
      <c r="BG28" s="1">
        <f>IF(HRRVL,1,0)</f>
        <v>0</v>
      </c>
      <c r="BH28" s="1">
        <f>IF(HROA,1,0)</f>
        <v>0</v>
      </c>
      <c r="BI28" s="1">
        <v>1</v>
      </c>
      <c r="BJ28" s="1">
        <v>1</v>
      </c>
      <c r="BK28" s="1">
        <v>1</v>
      </c>
      <c r="BL28" s="1">
        <v>1</v>
      </c>
      <c r="BM28" s="1">
        <v>1</v>
      </c>
      <c r="BN28" s="1">
        <v>2</v>
      </c>
      <c r="BO28" s="1">
        <v>2</v>
      </c>
      <c r="BP28" s="1">
        <f>1+NOT(HRLivingGreyhawk)</f>
        <v>2</v>
      </c>
      <c r="BQ28" s="1">
        <f>IF(HRRVL,2,0)</f>
        <v>0</v>
      </c>
      <c r="BR28" s="1">
        <v>2</v>
      </c>
      <c r="BS28" s="1">
        <v>1</v>
      </c>
      <c r="BT28" s="1">
        <f>IF(HRXPH,1,0)</f>
        <v>0</v>
      </c>
      <c r="BU28" s="1">
        <f>IF(HRRVL,1,0)</f>
        <v>0</v>
      </c>
      <c r="BV28" s="1">
        <v>1</v>
      </c>
      <c r="BW28" s="1">
        <v>1</v>
      </c>
      <c r="BX28" s="1">
        <v>1</v>
      </c>
      <c r="BY28" s="1">
        <v>1</v>
      </c>
      <c r="BZ28" s="1">
        <v>1</v>
      </c>
      <c r="CA28" s="1">
        <v>1</v>
      </c>
      <c r="CB28" s="1">
        <v>1</v>
      </c>
      <c r="CC28" s="1">
        <v>1</v>
      </c>
      <c r="CD28" s="1">
        <v>1</v>
      </c>
      <c r="CE28" s="1">
        <v>1</v>
      </c>
      <c r="CF28" s="1">
        <v>2</v>
      </c>
      <c r="CG28" s="1">
        <f>IF(HRToB,1,0)</f>
        <v>0</v>
      </c>
      <c r="CH28" s="1">
        <v>1</v>
      </c>
      <c r="CI28" s="1">
        <v>1</v>
      </c>
      <c r="CJ28" s="1">
        <v>1</v>
      </c>
      <c r="CK28" s="1">
        <v>1</v>
      </c>
      <c r="CL28" s="1">
        <v>1</v>
      </c>
      <c r="CM28" s="1">
        <v>1</v>
      </c>
      <c r="CN28" s="1">
        <v>1</v>
      </c>
      <c r="CO28" s="1">
        <v>1</v>
      </c>
      <c r="CP28" s="1">
        <v>2</v>
      </c>
      <c r="CQ28" s="1">
        <v>2</v>
      </c>
      <c r="CR28" s="1">
        <v>2</v>
      </c>
      <c r="CS28" s="1">
        <v>2</v>
      </c>
      <c r="CT28" s="1">
        <v>2</v>
      </c>
      <c r="CU28" s="1">
        <v>2</v>
      </c>
      <c r="CV28" s="1">
        <f>IF(HRXPH,1,0)</f>
        <v>0</v>
      </c>
      <c r="CW28" s="1">
        <v>2</v>
      </c>
      <c r="CX28" s="1">
        <v>1</v>
      </c>
      <c r="CY28" s="1">
        <v>1</v>
      </c>
      <c r="CZ28" s="1">
        <f>IF(HRCS,1,0)</f>
        <v>0</v>
      </c>
      <c r="DA28" s="1">
        <v>1</v>
      </c>
      <c r="DB28" s="1">
        <v>1</v>
      </c>
      <c r="DC28" s="1">
        <v>2</v>
      </c>
      <c r="DD28" s="1">
        <v>2</v>
      </c>
      <c r="DE28" s="1">
        <v>2</v>
      </c>
      <c r="DF28" s="1">
        <v>2</v>
      </c>
      <c r="DG28" s="1">
        <v>1</v>
      </c>
      <c r="DH28" s="1">
        <v>1</v>
      </c>
      <c r="DI28" s="1">
        <f>IF(HRXPH,1,0)</f>
        <v>0</v>
      </c>
      <c r="DJ28" s="1">
        <v>1</v>
      </c>
      <c r="DK28" s="1" t="s">
        <v>140</v>
      </c>
      <c r="DL28" s="1" t="s">
        <v>150</v>
      </c>
      <c r="EE28" s="8" t="s">
        <v>151</v>
      </c>
      <c r="EF28" s="9">
        <v>3</v>
      </c>
      <c r="EG28" s="9" t="s">
        <v>126</v>
      </c>
      <c r="EH28" s="9">
        <v>1</v>
      </c>
      <c r="EI28" s="9" t="b">
        <f t="shared" si="54"/>
        <v>0</v>
      </c>
      <c r="EJ28" s="9" t="str">
        <f t="shared" si="55"/>
        <v/>
      </c>
      <c r="EK28" s="9">
        <f t="shared" si="59"/>
        <v>99</v>
      </c>
      <c r="EL28" s="9">
        <f t="shared" si="60"/>
        <v>99</v>
      </c>
      <c r="EM28" s="9">
        <f t="shared" si="56"/>
        <v>99</v>
      </c>
      <c r="EN28" s="9">
        <f t="shared" si="57"/>
        <v>99</v>
      </c>
      <c r="EO28" s="10">
        <f t="shared" si="58"/>
        <v>0</v>
      </c>
    </row>
    <row r="29" spans="1:145" ht="11.25" customHeight="1" x14ac:dyDescent="0.2">
      <c r="A29" s="1">
        <f t="shared" si="18"/>
        <v>26</v>
      </c>
      <c r="B29" s="1" t="s">
        <v>152</v>
      </c>
      <c r="E29" s="1">
        <f t="shared" si="40"/>
        <v>0</v>
      </c>
      <c r="F29" s="1">
        <v>1</v>
      </c>
      <c r="Z29" s="1" t="b">
        <f>FALSE</f>
        <v>0</v>
      </c>
      <c r="AA29" s="1" t="str">
        <f t="shared" si="19"/>
        <v/>
      </c>
      <c r="AB29" s="1" t="str">
        <f t="shared" si="20"/>
        <v/>
      </c>
      <c r="AC29" s="1">
        <f t="shared" si="41"/>
        <v>0</v>
      </c>
      <c r="AD29" s="1" t="str">
        <f t="shared" si="21"/>
        <v/>
      </c>
      <c r="AE29" s="1" t="str">
        <f t="shared" si="22"/>
        <v/>
      </c>
      <c r="AF29" s="1">
        <f t="shared" si="42"/>
        <v>0</v>
      </c>
      <c r="AG29" s="1">
        <f t="shared" si="23"/>
        <v>5</v>
      </c>
      <c r="AH29" s="1" t="str">
        <f t="shared" si="9"/>
        <v/>
      </c>
      <c r="EE29" s="8" t="s">
        <v>151</v>
      </c>
      <c r="EF29" s="9">
        <v>3</v>
      </c>
      <c r="EG29" s="9" t="s">
        <v>153</v>
      </c>
      <c r="EH29" s="9">
        <v>1</v>
      </c>
      <c r="EI29" s="9" t="b">
        <f t="shared" si="54"/>
        <v>0</v>
      </c>
      <c r="EJ29" s="9" t="str">
        <f t="shared" si="55"/>
        <v/>
      </c>
      <c r="EK29" s="9">
        <f t="shared" si="59"/>
        <v>99</v>
      </c>
      <c r="EL29" s="9">
        <f t="shared" si="60"/>
        <v>99</v>
      </c>
      <c r="EM29" s="9">
        <f t="shared" si="56"/>
        <v>99</v>
      </c>
      <c r="EN29" s="9">
        <f t="shared" si="57"/>
        <v>99</v>
      </c>
      <c r="EO29" s="10">
        <f t="shared" si="58"/>
        <v>0</v>
      </c>
    </row>
    <row r="30" spans="1:145" ht="11.25" customHeight="1" x14ac:dyDescent="0.2">
      <c r="A30" s="1">
        <f t="shared" si="18"/>
        <v>27</v>
      </c>
      <c r="B30" s="1" t="s">
        <v>154</v>
      </c>
      <c r="C30" s="1" t="s">
        <v>155</v>
      </c>
      <c r="D30" s="1" t="s">
        <v>156</v>
      </c>
      <c r="E30" s="1">
        <f t="shared" si="40"/>
        <v>0</v>
      </c>
      <c r="K30" s="1">
        <v>2</v>
      </c>
      <c r="L30" s="1">
        <v>6</v>
      </c>
      <c r="N30" s="1" t="b">
        <v>1</v>
      </c>
      <c r="S30" s="1" t="b">
        <v>1</v>
      </c>
      <c r="V30" s="1">
        <v>0.75</v>
      </c>
      <c r="W30" s="1">
        <v>0.34</v>
      </c>
      <c r="X30" s="1">
        <v>0.34</v>
      </c>
      <c r="Y30" s="1">
        <v>0.5</v>
      </c>
      <c r="Z30" s="1" t="b">
        <f>FALSE</f>
        <v>0</v>
      </c>
      <c r="AA30" s="1" t="str">
        <f t="shared" si="19"/>
        <v/>
      </c>
      <c r="AB30" s="1" t="str">
        <f t="shared" si="20"/>
        <v/>
      </c>
      <c r="AC30" s="1">
        <f t="shared" si="41"/>
        <v>0</v>
      </c>
      <c r="AD30" s="1" t="str">
        <f t="shared" si="21"/>
        <v/>
      </c>
      <c r="AE30" s="1" t="str">
        <f t="shared" si="22"/>
        <v/>
      </c>
      <c r="AF30" s="1">
        <f t="shared" si="42"/>
        <v>0</v>
      </c>
      <c r="AG30" s="1">
        <f t="shared" si="23"/>
        <v>5</v>
      </c>
      <c r="AH30" s="1" t="str">
        <f t="shared" si="9"/>
        <v/>
      </c>
      <c r="AI30" s="1">
        <v>1</v>
      </c>
      <c r="AJ30" s="1">
        <f>IF(HRXPH,1,0)</f>
        <v>0</v>
      </c>
      <c r="AK30" s="1">
        <v>1</v>
      </c>
      <c r="AL30" s="1">
        <v>2</v>
      </c>
      <c r="AM30" s="1">
        <v>1</v>
      </c>
      <c r="AN30" s="1">
        <f>IF(IsLycanthrope,2,0)</f>
        <v>0</v>
      </c>
      <c r="AO30" s="1">
        <v>2</v>
      </c>
      <c r="AP30" s="1">
        <v>2</v>
      </c>
      <c r="AQ30" s="1">
        <v>2</v>
      </c>
      <c r="AR30" s="1">
        <v>2</v>
      </c>
      <c r="AS30" s="1">
        <v>2</v>
      </c>
      <c r="AT30" s="1">
        <v>2</v>
      </c>
      <c r="AU30" s="1">
        <v>2</v>
      </c>
      <c r="AV30" s="1">
        <v>2</v>
      </c>
      <c r="AW30" s="1">
        <v>1</v>
      </c>
      <c r="AX30" s="1">
        <v>1</v>
      </c>
      <c r="AY30" s="1">
        <v>1</v>
      </c>
      <c r="AZ30" s="1">
        <v>2</v>
      </c>
      <c r="BA30" s="1">
        <v>1</v>
      </c>
      <c r="BB30" s="1">
        <v>1</v>
      </c>
      <c r="BC30" s="1">
        <v>1</v>
      </c>
      <c r="BD30" s="1">
        <v>1</v>
      </c>
      <c r="BE30" s="1">
        <v>1</v>
      </c>
      <c r="BF30" s="1">
        <v>1</v>
      </c>
      <c r="BG30" s="1">
        <f>IF(HRRVL,1,0)</f>
        <v>0</v>
      </c>
      <c r="BH30" s="1">
        <f>IF(HROA,1,0)</f>
        <v>0</v>
      </c>
      <c r="BI30" s="1">
        <v>2</v>
      </c>
      <c r="BJ30" s="1">
        <v>2</v>
      </c>
      <c r="BK30" s="1">
        <v>2</v>
      </c>
      <c r="BL30" s="1">
        <v>1</v>
      </c>
      <c r="BM30" s="1">
        <v>1</v>
      </c>
      <c r="BN30" s="1">
        <v>1</v>
      </c>
      <c r="BO30" s="1">
        <v>1</v>
      </c>
      <c r="BP30" s="1">
        <v>1</v>
      </c>
      <c r="BQ30" s="1">
        <f>IF(HRRVL,1,0)</f>
        <v>0</v>
      </c>
      <c r="BR30" s="1">
        <v>1</v>
      </c>
      <c r="BS30" s="1">
        <v>1</v>
      </c>
      <c r="BT30" s="1">
        <f>IF(HRXPH,1,0)</f>
        <v>0</v>
      </c>
      <c r="BU30" s="1">
        <f>IF(HRRVL,2,0)</f>
        <v>0</v>
      </c>
      <c r="BV30" s="1">
        <v>2</v>
      </c>
      <c r="BW30" s="1">
        <v>2</v>
      </c>
      <c r="BX30" s="1">
        <v>1</v>
      </c>
      <c r="BY30" s="1">
        <v>1</v>
      </c>
      <c r="BZ30" s="1">
        <v>1</v>
      </c>
      <c r="CA30" s="1">
        <v>1</v>
      </c>
      <c r="CB30" s="1">
        <v>1</v>
      </c>
      <c r="CC30" s="1">
        <v>1</v>
      </c>
      <c r="CD30" s="1">
        <v>1</v>
      </c>
      <c r="CE30" s="1">
        <v>1</v>
      </c>
      <c r="CF30" s="1">
        <v>1</v>
      </c>
      <c r="CG30" s="1">
        <f>IF(HRToB,1,0)</f>
        <v>0</v>
      </c>
      <c r="CH30" s="1">
        <v>1</v>
      </c>
      <c r="CI30" s="1">
        <v>1</v>
      </c>
      <c r="CJ30" s="1">
        <v>1</v>
      </c>
      <c r="CK30" s="1">
        <v>1</v>
      </c>
      <c r="CL30" s="1">
        <v>1</v>
      </c>
      <c r="CM30" s="1">
        <v>1</v>
      </c>
      <c r="CN30" s="1">
        <v>1</v>
      </c>
      <c r="CO30" s="1">
        <v>1</v>
      </c>
      <c r="CP30" s="1">
        <v>2</v>
      </c>
      <c r="CQ30" s="1">
        <v>2</v>
      </c>
      <c r="CR30" s="1">
        <v>2</v>
      </c>
      <c r="CS30" s="1">
        <v>2</v>
      </c>
      <c r="CT30" s="1">
        <v>2</v>
      </c>
      <c r="CU30" s="1">
        <v>2</v>
      </c>
      <c r="CV30" s="1">
        <f>IF(HRXPH,1,0)</f>
        <v>0</v>
      </c>
      <c r="CW30" s="1">
        <v>1</v>
      </c>
      <c r="CX30" s="1">
        <v>1</v>
      </c>
      <c r="CY30" s="1">
        <v>2</v>
      </c>
      <c r="CZ30" s="1">
        <f>IF(HRCS,1,0)</f>
        <v>0</v>
      </c>
      <c r="DA30" s="1">
        <v>1</v>
      </c>
      <c r="DB30" s="1">
        <v>1</v>
      </c>
      <c r="DC30" s="1">
        <v>2</v>
      </c>
      <c r="DD30" s="1">
        <v>1</v>
      </c>
      <c r="DE30" s="1">
        <v>1</v>
      </c>
      <c r="DF30" s="1">
        <v>1</v>
      </c>
      <c r="DG30" s="1">
        <v>1</v>
      </c>
      <c r="DH30" s="1">
        <v>2</v>
      </c>
      <c r="DI30" s="1">
        <f>IF(HRXPH,1,0)</f>
        <v>0</v>
      </c>
      <c r="DJ30" s="1">
        <v>1</v>
      </c>
      <c r="DK30" s="1" t="s">
        <v>157</v>
      </c>
      <c r="DL30" s="1" t="s">
        <v>150</v>
      </c>
      <c r="EE30" s="8" t="s">
        <v>151</v>
      </c>
      <c r="EF30" s="9">
        <v>3</v>
      </c>
      <c r="EG30" s="9" t="s">
        <v>134</v>
      </c>
      <c r="EH30" s="9">
        <v>1</v>
      </c>
      <c r="EI30" s="9" t="b">
        <f t="shared" si="54"/>
        <v>0</v>
      </c>
      <c r="EJ30" s="9" t="str">
        <f t="shared" si="55"/>
        <v/>
      </c>
      <c r="EK30" s="9">
        <f t="shared" si="59"/>
        <v>99</v>
      </c>
      <c r="EL30" s="9">
        <f t="shared" si="60"/>
        <v>99</v>
      </c>
      <c r="EM30" s="9">
        <f t="shared" si="56"/>
        <v>99</v>
      </c>
      <c r="EN30" s="9">
        <f t="shared" si="57"/>
        <v>99</v>
      </c>
      <c r="EO30" s="10">
        <f t="shared" si="58"/>
        <v>0</v>
      </c>
    </row>
    <row r="31" spans="1:145" ht="11.25" customHeight="1" x14ac:dyDescent="0.2">
      <c r="A31" s="1">
        <f t="shared" si="18"/>
        <v>28</v>
      </c>
      <c r="B31" s="1" t="s">
        <v>158</v>
      </c>
      <c r="C31" s="1" t="s">
        <v>159</v>
      </c>
      <c r="D31" s="1" t="s">
        <v>160</v>
      </c>
      <c r="E31" s="1">
        <f t="shared" si="40"/>
        <v>0</v>
      </c>
      <c r="K31" s="1">
        <v>2</v>
      </c>
      <c r="L31" s="1">
        <v>6</v>
      </c>
      <c r="N31" s="1" t="b">
        <v>1</v>
      </c>
      <c r="O31" s="1" t="b">
        <v>1</v>
      </c>
      <c r="Q31" s="1" t="b">
        <v>1</v>
      </c>
      <c r="S31" s="1" t="b">
        <v>1</v>
      </c>
      <c r="V31" s="1">
        <v>0.5</v>
      </c>
      <c r="W31" s="1">
        <v>0.34</v>
      </c>
      <c r="X31" s="1">
        <v>0.34</v>
      </c>
      <c r="Y31" s="1">
        <v>0.5</v>
      </c>
      <c r="Z31" s="1" t="b">
        <f>FALSE</f>
        <v>0</v>
      </c>
      <c r="AA31" s="1" t="str">
        <f t="shared" si="19"/>
        <v/>
      </c>
      <c r="AB31" s="1" t="str">
        <f t="shared" si="20"/>
        <v/>
      </c>
      <c r="AC31" s="1">
        <f t="shared" si="41"/>
        <v>0</v>
      </c>
      <c r="AD31" s="1" t="str">
        <f t="shared" si="21"/>
        <v/>
      </c>
      <c r="AE31" s="1" t="str">
        <f t="shared" si="22"/>
        <v/>
      </c>
      <c r="AF31" s="1">
        <f t="shared" si="42"/>
        <v>0</v>
      </c>
      <c r="AG31" s="1">
        <f t="shared" si="23"/>
        <v>5</v>
      </c>
      <c r="AH31" s="1" t="str">
        <f t="shared" si="9"/>
        <v/>
      </c>
      <c r="AI31" s="1">
        <v>1</v>
      </c>
      <c r="AJ31" s="1">
        <f>IF(HRXPH,1,0)</f>
        <v>0</v>
      </c>
      <c r="AK31" s="1">
        <v>1</v>
      </c>
      <c r="AL31" s="1">
        <v>1</v>
      </c>
      <c r="AM31" s="1">
        <v>1</v>
      </c>
      <c r="AN31" s="1">
        <f>IF(IsLycanthrope,2,0)</f>
        <v>0</v>
      </c>
      <c r="AO31" s="1">
        <v>2</v>
      </c>
      <c r="AP31" s="1">
        <v>2</v>
      </c>
      <c r="AQ31" s="1">
        <v>2</v>
      </c>
      <c r="AR31" s="1">
        <v>2</v>
      </c>
      <c r="AS31" s="1">
        <v>2</v>
      </c>
      <c r="AT31" s="1">
        <v>2</v>
      </c>
      <c r="AU31" s="1">
        <v>2</v>
      </c>
      <c r="AV31" s="1">
        <v>2</v>
      </c>
      <c r="AW31" s="1">
        <v>1</v>
      </c>
      <c r="AX31" s="1">
        <v>1</v>
      </c>
      <c r="AY31" s="1">
        <v>1</v>
      </c>
      <c r="AZ31" s="1">
        <v>1</v>
      </c>
      <c r="BA31" s="1">
        <v>1</v>
      </c>
      <c r="BB31" s="1">
        <v>1</v>
      </c>
      <c r="BC31" s="1">
        <v>1</v>
      </c>
      <c r="BD31" s="1">
        <v>1</v>
      </c>
      <c r="BE31" s="1">
        <v>1</v>
      </c>
      <c r="BF31" s="1">
        <v>1</v>
      </c>
      <c r="BG31" s="1">
        <f>IF(HRRVL,1,0)</f>
        <v>0</v>
      </c>
      <c r="BH31" s="1">
        <f>IF(HROA,1,0)</f>
        <v>0</v>
      </c>
      <c r="BI31" s="1">
        <v>2</v>
      </c>
      <c r="BJ31" s="1">
        <v>1</v>
      </c>
      <c r="BK31" s="1">
        <v>2</v>
      </c>
      <c r="BL31" s="1">
        <v>1</v>
      </c>
      <c r="BM31" s="1">
        <v>1</v>
      </c>
      <c r="BN31" s="1">
        <v>1</v>
      </c>
      <c r="BO31" s="1">
        <v>2</v>
      </c>
      <c r="BP31" s="1">
        <v>1</v>
      </c>
      <c r="BQ31" s="1">
        <f>IF(HRRVL,1,0)</f>
        <v>0</v>
      </c>
      <c r="BR31" s="1">
        <v>1</v>
      </c>
      <c r="BS31" s="1">
        <v>1</v>
      </c>
      <c r="BT31" s="1">
        <f>IF(HRXPH,1,0)</f>
        <v>0</v>
      </c>
      <c r="BU31" s="1">
        <f>IF(HRRVL,1,0)</f>
        <v>0</v>
      </c>
      <c r="BV31" s="1">
        <v>1</v>
      </c>
      <c r="BW31" s="1">
        <v>1</v>
      </c>
      <c r="BX31" s="1">
        <v>1</v>
      </c>
      <c r="BY31" s="1">
        <v>1</v>
      </c>
      <c r="BZ31" s="1">
        <v>1</v>
      </c>
      <c r="CA31" s="1">
        <v>1</v>
      </c>
      <c r="CB31" s="1">
        <v>1</v>
      </c>
      <c r="CC31" s="1">
        <v>1</v>
      </c>
      <c r="CD31" s="1">
        <v>1</v>
      </c>
      <c r="CE31" s="1">
        <v>1</v>
      </c>
      <c r="CF31" s="1">
        <v>1</v>
      </c>
      <c r="CG31" s="1">
        <f>IF(HRToB,1,0)</f>
        <v>0</v>
      </c>
      <c r="CH31" s="1">
        <v>1</v>
      </c>
      <c r="CI31" s="1">
        <v>1</v>
      </c>
      <c r="CJ31" s="1">
        <v>1</v>
      </c>
      <c r="CK31" s="1">
        <v>1</v>
      </c>
      <c r="CL31" s="1">
        <v>1</v>
      </c>
      <c r="CM31" s="1">
        <v>1</v>
      </c>
      <c r="CN31" s="1">
        <v>1</v>
      </c>
      <c r="CO31" s="1">
        <v>1</v>
      </c>
      <c r="CP31" s="1">
        <v>2</v>
      </c>
      <c r="CQ31" s="1">
        <v>2</v>
      </c>
      <c r="CR31" s="1">
        <v>2</v>
      </c>
      <c r="CS31" s="1">
        <v>2</v>
      </c>
      <c r="CT31" s="1">
        <v>2</v>
      </c>
      <c r="CU31" s="1">
        <v>2</v>
      </c>
      <c r="CV31" s="1">
        <f>IF(HRXPH,1,0)</f>
        <v>0</v>
      </c>
      <c r="CW31" s="1">
        <v>1</v>
      </c>
      <c r="CX31" s="1">
        <v>1</v>
      </c>
      <c r="CY31" s="1">
        <v>1</v>
      </c>
      <c r="CZ31" s="1">
        <f>IF(HRCS,1,0)</f>
        <v>0</v>
      </c>
      <c r="DA31" s="1">
        <v>1</v>
      </c>
      <c r="DB31" s="1">
        <v>1</v>
      </c>
      <c r="DC31" s="1">
        <v>2</v>
      </c>
      <c r="DD31" s="1">
        <v>1</v>
      </c>
      <c r="DE31" s="1">
        <v>1</v>
      </c>
      <c r="DF31" s="1">
        <v>1</v>
      </c>
      <c r="DG31" s="1">
        <v>1</v>
      </c>
      <c r="DH31" s="1">
        <v>1</v>
      </c>
      <c r="DI31" s="1">
        <f>IF(HRXPH,1,0)</f>
        <v>0</v>
      </c>
      <c r="DJ31" s="1">
        <v>1</v>
      </c>
      <c r="DK31" s="1" t="s">
        <v>157</v>
      </c>
      <c r="DL31" s="1" t="s">
        <v>40</v>
      </c>
      <c r="EE31" s="8" t="s">
        <v>161</v>
      </c>
      <c r="EF31" s="9">
        <v>6</v>
      </c>
      <c r="EG31" s="9" t="s">
        <v>162</v>
      </c>
      <c r="EH31" s="9">
        <v>1</v>
      </c>
      <c r="EI31" s="9" t="b">
        <f t="shared" si="54"/>
        <v>0</v>
      </c>
      <c r="EJ31" s="9" t="str">
        <f t="shared" si="55"/>
        <v/>
      </c>
      <c r="EK31" s="9">
        <f t="shared" si="59"/>
        <v>99</v>
      </c>
      <c r="EL31" s="9">
        <f t="shared" si="60"/>
        <v>99</v>
      </c>
      <c r="EM31" s="9">
        <f t="shared" si="56"/>
        <v>99</v>
      </c>
      <c r="EN31" s="9">
        <f t="shared" si="57"/>
        <v>99</v>
      </c>
      <c r="EO31" s="10">
        <f t="shared" si="58"/>
        <v>0</v>
      </c>
    </row>
    <row r="32" spans="1:145" ht="11.25" customHeight="1" x14ac:dyDescent="0.2">
      <c r="A32" s="1">
        <f t="shared" si="18"/>
        <v>29</v>
      </c>
      <c r="B32" s="1" t="s">
        <v>163</v>
      </c>
      <c r="C32" s="1" t="s">
        <v>164</v>
      </c>
      <c r="D32" s="1" t="s">
        <v>164</v>
      </c>
      <c r="E32" s="1">
        <f t="shared" si="40"/>
        <v>0</v>
      </c>
      <c r="K32" s="1">
        <v>2</v>
      </c>
      <c r="L32" s="1">
        <v>4</v>
      </c>
      <c r="S32" s="1" t="b">
        <v>1</v>
      </c>
      <c r="V32" s="1">
        <v>0.5</v>
      </c>
      <c r="W32" s="1">
        <v>0.34</v>
      </c>
      <c r="X32" s="1">
        <v>0.34</v>
      </c>
      <c r="Y32" s="1">
        <v>0.5</v>
      </c>
      <c r="Z32" s="1" t="b">
        <f>FALSE</f>
        <v>0</v>
      </c>
      <c r="AA32" s="1" t="str">
        <f t="shared" si="19"/>
        <v/>
      </c>
      <c r="AB32" s="1" t="str">
        <f t="shared" si="20"/>
        <v/>
      </c>
      <c r="AC32" s="1">
        <f t="shared" si="41"/>
        <v>0</v>
      </c>
      <c r="AD32" s="1" t="str">
        <f t="shared" si="21"/>
        <v/>
      </c>
      <c r="AE32" s="1" t="str">
        <f t="shared" si="22"/>
        <v/>
      </c>
      <c r="AF32" s="1">
        <f t="shared" si="42"/>
        <v>0</v>
      </c>
      <c r="AG32" s="1">
        <f t="shared" si="23"/>
        <v>5</v>
      </c>
      <c r="AH32" s="1" t="str">
        <f t="shared" si="9"/>
        <v/>
      </c>
      <c r="AI32" s="1">
        <v>1</v>
      </c>
      <c r="AJ32" s="1">
        <f>IF(HRXPH,1,0)</f>
        <v>0</v>
      </c>
      <c r="AK32" s="1">
        <v>1</v>
      </c>
      <c r="AL32" s="1">
        <v>1</v>
      </c>
      <c r="AM32" s="1">
        <v>1</v>
      </c>
      <c r="AN32" s="1">
        <f>IF(IsLycanthrope,2,0)</f>
        <v>0</v>
      </c>
      <c r="AO32" s="1">
        <v>2</v>
      </c>
      <c r="AP32" s="1">
        <v>2</v>
      </c>
      <c r="AQ32" s="1">
        <v>2</v>
      </c>
      <c r="AR32" s="1">
        <v>2</v>
      </c>
      <c r="AS32" s="1">
        <v>2</v>
      </c>
      <c r="AT32" s="1">
        <v>2</v>
      </c>
      <c r="AU32" s="1">
        <v>2</v>
      </c>
      <c r="AV32" s="1">
        <v>2</v>
      </c>
      <c r="AW32" s="1">
        <v>1</v>
      </c>
      <c r="AX32" s="1">
        <v>1</v>
      </c>
      <c r="AY32" s="1">
        <v>1</v>
      </c>
      <c r="AZ32" s="1">
        <v>1</v>
      </c>
      <c r="BA32" s="1">
        <v>1</v>
      </c>
      <c r="BB32" s="1">
        <v>1</v>
      </c>
      <c r="BC32" s="1">
        <v>1</v>
      </c>
      <c r="BD32" s="1">
        <v>1</v>
      </c>
      <c r="BE32" s="1">
        <v>1</v>
      </c>
      <c r="BF32" s="1">
        <v>1</v>
      </c>
      <c r="BG32" s="1">
        <f>IF(HRRVL,1,0)</f>
        <v>0</v>
      </c>
      <c r="BH32" s="1">
        <f>IF(HROA,1,0)</f>
        <v>0</v>
      </c>
      <c r="BI32" s="1">
        <v>1</v>
      </c>
      <c r="BJ32" s="1">
        <v>1</v>
      </c>
      <c r="BK32" s="1">
        <v>2</v>
      </c>
      <c r="BL32" s="1">
        <v>2</v>
      </c>
      <c r="BM32" s="1">
        <v>2</v>
      </c>
      <c r="BN32" s="1">
        <v>2</v>
      </c>
      <c r="BO32" s="1">
        <v>2</v>
      </c>
      <c r="BP32" s="1">
        <f>1+NOT(HRLivingGreyhawk)</f>
        <v>2</v>
      </c>
      <c r="BQ32" s="1">
        <f>IF(HRRVL,2,0)</f>
        <v>0</v>
      </c>
      <c r="BR32" s="1">
        <v>2</v>
      </c>
      <c r="BS32" s="1">
        <v>2</v>
      </c>
      <c r="BT32" s="1">
        <f>IF(HRXPH,2,0)</f>
        <v>0</v>
      </c>
      <c r="BU32" s="1">
        <f>IF(HRRVL,2,0)</f>
        <v>0</v>
      </c>
      <c r="BV32" s="1">
        <v>2</v>
      </c>
      <c r="BW32" s="1">
        <v>2</v>
      </c>
      <c r="BX32" s="1">
        <v>2</v>
      </c>
      <c r="BY32" s="1">
        <v>2</v>
      </c>
      <c r="BZ32" s="1">
        <v>2</v>
      </c>
      <c r="CA32" s="1">
        <v>2</v>
      </c>
      <c r="CB32" s="1">
        <v>2</v>
      </c>
      <c r="CC32" s="1">
        <v>2</v>
      </c>
      <c r="CD32" s="1">
        <v>2</v>
      </c>
      <c r="CE32" s="1">
        <v>2</v>
      </c>
      <c r="CF32" s="1">
        <v>1</v>
      </c>
      <c r="CG32" s="1">
        <f>IF(HRToB,1,0)</f>
        <v>0</v>
      </c>
      <c r="CH32" s="1">
        <v>1</v>
      </c>
      <c r="CI32" s="1">
        <v>1</v>
      </c>
      <c r="CJ32" s="1">
        <v>1</v>
      </c>
      <c r="CK32" s="1">
        <v>1</v>
      </c>
      <c r="CL32" s="1">
        <v>1</v>
      </c>
      <c r="CM32" s="1">
        <v>1</v>
      </c>
      <c r="CN32" s="1">
        <v>1</v>
      </c>
      <c r="CO32" s="1">
        <v>1</v>
      </c>
      <c r="CP32" s="1">
        <v>2</v>
      </c>
      <c r="CQ32" s="1">
        <v>2</v>
      </c>
      <c r="CR32" s="1">
        <v>2</v>
      </c>
      <c r="CS32" s="1">
        <v>2</v>
      </c>
      <c r="CT32" s="1">
        <v>2</v>
      </c>
      <c r="CU32" s="1">
        <v>2</v>
      </c>
      <c r="CV32" s="1">
        <f>IF(HRXPH,1,0)</f>
        <v>0</v>
      </c>
      <c r="CW32" s="1">
        <v>1</v>
      </c>
      <c r="CX32" s="1">
        <v>1</v>
      </c>
      <c r="CY32" s="1">
        <v>1</v>
      </c>
      <c r="CZ32" s="1">
        <f>IF(HRCS,1,0)</f>
        <v>0</v>
      </c>
      <c r="DA32" s="1">
        <v>1</v>
      </c>
      <c r="DB32" s="1">
        <v>1</v>
      </c>
      <c r="DC32" s="1">
        <v>2</v>
      </c>
      <c r="DD32" s="1">
        <v>1</v>
      </c>
      <c r="DE32" s="1">
        <v>1</v>
      </c>
      <c r="DF32" s="1">
        <v>1</v>
      </c>
      <c r="DG32" s="1">
        <v>1</v>
      </c>
      <c r="DH32" s="1">
        <v>1</v>
      </c>
      <c r="DI32" s="1">
        <f>IF(HRXPH,1,0)</f>
        <v>0</v>
      </c>
      <c r="DJ32" s="1">
        <v>1</v>
      </c>
      <c r="DK32" s="1" t="s">
        <v>157</v>
      </c>
      <c r="DL32" s="1" t="s">
        <v>101</v>
      </c>
      <c r="EE32" s="8" t="s">
        <v>151</v>
      </c>
      <c r="EF32" s="9">
        <v>6</v>
      </c>
      <c r="EG32" s="9" t="s">
        <v>129</v>
      </c>
      <c r="EH32" s="9">
        <v>1</v>
      </c>
      <c r="EI32" s="9" t="b">
        <f t="shared" si="54"/>
        <v>0</v>
      </c>
      <c r="EJ32" s="9" t="str">
        <f t="shared" si="55"/>
        <v/>
      </c>
      <c r="EK32" s="9">
        <f t="shared" si="59"/>
        <v>99</v>
      </c>
      <c r="EL32" s="9">
        <f t="shared" si="60"/>
        <v>99</v>
      </c>
      <c r="EM32" s="9">
        <f t="shared" si="56"/>
        <v>99</v>
      </c>
      <c r="EN32" s="9">
        <f t="shared" si="57"/>
        <v>99</v>
      </c>
      <c r="EO32" s="10">
        <f t="shared" si="58"/>
        <v>0</v>
      </c>
    </row>
    <row r="33" spans="1:145" ht="11.25" customHeight="1" x14ac:dyDescent="0.2">
      <c r="A33" s="1">
        <f t="shared" si="18"/>
        <v>30</v>
      </c>
      <c r="B33" s="1" t="s">
        <v>165</v>
      </c>
      <c r="E33" s="1">
        <f t="shared" si="40"/>
        <v>0</v>
      </c>
      <c r="F33" s="1">
        <v>1</v>
      </c>
      <c r="Z33" s="1" t="b">
        <f>FALSE</f>
        <v>0</v>
      </c>
      <c r="AA33" s="1" t="str">
        <f t="shared" si="19"/>
        <v/>
      </c>
      <c r="AB33" s="1" t="str">
        <f t="shared" si="20"/>
        <v/>
      </c>
      <c r="AC33" s="1">
        <f t="shared" si="41"/>
        <v>0</v>
      </c>
      <c r="AD33" s="1" t="str">
        <f t="shared" si="21"/>
        <v/>
      </c>
      <c r="AE33" s="1" t="str">
        <f t="shared" si="22"/>
        <v/>
      </c>
      <c r="AF33" s="1">
        <f t="shared" si="42"/>
        <v>0</v>
      </c>
      <c r="AG33" s="1">
        <f t="shared" si="23"/>
        <v>5</v>
      </c>
      <c r="AH33" s="1" t="str">
        <f t="shared" si="9"/>
        <v/>
      </c>
      <c r="EE33" s="8" t="s">
        <v>151</v>
      </c>
      <c r="EF33" s="9">
        <v>6</v>
      </c>
      <c r="EG33" s="9" t="s">
        <v>126</v>
      </c>
      <c r="EH33" s="9">
        <v>1</v>
      </c>
      <c r="EI33" s="9" t="b">
        <f t="shared" si="54"/>
        <v>0</v>
      </c>
      <c r="EJ33" s="9" t="str">
        <f t="shared" si="55"/>
        <v/>
      </c>
      <c r="EK33" s="9">
        <f t="shared" si="59"/>
        <v>99</v>
      </c>
      <c r="EL33" s="9">
        <f t="shared" si="60"/>
        <v>99</v>
      </c>
      <c r="EM33" s="9">
        <f t="shared" si="56"/>
        <v>99</v>
      </c>
      <c r="EN33" s="9">
        <f t="shared" si="57"/>
        <v>99</v>
      </c>
      <c r="EO33" s="10">
        <f t="shared" si="58"/>
        <v>0</v>
      </c>
    </row>
    <row r="34" spans="1:145" ht="11.25" customHeight="1" x14ac:dyDescent="0.2">
      <c r="A34" s="1">
        <f t="shared" si="18"/>
        <v>31</v>
      </c>
      <c r="B34" s="1" t="s">
        <v>166</v>
      </c>
      <c r="C34" s="1" t="s">
        <v>167</v>
      </c>
      <c r="D34" s="1" t="s">
        <v>168</v>
      </c>
      <c r="E34" s="1">
        <f t="shared" si="40"/>
        <v>0</v>
      </c>
      <c r="K34" s="1">
        <v>6</v>
      </c>
      <c r="L34" s="1">
        <v>6</v>
      </c>
      <c r="S34" s="1" t="b">
        <v>1</v>
      </c>
      <c r="V34" s="1">
        <v>0.75</v>
      </c>
      <c r="W34" s="1">
        <v>0.34</v>
      </c>
      <c r="X34" s="1">
        <v>0.5</v>
      </c>
      <c r="Y34" s="1">
        <v>0.34</v>
      </c>
      <c r="Z34" s="1" t="b">
        <f>FALSE</f>
        <v>0</v>
      </c>
      <c r="AA34" s="1" t="str">
        <f t="shared" si="19"/>
        <v/>
      </c>
      <c r="AB34" s="1" t="str">
        <f t="shared" si="20"/>
        <v/>
      </c>
      <c r="AC34" s="1">
        <f t="shared" si="41"/>
        <v>0</v>
      </c>
      <c r="AD34" s="1" t="str">
        <f t="shared" si="21"/>
        <v/>
      </c>
      <c r="AE34" s="1" t="str">
        <f t="shared" si="22"/>
        <v/>
      </c>
      <c r="AF34" s="1">
        <f t="shared" si="42"/>
        <v>0</v>
      </c>
      <c r="AG34" s="1">
        <f t="shared" si="23"/>
        <v>5</v>
      </c>
      <c r="AH34" s="1" t="str">
        <f t="shared" si="9"/>
        <v/>
      </c>
      <c r="AI34" s="1">
        <v>1</v>
      </c>
      <c r="AJ34" s="1">
        <f>IF(HRXPH,1,0)</f>
        <v>0</v>
      </c>
      <c r="AK34" s="1">
        <v>2</v>
      </c>
      <c r="AL34" s="1">
        <v>2</v>
      </c>
      <c r="AM34" s="1">
        <v>2</v>
      </c>
      <c r="AN34" s="1">
        <f>IF(IsLycanthrope,2,0)</f>
        <v>0</v>
      </c>
      <c r="AO34" s="1">
        <v>2</v>
      </c>
      <c r="AP34" s="1">
        <v>2</v>
      </c>
      <c r="AQ34" s="1">
        <v>2</v>
      </c>
      <c r="AR34" s="1">
        <v>2</v>
      </c>
      <c r="AS34" s="1">
        <v>2</v>
      </c>
      <c r="AT34" s="1">
        <v>2</v>
      </c>
      <c r="AU34" s="1">
        <v>2</v>
      </c>
      <c r="AV34" s="1">
        <v>2</v>
      </c>
      <c r="AW34" s="1">
        <v>1</v>
      </c>
      <c r="AX34" s="1">
        <v>1</v>
      </c>
      <c r="AY34" s="1">
        <v>2</v>
      </c>
      <c r="AZ34" s="1">
        <v>2</v>
      </c>
      <c r="BA34" s="1">
        <v>2</v>
      </c>
      <c r="BB34" s="1">
        <v>1</v>
      </c>
      <c r="BC34" s="1">
        <v>2</v>
      </c>
      <c r="BD34" s="1">
        <v>1</v>
      </c>
      <c r="BE34" s="1">
        <v>1</v>
      </c>
      <c r="BF34" s="1">
        <v>2</v>
      </c>
      <c r="BG34" s="1">
        <f>IF(HRRVL,1,0)</f>
        <v>0</v>
      </c>
      <c r="BH34" s="1">
        <f>IF(HROA,1,0)</f>
        <v>0</v>
      </c>
      <c r="BI34" s="1">
        <v>1</v>
      </c>
      <c r="BJ34" s="1">
        <v>2</v>
      </c>
      <c r="BK34" s="1">
        <v>1</v>
      </c>
      <c r="BL34" s="1">
        <v>1</v>
      </c>
      <c r="BM34" s="1">
        <v>1</v>
      </c>
      <c r="BN34" s="1">
        <v>1</v>
      </c>
      <c r="BO34" s="1">
        <v>1</v>
      </c>
      <c r="BP34" s="1">
        <v>1</v>
      </c>
      <c r="BQ34" s="1">
        <f>IF(HRRVL,1,0)</f>
        <v>0</v>
      </c>
      <c r="BR34" s="1">
        <v>1</v>
      </c>
      <c r="BS34" s="1">
        <v>1</v>
      </c>
      <c r="BT34" s="1">
        <f>IF(HRXPH,1,0)</f>
        <v>0</v>
      </c>
      <c r="BU34" s="1">
        <f>IF(HRRVL,1,0)</f>
        <v>0</v>
      </c>
      <c r="BV34" s="1">
        <v>1</v>
      </c>
      <c r="BW34" s="1">
        <v>1</v>
      </c>
      <c r="BX34" s="1">
        <v>1</v>
      </c>
      <c r="BY34" s="1">
        <v>1</v>
      </c>
      <c r="BZ34" s="1">
        <v>1</v>
      </c>
      <c r="CA34" s="1">
        <v>1</v>
      </c>
      <c r="CB34" s="1">
        <v>1</v>
      </c>
      <c r="CC34" s="1">
        <v>1</v>
      </c>
      <c r="CD34" s="1">
        <v>1</v>
      </c>
      <c r="CE34" s="1">
        <v>1</v>
      </c>
      <c r="CF34" s="1">
        <v>2</v>
      </c>
      <c r="CG34" s="1">
        <f>IF(HRToB,1,0)</f>
        <v>0</v>
      </c>
      <c r="CH34" s="1">
        <v>2</v>
      </c>
      <c r="CI34" s="1">
        <v>2</v>
      </c>
      <c r="CJ34" s="1">
        <v>1</v>
      </c>
      <c r="CK34" s="1">
        <v>1</v>
      </c>
      <c r="CL34" s="1">
        <v>1</v>
      </c>
      <c r="CM34" s="1">
        <v>1</v>
      </c>
      <c r="CN34" s="1">
        <v>1</v>
      </c>
      <c r="CO34" s="1">
        <v>1</v>
      </c>
      <c r="CP34" s="1">
        <v>1</v>
      </c>
      <c r="CQ34" s="1">
        <v>1</v>
      </c>
      <c r="CR34" s="1">
        <v>1</v>
      </c>
      <c r="CS34" s="1">
        <v>1</v>
      </c>
      <c r="CT34" s="1">
        <v>1</v>
      </c>
      <c r="CU34" s="1">
        <v>1</v>
      </c>
      <c r="CV34" s="1">
        <f>IF(HRXPH,1,0)</f>
        <v>0</v>
      </c>
      <c r="CW34" s="1">
        <v>1</v>
      </c>
      <c r="CX34" s="1">
        <v>2</v>
      </c>
      <c r="CY34" s="1">
        <v>2</v>
      </c>
      <c r="CZ34" s="1">
        <f>IF(HRCS,1,0)</f>
        <v>0</v>
      </c>
      <c r="DA34" s="1">
        <v>2</v>
      </c>
      <c r="DB34" s="1">
        <v>1</v>
      </c>
      <c r="DC34" s="1">
        <v>1</v>
      </c>
      <c r="DD34" s="1">
        <v>2</v>
      </c>
      <c r="DE34" s="1">
        <v>1</v>
      </c>
      <c r="DF34" s="1">
        <v>2</v>
      </c>
      <c r="DG34" s="1">
        <v>2</v>
      </c>
      <c r="DH34" s="1">
        <v>1</v>
      </c>
      <c r="DI34" s="1">
        <f>IF(HRXPH,1,0)</f>
        <v>0</v>
      </c>
      <c r="DJ34" s="1">
        <v>1</v>
      </c>
      <c r="DK34" s="1" t="s">
        <v>169</v>
      </c>
      <c r="DL34" s="1" t="s">
        <v>170</v>
      </c>
      <c r="EE34" s="8" t="s">
        <v>151</v>
      </c>
      <c r="EF34" s="9">
        <v>6</v>
      </c>
      <c r="EG34" s="9" t="s">
        <v>134</v>
      </c>
      <c r="EH34" s="9">
        <v>1</v>
      </c>
      <c r="EI34" s="9" t="b">
        <f t="shared" si="54"/>
        <v>0</v>
      </c>
      <c r="EJ34" s="9" t="str">
        <f t="shared" si="55"/>
        <v/>
      </c>
      <c r="EK34" s="9">
        <f t="shared" si="59"/>
        <v>99</v>
      </c>
      <c r="EL34" s="9">
        <f t="shared" si="60"/>
        <v>99</v>
      </c>
      <c r="EM34" s="9">
        <f t="shared" si="56"/>
        <v>99</v>
      </c>
      <c r="EN34" s="9">
        <f t="shared" si="57"/>
        <v>99</v>
      </c>
      <c r="EO34" s="10">
        <f t="shared" si="58"/>
        <v>0</v>
      </c>
    </row>
    <row r="35" spans="1:145" ht="11.25" customHeight="1" x14ac:dyDescent="0.2">
      <c r="A35" s="1">
        <f t="shared" si="18"/>
        <v>32</v>
      </c>
      <c r="B35" s="1" t="s">
        <v>171</v>
      </c>
      <c r="C35" s="1" t="s">
        <v>172</v>
      </c>
      <c r="D35" s="1" t="s">
        <v>172</v>
      </c>
      <c r="E35" s="1">
        <f t="shared" si="40"/>
        <v>0</v>
      </c>
      <c r="K35" s="1">
        <v>8</v>
      </c>
      <c r="L35" s="1">
        <v>8</v>
      </c>
      <c r="N35" s="1" t="b">
        <v>1</v>
      </c>
      <c r="S35" s="1" t="b">
        <v>1</v>
      </c>
      <c r="U35" s="1" t="s">
        <v>173</v>
      </c>
      <c r="V35" s="1">
        <v>0.75</v>
      </c>
      <c r="W35" s="1">
        <v>0.34</v>
      </c>
      <c r="X35" s="1">
        <v>0.5</v>
      </c>
      <c r="Y35" s="1">
        <v>0.34</v>
      </c>
      <c r="Z35" s="1" t="b">
        <f>FALSE</f>
        <v>0</v>
      </c>
      <c r="AA35" s="1" t="str">
        <f t="shared" si="19"/>
        <v/>
      </c>
      <c r="AB35" s="1" t="str">
        <f t="shared" si="20"/>
        <v/>
      </c>
      <c r="AC35" s="1">
        <f t="shared" si="41"/>
        <v>0</v>
      </c>
      <c r="AD35" s="1" t="str">
        <f t="shared" si="21"/>
        <v/>
      </c>
      <c r="AE35" s="1" t="str">
        <f t="shared" si="22"/>
        <v/>
      </c>
      <c r="AF35" s="1">
        <f t="shared" si="42"/>
        <v>0</v>
      </c>
      <c r="AG35" s="1">
        <f t="shared" si="23"/>
        <v>5</v>
      </c>
      <c r="AH35" s="1" t="str">
        <f t="shared" si="9"/>
        <v/>
      </c>
      <c r="AI35" s="1">
        <v>1</v>
      </c>
      <c r="AJ35" s="1">
        <f>IF(HRXPH,1,0)</f>
        <v>0</v>
      </c>
      <c r="AK35" s="1">
        <v>2</v>
      </c>
      <c r="AL35" s="1">
        <v>1</v>
      </c>
      <c r="AM35" s="1">
        <v>2</v>
      </c>
      <c r="AN35" s="1">
        <f>IF(IsLycanthrope,2,0)</f>
        <v>0</v>
      </c>
      <c r="AO35" s="1">
        <v>1</v>
      </c>
      <c r="AP35" s="1">
        <v>2</v>
      </c>
      <c r="AQ35" s="1">
        <v>2</v>
      </c>
      <c r="AR35" s="1">
        <v>2</v>
      </c>
      <c r="AS35" s="1">
        <v>2</v>
      </c>
      <c r="AT35" s="1">
        <v>2</v>
      </c>
      <c r="AU35" s="1">
        <v>2</v>
      </c>
      <c r="AV35" s="1">
        <v>2</v>
      </c>
      <c r="AW35" s="1">
        <v>1</v>
      </c>
      <c r="AX35" s="1">
        <v>1</v>
      </c>
      <c r="AY35" s="1">
        <v>2</v>
      </c>
      <c r="AZ35" s="1">
        <v>1</v>
      </c>
      <c r="BA35" s="1">
        <v>2</v>
      </c>
      <c r="BB35" s="1">
        <v>1</v>
      </c>
      <c r="BC35" s="1">
        <v>1</v>
      </c>
      <c r="BD35" s="1">
        <v>1</v>
      </c>
      <c r="BE35" s="1">
        <v>1</v>
      </c>
      <c r="BF35" s="1">
        <v>2</v>
      </c>
      <c r="BG35" s="1">
        <f>IF(HRRVL,1,0)</f>
        <v>0</v>
      </c>
      <c r="BH35" s="1">
        <f>IF(HROA,1,0)</f>
        <v>0</v>
      </c>
      <c r="BI35" s="1">
        <v>1</v>
      </c>
      <c r="BJ35" s="1">
        <v>2</v>
      </c>
      <c r="BK35" s="1">
        <v>1</v>
      </c>
      <c r="BL35" s="1">
        <v>1</v>
      </c>
      <c r="BM35" s="1">
        <v>2</v>
      </c>
      <c r="BN35" s="1">
        <v>2</v>
      </c>
      <c r="BO35" s="1">
        <v>1</v>
      </c>
      <c r="BP35" s="1">
        <v>1</v>
      </c>
      <c r="BQ35" s="1">
        <f>IF(HRRVL,2,0)</f>
        <v>0</v>
      </c>
      <c r="BR35" s="1">
        <v>2</v>
      </c>
      <c r="BS35" s="1">
        <v>1</v>
      </c>
      <c r="BT35" s="1">
        <f>IF(HRXPH,1,0)</f>
        <v>0</v>
      </c>
      <c r="BU35" s="1">
        <f>IF(HRRVL,1,0)</f>
        <v>0</v>
      </c>
      <c r="BV35" s="1">
        <v>1</v>
      </c>
      <c r="BW35" s="1">
        <v>1</v>
      </c>
      <c r="BX35" s="1">
        <v>1</v>
      </c>
      <c r="BY35" s="1">
        <v>1</v>
      </c>
      <c r="BZ35" s="1">
        <v>1</v>
      </c>
      <c r="CA35" s="1">
        <v>1</v>
      </c>
      <c r="CB35" s="1">
        <v>1</v>
      </c>
      <c r="CC35" s="1">
        <v>1</v>
      </c>
      <c r="CD35" s="1">
        <v>1</v>
      </c>
      <c r="CE35" s="1">
        <v>1</v>
      </c>
      <c r="CF35" s="1">
        <v>2</v>
      </c>
      <c r="CG35" s="1">
        <f>IF(HRToB,1,0)</f>
        <v>0</v>
      </c>
      <c r="CH35" s="1">
        <v>2</v>
      </c>
      <c r="CI35" s="1">
        <v>1</v>
      </c>
      <c r="CJ35" s="1">
        <v>1</v>
      </c>
      <c r="CK35" s="1">
        <v>1</v>
      </c>
      <c r="CL35" s="1">
        <v>1</v>
      </c>
      <c r="CM35" s="1">
        <v>1</v>
      </c>
      <c r="CN35" s="1">
        <v>1</v>
      </c>
      <c r="CO35" s="1">
        <v>1</v>
      </c>
      <c r="CP35" s="1">
        <v>1</v>
      </c>
      <c r="CQ35" s="1">
        <v>1</v>
      </c>
      <c r="CR35" s="1">
        <v>1</v>
      </c>
      <c r="CS35" s="1">
        <v>1</v>
      </c>
      <c r="CT35" s="1">
        <v>1</v>
      </c>
      <c r="CU35" s="1">
        <v>1</v>
      </c>
      <c r="CV35" s="1">
        <f>IF(HRXPH,1,0)</f>
        <v>0</v>
      </c>
      <c r="CW35" s="1">
        <v>2</v>
      </c>
      <c r="CX35" s="1">
        <v>2</v>
      </c>
      <c r="CY35" s="1">
        <v>2</v>
      </c>
      <c r="CZ35" s="1">
        <f>IF(HRCS,1,0)</f>
        <v>0</v>
      </c>
      <c r="DA35" s="1">
        <v>1</v>
      </c>
      <c r="DB35" s="1">
        <v>2</v>
      </c>
      <c r="DC35" s="1">
        <v>1</v>
      </c>
      <c r="DD35" s="1">
        <v>2</v>
      </c>
      <c r="DE35" s="1">
        <v>2</v>
      </c>
      <c r="DF35" s="1">
        <v>2</v>
      </c>
      <c r="DG35" s="1">
        <v>2</v>
      </c>
      <c r="DH35" s="1">
        <v>1</v>
      </c>
      <c r="DI35" s="1">
        <f>IF(HRXPH,1,0)</f>
        <v>0</v>
      </c>
      <c r="DJ35" s="1">
        <v>2</v>
      </c>
      <c r="DK35" s="1" t="s">
        <v>169</v>
      </c>
      <c r="DL35" s="1" t="s">
        <v>40</v>
      </c>
      <c r="EE35" s="8" t="s">
        <v>151</v>
      </c>
      <c r="EF35" s="9">
        <v>9</v>
      </c>
      <c r="EG35" s="9" t="s">
        <v>126</v>
      </c>
      <c r="EH35" s="9">
        <v>1</v>
      </c>
      <c r="EI35" s="9" t="b">
        <f t="shared" si="54"/>
        <v>0</v>
      </c>
      <c r="EJ35" s="9" t="str">
        <f t="shared" si="55"/>
        <v/>
      </c>
      <c r="EK35" s="9">
        <f t="shared" si="59"/>
        <v>99</v>
      </c>
      <c r="EL35" s="9">
        <f t="shared" si="60"/>
        <v>99</v>
      </c>
      <c r="EM35" s="9">
        <f t="shared" si="56"/>
        <v>99</v>
      </c>
      <c r="EN35" s="9">
        <f t="shared" si="57"/>
        <v>99</v>
      </c>
      <c r="EO35" s="10">
        <f t="shared" si="58"/>
        <v>0</v>
      </c>
    </row>
    <row r="36" spans="1:145" ht="11.25" customHeight="1" x14ac:dyDescent="0.2">
      <c r="A36" s="1">
        <f t="shared" si="18"/>
        <v>33</v>
      </c>
      <c r="B36" s="1" t="s">
        <v>174</v>
      </c>
      <c r="C36" s="1" t="s">
        <v>175</v>
      </c>
      <c r="D36" s="1" t="s">
        <v>175</v>
      </c>
      <c r="E36" s="1">
        <f t="shared" si="40"/>
        <v>0</v>
      </c>
      <c r="K36" s="1">
        <v>6</v>
      </c>
      <c r="L36" s="1">
        <v>6</v>
      </c>
      <c r="N36" s="1" t="b">
        <v>1</v>
      </c>
      <c r="S36" s="1" t="b">
        <v>1</v>
      </c>
      <c r="V36" s="1">
        <v>0.75</v>
      </c>
      <c r="W36" s="1">
        <v>0.34</v>
      </c>
      <c r="X36" s="1">
        <v>0.34</v>
      </c>
      <c r="Y36" s="1">
        <v>0.5</v>
      </c>
      <c r="Z36" s="1" t="b">
        <f>FALSE</f>
        <v>0</v>
      </c>
      <c r="AA36" s="1" t="str">
        <f t="shared" si="19"/>
        <v/>
      </c>
      <c r="AB36" s="1" t="str">
        <f t="shared" si="20"/>
        <v/>
      </c>
      <c r="AC36" s="1">
        <f t="shared" si="41"/>
        <v>0</v>
      </c>
      <c r="AD36" s="1" t="str">
        <f t="shared" si="21"/>
        <v/>
      </c>
      <c r="AE36" s="1" t="str">
        <f t="shared" si="22"/>
        <v/>
      </c>
      <c r="AF36" s="1">
        <f t="shared" si="42"/>
        <v>0</v>
      </c>
      <c r="AG36" s="1">
        <f t="shared" si="23"/>
        <v>5</v>
      </c>
      <c r="AH36" s="1" t="str">
        <f t="shared" si="9"/>
        <v/>
      </c>
      <c r="AI36" s="1">
        <v>2</v>
      </c>
      <c r="AJ36" s="1">
        <f>IF(HRXPH,1,0)</f>
        <v>0</v>
      </c>
      <c r="AK36" s="1">
        <v>1</v>
      </c>
      <c r="AL36" s="1">
        <v>2</v>
      </c>
      <c r="AM36" s="1">
        <v>1</v>
      </c>
      <c r="AN36" s="1">
        <f>IF(IsLycanthrope,2,0)</f>
        <v>0</v>
      </c>
      <c r="AO36" s="1">
        <v>2</v>
      </c>
      <c r="AP36" s="1">
        <v>2</v>
      </c>
      <c r="AQ36" s="1">
        <v>2</v>
      </c>
      <c r="AR36" s="1">
        <v>2</v>
      </c>
      <c r="AS36" s="1">
        <v>2</v>
      </c>
      <c r="AT36" s="1">
        <v>2</v>
      </c>
      <c r="AU36" s="1">
        <v>2</v>
      </c>
      <c r="AV36" s="1">
        <v>2</v>
      </c>
      <c r="AW36" s="1">
        <v>2</v>
      </c>
      <c r="AX36" s="1">
        <v>1</v>
      </c>
      <c r="AY36" s="1">
        <v>2</v>
      </c>
      <c r="AZ36" s="1">
        <v>1</v>
      </c>
      <c r="BA36" s="1">
        <v>2</v>
      </c>
      <c r="BB36" s="1">
        <v>1</v>
      </c>
      <c r="BC36" s="1">
        <v>2</v>
      </c>
      <c r="BD36" s="1">
        <v>1</v>
      </c>
      <c r="BE36" s="1">
        <v>1</v>
      </c>
      <c r="BF36" s="1">
        <v>2</v>
      </c>
      <c r="BG36" s="1">
        <f>IF(HRRVL,1,0)</f>
        <v>0</v>
      </c>
      <c r="BH36" s="1">
        <f>IF(HROA,1,0)</f>
        <v>0</v>
      </c>
      <c r="BI36" s="1">
        <v>1</v>
      </c>
      <c r="BJ36" s="1">
        <v>2</v>
      </c>
      <c r="BK36" s="1">
        <v>2</v>
      </c>
      <c r="BL36" s="1">
        <v>1</v>
      </c>
      <c r="BM36" s="1">
        <v>1</v>
      </c>
      <c r="BN36" s="1">
        <v>1</v>
      </c>
      <c r="BO36" s="1">
        <v>1</v>
      </c>
      <c r="BP36" s="1">
        <f>1+NOT(HRLivingGreyhawk)</f>
        <v>2</v>
      </c>
      <c r="BQ36" s="1">
        <f>IF(HRRVL,1,0)</f>
        <v>0</v>
      </c>
      <c r="BR36" s="1">
        <v>1</v>
      </c>
      <c r="BS36" s="1">
        <v>1</v>
      </c>
      <c r="BT36" s="1">
        <f>IF(OR(HRXPH,FtPsithief),IF(FtPsithief,2,1),0)</f>
        <v>0</v>
      </c>
      <c r="BU36" s="1">
        <f>IF(HRRVL,1,0)</f>
        <v>0</v>
      </c>
      <c r="BV36" s="1">
        <v>1</v>
      </c>
      <c r="BW36" s="1">
        <v>1</v>
      </c>
      <c r="BX36" s="1">
        <v>1</v>
      </c>
      <c r="BY36" s="1">
        <v>1</v>
      </c>
      <c r="BZ36" s="1">
        <v>1</v>
      </c>
      <c r="CA36" s="1">
        <v>1</v>
      </c>
      <c r="CB36" s="1">
        <v>1</v>
      </c>
      <c r="CC36" s="1">
        <v>1</v>
      </c>
      <c r="CD36" s="1">
        <v>1</v>
      </c>
      <c r="CE36" s="1">
        <v>1</v>
      </c>
      <c r="CF36" s="1">
        <v>2</v>
      </c>
      <c r="CG36" s="1">
        <f>IF(HRToB,1,0)</f>
        <v>0</v>
      </c>
      <c r="CH36" s="1">
        <v>2</v>
      </c>
      <c r="CI36" s="1">
        <v>2</v>
      </c>
      <c r="CJ36" s="1">
        <v>1</v>
      </c>
      <c r="CK36" s="1">
        <v>1</v>
      </c>
      <c r="CL36" s="1">
        <v>1</v>
      </c>
      <c r="CM36" s="1">
        <v>1</v>
      </c>
      <c r="CN36" s="1">
        <v>1</v>
      </c>
      <c r="CO36" s="1">
        <v>1</v>
      </c>
      <c r="CP36" s="1">
        <v>1</v>
      </c>
      <c r="CQ36" s="1">
        <v>1</v>
      </c>
      <c r="CR36" s="1">
        <v>1</v>
      </c>
      <c r="CS36" s="1">
        <v>1</v>
      </c>
      <c r="CT36" s="1">
        <v>1</v>
      </c>
      <c r="CU36" s="1">
        <v>1</v>
      </c>
      <c r="CV36" s="1">
        <f>IF(OR(HRXPH,FtPsithief),IF(FtPsithief,2,1),0)</f>
        <v>0</v>
      </c>
      <c r="CW36" s="1">
        <v>1</v>
      </c>
      <c r="CX36" s="1">
        <v>2</v>
      </c>
      <c r="CY36" s="1">
        <v>1</v>
      </c>
      <c r="CZ36" s="1">
        <f>IF(HRCS,1,0)</f>
        <v>0</v>
      </c>
      <c r="DA36" s="1">
        <v>1</v>
      </c>
      <c r="DB36" s="1">
        <v>2</v>
      </c>
      <c r="DC36" s="1">
        <v>2</v>
      </c>
      <c r="DD36" s="1">
        <v>2</v>
      </c>
      <c r="DE36" s="1">
        <v>1</v>
      </c>
      <c r="DF36" s="1">
        <v>2</v>
      </c>
      <c r="DG36" s="1">
        <v>2</v>
      </c>
      <c r="DH36" s="1">
        <v>2</v>
      </c>
      <c r="DI36" s="1">
        <f>IF(HRXPH,1,0)</f>
        <v>0</v>
      </c>
      <c r="DJ36" s="1">
        <v>1</v>
      </c>
      <c r="DK36" s="1" t="s">
        <v>169</v>
      </c>
      <c r="DL36" s="1" t="s">
        <v>150</v>
      </c>
      <c r="EE36" s="8" t="s">
        <v>151</v>
      </c>
      <c r="EF36" s="9">
        <v>9</v>
      </c>
      <c r="EG36" s="9" t="s">
        <v>153</v>
      </c>
      <c r="EH36" s="9">
        <v>1</v>
      </c>
      <c r="EI36" s="9" t="b">
        <f t="shared" si="54"/>
        <v>0</v>
      </c>
      <c r="EJ36" s="9" t="str">
        <f t="shared" si="55"/>
        <v/>
      </c>
      <c r="EK36" s="9">
        <f t="shared" si="59"/>
        <v>99</v>
      </c>
      <c r="EL36" s="9">
        <f t="shared" si="60"/>
        <v>99</v>
      </c>
      <c r="EM36" s="9">
        <f t="shared" si="56"/>
        <v>99</v>
      </c>
      <c r="EN36" s="9">
        <f t="shared" si="57"/>
        <v>99</v>
      </c>
      <c r="EO36" s="10">
        <f t="shared" si="58"/>
        <v>0</v>
      </c>
    </row>
    <row r="37" spans="1:145" ht="11.25" customHeight="1" x14ac:dyDescent="0.2">
      <c r="A37" s="1">
        <f t="shared" si="18"/>
        <v>34</v>
      </c>
      <c r="B37" s="1" t="s">
        <v>176</v>
      </c>
      <c r="E37" s="1">
        <f t="shared" si="40"/>
        <v>0</v>
      </c>
      <c r="F37" s="1">
        <v>1</v>
      </c>
      <c r="Z37" s="1" t="b">
        <f>FALSE</f>
        <v>0</v>
      </c>
      <c r="AA37" s="1" t="str">
        <f t="shared" si="19"/>
        <v/>
      </c>
      <c r="AB37" s="1" t="str">
        <f t="shared" si="20"/>
        <v/>
      </c>
      <c r="AC37" s="1">
        <f t="shared" si="41"/>
        <v>0</v>
      </c>
      <c r="AD37" s="1" t="str">
        <f t="shared" si="21"/>
        <v/>
      </c>
      <c r="AE37" s="1" t="str">
        <f t="shared" si="22"/>
        <v/>
      </c>
      <c r="AF37" s="1">
        <f t="shared" si="42"/>
        <v>0</v>
      </c>
      <c r="AG37" s="1">
        <f t="shared" si="23"/>
        <v>5</v>
      </c>
      <c r="AH37" s="1" t="str">
        <f t="shared" si="9"/>
        <v/>
      </c>
      <c r="EE37" s="8" t="s">
        <v>151</v>
      </c>
      <c r="EF37" s="9">
        <v>9</v>
      </c>
      <c r="EG37" s="9" t="s">
        <v>134</v>
      </c>
      <c r="EH37" s="9">
        <v>1</v>
      </c>
      <c r="EI37" s="9" t="b">
        <f t="shared" si="54"/>
        <v>0</v>
      </c>
      <c r="EJ37" s="9" t="str">
        <f t="shared" si="55"/>
        <v/>
      </c>
      <c r="EK37" s="9">
        <f t="shared" si="59"/>
        <v>99</v>
      </c>
      <c r="EL37" s="9">
        <f t="shared" si="60"/>
        <v>99</v>
      </c>
      <c r="EM37" s="9">
        <f t="shared" si="56"/>
        <v>99</v>
      </c>
      <c r="EN37" s="9">
        <f t="shared" si="57"/>
        <v>99</v>
      </c>
      <c r="EO37" s="10">
        <f t="shared" si="58"/>
        <v>0</v>
      </c>
    </row>
    <row r="38" spans="1:145" ht="11.25" customHeight="1" x14ac:dyDescent="0.2">
      <c r="A38" s="1">
        <f t="shared" si="18"/>
        <v>35</v>
      </c>
      <c r="B38" s="1" t="s">
        <v>177</v>
      </c>
      <c r="C38" s="1" t="s">
        <v>178</v>
      </c>
      <c r="D38" s="1" t="s">
        <v>178</v>
      </c>
      <c r="E38" s="1">
        <f t="shared" si="40"/>
        <v>0</v>
      </c>
      <c r="K38" s="1">
        <v>2</v>
      </c>
      <c r="L38" s="1">
        <v>6</v>
      </c>
      <c r="N38" s="1" t="b">
        <v>1</v>
      </c>
      <c r="O38" s="1" t="b">
        <v>1</v>
      </c>
      <c r="P38" s="1" t="b">
        <v>1</v>
      </c>
      <c r="Q38" s="1" t="b">
        <v>1</v>
      </c>
      <c r="S38" s="1" t="b">
        <v>1</v>
      </c>
      <c r="V38" s="1">
        <v>0.75</v>
      </c>
      <c r="W38" s="1">
        <v>0.34</v>
      </c>
      <c r="X38" s="1">
        <v>0.34</v>
      </c>
      <c r="Y38" s="1">
        <v>0.5</v>
      </c>
      <c r="Z38" s="1" t="b">
        <f>FALSE</f>
        <v>0</v>
      </c>
      <c r="AA38" s="1" t="str">
        <f t="shared" si="19"/>
        <v/>
      </c>
      <c r="AB38" s="1" t="str">
        <f t="shared" si="20"/>
        <v/>
      </c>
      <c r="AC38" s="1">
        <f t="shared" si="41"/>
        <v>0</v>
      </c>
      <c r="AD38" s="1" t="str">
        <f t="shared" si="21"/>
        <v/>
      </c>
      <c r="AE38" s="1" t="str">
        <f t="shared" si="22"/>
        <v/>
      </c>
      <c r="AF38" s="1">
        <f t="shared" si="42"/>
        <v>0</v>
      </c>
      <c r="AG38" s="1">
        <f t="shared" si="23"/>
        <v>5</v>
      </c>
      <c r="AH38" s="1" t="str">
        <f t="shared" si="9"/>
        <v/>
      </c>
      <c r="AI38" s="1">
        <v>1</v>
      </c>
      <c r="AJ38" s="1">
        <v>2</v>
      </c>
      <c r="AK38" s="1">
        <v>1</v>
      </c>
      <c r="AL38" s="1">
        <v>1</v>
      </c>
      <c r="AM38" s="1">
        <v>1</v>
      </c>
      <c r="AN38" s="1">
        <f>IF(IsLycanthrope,2,0)</f>
        <v>0</v>
      </c>
      <c r="AO38" s="1">
        <v>2</v>
      </c>
      <c r="AP38" s="1">
        <v>2</v>
      </c>
      <c r="AQ38" s="1">
        <v>2</v>
      </c>
      <c r="AR38" s="1">
        <v>2</v>
      </c>
      <c r="AS38" s="1">
        <v>2</v>
      </c>
      <c r="AT38" s="1">
        <v>2</v>
      </c>
      <c r="AU38" s="1">
        <v>2</v>
      </c>
      <c r="AV38" s="1">
        <v>2</v>
      </c>
      <c r="AW38" s="1">
        <v>1</v>
      </c>
      <c r="AX38" s="1">
        <v>2</v>
      </c>
      <c r="AY38" s="1">
        <v>1</v>
      </c>
      <c r="AZ38" s="1">
        <v>1</v>
      </c>
      <c r="BA38" s="1">
        <v>1</v>
      </c>
      <c r="BB38" s="1">
        <v>1</v>
      </c>
      <c r="BC38" s="1">
        <v>1</v>
      </c>
      <c r="BD38" s="1">
        <v>1</v>
      </c>
      <c r="BE38" s="1">
        <v>2</v>
      </c>
      <c r="BF38" s="1">
        <v>1</v>
      </c>
      <c r="BG38" s="1">
        <f>IF(HRRVL,1,0)</f>
        <v>0</v>
      </c>
      <c r="BH38" s="1">
        <f>IF(HROA,1,0)</f>
        <v>0</v>
      </c>
      <c r="BI38" s="1">
        <v>1</v>
      </c>
      <c r="BJ38" s="1">
        <v>1</v>
      </c>
      <c r="BK38" s="1">
        <v>2</v>
      </c>
      <c r="BL38" s="1">
        <v>2</v>
      </c>
      <c r="BM38" s="1">
        <v>2</v>
      </c>
      <c r="BN38" s="1">
        <v>2</v>
      </c>
      <c r="BO38" s="1">
        <v>2</v>
      </c>
      <c r="BP38" s="1">
        <v>2</v>
      </c>
      <c r="BQ38" s="1">
        <f>IF(HRRVL,2,0)</f>
        <v>0</v>
      </c>
      <c r="BR38" s="1">
        <v>2</v>
      </c>
      <c r="BS38" s="1">
        <v>2</v>
      </c>
      <c r="BT38" s="1">
        <v>2</v>
      </c>
      <c r="BU38" s="1">
        <f>IF(HRRVL,2,0)</f>
        <v>0</v>
      </c>
      <c r="BV38" s="1">
        <v>2</v>
      </c>
      <c r="BW38" s="1">
        <v>2</v>
      </c>
      <c r="BX38" s="1">
        <v>2</v>
      </c>
      <c r="BY38" s="1">
        <v>2</v>
      </c>
      <c r="BZ38" s="1">
        <v>2</v>
      </c>
      <c r="CA38" s="1">
        <v>2</v>
      </c>
      <c r="CB38" s="1">
        <v>2</v>
      </c>
      <c r="CC38" s="1">
        <v>2</v>
      </c>
      <c r="CD38" s="1">
        <v>2</v>
      </c>
      <c r="CE38" s="1">
        <v>2</v>
      </c>
      <c r="CF38" s="1">
        <v>1</v>
      </c>
      <c r="CG38" s="1">
        <f>IF(HRToB,1,0)</f>
        <v>0</v>
      </c>
      <c r="CH38" s="1">
        <v>1</v>
      </c>
      <c r="CI38" s="1">
        <v>1</v>
      </c>
      <c r="CJ38" s="1">
        <v>1</v>
      </c>
      <c r="CK38" s="1">
        <v>1</v>
      </c>
      <c r="CL38" s="1">
        <v>1</v>
      </c>
      <c r="CM38" s="1">
        <v>1</v>
      </c>
      <c r="CN38" s="1">
        <v>1</v>
      </c>
      <c r="CO38" s="1">
        <v>1</v>
      </c>
      <c r="CP38" s="1">
        <v>2</v>
      </c>
      <c r="CQ38" s="1">
        <v>2</v>
      </c>
      <c r="CR38" s="1">
        <v>2</v>
      </c>
      <c r="CS38" s="1">
        <v>2</v>
      </c>
      <c r="CT38" s="1">
        <v>2</v>
      </c>
      <c r="CU38" s="1">
        <v>2</v>
      </c>
      <c r="CV38" s="1">
        <v>2</v>
      </c>
      <c r="CW38" s="1">
        <v>1</v>
      </c>
      <c r="CX38" s="1">
        <v>1</v>
      </c>
      <c r="CY38" s="1">
        <v>1</v>
      </c>
      <c r="CZ38" s="1">
        <f>IF(HRCS,1,0)</f>
        <v>0</v>
      </c>
      <c r="DA38" s="1">
        <v>1</v>
      </c>
      <c r="DB38" s="1">
        <v>1</v>
      </c>
      <c r="DC38" s="1">
        <v>1</v>
      </c>
      <c r="DD38" s="1">
        <v>1</v>
      </c>
      <c r="DE38" s="1">
        <v>1</v>
      </c>
      <c r="DF38" s="1">
        <v>1</v>
      </c>
      <c r="DG38" s="1">
        <v>1</v>
      </c>
      <c r="DH38" s="1">
        <v>1</v>
      </c>
      <c r="DI38" s="1">
        <v>1</v>
      </c>
      <c r="DJ38" s="1">
        <v>1</v>
      </c>
      <c r="DK38" s="1" t="s">
        <v>179</v>
      </c>
      <c r="DL38" s="1" t="s">
        <v>170</v>
      </c>
      <c r="EE38" s="8" t="s">
        <v>161</v>
      </c>
      <c r="EF38" s="9">
        <v>12</v>
      </c>
      <c r="EG38" s="9" t="s">
        <v>162</v>
      </c>
      <c r="EH38" s="9">
        <v>1</v>
      </c>
      <c r="EI38" s="9" t="b">
        <f t="shared" si="54"/>
        <v>0</v>
      </c>
      <c r="EJ38" s="9" t="str">
        <f t="shared" si="55"/>
        <v/>
      </c>
      <c r="EK38" s="9">
        <f t="shared" si="59"/>
        <v>99</v>
      </c>
      <c r="EL38" s="9">
        <f t="shared" si="60"/>
        <v>99</v>
      </c>
      <c r="EM38" s="9">
        <f t="shared" si="56"/>
        <v>99</v>
      </c>
      <c r="EN38" s="9">
        <f t="shared" si="57"/>
        <v>99</v>
      </c>
      <c r="EO38" s="10">
        <f t="shared" si="58"/>
        <v>0</v>
      </c>
    </row>
    <row r="39" spans="1:145" ht="11.25" customHeight="1" x14ac:dyDescent="0.2">
      <c r="A39" s="1">
        <f t="shared" si="18"/>
        <v>36</v>
      </c>
      <c r="B39" s="1" t="s">
        <v>180</v>
      </c>
      <c r="C39" s="1" t="s">
        <v>181</v>
      </c>
      <c r="D39" s="1" t="s">
        <v>181</v>
      </c>
      <c r="E39" s="1">
        <f t="shared" si="40"/>
        <v>0</v>
      </c>
      <c r="K39" s="1">
        <v>2</v>
      </c>
      <c r="L39" s="1">
        <v>10</v>
      </c>
      <c r="N39" s="1" t="b">
        <v>1</v>
      </c>
      <c r="O39" s="1" t="b">
        <v>1</v>
      </c>
      <c r="P39" s="1" t="b">
        <v>1</v>
      </c>
      <c r="Q39" s="1" t="b">
        <v>1</v>
      </c>
      <c r="S39" s="1" t="b">
        <v>1</v>
      </c>
      <c r="T39" s="1" t="b">
        <v>1</v>
      </c>
      <c r="V39" s="1">
        <v>0.75</v>
      </c>
      <c r="W39" s="1">
        <v>0.5</v>
      </c>
      <c r="X39" s="1">
        <v>0.34</v>
      </c>
      <c r="Y39" s="1">
        <v>0.5</v>
      </c>
      <c r="Z39" s="1" t="b">
        <f>FALSE</f>
        <v>0</v>
      </c>
      <c r="AA39" s="1" t="str">
        <f t="shared" si="19"/>
        <v/>
      </c>
      <c r="AB39" s="1" t="str">
        <f t="shared" si="20"/>
        <v/>
      </c>
      <c r="AC39" s="1">
        <f t="shared" si="41"/>
        <v>0</v>
      </c>
      <c r="AD39" s="1" t="str">
        <f t="shared" si="21"/>
        <v/>
      </c>
      <c r="AE39" s="1" t="str">
        <f t="shared" si="22"/>
        <v/>
      </c>
      <c r="AF39" s="1">
        <f t="shared" si="42"/>
        <v>0</v>
      </c>
      <c r="AG39" s="1">
        <f t="shared" si="23"/>
        <v>5</v>
      </c>
      <c r="AH39" s="1" t="str">
        <f t="shared" si="9"/>
        <v/>
      </c>
      <c r="AI39" s="1">
        <v>1</v>
      </c>
      <c r="AJ39" s="1">
        <v>2</v>
      </c>
      <c r="AK39" s="1">
        <v>1</v>
      </c>
      <c r="AL39" s="1">
        <v>1</v>
      </c>
      <c r="AM39" s="1">
        <v>2</v>
      </c>
      <c r="AN39" s="1">
        <f>IF(IsLycanthrope,2,0)</f>
        <v>0</v>
      </c>
      <c r="AO39" s="1">
        <v>2</v>
      </c>
      <c r="AP39" s="1">
        <v>2</v>
      </c>
      <c r="AQ39" s="1">
        <v>2</v>
      </c>
      <c r="AR39" s="1">
        <v>2</v>
      </c>
      <c r="AS39" s="1">
        <v>2</v>
      </c>
      <c r="AT39" s="1">
        <v>2</v>
      </c>
      <c r="AU39" s="1">
        <v>2</v>
      </c>
      <c r="AV39" s="1">
        <v>2</v>
      </c>
      <c r="AW39" s="1">
        <v>1</v>
      </c>
      <c r="AX39" s="1">
        <v>1</v>
      </c>
      <c r="AY39" s="1">
        <v>1</v>
      </c>
      <c r="AZ39" s="1">
        <v>1</v>
      </c>
      <c r="BA39" s="1">
        <v>1</v>
      </c>
      <c r="BB39" s="1">
        <v>1</v>
      </c>
      <c r="BC39" s="1">
        <v>1</v>
      </c>
      <c r="BD39" s="1">
        <v>1</v>
      </c>
      <c r="BE39" s="1">
        <v>1</v>
      </c>
      <c r="BF39" s="1">
        <v>1</v>
      </c>
      <c r="BG39" s="1">
        <f>IF(HRRVL,1,0)</f>
        <v>0</v>
      </c>
      <c r="BH39" s="1">
        <f>IF(HROA,1,0)</f>
        <v>0</v>
      </c>
      <c r="BI39" s="1">
        <v>1</v>
      </c>
      <c r="BJ39" s="1">
        <v>2</v>
      </c>
      <c r="BK39" s="1">
        <v>1</v>
      </c>
      <c r="BL39" s="1">
        <v>1</v>
      </c>
      <c r="BM39" s="1">
        <v>1</v>
      </c>
      <c r="BN39" s="1">
        <v>1</v>
      </c>
      <c r="BO39" s="1">
        <v>1</v>
      </c>
      <c r="BP39" s="1">
        <v>1</v>
      </c>
      <c r="BQ39" s="1">
        <f>IF(HRRVL,1,0)</f>
        <v>0</v>
      </c>
      <c r="BR39" s="1">
        <v>1</v>
      </c>
      <c r="BS39" s="1">
        <v>1</v>
      </c>
      <c r="BT39" s="1">
        <v>2</v>
      </c>
      <c r="BU39" s="1">
        <f>IF(HRRVL,1,0)</f>
        <v>0</v>
      </c>
      <c r="BV39" s="1">
        <v>2</v>
      </c>
      <c r="BW39" s="1">
        <v>1</v>
      </c>
      <c r="BX39" s="1">
        <v>1</v>
      </c>
      <c r="BY39" s="1">
        <v>1</v>
      </c>
      <c r="BZ39" s="1">
        <v>1</v>
      </c>
      <c r="CA39" s="1">
        <v>1</v>
      </c>
      <c r="CB39" s="1">
        <v>1</v>
      </c>
      <c r="CC39" s="1">
        <v>1</v>
      </c>
      <c r="CD39" s="1">
        <v>1</v>
      </c>
      <c r="CE39" s="1">
        <v>1</v>
      </c>
      <c r="CF39" s="1">
        <v>1</v>
      </c>
      <c r="CG39" s="1">
        <f>IF(HRToB,1,0)</f>
        <v>0</v>
      </c>
      <c r="CH39" s="1">
        <v>1</v>
      </c>
      <c r="CI39" s="1">
        <v>1</v>
      </c>
      <c r="CJ39" s="1">
        <v>1</v>
      </c>
      <c r="CK39" s="1">
        <v>1</v>
      </c>
      <c r="CL39" s="1">
        <v>1</v>
      </c>
      <c r="CM39" s="1">
        <v>1</v>
      </c>
      <c r="CN39" s="1">
        <v>1</v>
      </c>
      <c r="CO39" s="1">
        <v>1</v>
      </c>
      <c r="CP39" s="1">
        <v>2</v>
      </c>
      <c r="CQ39" s="1">
        <v>2</v>
      </c>
      <c r="CR39" s="1">
        <v>2</v>
      </c>
      <c r="CS39" s="1">
        <v>2</v>
      </c>
      <c r="CT39" s="1">
        <v>2</v>
      </c>
      <c r="CU39" s="1">
        <v>2</v>
      </c>
      <c r="CV39" s="1">
        <v>2</v>
      </c>
      <c r="CW39" s="1">
        <v>2</v>
      </c>
      <c r="CX39" s="1">
        <v>1</v>
      </c>
      <c r="CY39" s="1">
        <v>1</v>
      </c>
      <c r="CZ39" s="1">
        <f>IF(HRCS,1,0)</f>
        <v>0</v>
      </c>
      <c r="DA39" s="1">
        <v>1</v>
      </c>
      <c r="DB39" s="1">
        <v>1</v>
      </c>
      <c r="DC39" s="1">
        <v>1</v>
      </c>
      <c r="DD39" s="1">
        <v>1</v>
      </c>
      <c r="DE39" s="1">
        <v>1</v>
      </c>
      <c r="DF39" s="1">
        <v>2</v>
      </c>
      <c r="DG39" s="1">
        <v>1</v>
      </c>
      <c r="DH39" s="1">
        <v>1</v>
      </c>
      <c r="DI39" s="1">
        <v>1</v>
      </c>
      <c r="DJ39" s="1">
        <v>1</v>
      </c>
      <c r="DK39" s="1" t="s">
        <v>179</v>
      </c>
      <c r="DL39" s="1" t="s">
        <v>170</v>
      </c>
      <c r="EE39" s="8" t="s">
        <v>151</v>
      </c>
      <c r="EF39" s="9">
        <v>12</v>
      </c>
      <c r="EG39" s="9" t="s">
        <v>129</v>
      </c>
      <c r="EH39" s="9">
        <v>1</v>
      </c>
      <c r="EI39" s="9" t="b">
        <f t="shared" si="54"/>
        <v>0</v>
      </c>
      <c r="EJ39" s="9" t="str">
        <f t="shared" si="55"/>
        <v/>
      </c>
      <c r="EK39" s="9">
        <f t="shared" si="59"/>
        <v>99</v>
      </c>
      <c r="EL39" s="9">
        <f t="shared" si="60"/>
        <v>99</v>
      </c>
      <c r="EM39" s="9">
        <f t="shared" si="56"/>
        <v>99</v>
      </c>
      <c r="EN39" s="9">
        <f t="shared" si="57"/>
        <v>99</v>
      </c>
      <c r="EO39" s="10">
        <f t="shared" si="58"/>
        <v>0</v>
      </c>
    </row>
    <row r="40" spans="1:145" ht="11.25" customHeight="1" x14ac:dyDescent="0.2">
      <c r="A40" s="1">
        <f t="shared" si="18"/>
        <v>37</v>
      </c>
      <c r="B40" s="1" t="s">
        <v>182</v>
      </c>
      <c r="C40" s="1" t="s">
        <v>183</v>
      </c>
      <c r="D40" s="1" t="s">
        <v>183</v>
      </c>
      <c r="E40" s="1">
        <f t="shared" si="40"/>
        <v>0</v>
      </c>
      <c r="K40" s="1">
        <v>4</v>
      </c>
      <c r="L40" s="1">
        <v>6</v>
      </c>
      <c r="N40" s="1" t="b">
        <v>1</v>
      </c>
      <c r="Q40" s="1" t="b">
        <v>1</v>
      </c>
      <c r="S40" s="1" t="b">
        <v>1</v>
      </c>
      <c r="T40" s="1" t="b">
        <v>1</v>
      </c>
      <c r="V40" s="1">
        <v>0.75</v>
      </c>
      <c r="W40" s="1">
        <v>0.34</v>
      </c>
      <c r="X40" s="1">
        <v>0.5</v>
      </c>
      <c r="Y40" s="1">
        <v>0.5</v>
      </c>
      <c r="Z40" s="1" t="b">
        <f>FALSE</f>
        <v>0</v>
      </c>
      <c r="AA40" s="1" t="str">
        <f t="shared" si="19"/>
        <v/>
      </c>
      <c r="AB40" s="1" t="str">
        <f t="shared" si="20"/>
        <v/>
      </c>
      <c r="AC40" s="1">
        <f t="shared" si="41"/>
        <v>0</v>
      </c>
      <c r="AD40" s="1" t="str">
        <f t="shared" si="21"/>
        <v/>
      </c>
      <c r="AE40" s="1" t="str">
        <f t="shared" si="22"/>
        <v/>
      </c>
      <c r="AF40" s="1">
        <f t="shared" si="42"/>
        <v>0</v>
      </c>
      <c r="AG40" s="1">
        <f t="shared" si="23"/>
        <v>5</v>
      </c>
      <c r="AH40" s="1" t="str">
        <f t="shared" si="9"/>
        <v/>
      </c>
      <c r="AI40" s="1">
        <v>1</v>
      </c>
      <c r="AJ40" s="1">
        <v>2</v>
      </c>
      <c r="AK40" s="1">
        <v>1</v>
      </c>
      <c r="AL40" s="1">
        <v>2</v>
      </c>
      <c r="AM40" s="1">
        <v>2</v>
      </c>
      <c r="AN40" s="1">
        <f>IF(IsLycanthrope,2,0)</f>
        <v>0</v>
      </c>
      <c r="AO40" s="1">
        <v>2</v>
      </c>
      <c r="AP40" s="1">
        <v>2</v>
      </c>
      <c r="AQ40" s="1">
        <v>2</v>
      </c>
      <c r="AR40" s="1">
        <v>2</v>
      </c>
      <c r="AS40" s="1">
        <v>2</v>
      </c>
      <c r="AT40" s="1">
        <v>2</v>
      </c>
      <c r="AU40" s="1">
        <v>2</v>
      </c>
      <c r="AV40" s="1">
        <v>2</v>
      </c>
      <c r="AW40" s="1">
        <v>1</v>
      </c>
      <c r="AX40" s="1">
        <v>1</v>
      </c>
      <c r="AY40" s="1">
        <v>1</v>
      </c>
      <c r="AZ40" s="1">
        <v>2</v>
      </c>
      <c r="BA40" s="1">
        <v>2</v>
      </c>
      <c r="BB40" s="1">
        <v>1</v>
      </c>
      <c r="BC40" s="1">
        <v>1</v>
      </c>
      <c r="BD40" s="1">
        <v>1</v>
      </c>
      <c r="BE40" s="1">
        <v>1</v>
      </c>
      <c r="BF40" s="1">
        <v>2</v>
      </c>
      <c r="BG40" s="1">
        <f>IF(HRRVL,1,0)</f>
        <v>0</v>
      </c>
      <c r="BH40" s="1">
        <f>IF(HROA,1,0)</f>
        <v>0</v>
      </c>
      <c r="BI40" s="1">
        <v>1</v>
      </c>
      <c r="BJ40" s="1">
        <v>2</v>
      </c>
      <c r="BK40" s="1">
        <v>1</v>
      </c>
      <c r="BL40" s="1">
        <v>1</v>
      </c>
      <c r="BM40" s="1">
        <v>1</v>
      </c>
      <c r="BN40" s="1">
        <v>1</v>
      </c>
      <c r="BO40" s="1">
        <v>1</v>
      </c>
      <c r="BP40" s="1">
        <v>1</v>
      </c>
      <c r="BQ40" s="1">
        <f>IF(HRRVL,1,0)</f>
        <v>0</v>
      </c>
      <c r="BR40" s="1">
        <v>1</v>
      </c>
      <c r="BS40" s="1">
        <v>1</v>
      </c>
      <c r="BT40" s="1">
        <v>2</v>
      </c>
      <c r="BU40" s="1">
        <f>IF(HRRVL,1,0)</f>
        <v>0</v>
      </c>
      <c r="BV40" s="1">
        <v>1</v>
      </c>
      <c r="BW40" s="1">
        <v>1</v>
      </c>
      <c r="BX40" s="1">
        <v>1</v>
      </c>
      <c r="BY40" s="1">
        <v>1</v>
      </c>
      <c r="BZ40" s="1">
        <v>1</v>
      </c>
      <c r="CA40" s="1">
        <v>1</v>
      </c>
      <c r="CB40" s="1">
        <v>1</v>
      </c>
      <c r="CC40" s="1">
        <v>1</v>
      </c>
      <c r="CD40" s="1">
        <v>1</v>
      </c>
      <c r="CE40" s="1">
        <v>1</v>
      </c>
      <c r="CF40" s="1">
        <v>2</v>
      </c>
      <c r="CG40" s="1">
        <f>IF(HRToB,1,0)</f>
        <v>0</v>
      </c>
      <c r="CH40" s="1">
        <v>2</v>
      </c>
      <c r="CI40" s="1">
        <v>1</v>
      </c>
      <c r="CJ40" s="1">
        <v>1</v>
      </c>
      <c r="CK40" s="1">
        <v>1</v>
      </c>
      <c r="CL40" s="1">
        <v>1</v>
      </c>
      <c r="CM40" s="1">
        <v>1</v>
      </c>
      <c r="CN40" s="1">
        <v>1</v>
      </c>
      <c r="CO40" s="1">
        <v>1</v>
      </c>
      <c r="CP40" s="1">
        <v>2</v>
      </c>
      <c r="CQ40" s="1">
        <v>2</v>
      </c>
      <c r="CR40" s="1">
        <v>2</v>
      </c>
      <c r="CS40" s="1">
        <v>2</v>
      </c>
      <c r="CT40" s="1">
        <v>2</v>
      </c>
      <c r="CU40" s="1">
        <v>2</v>
      </c>
      <c r="CV40" s="1">
        <v>2</v>
      </c>
      <c r="CW40" s="1">
        <v>1</v>
      </c>
      <c r="CX40" s="1">
        <v>1</v>
      </c>
      <c r="CY40" s="1">
        <v>1</v>
      </c>
      <c r="CZ40" s="1">
        <f>IF(HRCS,1,0)</f>
        <v>0</v>
      </c>
      <c r="DA40" s="1">
        <v>2</v>
      </c>
      <c r="DB40" s="1">
        <v>1</v>
      </c>
      <c r="DC40" s="1">
        <v>1</v>
      </c>
      <c r="DD40" s="1">
        <v>2</v>
      </c>
      <c r="DE40" s="1">
        <v>1</v>
      </c>
      <c r="DF40" s="1">
        <v>2</v>
      </c>
      <c r="DG40" s="1">
        <v>2</v>
      </c>
      <c r="DH40" s="1">
        <v>1</v>
      </c>
      <c r="DI40" s="1">
        <v>2</v>
      </c>
      <c r="DJ40" s="1">
        <v>1</v>
      </c>
      <c r="DK40" s="1" t="s">
        <v>179</v>
      </c>
      <c r="DL40" s="1" t="s">
        <v>170</v>
      </c>
      <c r="EE40" s="8" t="s">
        <v>184</v>
      </c>
      <c r="EF40" s="9">
        <v>1</v>
      </c>
      <c r="EG40" s="9" t="s">
        <v>162</v>
      </c>
      <c r="EH40" s="9">
        <v>2</v>
      </c>
      <c r="EI40" s="9" t="b">
        <f t="shared" si="54"/>
        <v>0</v>
      </c>
      <c r="EJ40" s="9" t="str">
        <f t="shared" si="55"/>
        <v/>
      </c>
      <c r="EK40" s="9">
        <f t="shared" si="59"/>
        <v>99</v>
      </c>
      <c r="EL40" s="9">
        <f t="shared" si="60"/>
        <v>99</v>
      </c>
      <c r="EM40" s="9">
        <f t="shared" si="56"/>
        <v>99</v>
      </c>
      <c r="EN40" s="9">
        <f t="shared" si="57"/>
        <v>99</v>
      </c>
      <c r="EO40" s="10">
        <f t="shared" si="58"/>
        <v>0</v>
      </c>
    </row>
    <row r="41" spans="1:145" ht="11.25" customHeight="1" x14ac:dyDescent="0.2">
      <c r="A41" s="1">
        <f t="shared" si="18"/>
        <v>38</v>
      </c>
      <c r="B41" s="1" t="s">
        <v>185</v>
      </c>
      <c r="E41" s="1">
        <f t="shared" si="40"/>
        <v>0</v>
      </c>
      <c r="F41" s="1">
        <v>1</v>
      </c>
      <c r="Z41" s="1" t="b">
        <f>FALSE</f>
        <v>0</v>
      </c>
      <c r="AA41" s="1" t="str">
        <f t="shared" si="19"/>
        <v/>
      </c>
      <c r="AB41" s="1" t="str">
        <f t="shared" si="20"/>
        <v/>
      </c>
      <c r="AC41" s="1">
        <f t="shared" si="41"/>
        <v>0</v>
      </c>
      <c r="AD41" s="1" t="str">
        <f t="shared" si="21"/>
        <v/>
      </c>
      <c r="AE41" s="1" t="str">
        <f t="shared" si="22"/>
        <v/>
      </c>
      <c r="AF41" s="1">
        <f t="shared" si="42"/>
        <v>0</v>
      </c>
      <c r="AG41" s="1">
        <f t="shared" si="23"/>
        <v>5</v>
      </c>
      <c r="AH41" s="1" t="str">
        <f t="shared" si="9"/>
        <v/>
      </c>
      <c r="EE41" s="8" t="s">
        <v>184</v>
      </c>
      <c r="EF41" s="9">
        <v>3</v>
      </c>
      <c r="EG41" s="9" t="s">
        <v>129</v>
      </c>
      <c r="EH41" s="9">
        <v>2</v>
      </c>
      <c r="EI41" s="9" t="b">
        <f t="shared" si="54"/>
        <v>0</v>
      </c>
      <c r="EJ41" s="9" t="str">
        <f t="shared" si="55"/>
        <v/>
      </c>
      <c r="EK41" s="9">
        <f t="shared" si="59"/>
        <v>99</v>
      </c>
      <c r="EL41" s="9">
        <f t="shared" si="60"/>
        <v>99</v>
      </c>
      <c r="EM41" s="9">
        <f t="shared" si="56"/>
        <v>99</v>
      </c>
      <c r="EN41" s="9">
        <f t="shared" si="57"/>
        <v>99</v>
      </c>
      <c r="EO41" s="10">
        <f t="shared" si="58"/>
        <v>0</v>
      </c>
    </row>
    <row r="42" spans="1:145" ht="11.25" customHeight="1" x14ac:dyDescent="0.2">
      <c r="A42" s="1">
        <f t="shared" si="18"/>
        <v>39</v>
      </c>
      <c r="B42" s="1" t="s">
        <v>186</v>
      </c>
      <c r="C42" s="1" t="s">
        <v>187</v>
      </c>
      <c r="D42" s="1" t="s">
        <v>187</v>
      </c>
      <c r="E42" s="1">
        <f t="shared" si="40"/>
        <v>0</v>
      </c>
      <c r="K42" s="1">
        <v>4</v>
      </c>
      <c r="L42" s="1">
        <v>6</v>
      </c>
      <c r="N42" s="1" t="b">
        <v>1</v>
      </c>
      <c r="O42" s="1" t="b">
        <v>1</v>
      </c>
      <c r="S42" s="1" t="b">
        <v>1</v>
      </c>
      <c r="V42" s="1">
        <v>0.5</v>
      </c>
      <c r="W42" s="1">
        <v>0.5</v>
      </c>
      <c r="X42" s="1">
        <v>0.34</v>
      </c>
      <c r="Y42" s="1">
        <v>0.5</v>
      </c>
      <c r="Z42" s="1" t="b">
        <f>FALSE</f>
        <v>0</v>
      </c>
      <c r="AA42" s="1" t="str">
        <f t="shared" si="19"/>
        <v/>
      </c>
      <c r="AB42" s="1" t="str">
        <f t="shared" si="20"/>
        <v/>
      </c>
      <c r="AC42" s="1">
        <f t="shared" si="41"/>
        <v>0</v>
      </c>
      <c r="AD42" s="1" t="str">
        <f t="shared" si="21"/>
        <v/>
      </c>
      <c r="AE42" s="1" t="str">
        <f t="shared" si="22"/>
        <v/>
      </c>
      <c r="AF42" s="1">
        <f t="shared" si="42"/>
        <v>0</v>
      </c>
      <c r="AG42" s="1">
        <f t="shared" si="23"/>
        <v>5</v>
      </c>
      <c r="AH42" s="1" t="str">
        <f t="shared" si="9"/>
        <v/>
      </c>
      <c r="AI42" s="1">
        <v>1</v>
      </c>
      <c r="AJ42" s="1">
        <f>IF(HRXPH,1,0)</f>
        <v>0</v>
      </c>
      <c r="AK42" s="1">
        <v>1</v>
      </c>
      <c r="AL42" s="1">
        <v>1</v>
      </c>
      <c r="AM42" s="1">
        <v>1</v>
      </c>
      <c r="AN42" s="1">
        <f>IF(IsLycanthrope,2,0)</f>
        <v>0</v>
      </c>
      <c r="AO42" s="1">
        <v>2</v>
      </c>
      <c r="AP42" s="1">
        <v>2</v>
      </c>
      <c r="AQ42" s="1">
        <v>2</v>
      </c>
      <c r="AR42" s="1">
        <v>2</v>
      </c>
      <c r="AS42" s="1">
        <v>2</v>
      </c>
      <c r="AT42" s="1">
        <v>2</v>
      </c>
      <c r="AU42" s="1">
        <v>2</v>
      </c>
      <c r="AV42" s="1">
        <v>2</v>
      </c>
      <c r="AW42" s="1">
        <v>2</v>
      </c>
      <c r="AX42" s="1">
        <v>2</v>
      </c>
      <c r="AY42" s="1">
        <v>1</v>
      </c>
      <c r="AZ42" s="1">
        <v>1</v>
      </c>
      <c r="BA42" s="1">
        <v>1</v>
      </c>
      <c r="BB42" s="1">
        <v>1</v>
      </c>
      <c r="BC42" s="1">
        <v>2</v>
      </c>
      <c r="BD42" s="1">
        <v>1</v>
      </c>
      <c r="BE42" s="1">
        <v>2</v>
      </c>
      <c r="BF42" s="1">
        <v>1</v>
      </c>
      <c r="BG42" s="1">
        <f>IF(HRRVL,1,0)</f>
        <v>0</v>
      </c>
      <c r="BH42" s="1">
        <f>IF(HROA,1,0)</f>
        <v>0</v>
      </c>
      <c r="BI42" s="1">
        <v>1</v>
      </c>
      <c r="BJ42" s="1">
        <v>1</v>
      </c>
      <c r="BK42" s="1">
        <v>2</v>
      </c>
      <c r="BL42" s="1">
        <v>2</v>
      </c>
      <c r="BM42" s="1">
        <v>2</v>
      </c>
      <c r="BN42" s="1">
        <v>2</v>
      </c>
      <c r="BO42" s="1">
        <v>2</v>
      </c>
      <c r="BP42" s="1">
        <v>2</v>
      </c>
      <c r="BQ42" s="1">
        <f>IF(HRRVL,2,0)</f>
        <v>0</v>
      </c>
      <c r="BR42" s="1">
        <v>2</v>
      </c>
      <c r="BS42" s="1">
        <v>2</v>
      </c>
      <c r="BT42" s="1">
        <f>IF(HRXPH,2,0)</f>
        <v>0</v>
      </c>
      <c r="BU42" s="1">
        <f>IF(HRRVL,2,0)</f>
        <v>0</v>
      </c>
      <c r="BV42" s="1">
        <v>2</v>
      </c>
      <c r="BW42" s="1">
        <v>2</v>
      </c>
      <c r="BX42" s="1">
        <v>2</v>
      </c>
      <c r="BY42" s="1">
        <v>2</v>
      </c>
      <c r="BZ42" s="1">
        <v>2</v>
      </c>
      <c r="CA42" s="1">
        <v>2</v>
      </c>
      <c r="CB42" s="1">
        <v>2</v>
      </c>
      <c r="CC42" s="1">
        <v>2</v>
      </c>
      <c r="CD42" s="1">
        <v>2</v>
      </c>
      <c r="CE42" s="1">
        <v>2</v>
      </c>
      <c r="CF42" s="1">
        <v>1</v>
      </c>
      <c r="CG42" s="1">
        <f>IF(HRToB,1,0)</f>
        <v>0</v>
      </c>
      <c r="CH42" s="1">
        <v>1</v>
      </c>
      <c r="CI42" s="1">
        <v>1</v>
      </c>
      <c r="CJ42" s="1">
        <v>1</v>
      </c>
      <c r="CK42" s="1">
        <v>1</v>
      </c>
      <c r="CL42" s="1">
        <v>1</v>
      </c>
      <c r="CM42" s="1">
        <v>1</v>
      </c>
      <c r="CN42" s="1">
        <v>1</v>
      </c>
      <c r="CO42" s="1">
        <v>1</v>
      </c>
      <c r="CP42" s="1">
        <v>2</v>
      </c>
      <c r="CQ42" s="1">
        <v>2</v>
      </c>
      <c r="CR42" s="1">
        <v>2</v>
      </c>
      <c r="CS42" s="1">
        <v>2</v>
      </c>
      <c r="CT42" s="1">
        <v>2</v>
      </c>
      <c r="CU42" s="1">
        <v>2</v>
      </c>
      <c r="CV42" s="1">
        <f>IF(HRXPH,1,0)</f>
        <v>0</v>
      </c>
      <c r="CW42" s="1">
        <v>1</v>
      </c>
      <c r="CX42" s="1">
        <v>2</v>
      </c>
      <c r="CY42" s="1">
        <v>1</v>
      </c>
      <c r="CZ42" s="1">
        <f>IF(HRCS,1,0)</f>
        <v>0</v>
      </c>
      <c r="DA42" s="1">
        <v>1</v>
      </c>
      <c r="DB42" s="1">
        <v>1</v>
      </c>
      <c r="DC42" s="1">
        <v>2</v>
      </c>
      <c r="DD42" s="1">
        <v>1</v>
      </c>
      <c r="DE42" s="1">
        <v>1</v>
      </c>
      <c r="DF42" s="1">
        <v>1</v>
      </c>
      <c r="DG42" s="1">
        <v>1</v>
      </c>
      <c r="DH42" s="1">
        <v>1</v>
      </c>
      <c r="DI42" s="1">
        <f>IF(HRXPH,1,0)</f>
        <v>0</v>
      </c>
      <c r="DJ42" s="1">
        <v>1</v>
      </c>
      <c r="DK42" s="1" t="s">
        <v>188</v>
      </c>
      <c r="DL42" s="1" t="s">
        <v>150</v>
      </c>
      <c r="EE42" s="8" t="s">
        <v>184</v>
      </c>
      <c r="EF42" s="9">
        <v>5</v>
      </c>
      <c r="EG42" s="9" t="s">
        <v>134</v>
      </c>
      <c r="EH42" s="9">
        <v>2</v>
      </c>
      <c r="EI42" s="9" t="b">
        <f t="shared" si="54"/>
        <v>0</v>
      </c>
      <c r="EJ42" s="9" t="str">
        <f t="shared" si="55"/>
        <v/>
      </c>
      <c r="EK42" s="9">
        <f t="shared" si="59"/>
        <v>99</v>
      </c>
      <c r="EL42" s="9">
        <f t="shared" si="60"/>
        <v>99</v>
      </c>
      <c r="EM42" s="9">
        <f t="shared" si="56"/>
        <v>99</v>
      </c>
      <c r="EN42" s="9">
        <f t="shared" si="57"/>
        <v>99</v>
      </c>
      <c r="EO42" s="10">
        <f t="shared" si="58"/>
        <v>0</v>
      </c>
    </row>
    <row r="43" spans="1:145" ht="11.25" customHeight="1" x14ac:dyDescent="0.2">
      <c r="A43" s="1">
        <f t="shared" si="18"/>
        <v>40</v>
      </c>
      <c r="B43" s="1" t="s">
        <v>189</v>
      </c>
      <c r="C43" s="1" t="s">
        <v>190</v>
      </c>
      <c r="D43" s="1" t="s">
        <v>190</v>
      </c>
      <c r="E43" s="1">
        <f t="shared" si="40"/>
        <v>0</v>
      </c>
      <c r="K43" s="1">
        <v>2</v>
      </c>
      <c r="L43" s="1">
        <f>IF(DrNLvl&gt;=20,12,6)</f>
        <v>6</v>
      </c>
      <c r="M43" s="1">
        <f>DrNLvl</f>
        <v>0</v>
      </c>
      <c r="N43" s="1" t="b">
        <v>1</v>
      </c>
      <c r="S43" s="1" t="b">
        <v>1</v>
      </c>
      <c r="V43" s="1">
        <v>0.5</v>
      </c>
      <c r="W43" s="1">
        <v>0.34</v>
      </c>
      <c r="X43" s="1">
        <v>0.34</v>
      </c>
      <c r="Y43" s="1">
        <v>0.5</v>
      </c>
      <c r="Z43" s="1" t="b">
        <f>FALSE</f>
        <v>0</v>
      </c>
      <c r="AA43" s="1" t="str">
        <f t="shared" si="19"/>
        <v/>
      </c>
      <c r="AB43" s="1" t="str">
        <f t="shared" si="20"/>
        <v/>
      </c>
      <c r="AC43" s="1">
        <f t="shared" si="41"/>
        <v>0</v>
      </c>
      <c r="AD43" s="1" t="str">
        <f t="shared" si="21"/>
        <v/>
      </c>
      <c r="AE43" s="1" t="str">
        <f t="shared" si="22"/>
        <v/>
      </c>
      <c r="AF43" s="1">
        <f t="shared" si="42"/>
        <v>0</v>
      </c>
      <c r="AG43" s="1">
        <f t="shared" si="23"/>
        <v>5</v>
      </c>
      <c r="AH43" s="1" t="str">
        <f t="shared" si="9"/>
        <v/>
      </c>
      <c r="AI43" s="1">
        <v>1</v>
      </c>
      <c r="AJ43" s="1">
        <f>IF(HRXPH,1,0)</f>
        <v>0</v>
      </c>
      <c r="AK43" s="1">
        <v>1</v>
      </c>
      <c r="AL43" s="1">
        <v>2</v>
      </c>
      <c r="AM43" s="1">
        <v>1</v>
      </c>
      <c r="AN43" s="1">
        <f>IF(IsLycanthrope,2,0)</f>
        <v>0</v>
      </c>
      <c r="AO43" s="1">
        <v>2</v>
      </c>
      <c r="AP43" s="1">
        <v>2</v>
      </c>
      <c r="AQ43" s="1">
        <v>2</v>
      </c>
      <c r="AR43" s="1">
        <v>2</v>
      </c>
      <c r="AS43" s="1">
        <v>2</v>
      </c>
      <c r="AT43" s="1">
        <v>2</v>
      </c>
      <c r="AU43" s="1">
        <v>2</v>
      </c>
      <c r="AV43" s="1">
        <v>2</v>
      </c>
      <c r="AW43" s="1">
        <v>2</v>
      </c>
      <c r="AX43" s="1">
        <v>1</v>
      </c>
      <c r="AY43" s="1">
        <v>1</v>
      </c>
      <c r="AZ43" s="1">
        <v>2</v>
      </c>
      <c r="BA43" s="1">
        <v>1</v>
      </c>
      <c r="BB43" s="1">
        <v>1</v>
      </c>
      <c r="BC43" s="1">
        <v>1</v>
      </c>
      <c r="BD43" s="1">
        <v>1</v>
      </c>
      <c r="BE43" s="1">
        <v>1</v>
      </c>
      <c r="BF43" s="1">
        <v>2</v>
      </c>
      <c r="BG43" s="1">
        <f>IF(HRRVL,1,0)</f>
        <v>0</v>
      </c>
      <c r="BH43" s="1">
        <f>IF(HROA,1,0)</f>
        <v>0</v>
      </c>
      <c r="BI43" s="1">
        <v>2</v>
      </c>
      <c r="BJ43" s="1">
        <v>1</v>
      </c>
      <c r="BK43" s="1">
        <v>2</v>
      </c>
      <c r="BL43" s="1">
        <v>1</v>
      </c>
      <c r="BM43" s="1">
        <v>1</v>
      </c>
      <c r="BN43" s="1">
        <v>1</v>
      </c>
      <c r="BO43" s="1">
        <v>1</v>
      </c>
      <c r="BP43" s="1">
        <v>1</v>
      </c>
      <c r="BQ43" s="1">
        <f>IF(HRRVL,1,0)</f>
        <v>0</v>
      </c>
      <c r="BR43" s="1">
        <v>1</v>
      </c>
      <c r="BS43" s="1">
        <v>1</v>
      </c>
      <c r="BT43" s="1">
        <f>IF(HRXPH,1,0)</f>
        <v>0</v>
      </c>
      <c r="BU43" s="1">
        <f>IF(HRRVL,2,0)</f>
        <v>0</v>
      </c>
      <c r="BV43" s="1">
        <v>2</v>
      </c>
      <c r="BW43" s="1">
        <v>1</v>
      </c>
      <c r="BX43" s="1">
        <v>1</v>
      </c>
      <c r="BY43" s="1">
        <v>1</v>
      </c>
      <c r="BZ43" s="1">
        <v>1</v>
      </c>
      <c r="CA43" s="1">
        <v>1</v>
      </c>
      <c r="CB43" s="1">
        <v>1</v>
      </c>
      <c r="CC43" s="1">
        <v>1</v>
      </c>
      <c r="CD43" s="1">
        <v>1</v>
      </c>
      <c r="CE43" s="1">
        <v>1</v>
      </c>
      <c r="CF43" s="1">
        <v>1</v>
      </c>
      <c r="CG43" s="1">
        <f>IF(HRToB,1,0)</f>
        <v>0</v>
      </c>
      <c r="CH43" s="1">
        <v>1</v>
      </c>
      <c r="CI43" s="1">
        <v>1</v>
      </c>
      <c r="CJ43" s="1">
        <v>1</v>
      </c>
      <c r="CK43" s="1">
        <v>1</v>
      </c>
      <c r="CL43" s="1">
        <v>1</v>
      </c>
      <c r="CM43" s="1">
        <v>1</v>
      </c>
      <c r="CN43" s="1">
        <v>1</v>
      </c>
      <c r="CO43" s="1">
        <v>1</v>
      </c>
      <c r="CP43" s="1">
        <v>2</v>
      </c>
      <c r="CQ43" s="1">
        <v>2</v>
      </c>
      <c r="CR43" s="1">
        <v>2</v>
      </c>
      <c r="CS43" s="1">
        <v>2</v>
      </c>
      <c r="CT43" s="1">
        <v>2</v>
      </c>
      <c r="CU43" s="1">
        <v>2</v>
      </c>
      <c r="CV43" s="1">
        <f>IF(HRXPH,1,0)</f>
        <v>0</v>
      </c>
      <c r="CW43" s="1">
        <v>1</v>
      </c>
      <c r="CX43" s="1">
        <v>1</v>
      </c>
      <c r="CY43" s="1">
        <v>1</v>
      </c>
      <c r="CZ43" s="1">
        <f>IF(HRCS,1,0)</f>
        <v>0</v>
      </c>
      <c r="DA43" s="1">
        <v>1</v>
      </c>
      <c r="DB43" s="1">
        <v>1</v>
      </c>
      <c r="DC43" s="1">
        <v>2</v>
      </c>
      <c r="DD43" s="1">
        <v>1</v>
      </c>
      <c r="DE43" s="1">
        <v>1</v>
      </c>
      <c r="DF43" s="1">
        <v>1</v>
      </c>
      <c r="DG43" s="1">
        <v>1</v>
      </c>
      <c r="DH43" s="1">
        <v>1</v>
      </c>
      <c r="DI43" s="1">
        <f>IF(HRXPH,1,0)</f>
        <v>0</v>
      </c>
      <c r="DJ43" s="1">
        <v>1</v>
      </c>
      <c r="DK43" s="1" t="s">
        <v>188</v>
      </c>
      <c r="DL43" s="1" t="s">
        <v>150</v>
      </c>
      <c r="EE43" s="8" t="s">
        <v>191</v>
      </c>
      <c r="EF43" s="9">
        <v>2</v>
      </c>
      <c r="EG43" s="9" t="s">
        <v>134</v>
      </c>
      <c r="EH43" s="9">
        <v>2</v>
      </c>
      <c r="EI43" s="9" t="b">
        <f t="shared" si="54"/>
        <v>0</v>
      </c>
      <c r="EJ43" s="9" t="str">
        <f t="shared" si="55"/>
        <v/>
      </c>
      <c r="EK43" s="9">
        <f t="shared" si="59"/>
        <v>99</v>
      </c>
      <c r="EL43" s="9">
        <f t="shared" si="60"/>
        <v>99</v>
      </c>
      <c r="EM43" s="9">
        <f t="shared" si="56"/>
        <v>99</v>
      </c>
      <c r="EN43" s="9">
        <f t="shared" si="57"/>
        <v>99</v>
      </c>
      <c r="EO43" s="10">
        <f t="shared" si="58"/>
        <v>0</v>
      </c>
    </row>
    <row r="44" spans="1:145" ht="11.25" customHeight="1" x14ac:dyDescent="0.2">
      <c r="A44" s="1">
        <f t="shared" si="18"/>
        <v>41</v>
      </c>
      <c r="B44" s="1" t="s">
        <v>192</v>
      </c>
      <c r="E44" s="1">
        <f t="shared" si="40"/>
        <v>0</v>
      </c>
      <c r="F44" s="1">
        <v>1</v>
      </c>
      <c r="Z44" s="1" t="b">
        <f>FALSE</f>
        <v>0</v>
      </c>
      <c r="AA44" s="1" t="str">
        <f t="shared" si="19"/>
        <v/>
      </c>
      <c r="AB44" s="1" t="str">
        <f t="shared" si="20"/>
        <v/>
      </c>
      <c r="AC44" s="1">
        <f t="shared" si="41"/>
        <v>0</v>
      </c>
      <c r="AD44" s="1" t="str">
        <f t="shared" si="21"/>
        <v/>
      </c>
      <c r="AE44" s="1" t="str">
        <f t="shared" si="22"/>
        <v/>
      </c>
      <c r="AF44" s="1">
        <f t="shared" si="42"/>
        <v>0</v>
      </c>
      <c r="AG44" s="1">
        <f t="shared" si="23"/>
        <v>5</v>
      </c>
      <c r="AH44" s="1" t="str">
        <f t="shared" si="9"/>
        <v/>
      </c>
      <c r="EE44" s="8" t="s">
        <v>191</v>
      </c>
      <c r="EF44" s="9">
        <v>4</v>
      </c>
      <c r="EG44" s="9" t="s">
        <v>134</v>
      </c>
      <c r="EH44" s="9">
        <v>2</v>
      </c>
      <c r="EI44" s="9" t="b">
        <f t="shared" si="54"/>
        <v>0</v>
      </c>
      <c r="EJ44" s="9" t="str">
        <f t="shared" si="55"/>
        <v/>
      </c>
      <c r="EK44" s="9">
        <f t="shared" si="59"/>
        <v>99</v>
      </c>
      <c r="EL44" s="9">
        <f t="shared" si="60"/>
        <v>99</v>
      </c>
      <c r="EM44" s="9">
        <f t="shared" si="56"/>
        <v>99</v>
      </c>
      <c r="EN44" s="9">
        <f t="shared" si="57"/>
        <v>99</v>
      </c>
      <c r="EO44" s="10">
        <f t="shared" si="58"/>
        <v>0</v>
      </c>
    </row>
    <row r="45" spans="1:145" ht="11.25" customHeight="1" x14ac:dyDescent="0.2">
      <c r="A45" s="1">
        <f t="shared" si="18"/>
        <v>42</v>
      </c>
      <c r="B45" s="1" t="s">
        <v>193</v>
      </c>
      <c r="C45" s="1" t="s">
        <v>194</v>
      </c>
      <c r="D45" s="1" t="s">
        <v>194</v>
      </c>
      <c r="E45" s="1">
        <f t="shared" si="40"/>
        <v>0</v>
      </c>
      <c r="K45" s="1">
        <v>6</v>
      </c>
      <c r="L45" s="1">
        <v>8</v>
      </c>
      <c r="N45" s="1" t="b">
        <v>1</v>
      </c>
      <c r="Q45" s="1" t="b">
        <v>1</v>
      </c>
      <c r="S45" s="1" t="b">
        <v>1</v>
      </c>
      <c r="T45" s="1" t="b">
        <v>1</v>
      </c>
      <c r="V45" s="1">
        <v>0.75</v>
      </c>
      <c r="W45" s="1">
        <v>0.34</v>
      </c>
      <c r="X45" s="1">
        <v>0.5</v>
      </c>
      <c r="Y45" s="1">
        <v>0.34</v>
      </c>
      <c r="Z45" s="1" t="b">
        <f>FALSE</f>
        <v>0</v>
      </c>
      <c r="AA45" s="1" t="str">
        <f t="shared" si="19"/>
        <v/>
      </c>
      <c r="AB45" s="1" t="str">
        <f t="shared" si="20"/>
        <v/>
      </c>
      <c r="AC45" s="1">
        <f t="shared" si="41"/>
        <v>0</v>
      </c>
      <c r="AD45" s="1" t="str">
        <f t="shared" si="21"/>
        <v/>
      </c>
      <c r="AE45" s="1" t="str">
        <f t="shared" si="22"/>
        <v/>
      </c>
      <c r="AF45" s="1">
        <f t="shared" si="42"/>
        <v>0</v>
      </c>
      <c r="AG45" s="1">
        <f t="shared" si="23"/>
        <v>5</v>
      </c>
      <c r="AH45" s="1" t="str">
        <f t="shared" si="9"/>
        <v/>
      </c>
      <c r="AI45" s="1">
        <v>2</v>
      </c>
      <c r="AJ45" s="1">
        <f>IF(HRXPH,2,0)</f>
        <v>0</v>
      </c>
      <c r="AK45" s="1">
        <v>2</v>
      </c>
      <c r="AL45" s="1">
        <v>2</v>
      </c>
      <c r="AM45" s="1">
        <v>2</v>
      </c>
      <c r="AN45" s="1">
        <f>IF(IsLycanthrope,2,0)</f>
        <v>0</v>
      </c>
      <c r="AO45" s="1">
        <v>2</v>
      </c>
      <c r="AP45" s="1">
        <v>2</v>
      </c>
      <c r="AQ45" s="1">
        <v>2</v>
      </c>
      <c r="AR45" s="1">
        <v>2</v>
      </c>
      <c r="AS45" s="1">
        <v>2</v>
      </c>
      <c r="AT45" s="1">
        <v>2</v>
      </c>
      <c r="AU45" s="1">
        <v>2</v>
      </c>
      <c r="AV45" s="1">
        <v>2</v>
      </c>
      <c r="AW45" s="1">
        <v>2</v>
      </c>
      <c r="AX45" s="1">
        <v>2</v>
      </c>
      <c r="AY45" s="1">
        <v>2</v>
      </c>
      <c r="AZ45" s="1">
        <v>2</v>
      </c>
      <c r="BA45" s="1">
        <v>2</v>
      </c>
      <c r="BB45" s="1">
        <v>2</v>
      </c>
      <c r="BC45" s="1">
        <v>2</v>
      </c>
      <c r="BD45" s="1">
        <v>2</v>
      </c>
      <c r="BE45" s="1">
        <v>2</v>
      </c>
      <c r="BF45" s="1">
        <v>2</v>
      </c>
      <c r="BG45" s="1">
        <f>IF(HRRVL,2,0)</f>
        <v>0</v>
      </c>
      <c r="BH45" s="1">
        <f>IF(HROA,2,0)</f>
        <v>0</v>
      </c>
      <c r="BI45" s="1">
        <v>2</v>
      </c>
      <c r="BJ45" s="1">
        <v>2</v>
      </c>
      <c r="BK45" s="1">
        <v>2</v>
      </c>
      <c r="BL45" s="1">
        <v>2</v>
      </c>
      <c r="BM45" s="1">
        <v>2</v>
      </c>
      <c r="BN45" s="1">
        <v>2</v>
      </c>
      <c r="BO45" s="1">
        <v>2</v>
      </c>
      <c r="BP45" s="1">
        <f>1+NOT(HRLivingGreyhawk)</f>
        <v>2</v>
      </c>
      <c r="BQ45" s="1">
        <f>IF(HRRVL,2,0)</f>
        <v>0</v>
      </c>
      <c r="BR45" s="1">
        <v>2</v>
      </c>
      <c r="BS45" s="1">
        <v>2</v>
      </c>
      <c r="BT45" s="1">
        <f>IF(HRXPH,2,0)</f>
        <v>0</v>
      </c>
      <c r="BU45" s="1">
        <f>IF(HRRVL,2,0)</f>
        <v>0</v>
      </c>
      <c r="BV45" s="1">
        <v>2</v>
      </c>
      <c r="BW45" s="1">
        <v>2</v>
      </c>
      <c r="BX45" s="1">
        <v>2</v>
      </c>
      <c r="BY45" s="1">
        <v>2</v>
      </c>
      <c r="BZ45" s="1">
        <v>2</v>
      </c>
      <c r="CA45" s="1">
        <v>2</v>
      </c>
      <c r="CB45" s="1">
        <v>2</v>
      </c>
      <c r="CC45" s="1">
        <v>2</v>
      </c>
      <c r="CD45" s="1">
        <v>2</v>
      </c>
      <c r="CE45" s="1">
        <v>2</v>
      </c>
      <c r="CF45" s="1">
        <v>2</v>
      </c>
      <c r="CG45" s="1">
        <f>IF(HRToB,2,0)</f>
        <v>0</v>
      </c>
      <c r="CH45" s="1">
        <v>2</v>
      </c>
      <c r="CI45" s="1">
        <v>2</v>
      </c>
      <c r="CJ45" s="1">
        <v>2</v>
      </c>
      <c r="CK45" s="1">
        <v>2</v>
      </c>
      <c r="CL45" s="1">
        <v>2</v>
      </c>
      <c r="CM45" s="1">
        <v>2</v>
      </c>
      <c r="CN45" s="1">
        <v>2</v>
      </c>
      <c r="CO45" s="1">
        <v>2</v>
      </c>
      <c r="CP45" s="1">
        <v>2</v>
      </c>
      <c r="CQ45" s="1">
        <v>2</v>
      </c>
      <c r="CR45" s="1">
        <v>2</v>
      </c>
      <c r="CS45" s="1">
        <v>2</v>
      </c>
      <c r="CT45" s="1">
        <v>2</v>
      </c>
      <c r="CU45" s="1">
        <v>2</v>
      </c>
      <c r="CV45" s="1">
        <f>IF(HRXPH,2,0)</f>
        <v>0</v>
      </c>
      <c r="CW45" s="1">
        <v>2</v>
      </c>
      <c r="CX45" s="1">
        <v>2</v>
      </c>
      <c r="CY45" s="1">
        <v>2</v>
      </c>
      <c r="CZ45" s="1">
        <f>IF(HRCS,1,0)</f>
        <v>0</v>
      </c>
      <c r="DA45" s="1">
        <v>2</v>
      </c>
      <c r="DB45" s="1">
        <v>2</v>
      </c>
      <c r="DC45" s="1">
        <v>2</v>
      </c>
      <c r="DD45" s="1">
        <v>2</v>
      </c>
      <c r="DE45" s="1">
        <v>2</v>
      </c>
      <c r="DF45" s="1">
        <v>2</v>
      </c>
      <c r="DG45" s="1">
        <v>2</v>
      </c>
      <c r="DH45" s="1">
        <v>2</v>
      </c>
      <c r="DI45" s="1">
        <f>IF(HRXPH,2,0)</f>
        <v>0</v>
      </c>
      <c r="DJ45" s="1">
        <v>2</v>
      </c>
      <c r="DK45" s="1" t="s">
        <v>195</v>
      </c>
      <c r="DL45" s="1" t="s">
        <v>170</v>
      </c>
      <c r="EE45" s="8" t="s">
        <v>191</v>
      </c>
      <c r="EF45" s="9">
        <v>6</v>
      </c>
      <c r="EG45" s="9" t="s">
        <v>129</v>
      </c>
      <c r="EH45" s="9">
        <v>2</v>
      </c>
      <c r="EI45" s="9" t="b">
        <f t="shared" si="54"/>
        <v>0</v>
      </c>
      <c r="EJ45" s="9" t="str">
        <f t="shared" si="55"/>
        <v/>
      </c>
      <c r="EK45" s="9">
        <f t="shared" si="59"/>
        <v>99</v>
      </c>
      <c r="EL45" s="9">
        <f t="shared" si="60"/>
        <v>99</v>
      </c>
      <c r="EM45" s="9">
        <f t="shared" si="56"/>
        <v>99</v>
      </c>
      <c r="EN45" s="9">
        <f t="shared" si="57"/>
        <v>99</v>
      </c>
      <c r="EO45" s="10">
        <f t="shared" si="58"/>
        <v>0</v>
      </c>
    </row>
    <row r="46" spans="1:145" ht="11.25" customHeight="1" x14ac:dyDescent="0.2">
      <c r="A46" s="1">
        <f t="shared" si="18"/>
        <v>43</v>
      </c>
      <c r="B46" s="1" t="s">
        <v>196</v>
      </c>
      <c r="E46" s="1">
        <f t="shared" si="40"/>
        <v>0</v>
      </c>
      <c r="F46" s="1">
        <v>1</v>
      </c>
      <c r="Z46" s="1" t="b">
        <f>FALSE</f>
        <v>0</v>
      </c>
      <c r="AA46" s="1" t="str">
        <f t="shared" si="19"/>
        <v/>
      </c>
      <c r="AB46" s="1" t="str">
        <f t="shared" si="20"/>
        <v/>
      </c>
      <c r="AC46" s="1">
        <f t="shared" si="41"/>
        <v>0</v>
      </c>
      <c r="AD46" s="1" t="str">
        <f t="shared" si="21"/>
        <v/>
      </c>
      <c r="AE46" s="1" t="str">
        <f t="shared" si="22"/>
        <v/>
      </c>
      <c r="AF46" s="1">
        <f t="shared" si="42"/>
        <v>0</v>
      </c>
      <c r="AG46" s="1">
        <f t="shared" si="23"/>
        <v>5</v>
      </c>
      <c r="AH46" s="1" t="str">
        <f t="shared" si="9"/>
        <v/>
      </c>
      <c r="EE46" s="8" t="s">
        <v>191</v>
      </c>
      <c r="EF46" s="9">
        <v>8</v>
      </c>
      <c r="EG46" s="9" t="s">
        <v>153</v>
      </c>
      <c r="EH46" s="9">
        <v>2</v>
      </c>
      <c r="EI46" s="9" t="b">
        <f t="shared" si="54"/>
        <v>0</v>
      </c>
      <c r="EJ46" s="9" t="str">
        <f t="shared" si="55"/>
        <v/>
      </c>
      <c r="EK46" s="9">
        <f t="shared" si="59"/>
        <v>99</v>
      </c>
      <c r="EL46" s="9">
        <f t="shared" si="60"/>
        <v>99</v>
      </c>
      <c r="EM46" s="9">
        <f t="shared" si="56"/>
        <v>99</v>
      </c>
      <c r="EN46" s="9">
        <f t="shared" si="57"/>
        <v>99</v>
      </c>
      <c r="EO46" s="10">
        <f t="shared" si="58"/>
        <v>0</v>
      </c>
    </row>
    <row r="47" spans="1:145" ht="11.25" customHeight="1" x14ac:dyDescent="0.2">
      <c r="A47" s="1">
        <f t="shared" si="18"/>
        <v>44</v>
      </c>
      <c r="B47" s="1" t="s">
        <v>197</v>
      </c>
      <c r="C47" s="1" t="s">
        <v>198</v>
      </c>
      <c r="D47" s="1" t="s">
        <v>198</v>
      </c>
      <c r="E47" s="1">
        <f t="shared" si="40"/>
        <v>0</v>
      </c>
      <c r="K47" s="1">
        <v>4</v>
      </c>
      <c r="L47" s="1">
        <v>10</v>
      </c>
      <c r="N47" s="1" t="b">
        <v>1</v>
      </c>
      <c r="O47" s="1" t="b">
        <v>1</v>
      </c>
      <c r="P47" s="1" t="b">
        <v>1</v>
      </c>
      <c r="Q47" s="1" t="b">
        <v>1</v>
      </c>
      <c r="R47" s="1" t="b">
        <v>1</v>
      </c>
      <c r="S47" s="1" t="b">
        <v>1</v>
      </c>
      <c r="T47" s="1" t="b">
        <v>1</v>
      </c>
      <c r="V47" s="1">
        <v>1</v>
      </c>
      <c r="W47" s="1">
        <v>0.5</v>
      </c>
      <c r="X47" s="1">
        <v>0.34</v>
      </c>
      <c r="Y47" s="1">
        <v>0.34</v>
      </c>
      <c r="Z47" s="1" t="b">
        <f>FALSE</f>
        <v>0</v>
      </c>
      <c r="AA47" s="1" t="str">
        <f t="shared" si="19"/>
        <v/>
      </c>
      <c r="AB47" s="1" t="str">
        <f t="shared" si="20"/>
        <v/>
      </c>
      <c r="AC47" s="1">
        <f t="shared" si="41"/>
        <v>0</v>
      </c>
      <c r="AD47" s="1" t="str">
        <f t="shared" si="21"/>
        <v/>
      </c>
      <c r="AE47" s="1" t="str">
        <f t="shared" si="22"/>
        <v/>
      </c>
      <c r="AF47" s="1">
        <f t="shared" si="42"/>
        <v>0</v>
      </c>
      <c r="AG47" s="1">
        <f t="shared" si="23"/>
        <v>5</v>
      </c>
      <c r="AH47" s="1" t="str">
        <f t="shared" si="9"/>
        <v/>
      </c>
      <c r="AI47" s="1">
        <v>1</v>
      </c>
      <c r="AJ47" s="1">
        <f>IF(HRXPH,1,0)</f>
        <v>0</v>
      </c>
      <c r="AK47" s="1">
        <v>2</v>
      </c>
      <c r="AL47" s="1">
        <v>1</v>
      </c>
      <c r="AM47" s="1">
        <v>1</v>
      </c>
      <c r="AN47" s="1">
        <f>IF(IsLycanthrope,2,0)</f>
        <v>0</v>
      </c>
      <c r="AO47" s="1">
        <v>2</v>
      </c>
      <c r="AP47" s="1">
        <v>2</v>
      </c>
      <c r="AQ47" s="1">
        <v>2</v>
      </c>
      <c r="AR47" s="1">
        <v>2</v>
      </c>
      <c r="AS47" s="1">
        <v>2</v>
      </c>
      <c r="AT47" s="1">
        <v>2</v>
      </c>
      <c r="AU47" s="1">
        <v>2</v>
      </c>
      <c r="AV47" s="1">
        <v>2</v>
      </c>
      <c r="AW47" s="1">
        <v>1</v>
      </c>
      <c r="AX47" s="1">
        <v>2</v>
      </c>
      <c r="AY47" s="1">
        <v>1</v>
      </c>
      <c r="AZ47" s="1">
        <v>1</v>
      </c>
      <c r="BA47" s="1">
        <v>1</v>
      </c>
      <c r="BB47" s="1">
        <v>1</v>
      </c>
      <c r="BC47" s="1">
        <v>1</v>
      </c>
      <c r="BD47" s="1">
        <v>1</v>
      </c>
      <c r="BE47" s="1">
        <v>1</v>
      </c>
      <c r="BF47" s="1">
        <v>1</v>
      </c>
      <c r="BG47" s="1">
        <f>IF(HRRVL,1,0)</f>
        <v>0</v>
      </c>
      <c r="BH47" s="1">
        <f>IF(HROA,1,0)</f>
        <v>0</v>
      </c>
      <c r="BI47" s="1">
        <v>2</v>
      </c>
      <c r="BJ47" s="1">
        <v>2</v>
      </c>
      <c r="BK47" s="1">
        <v>1</v>
      </c>
      <c r="BL47" s="1">
        <v>1</v>
      </c>
      <c r="BM47" s="1">
        <v>1</v>
      </c>
      <c r="BN47" s="1">
        <v>1</v>
      </c>
      <c r="BO47" s="1">
        <v>2</v>
      </c>
      <c r="BP47" s="1">
        <v>1</v>
      </c>
      <c r="BQ47" s="1">
        <f>IF(HRRVL,1,0)</f>
        <v>0</v>
      </c>
      <c r="BR47" s="1">
        <v>1</v>
      </c>
      <c r="BS47" s="1">
        <v>1</v>
      </c>
      <c r="BT47" s="1">
        <f>IF(HRXPH,1,0)</f>
        <v>0</v>
      </c>
      <c r="BU47" s="1">
        <f>IF(HRRVL,1,0)</f>
        <v>0</v>
      </c>
      <c r="BV47" s="1">
        <v>2</v>
      </c>
      <c r="BW47" s="1">
        <v>1</v>
      </c>
      <c r="BX47" s="1">
        <v>1</v>
      </c>
      <c r="BY47" s="1">
        <v>1</v>
      </c>
      <c r="BZ47" s="1">
        <v>1</v>
      </c>
      <c r="CA47" s="1">
        <v>1</v>
      </c>
      <c r="CB47" s="1">
        <v>1</v>
      </c>
      <c r="CC47" s="1">
        <v>1</v>
      </c>
      <c r="CD47" s="1">
        <v>1</v>
      </c>
      <c r="CE47" s="1">
        <v>1</v>
      </c>
      <c r="CF47" s="1">
        <v>1</v>
      </c>
      <c r="CG47" s="1">
        <v>2</v>
      </c>
      <c r="CH47" s="1">
        <v>1</v>
      </c>
      <c r="CI47" s="1">
        <v>1</v>
      </c>
      <c r="CJ47" s="1">
        <v>1</v>
      </c>
      <c r="CK47" s="1">
        <v>1</v>
      </c>
      <c r="CL47" s="1">
        <v>1</v>
      </c>
      <c r="CM47" s="1">
        <v>1</v>
      </c>
      <c r="CN47" s="1">
        <v>1</v>
      </c>
      <c r="CO47" s="1">
        <v>1</v>
      </c>
      <c r="CP47" s="1">
        <v>1</v>
      </c>
      <c r="CQ47" s="1">
        <v>1</v>
      </c>
      <c r="CR47" s="1">
        <v>1</v>
      </c>
      <c r="CS47" s="1">
        <v>1</v>
      </c>
      <c r="CT47" s="1">
        <v>1</v>
      </c>
      <c r="CU47" s="1">
        <v>1</v>
      </c>
      <c r="CV47" s="1">
        <f>IF(HRXPH,1,0)</f>
        <v>0</v>
      </c>
      <c r="CW47" s="1">
        <v>2</v>
      </c>
      <c r="CX47" s="1">
        <v>1</v>
      </c>
      <c r="CY47" s="1">
        <v>1</v>
      </c>
      <c r="CZ47" s="1">
        <f>IF(HRCS,1,0)</f>
        <v>0</v>
      </c>
      <c r="DA47" s="1">
        <v>1</v>
      </c>
      <c r="DB47" s="1">
        <v>1</v>
      </c>
      <c r="DC47" s="1">
        <v>1</v>
      </c>
      <c r="DD47" s="1">
        <v>1</v>
      </c>
      <c r="DE47" s="1">
        <v>1</v>
      </c>
      <c r="DF47" s="1">
        <v>1</v>
      </c>
      <c r="DG47" s="1">
        <v>1</v>
      </c>
      <c r="DH47" s="1">
        <v>1</v>
      </c>
      <c r="DI47" s="1">
        <f>IF(HRXPH,1,0)</f>
        <v>0</v>
      </c>
      <c r="DJ47" s="1">
        <v>1</v>
      </c>
      <c r="DK47" s="1" t="s">
        <v>199</v>
      </c>
      <c r="DL47" s="1" t="s">
        <v>170</v>
      </c>
      <c r="EE47" s="8" t="s">
        <v>191</v>
      </c>
      <c r="EF47" s="9">
        <v>10</v>
      </c>
      <c r="EG47" s="9" t="s">
        <v>162</v>
      </c>
      <c r="EH47" s="9">
        <v>2</v>
      </c>
      <c r="EI47" s="9" t="b">
        <f t="shared" si="54"/>
        <v>0</v>
      </c>
      <c r="EJ47" s="9" t="str">
        <f t="shared" si="55"/>
        <v/>
      </c>
      <c r="EK47" s="9">
        <f t="shared" si="59"/>
        <v>99</v>
      </c>
      <c r="EL47" s="9">
        <f t="shared" si="60"/>
        <v>99</v>
      </c>
      <c r="EM47" s="9">
        <f t="shared" si="56"/>
        <v>99</v>
      </c>
      <c r="EN47" s="9">
        <f t="shared" si="57"/>
        <v>99</v>
      </c>
      <c r="EO47" s="10">
        <f t="shared" si="58"/>
        <v>0</v>
      </c>
    </row>
    <row r="48" spans="1:145" ht="11.25" customHeight="1" x14ac:dyDescent="0.2">
      <c r="A48" s="1">
        <f t="shared" si="18"/>
        <v>45</v>
      </c>
      <c r="B48" s="1" t="s">
        <v>200</v>
      </c>
      <c r="C48" s="1" t="s">
        <v>201</v>
      </c>
      <c r="D48" s="1" t="s">
        <v>201</v>
      </c>
      <c r="E48" s="1">
        <f t="shared" si="40"/>
        <v>0</v>
      </c>
      <c r="K48" s="1">
        <v>6</v>
      </c>
      <c r="L48" s="1">
        <v>8</v>
      </c>
      <c r="N48" s="1" t="b">
        <v>1</v>
      </c>
      <c r="S48" s="1" t="b">
        <v>1</v>
      </c>
      <c r="T48" s="1" t="b">
        <v>1</v>
      </c>
      <c r="V48" s="1">
        <v>0.75</v>
      </c>
      <c r="W48" s="1">
        <v>0.34</v>
      </c>
      <c r="X48" s="1">
        <v>0.5</v>
      </c>
      <c r="Y48" s="1">
        <v>0.5</v>
      </c>
      <c r="Z48" s="1" t="b">
        <f>FALSE</f>
        <v>0</v>
      </c>
      <c r="AA48" s="1" t="str">
        <f t="shared" si="19"/>
        <v/>
      </c>
      <c r="AB48" s="1" t="str">
        <f t="shared" si="20"/>
        <v/>
      </c>
      <c r="AC48" s="1">
        <f t="shared" si="41"/>
        <v>0</v>
      </c>
      <c r="AD48" s="1" t="str">
        <f t="shared" si="21"/>
        <v/>
      </c>
      <c r="AE48" s="1" t="str">
        <f t="shared" si="22"/>
        <v/>
      </c>
      <c r="AF48" s="1">
        <f t="shared" si="42"/>
        <v>0</v>
      </c>
      <c r="AG48" s="1">
        <f t="shared" si="23"/>
        <v>5</v>
      </c>
      <c r="AH48" s="1" t="str">
        <f t="shared" si="9"/>
        <v/>
      </c>
      <c r="AI48" s="1">
        <v>1</v>
      </c>
      <c r="AJ48" s="1">
        <f>IF(HRXPH,1,0)</f>
        <v>0</v>
      </c>
      <c r="AK48" s="1">
        <v>2</v>
      </c>
      <c r="AL48" s="1">
        <v>1</v>
      </c>
      <c r="AM48" s="1">
        <v>2</v>
      </c>
      <c r="AN48" s="1">
        <f>IF(IsLycanthrope,2,0)</f>
        <v>0</v>
      </c>
      <c r="AO48" s="1">
        <v>2</v>
      </c>
      <c r="AP48" s="1">
        <v>2</v>
      </c>
      <c r="AQ48" s="1">
        <v>2</v>
      </c>
      <c r="AR48" s="1">
        <v>2</v>
      </c>
      <c r="AS48" s="1">
        <v>2</v>
      </c>
      <c r="AT48" s="1">
        <v>2</v>
      </c>
      <c r="AU48" s="1">
        <v>2</v>
      </c>
      <c r="AV48" s="1">
        <v>2</v>
      </c>
      <c r="AW48" s="1">
        <v>1</v>
      </c>
      <c r="AX48" s="1">
        <v>1</v>
      </c>
      <c r="AY48" s="1">
        <f>IF(DSRgrTrapExpert,2,1)</f>
        <v>1</v>
      </c>
      <c r="AZ48" s="1">
        <v>1</v>
      </c>
      <c r="BA48" s="1">
        <v>1</v>
      </c>
      <c r="BB48" s="1">
        <v>1</v>
      </c>
      <c r="BC48" s="1">
        <v>1</v>
      </c>
      <c r="BD48" s="1">
        <v>1</v>
      </c>
      <c r="BE48" s="1">
        <v>2</v>
      </c>
      <c r="BF48" s="1">
        <v>2</v>
      </c>
      <c r="BG48" s="1">
        <f>IF(HRRVL,1,0)</f>
        <v>0</v>
      </c>
      <c r="BH48" s="1">
        <f>IF(HROA,1,0)</f>
        <v>0</v>
      </c>
      <c r="BI48" s="1">
        <v>2</v>
      </c>
      <c r="BJ48" s="1">
        <v>2</v>
      </c>
      <c r="BK48" s="1">
        <v>1</v>
      </c>
      <c r="BL48" s="1">
        <v>1</v>
      </c>
      <c r="BM48" s="1">
        <v>1</v>
      </c>
      <c r="BN48" s="1">
        <v>1</v>
      </c>
      <c r="BO48" s="1">
        <v>2</v>
      </c>
      <c r="BP48" s="1">
        <v>2</v>
      </c>
      <c r="BQ48" s="1">
        <f>IF(HRRVL,2,0)</f>
        <v>0</v>
      </c>
      <c r="BR48" s="1">
        <v>2</v>
      </c>
      <c r="BS48" s="1">
        <v>2</v>
      </c>
      <c r="BT48" s="1">
        <f>IF(HRXPH,1,0)</f>
        <v>0</v>
      </c>
      <c r="BU48" s="1">
        <f>IF(HRPGtA,2,IF(HRRVL,1,0))</f>
        <v>0</v>
      </c>
      <c r="BV48" s="1">
        <f>IF(HRPGtA,2,1)</f>
        <v>1</v>
      </c>
      <c r="BW48" s="1">
        <v>1</v>
      </c>
      <c r="BX48" s="1">
        <v>1</v>
      </c>
      <c r="BY48" s="1">
        <v>1</v>
      </c>
      <c r="BZ48" s="1">
        <v>1</v>
      </c>
      <c r="CA48" s="1">
        <v>1</v>
      </c>
      <c r="CB48" s="1">
        <v>1</v>
      </c>
      <c r="CC48" s="1">
        <v>1</v>
      </c>
      <c r="CD48" s="1">
        <v>1</v>
      </c>
      <c r="CE48" s="1">
        <v>1</v>
      </c>
      <c r="CF48" s="1">
        <v>2</v>
      </c>
      <c r="CG48" s="1">
        <v>2</v>
      </c>
      <c r="CH48" s="1">
        <v>2</v>
      </c>
      <c r="CI48" s="1">
        <v>1</v>
      </c>
      <c r="CJ48" s="1">
        <v>1</v>
      </c>
      <c r="CK48" s="1">
        <v>1</v>
      </c>
      <c r="CL48" s="1">
        <v>1</v>
      </c>
      <c r="CM48" s="1">
        <v>1</v>
      </c>
      <c r="CN48" s="1">
        <v>1</v>
      </c>
      <c r="CO48" s="1">
        <v>1</v>
      </c>
      <c r="CP48" s="1">
        <v>2</v>
      </c>
      <c r="CQ48" s="1">
        <v>2</v>
      </c>
      <c r="CR48" s="1">
        <v>2</v>
      </c>
      <c r="CS48" s="1">
        <v>2</v>
      </c>
      <c r="CT48" s="1">
        <v>2</v>
      </c>
      <c r="CU48" s="1">
        <v>2</v>
      </c>
      <c r="CV48" s="1">
        <f>IF(HRXPH,1,0)</f>
        <v>0</v>
      </c>
      <c r="CW48" s="1">
        <v>2</v>
      </c>
      <c r="CX48" s="1">
        <v>1</v>
      </c>
      <c r="CY48" s="1">
        <v>2</v>
      </c>
      <c r="CZ48" s="1">
        <f>IF(HRCS,1,0)</f>
        <v>0</v>
      </c>
      <c r="DA48" s="1">
        <v>1</v>
      </c>
      <c r="DB48" s="1">
        <v>1</v>
      </c>
      <c r="DC48" s="1">
        <v>1</v>
      </c>
      <c r="DD48" s="1">
        <v>1</v>
      </c>
      <c r="DE48" s="1">
        <v>1</v>
      </c>
      <c r="DF48" s="1">
        <v>2</v>
      </c>
      <c r="DG48" s="1">
        <v>2</v>
      </c>
      <c r="DH48" s="1">
        <v>1</v>
      </c>
      <c r="DI48" s="1">
        <f>IF(HRXPH,1,0)</f>
        <v>0</v>
      </c>
      <c r="DJ48" s="1">
        <v>1</v>
      </c>
      <c r="DK48" s="1" t="s">
        <v>199</v>
      </c>
      <c r="DL48" s="1" t="s">
        <v>170</v>
      </c>
      <c r="EE48" s="8" t="s">
        <v>191</v>
      </c>
      <c r="EF48" s="9">
        <v>10</v>
      </c>
      <c r="EG48" s="9" t="s">
        <v>134</v>
      </c>
      <c r="EH48" s="9">
        <v>4</v>
      </c>
      <c r="EI48" s="9" t="b">
        <f t="shared" si="54"/>
        <v>0</v>
      </c>
      <c r="EJ48" s="9" t="str">
        <f t="shared" si="55"/>
        <v/>
      </c>
      <c r="EK48" s="9">
        <f t="shared" si="59"/>
        <v>99</v>
      </c>
      <c r="EL48" s="9">
        <f t="shared" si="60"/>
        <v>99</v>
      </c>
      <c r="EM48" s="9">
        <f t="shared" si="56"/>
        <v>99</v>
      </c>
      <c r="EN48" s="9">
        <f t="shared" si="57"/>
        <v>99</v>
      </c>
      <c r="EO48" s="10">
        <f t="shared" si="58"/>
        <v>0</v>
      </c>
    </row>
    <row r="49" spans="1:145" ht="11.25" customHeight="1" x14ac:dyDescent="0.2">
      <c r="A49" s="1">
        <f t="shared" si="18"/>
        <v>46</v>
      </c>
      <c r="B49" s="1" t="s">
        <v>202</v>
      </c>
      <c r="C49" s="1" t="s">
        <v>203</v>
      </c>
      <c r="D49" s="1" t="s">
        <v>203</v>
      </c>
      <c r="E49" s="1">
        <f t="shared" si="40"/>
        <v>0</v>
      </c>
      <c r="K49" s="1">
        <v>4</v>
      </c>
      <c r="L49" s="1">
        <v>12</v>
      </c>
      <c r="N49" s="1" t="b">
        <v>1</v>
      </c>
      <c r="O49" s="1" t="b">
        <v>1</v>
      </c>
      <c r="Q49" s="1" t="b">
        <v>1</v>
      </c>
      <c r="S49" s="1" t="b">
        <v>1</v>
      </c>
      <c r="T49" s="1" t="b">
        <v>1</v>
      </c>
      <c r="V49" s="1">
        <v>1</v>
      </c>
      <c r="W49" s="1">
        <v>0.5</v>
      </c>
      <c r="X49" s="1">
        <v>0.34</v>
      </c>
      <c r="Y49" s="1">
        <v>0.34</v>
      </c>
      <c r="Z49" s="1" t="b">
        <f>FALSE</f>
        <v>0</v>
      </c>
      <c r="AA49" s="1" t="str">
        <f t="shared" si="19"/>
        <v/>
      </c>
      <c r="AB49" s="1" t="str">
        <f t="shared" si="20"/>
        <v/>
      </c>
      <c r="AC49" s="1">
        <f t="shared" si="41"/>
        <v>0</v>
      </c>
      <c r="AD49" s="1" t="str">
        <f t="shared" si="21"/>
        <v/>
      </c>
      <c r="AE49" s="1" t="str">
        <f t="shared" si="22"/>
        <v/>
      </c>
      <c r="AF49" s="1">
        <f t="shared" si="42"/>
        <v>0</v>
      </c>
      <c r="AG49" s="1">
        <f t="shared" si="23"/>
        <v>5</v>
      </c>
      <c r="AH49" s="1" t="str">
        <f t="shared" si="9"/>
        <v/>
      </c>
      <c r="AI49" s="1">
        <v>1</v>
      </c>
      <c r="AJ49" s="1">
        <f>IF(HRXPH,1,0)</f>
        <v>0</v>
      </c>
      <c r="AK49" s="1">
        <v>2</v>
      </c>
      <c r="AL49" s="1">
        <v>1</v>
      </c>
      <c r="AM49" s="1">
        <v>2</v>
      </c>
      <c r="AN49" s="1">
        <f>IF(IsLycanthrope,2,0)</f>
        <v>0</v>
      </c>
      <c r="AO49" s="1">
        <v>2</v>
      </c>
      <c r="AP49" s="1">
        <v>2</v>
      </c>
      <c r="AQ49" s="1">
        <v>2</v>
      </c>
      <c r="AR49" s="1">
        <v>2</v>
      </c>
      <c r="AS49" s="1">
        <v>2</v>
      </c>
      <c r="AT49" s="1">
        <v>2</v>
      </c>
      <c r="AU49" s="1">
        <v>2</v>
      </c>
      <c r="AV49" s="1">
        <v>2</v>
      </c>
      <c r="AW49" s="1">
        <v>1</v>
      </c>
      <c r="AX49" s="1">
        <v>2</v>
      </c>
      <c r="AY49" s="1">
        <v>1</v>
      </c>
      <c r="AZ49" s="1">
        <v>1</v>
      </c>
      <c r="BA49" s="1">
        <v>1</v>
      </c>
      <c r="BB49" s="1">
        <v>1</v>
      </c>
      <c r="BC49" s="1">
        <v>1</v>
      </c>
      <c r="BD49" s="1">
        <v>1</v>
      </c>
      <c r="BE49" s="1">
        <v>1</v>
      </c>
      <c r="BF49" s="1">
        <v>1</v>
      </c>
      <c r="BG49" s="1">
        <f>IF(HRRVL,1,0)</f>
        <v>0</v>
      </c>
      <c r="BH49" s="1">
        <f>IF(HROA,1,0)</f>
        <v>0</v>
      </c>
      <c r="BI49" s="1">
        <v>2</v>
      </c>
      <c r="BJ49" s="1">
        <v>2</v>
      </c>
      <c r="BK49" s="1">
        <v>1</v>
      </c>
      <c r="BL49" s="1">
        <v>1</v>
      </c>
      <c r="BM49" s="1">
        <v>1</v>
      </c>
      <c r="BN49" s="1">
        <v>1</v>
      </c>
      <c r="BO49" s="1">
        <v>2</v>
      </c>
      <c r="BP49" s="1">
        <f>1+NOT(HRLivingGreyhawk)</f>
        <v>2</v>
      </c>
      <c r="BQ49" s="1">
        <f>IF(HRRVL,1,0)</f>
        <v>0</v>
      </c>
      <c r="BR49" s="1">
        <v>1</v>
      </c>
      <c r="BS49" s="1">
        <v>1</v>
      </c>
      <c r="BT49" s="1">
        <f>IF(HRXPH,1,0)</f>
        <v>0</v>
      </c>
      <c r="BU49" s="1">
        <f>IF(HRRVL,1,0)</f>
        <v>0</v>
      </c>
      <c r="BV49" s="1">
        <v>1</v>
      </c>
      <c r="BW49" s="1">
        <v>1</v>
      </c>
      <c r="BX49" s="1">
        <v>1</v>
      </c>
      <c r="BY49" s="1">
        <f t="shared" ref="BY49:CE49" si="61">1+NOT(ISERROR(MATCH(BY$2,TblLGMetaRegions,0)))</f>
        <v>1</v>
      </c>
      <c r="BZ49" s="1">
        <f t="shared" si="61"/>
        <v>1</v>
      </c>
      <c r="CA49" s="1">
        <f t="shared" si="61"/>
        <v>1</v>
      </c>
      <c r="CB49" s="1">
        <f t="shared" si="61"/>
        <v>1</v>
      </c>
      <c r="CC49" s="1">
        <f t="shared" si="61"/>
        <v>1</v>
      </c>
      <c r="CD49" s="1">
        <f t="shared" si="61"/>
        <v>1</v>
      </c>
      <c r="CE49" s="1">
        <f t="shared" si="61"/>
        <v>1</v>
      </c>
      <c r="CF49" s="1">
        <v>1</v>
      </c>
      <c r="CG49" s="1">
        <v>2</v>
      </c>
      <c r="CH49" s="1">
        <v>1</v>
      </c>
      <c r="CI49" s="1">
        <v>1</v>
      </c>
      <c r="CJ49" s="1">
        <v>1</v>
      </c>
      <c r="CK49" s="1">
        <v>1</v>
      </c>
      <c r="CL49" s="1">
        <v>1</v>
      </c>
      <c r="CM49" s="1">
        <v>1</v>
      </c>
      <c r="CN49" s="1">
        <v>1</v>
      </c>
      <c r="CO49" s="1">
        <v>1</v>
      </c>
      <c r="CP49" s="1">
        <v>1</v>
      </c>
      <c r="CQ49" s="1">
        <v>1</v>
      </c>
      <c r="CR49" s="1">
        <v>1</v>
      </c>
      <c r="CS49" s="1">
        <v>1</v>
      </c>
      <c r="CT49" s="1">
        <v>1</v>
      </c>
      <c r="CU49" s="1">
        <v>1</v>
      </c>
      <c r="CV49" s="1">
        <f>IF(HRXPH,1,0)</f>
        <v>0</v>
      </c>
      <c r="CW49" s="1">
        <v>1</v>
      </c>
      <c r="CX49" s="1">
        <v>1</v>
      </c>
      <c r="CY49" s="1">
        <v>1</v>
      </c>
      <c r="CZ49" s="1">
        <f>IF(HRCS,1,0)</f>
        <v>0</v>
      </c>
      <c r="DA49" s="1">
        <v>1</v>
      </c>
      <c r="DB49" s="1">
        <v>1</v>
      </c>
      <c r="DC49" s="1">
        <v>1</v>
      </c>
      <c r="DD49" s="1">
        <v>1</v>
      </c>
      <c r="DE49" s="1">
        <v>1</v>
      </c>
      <c r="DF49" s="1">
        <v>2</v>
      </c>
      <c r="DG49" s="1">
        <v>2</v>
      </c>
      <c r="DH49" s="1">
        <v>1</v>
      </c>
      <c r="DI49" s="1">
        <f>IF(HRXPH,1,0)</f>
        <v>0</v>
      </c>
      <c r="DJ49" s="1">
        <v>1</v>
      </c>
      <c r="DK49" s="1" t="s">
        <v>199</v>
      </c>
      <c r="DL49" s="1" t="s">
        <v>170</v>
      </c>
      <c r="EE49" s="8" t="s">
        <v>204</v>
      </c>
      <c r="EF49" s="9">
        <v>1</v>
      </c>
      <c r="EG49" s="9" t="str">
        <f>IF(DiDrLvl&gt;0,INDEX(TblDiDrAugmentation,DiDrAug1),"")</f>
        <v/>
      </c>
      <c r="EH49" s="9">
        <v>1</v>
      </c>
      <c r="EI49" s="9" t="b">
        <f t="shared" si="54"/>
        <v>0</v>
      </c>
      <c r="EJ49" s="9" t="str">
        <f t="shared" si="55"/>
        <v/>
      </c>
      <c r="EK49" s="9">
        <f t="shared" si="59"/>
        <v>99</v>
      </c>
      <c r="EL49" s="9">
        <f t="shared" si="60"/>
        <v>99</v>
      </c>
      <c r="EM49" s="9">
        <f t="shared" si="56"/>
        <v>99</v>
      </c>
      <c r="EN49" s="9">
        <f t="shared" si="57"/>
        <v>99</v>
      </c>
      <c r="EO49" s="10">
        <f t="shared" si="58"/>
        <v>0</v>
      </c>
    </row>
    <row r="50" spans="1:145" ht="11.25" customHeight="1" x14ac:dyDescent="0.2">
      <c r="A50" s="1">
        <f t="shared" si="18"/>
        <v>47</v>
      </c>
      <c r="B50" s="1" t="s">
        <v>205</v>
      </c>
      <c r="E50" s="1">
        <f t="shared" si="40"/>
        <v>0</v>
      </c>
      <c r="F50" s="1">
        <v>1</v>
      </c>
      <c r="Z50" s="1" t="b">
        <f>FALSE</f>
        <v>0</v>
      </c>
      <c r="AA50" s="1" t="str">
        <f t="shared" si="19"/>
        <v/>
      </c>
      <c r="AB50" s="1" t="str">
        <f t="shared" si="20"/>
        <v/>
      </c>
      <c r="AC50" s="1">
        <f t="shared" si="41"/>
        <v>0</v>
      </c>
      <c r="AD50" s="1" t="str">
        <f t="shared" si="21"/>
        <v/>
      </c>
      <c r="AE50" s="1" t="str">
        <f t="shared" si="22"/>
        <v/>
      </c>
      <c r="AF50" s="1">
        <f t="shared" si="42"/>
        <v>0</v>
      </c>
      <c r="AG50" s="1">
        <f t="shared" si="23"/>
        <v>5</v>
      </c>
      <c r="AH50" s="1" t="str">
        <f t="shared" si="9"/>
        <v/>
      </c>
      <c r="EE50" s="8" t="s">
        <v>204</v>
      </c>
      <c r="EF50" s="9">
        <v>5</v>
      </c>
      <c r="EG50" s="9" t="str">
        <f>IF(DiDrLvl&gt;0,INDEX(TblDiDrAugmentation,DiDrAug5),"")</f>
        <v/>
      </c>
      <c r="EH50" s="9">
        <v>1</v>
      </c>
      <c r="EI50" s="9" t="b">
        <f t="shared" si="54"/>
        <v>0</v>
      </c>
      <c r="EJ50" s="9" t="str">
        <f t="shared" si="55"/>
        <v/>
      </c>
      <c r="EK50" s="9">
        <f t="shared" si="59"/>
        <v>99</v>
      </c>
      <c r="EL50" s="9">
        <f t="shared" si="60"/>
        <v>99</v>
      </c>
      <c r="EM50" s="9">
        <f t="shared" si="56"/>
        <v>99</v>
      </c>
      <c r="EN50" s="9">
        <f t="shared" si="57"/>
        <v>99</v>
      </c>
      <c r="EO50" s="10">
        <f t="shared" si="58"/>
        <v>0</v>
      </c>
    </row>
    <row r="51" spans="1:145" ht="11.25" customHeight="1" x14ac:dyDescent="0.2">
      <c r="A51" s="1">
        <f t="shared" si="18"/>
        <v>48</v>
      </c>
      <c r="B51" s="1" t="s">
        <v>206</v>
      </c>
      <c r="C51" s="1" t="s">
        <v>207</v>
      </c>
      <c r="D51" s="1" t="s">
        <v>207</v>
      </c>
      <c r="E51" s="1">
        <f t="shared" si="40"/>
        <v>0</v>
      </c>
      <c r="K51" s="1">
        <v>2</v>
      </c>
      <c r="L51" s="1">
        <v>8</v>
      </c>
      <c r="M51" s="1">
        <f>IF(AND(BinLvl&gt;=1,NOT(ISERROR(MATCH("Tenebrous",VestigesSelected,0)))),BinLvl,0)</f>
        <v>0</v>
      </c>
      <c r="N51" s="1" t="b">
        <v>1</v>
      </c>
      <c r="O51" s="1" t="b">
        <v>1</v>
      </c>
      <c r="P51" s="1" t="b">
        <v>1</v>
      </c>
      <c r="Q51" s="1" t="b">
        <v>1</v>
      </c>
      <c r="R51" s="1" t="b">
        <v>1</v>
      </c>
      <c r="S51" s="1" t="b">
        <v>1</v>
      </c>
      <c r="T51" s="1" t="b">
        <v>1</v>
      </c>
      <c r="V51" s="1">
        <v>0.75</v>
      </c>
      <c r="W51" s="1">
        <v>0.5</v>
      </c>
      <c r="X51" s="1">
        <v>0.34</v>
      </c>
      <c r="Y51" s="1">
        <v>0.5</v>
      </c>
      <c r="Z51" s="1" t="b">
        <f>FALSE</f>
        <v>0</v>
      </c>
      <c r="AA51" s="1" t="str">
        <f t="shared" si="19"/>
        <v/>
      </c>
      <c r="AB51" s="1" t="str">
        <f t="shared" si="20"/>
        <v/>
      </c>
      <c r="AC51" s="1">
        <f t="shared" si="41"/>
        <v>0</v>
      </c>
      <c r="AD51" s="1" t="str">
        <f t="shared" si="21"/>
        <v/>
      </c>
      <c r="AE51" s="1" t="str">
        <f t="shared" si="22"/>
        <v/>
      </c>
      <c r="AF51" s="1">
        <f t="shared" si="42"/>
        <v>0</v>
      </c>
      <c r="AG51" s="1">
        <f t="shared" si="23"/>
        <v>5</v>
      </c>
      <c r="AH51" s="1" t="str">
        <f t="shared" si="9"/>
        <v/>
      </c>
      <c r="AI51" s="1">
        <v>1</v>
      </c>
      <c r="AJ51" s="1">
        <f>IF(HRXPH,1,0)</f>
        <v>0</v>
      </c>
      <c r="AK51" s="1">
        <v>1</v>
      </c>
      <c r="AL51" s="1">
        <v>2</v>
      </c>
      <c r="AM51" s="1">
        <v>1</v>
      </c>
      <c r="AN51" s="1">
        <f>IF(IsLycanthrope,2,0)</f>
        <v>0</v>
      </c>
      <c r="AO51" s="1">
        <v>2</v>
      </c>
      <c r="AP51" s="1">
        <v>2</v>
      </c>
      <c r="AQ51" s="1">
        <v>2</v>
      </c>
      <c r="AR51" s="1">
        <v>2</v>
      </c>
      <c r="AS51" s="1">
        <v>2</v>
      </c>
      <c r="AT51" s="1">
        <v>2</v>
      </c>
      <c r="AU51" s="1">
        <v>2</v>
      </c>
      <c r="AV51" s="1">
        <v>2</v>
      </c>
      <c r="AW51" s="1">
        <v>2</v>
      </c>
      <c r="AX51" s="1">
        <v>2</v>
      </c>
      <c r="AY51" s="1">
        <v>1</v>
      </c>
      <c r="AZ51" s="1">
        <v>1</v>
      </c>
      <c r="BA51" s="1">
        <v>1</v>
      </c>
      <c r="BB51" s="1">
        <v>1</v>
      </c>
      <c r="BC51" s="1">
        <v>2</v>
      </c>
      <c r="BD51" s="1">
        <v>1</v>
      </c>
      <c r="BE51" s="1">
        <v>1</v>
      </c>
      <c r="BF51" s="1">
        <v>1</v>
      </c>
      <c r="BG51" s="1">
        <f>IF(HRRVL,1,0)</f>
        <v>0</v>
      </c>
      <c r="BH51" s="1">
        <f>IF(HROA,1,0)</f>
        <v>0</v>
      </c>
      <c r="BI51" s="1">
        <v>2</v>
      </c>
      <c r="BJ51" s="1">
        <v>1</v>
      </c>
      <c r="BK51" s="1">
        <v>2</v>
      </c>
      <c r="BL51" s="1">
        <v>1</v>
      </c>
      <c r="BM51" s="1">
        <v>1</v>
      </c>
      <c r="BN51" s="1">
        <v>1</v>
      </c>
      <c r="BO51" s="1">
        <v>2</v>
      </c>
      <c r="BP51" s="1">
        <v>1</v>
      </c>
      <c r="BQ51" s="1">
        <f>IF(HRRVL,1,0)</f>
        <v>0</v>
      </c>
      <c r="BR51" s="1">
        <v>1</v>
      </c>
      <c r="BS51" s="1">
        <v>1</v>
      </c>
      <c r="BT51" s="1">
        <f>IF(HRXPH,1,0)</f>
        <v>0</v>
      </c>
      <c r="BU51" s="1">
        <f>IF(HRRVL,1,0)</f>
        <v>0</v>
      </c>
      <c r="BV51" s="1">
        <v>2</v>
      </c>
      <c r="BW51" s="1">
        <v>2</v>
      </c>
      <c r="BX51" s="1">
        <v>1</v>
      </c>
      <c r="BY51" s="1">
        <v>1</v>
      </c>
      <c r="BZ51" s="1">
        <v>1</v>
      </c>
      <c r="CA51" s="1">
        <v>1</v>
      </c>
      <c r="CB51" s="1">
        <v>1</v>
      </c>
      <c r="CC51" s="1">
        <v>1</v>
      </c>
      <c r="CD51" s="1">
        <v>1</v>
      </c>
      <c r="CE51" s="1">
        <v>1</v>
      </c>
      <c r="CF51" s="1">
        <v>1</v>
      </c>
      <c r="CG51" s="1">
        <v>1</v>
      </c>
      <c r="CH51" s="1">
        <v>1</v>
      </c>
      <c r="CI51" s="1">
        <v>1</v>
      </c>
      <c r="CJ51" s="1">
        <v>1</v>
      </c>
      <c r="CK51" s="1">
        <v>1</v>
      </c>
      <c r="CL51" s="1">
        <v>1</v>
      </c>
      <c r="CM51" s="1">
        <v>1</v>
      </c>
      <c r="CN51" s="1">
        <v>1</v>
      </c>
      <c r="CO51" s="1">
        <v>1</v>
      </c>
      <c r="CP51" s="1">
        <v>2</v>
      </c>
      <c r="CQ51" s="1">
        <v>2</v>
      </c>
      <c r="CR51" s="1">
        <v>2</v>
      </c>
      <c r="CS51" s="1">
        <v>2</v>
      </c>
      <c r="CT51" s="1">
        <v>2</v>
      </c>
      <c r="CU51" s="1">
        <v>2</v>
      </c>
      <c r="CV51" s="1">
        <f>IF(HRXPH,1,0)</f>
        <v>0</v>
      </c>
      <c r="CW51" s="1">
        <v>1</v>
      </c>
      <c r="CX51" s="1">
        <v>1</v>
      </c>
      <c r="CY51" s="1">
        <v>2</v>
      </c>
      <c r="CZ51" s="1">
        <f>IF(HRCS,1,0)</f>
        <v>0</v>
      </c>
      <c r="DA51" s="1">
        <v>1</v>
      </c>
      <c r="DB51" s="1">
        <v>1</v>
      </c>
      <c r="DC51" s="1">
        <v>1</v>
      </c>
      <c r="DD51" s="1">
        <v>1</v>
      </c>
      <c r="DE51" s="1">
        <v>1</v>
      </c>
      <c r="DF51" s="1">
        <v>1</v>
      </c>
      <c r="DG51" s="1">
        <v>1</v>
      </c>
      <c r="DH51" s="1">
        <v>1</v>
      </c>
      <c r="DI51" s="1">
        <f>IF(HRXPH,1,0)</f>
        <v>0</v>
      </c>
      <c r="DJ51" s="1">
        <v>1</v>
      </c>
      <c r="DK51" s="1" t="s">
        <v>208</v>
      </c>
      <c r="DL51" s="1" t="s">
        <v>170</v>
      </c>
      <c r="EE51" s="8" t="s">
        <v>204</v>
      </c>
      <c r="EF51" s="9">
        <v>10</v>
      </c>
      <c r="EG51" s="9" t="str">
        <f>IF(DiDrLvl&gt;0,INDEX(TblDiDrAugmentation,DiDrAug10),"")</f>
        <v/>
      </c>
      <c r="EH51" s="9">
        <v>1</v>
      </c>
      <c r="EI51" s="9" t="b">
        <f t="shared" si="54"/>
        <v>0</v>
      </c>
      <c r="EJ51" s="9" t="str">
        <f t="shared" si="55"/>
        <v/>
      </c>
      <c r="EK51" s="9">
        <f t="shared" si="59"/>
        <v>99</v>
      </c>
      <c r="EL51" s="9">
        <f t="shared" si="60"/>
        <v>99</v>
      </c>
      <c r="EM51" s="9">
        <f t="shared" si="56"/>
        <v>99</v>
      </c>
      <c r="EN51" s="9">
        <f t="shared" si="57"/>
        <v>99</v>
      </c>
      <c r="EO51" s="10">
        <f t="shared" si="58"/>
        <v>0</v>
      </c>
    </row>
    <row r="52" spans="1:145" ht="11.25" customHeight="1" x14ac:dyDescent="0.2">
      <c r="A52" s="1">
        <f t="shared" si="18"/>
        <v>49</v>
      </c>
      <c r="B52" s="1" t="s">
        <v>209</v>
      </c>
      <c r="C52" s="1" t="s">
        <v>210</v>
      </c>
      <c r="D52" s="1" t="s">
        <v>210</v>
      </c>
      <c r="E52" s="1">
        <f t="shared" si="40"/>
        <v>0</v>
      </c>
      <c r="K52" s="1">
        <v>2</v>
      </c>
      <c r="L52" s="1">
        <v>6</v>
      </c>
      <c r="S52" s="1" t="b">
        <v>1</v>
      </c>
      <c r="V52" s="1">
        <v>0.5</v>
      </c>
      <c r="W52" s="1">
        <v>0.5</v>
      </c>
      <c r="X52" s="1">
        <v>0.34</v>
      </c>
      <c r="Y52" s="1">
        <v>0.5</v>
      </c>
      <c r="Z52" s="1" t="b">
        <f>FALSE</f>
        <v>0</v>
      </c>
      <c r="AA52" s="1" t="str">
        <f t="shared" si="19"/>
        <v/>
      </c>
      <c r="AB52" s="1" t="str">
        <f t="shared" si="20"/>
        <v/>
      </c>
      <c r="AC52" s="1">
        <f t="shared" si="41"/>
        <v>0</v>
      </c>
      <c r="AD52" s="1" t="str">
        <f t="shared" si="21"/>
        <v/>
      </c>
      <c r="AE52" s="1" t="str">
        <f t="shared" si="22"/>
        <v/>
      </c>
      <c r="AF52" s="1">
        <f t="shared" si="42"/>
        <v>0</v>
      </c>
      <c r="AG52" s="1">
        <f t="shared" si="23"/>
        <v>5</v>
      </c>
      <c r="AH52" s="1" t="str">
        <f t="shared" si="9"/>
        <v/>
      </c>
      <c r="AI52" s="1">
        <v>1</v>
      </c>
      <c r="AJ52" s="1">
        <f>IF(HRXPH,1,0)</f>
        <v>0</v>
      </c>
      <c r="AK52" s="1">
        <v>1</v>
      </c>
      <c r="AL52" s="1">
        <v>1</v>
      </c>
      <c r="AM52" s="1">
        <v>1</v>
      </c>
      <c r="AN52" s="1">
        <f>IF(IsLycanthrope,2,0)</f>
        <v>0</v>
      </c>
      <c r="AO52" s="1">
        <v>2</v>
      </c>
      <c r="AP52" s="1">
        <v>2</v>
      </c>
      <c r="AQ52" s="1">
        <v>2</v>
      </c>
      <c r="AR52" s="1">
        <v>2</v>
      </c>
      <c r="AS52" s="1">
        <v>2</v>
      </c>
      <c r="AT52" s="1">
        <v>2</v>
      </c>
      <c r="AU52" s="1">
        <v>2</v>
      </c>
      <c r="AV52" s="1">
        <v>2</v>
      </c>
      <c r="AW52" s="1">
        <v>1</v>
      </c>
      <c r="AX52" s="1">
        <v>1</v>
      </c>
      <c r="AY52" s="1">
        <v>1</v>
      </c>
      <c r="AZ52" s="1">
        <v>1</v>
      </c>
      <c r="BA52" s="1">
        <v>1</v>
      </c>
      <c r="BB52" s="1">
        <v>1</v>
      </c>
      <c r="BC52" s="1">
        <v>1</v>
      </c>
      <c r="BD52" s="1">
        <v>1</v>
      </c>
      <c r="BE52" s="1">
        <v>1</v>
      </c>
      <c r="BF52" s="1">
        <v>2</v>
      </c>
      <c r="BG52" s="1">
        <f>IF(HRRVL,1,0)</f>
        <v>0</v>
      </c>
      <c r="BH52" s="1">
        <f>IF(HROA,1,0)</f>
        <v>0</v>
      </c>
      <c r="BI52" s="1">
        <v>2</v>
      </c>
      <c r="BJ52" s="1">
        <v>1</v>
      </c>
      <c r="BK52" s="1">
        <v>2</v>
      </c>
      <c r="BL52" s="1">
        <v>1</v>
      </c>
      <c r="BM52" s="1">
        <v>1</v>
      </c>
      <c r="BN52" s="1">
        <v>1</v>
      </c>
      <c r="BO52" s="1">
        <v>1</v>
      </c>
      <c r="BP52" s="1">
        <v>1</v>
      </c>
      <c r="BQ52" s="1">
        <f>IF(HRRVL,1,0)</f>
        <v>0</v>
      </c>
      <c r="BR52" s="1">
        <v>1</v>
      </c>
      <c r="BS52" s="1">
        <v>1</v>
      </c>
      <c r="BT52" s="1">
        <f>IF(HRXPH,1,0)</f>
        <v>0</v>
      </c>
      <c r="BU52" s="1">
        <f>IF(HRRVL,1,0)</f>
        <v>0</v>
      </c>
      <c r="BV52" s="1">
        <v>1</v>
      </c>
      <c r="BW52" s="1">
        <v>2</v>
      </c>
      <c r="BX52" s="1">
        <v>1</v>
      </c>
      <c r="BY52" s="1">
        <v>1</v>
      </c>
      <c r="BZ52" s="1">
        <v>1</v>
      </c>
      <c r="CA52" s="1">
        <v>1</v>
      </c>
      <c r="CB52" s="1">
        <v>1</v>
      </c>
      <c r="CC52" s="1">
        <v>1</v>
      </c>
      <c r="CD52" s="1">
        <v>1</v>
      </c>
      <c r="CE52" s="1">
        <v>1</v>
      </c>
      <c r="CF52" s="1">
        <v>1</v>
      </c>
      <c r="CG52" s="1">
        <v>1</v>
      </c>
      <c r="CH52" s="1">
        <v>2</v>
      </c>
      <c r="CI52" s="1">
        <v>1</v>
      </c>
      <c r="CJ52" s="1">
        <v>1</v>
      </c>
      <c r="CK52" s="1">
        <v>1</v>
      </c>
      <c r="CL52" s="1">
        <v>1</v>
      </c>
      <c r="CM52" s="1">
        <v>1</v>
      </c>
      <c r="CN52" s="1">
        <v>1</v>
      </c>
      <c r="CO52" s="1">
        <v>1</v>
      </c>
      <c r="CP52" s="1">
        <v>2</v>
      </c>
      <c r="CQ52" s="1">
        <v>2</v>
      </c>
      <c r="CR52" s="1">
        <v>2</v>
      </c>
      <c r="CS52" s="1">
        <v>2</v>
      </c>
      <c r="CT52" s="1">
        <v>2</v>
      </c>
      <c r="CU52" s="1">
        <v>2</v>
      </c>
      <c r="CV52" s="1">
        <f>IF(HRXPH,1,0)</f>
        <v>0</v>
      </c>
      <c r="CW52" s="1">
        <v>1</v>
      </c>
      <c r="CX52" s="1">
        <v>1</v>
      </c>
      <c r="CY52" s="1">
        <v>1</v>
      </c>
      <c r="CZ52" s="1">
        <f>IF(HRCS,1,0)</f>
        <v>0</v>
      </c>
      <c r="DA52" s="1">
        <v>1</v>
      </c>
      <c r="DB52" s="1">
        <v>1</v>
      </c>
      <c r="DC52" s="1">
        <v>2</v>
      </c>
      <c r="DD52" s="1">
        <v>2</v>
      </c>
      <c r="DE52" s="1">
        <v>1</v>
      </c>
      <c r="DF52" s="1">
        <v>1</v>
      </c>
      <c r="DG52" s="1">
        <v>1</v>
      </c>
      <c r="DH52" s="1">
        <v>1</v>
      </c>
      <c r="DI52" s="1">
        <f>IF(HRXPH,1,0)</f>
        <v>0</v>
      </c>
      <c r="DJ52" s="1">
        <v>1</v>
      </c>
      <c r="DK52" s="1" t="s">
        <v>208</v>
      </c>
      <c r="DL52" s="1" t="s">
        <v>170</v>
      </c>
      <c r="EE52" s="8" t="s">
        <v>211</v>
      </c>
      <c r="EF52" s="9">
        <v>4</v>
      </c>
      <c r="EG52" s="9" t="str">
        <f>IF(DLdLvl&gt;0,INDEX(TblDoomLordStat,DoomlordStat1),"")</f>
        <v/>
      </c>
      <c r="EH52" s="9">
        <v>1</v>
      </c>
      <c r="EI52" s="9" t="b">
        <f t="shared" ref="EI52:EI83" si="62">(INDEX(TblClasses,MATCH($EE52,TblTLAList,0),ClassInfoLevelColumn)&gt;=$EF52)</f>
        <v>0</v>
      </c>
      <c r="EJ52" s="9" t="str">
        <f t="shared" si="55"/>
        <v/>
      </c>
      <c r="EK52" s="9">
        <f t="shared" si="59"/>
        <v>99</v>
      </c>
      <c r="EL52" s="9">
        <f t="shared" si="60"/>
        <v>99</v>
      </c>
      <c r="EM52" s="9">
        <f t="shared" ref="EM52:EM83" si="63">IF($EI52,IF(HasVirtualClasses,MATCH($EJ52,TblClass3,0),99),99)</f>
        <v>99</v>
      </c>
      <c r="EN52" s="9">
        <f t="shared" si="57"/>
        <v>99</v>
      </c>
      <c r="EO52" s="10">
        <f t="shared" ref="EO52:EO83" si="64">IF(DoClassIntAdj,IF($EG52="Int",$EH52*($EN52&lt;=LvlMax),0),0)</f>
        <v>0</v>
      </c>
    </row>
    <row r="53" spans="1:145" ht="11.25" customHeight="1" x14ac:dyDescent="0.2">
      <c r="A53" s="1">
        <f t="shared" si="18"/>
        <v>50</v>
      </c>
      <c r="B53" s="1" t="s">
        <v>212</v>
      </c>
      <c r="C53" s="1" t="s">
        <v>213</v>
      </c>
      <c r="D53" s="1" t="s">
        <v>213</v>
      </c>
      <c r="E53" s="1">
        <f t="shared" si="40"/>
        <v>0</v>
      </c>
      <c r="K53" s="1">
        <v>4</v>
      </c>
      <c r="L53" s="1">
        <v>6</v>
      </c>
      <c r="N53" s="1" t="b">
        <v>1</v>
      </c>
      <c r="S53" s="1" t="b">
        <v>1</v>
      </c>
      <c r="V53" s="1">
        <v>0.75</v>
      </c>
      <c r="W53" s="1">
        <v>0.34</v>
      </c>
      <c r="X53" s="1">
        <v>0.34</v>
      </c>
      <c r="Y53" s="1">
        <v>0.5</v>
      </c>
      <c r="Z53" s="1" t="b">
        <f>FALSE</f>
        <v>0</v>
      </c>
      <c r="AA53" s="1" t="str">
        <f t="shared" si="19"/>
        <v/>
      </c>
      <c r="AB53" s="1" t="str">
        <f t="shared" si="20"/>
        <v/>
      </c>
      <c r="AC53" s="1">
        <f t="shared" si="41"/>
        <v>0</v>
      </c>
      <c r="AD53" s="1" t="str">
        <f t="shared" si="21"/>
        <v/>
      </c>
      <c r="AE53" s="1" t="str">
        <f t="shared" si="22"/>
        <v/>
      </c>
      <c r="AF53" s="1">
        <f t="shared" si="42"/>
        <v>0</v>
      </c>
      <c r="AG53" s="1">
        <f t="shared" si="23"/>
        <v>5</v>
      </c>
      <c r="AH53" s="1" t="str">
        <f t="shared" si="9"/>
        <v/>
      </c>
      <c r="AI53" s="1">
        <v>1</v>
      </c>
      <c r="AJ53" s="1">
        <f>IF(HRXPH,1,0)</f>
        <v>0</v>
      </c>
      <c r="AK53" s="1">
        <v>1</v>
      </c>
      <c r="AL53" s="1">
        <v>1</v>
      </c>
      <c r="AM53" s="1">
        <v>1</v>
      </c>
      <c r="AN53" s="1">
        <f>IF(IsLycanthrope,2,0)</f>
        <v>0</v>
      </c>
      <c r="AO53" s="1">
        <v>2</v>
      </c>
      <c r="AP53" s="1">
        <v>2</v>
      </c>
      <c r="AQ53" s="1">
        <v>2</v>
      </c>
      <c r="AR53" s="1">
        <v>2</v>
      </c>
      <c r="AS53" s="1">
        <v>2</v>
      </c>
      <c r="AT53" s="1">
        <v>2</v>
      </c>
      <c r="AU53" s="1">
        <v>2</v>
      </c>
      <c r="AV53" s="1">
        <v>2</v>
      </c>
      <c r="AW53" s="1">
        <v>1</v>
      </c>
      <c r="AX53" s="1">
        <v>1</v>
      </c>
      <c r="AY53" s="1">
        <v>1</v>
      </c>
      <c r="AZ53" s="1">
        <v>1</v>
      </c>
      <c r="BA53" s="1">
        <v>1</v>
      </c>
      <c r="BB53" s="1">
        <v>1</v>
      </c>
      <c r="BC53" s="1">
        <v>1</v>
      </c>
      <c r="BD53" s="1">
        <v>1</v>
      </c>
      <c r="BE53" s="1">
        <v>1</v>
      </c>
      <c r="BF53" s="1">
        <v>1</v>
      </c>
      <c r="BG53" s="1">
        <f>IF(HRRVL,1,0)</f>
        <v>0</v>
      </c>
      <c r="BH53" s="1">
        <f>IF(HROA,1,0)</f>
        <v>0</v>
      </c>
      <c r="BI53" s="1">
        <v>1</v>
      </c>
      <c r="BJ53" s="1">
        <v>1</v>
      </c>
      <c r="BK53" s="1">
        <v>2</v>
      </c>
      <c r="BL53" s="1">
        <v>2</v>
      </c>
      <c r="BM53" s="1">
        <v>2</v>
      </c>
      <c r="BN53" s="1">
        <v>2</v>
      </c>
      <c r="BO53" s="1">
        <v>2</v>
      </c>
      <c r="BP53" s="1">
        <v>2</v>
      </c>
      <c r="BQ53" s="1">
        <f>IF(HRRVL,1,0)</f>
        <v>0</v>
      </c>
      <c r="BR53" s="1">
        <v>2</v>
      </c>
      <c r="BS53" s="1">
        <v>2</v>
      </c>
      <c r="BT53" s="1">
        <f>IF(HRXPH,1,0)</f>
        <v>0</v>
      </c>
      <c r="BU53" s="1">
        <f>IF(HRRVL,1,0)</f>
        <v>0</v>
      </c>
      <c r="BV53" s="1">
        <v>2</v>
      </c>
      <c r="BW53" s="1">
        <v>2</v>
      </c>
      <c r="BX53" s="1">
        <v>2</v>
      </c>
      <c r="BY53" s="1">
        <v>2</v>
      </c>
      <c r="BZ53" s="1">
        <v>2</v>
      </c>
      <c r="CA53" s="1">
        <v>2</v>
      </c>
      <c r="CB53" s="1">
        <v>2</v>
      </c>
      <c r="CC53" s="1">
        <v>2</v>
      </c>
      <c r="CD53" s="1">
        <v>2</v>
      </c>
      <c r="CE53" s="1">
        <v>2</v>
      </c>
      <c r="CF53" s="1">
        <v>1</v>
      </c>
      <c r="CG53" s="1">
        <v>1</v>
      </c>
      <c r="CH53" s="1">
        <v>1</v>
      </c>
      <c r="CI53" s="1">
        <v>1</v>
      </c>
      <c r="CJ53" s="1">
        <v>2</v>
      </c>
      <c r="CK53" s="1">
        <v>2</v>
      </c>
      <c r="CL53" s="1">
        <v>2</v>
      </c>
      <c r="CM53" s="1">
        <v>2</v>
      </c>
      <c r="CN53" s="1">
        <v>2</v>
      </c>
      <c r="CO53" s="1">
        <v>2</v>
      </c>
      <c r="CP53" s="1">
        <v>1</v>
      </c>
      <c r="CQ53" s="1">
        <v>1</v>
      </c>
      <c r="CR53" s="1">
        <v>1</v>
      </c>
      <c r="CS53" s="1">
        <v>1</v>
      </c>
      <c r="CT53" s="1">
        <v>1</v>
      </c>
      <c r="CU53" s="1">
        <v>1</v>
      </c>
      <c r="CV53" s="1">
        <f>IF(HRXPH,1,0)</f>
        <v>0</v>
      </c>
      <c r="CW53" s="1">
        <v>1</v>
      </c>
      <c r="CX53" s="1">
        <v>1</v>
      </c>
      <c r="CY53" s="1">
        <v>1</v>
      </c>
      <c r="CZ53" s="1">
        <f>IF(HRCS,1,0)</f>
        <v>0</v>
      </c>
      <c r="DA53" s="1">
        <v>1</v>
      </c>
      <c r="DB53" s="1">
        <v>1</v>
      </c>
      <c r="DC53" s="1">
        <v>1</v>
      </c>
      <c r="DD53" s="1">
        <v>1</v>
      </c>
      <c r="DE53" s="1">
        <v>1</v>
      </c>
      <c r="DF53" s="1">
        <v>1</v>
      </c>
      <c r="DG53" s="1">
        <v>1</v>
      </c>
      <c r="DH53" s="1">
        <v>2</v>
      </c>
      <c r="DI53" s="1">
        <f>IF(HRXPH,1,0)</f>
        <v>0</v>
      </c>
      <c r="DJ53" s="1">
        <v>1</v>
      </c>
      <c r="DK53" s="1" t="s">
        <v>208</v>
      </c>
      <c r="DL53" s="1" t="s">
        <v>170</v>
      </c>
      <c r="EE53" s="8" t="s">
        <v>211</v>
      </c>
      <c r="EF53" s="9">
        <v>8</v>
      </c>
      <c r="EG53" s="9" t="str">
        <f>IF(DLdLvl&gt;0,INDEX(TblDoomLordStat,DoomlordStat2),"")</f>
        <v/>
      </c>
      <c r="EH53" s="9">
        <v>1</v>
      </c>
      <c r="EI53" s="9" t="b">
        <f t="shared" si="62"/>
        <v>0</v>
      </c>
      <c r="EJ53" s="9" t="str">
        <f t="shared" si="55"/>
        <v/>
      </c>
      <c r="EK53" s="9">
        <f>IF($EI53,MATCH($EJ53,TblClassN,0),99)</f>
        <v>99</v>
      </c>
      <c r="EL53" s="9">
        <f t="shared" ref="EL53:EL84" si="65">IF($EI53,IF(HRGestalt,MATCH($EJ53,TblGClassN,0),99),99)</f>
        <v>99</v>
      </c>
      <c r="EM53" s="9">
        <f t="shared" si="63"/>
        <v>99</v>
      </c>
      <c r="EN53" s="9">
        <f t="shared" si="57"/>
        <v>99</v>
      </c>
      <c r="EO53" s="10">
        <f t="shared" si="64"/>
        <v>0</v>
      </c>
    </row>
    <row r="54" spans="1:145" ht="11.25" customHeight="1" x14ac:dyDescent="0.2">
      <c r="A54" s="1">
        <f t="shared" si="18"/>
        <v>51</v>
      </c>
      <c r="B54" s="1" t="s">
        <v>214</v>
      </c>
      <c r="E54" s="1">
        <f t="shared" si="40"/>
        <v>0</v>
      </c>
      <c r="F54" s="1">
        <v>1</v>
      </c>
      <c r="Z54" s="1" t="b">
        <f>FALSE</f>
        <v>0</v>
      </c>
      <c r="AA54" s="1" t="str">
        <f t="shared" si="19"/>
        <v/>
      </c>
      <c r="AB54" s="1" t="str">
        <f t="shared" si="20"/>
        <v/>
      </c>
      <c r="AC54" s="1">
        <f t="shared" si="41"/>
        <v>0</v>
      </c>
      <c r="AD54" s="1" t="str">
        <f t="shared" si="21"/>
        <v/>
      </c>
      <c r="AE54" s="1" t="str">
        <f t="shared" si="22"/>
        <v/>
      </c>
      <c r="AF54" s="1">
        <f t="shared" si="42"/>
        <v>0</v>
      </c>
      <c r="AG54" s="1">
        <f t="shared" si="23"/>
        <v>5</v>
      </c>
      <c r="AH54" s="1" t="str">
        <f t="shared" si="9"/>
        <v/>
      </c>
      <c r="EE54" s="8" t="s">
        <v>215</v>
      </c>
      <c r="EF54" s="9">
        <v>10</v>
      </c>
      <c r="EG54" s="9" t="s">
        <v>162</v>
      </c>
      <c r="EH54" s="9">
        <v>4</v>
      </c>
      <c r="EI54" s="9" t="b">
        <f t="shared" si="62"/>
        <v>0</v>
      </c>
      <c r="EJ54" s="9" t="str">
        <f t="shared" si="55"/>
        <v/>
      </c>
      <c r="EK54" s="9">
        <f>IF($EI54,MATCH($EJ54,TblClassN,0),99)</f>
        <v>99</v>
      </c>
      <c r="EL54" s="9">
        <f t="shared" si="65"/>
        <v>99</v>
      </c>
      <c r="EM54" s="9">
        <f t="shared" si="63"/>
        <v>99</v>
      </c>
      <c r="EN54" s="9">
        <f t="shared" si="57"/>
        <v>99</v>
      </c>
      <c r="EO54" s="10">
        <f t="shared" si="64"/>
        <v>0</v>
      </c>
    </row>
    <row r="55" spans="1:145" ht="11.25" customHeight="1" x14ac:dyDescent="0.2">
      <c r="A55" s="1">
        <f t="shared" si="18"/>
        <v>52</v>
      </c>
      <c r="B55" s="1" t="s">
        <v>216</v>
      </c>
      <c r="C55" s="1" t="s">
        <v>217</v>
      </c>
      <c r="D55" s="1" t="s">
        <v>217</v>
      </c>
      <c r="E55" s="1">
        <f t="shared" si="40"/>
        <v>0</v>
      </c>
      <c r="K55" s="1">
        <v>2</v>
      </c>
      <c r="L55" s="1">
        <v>6</v>
      </c>
      <c r="N55" s="1" t="b">
        <v>1</v>
      </c>
      <c r="O55" s="1" t="b">
        <v>1</v>
      </c>
      <c r="Q55" s="1" t="b">
        <v>1</v>
      </c>
      <c r="S55" s="1" t="b">
        <v>1</v>
      </c>
      <c r="V55" s="1">
        <v>0.5</v>
      </c>
      <c r="W55" s="1">
        <v>0.5</v>
      </c>
      <c r="X55" s="1">
        <v>0.34</v>
      </c>
      <c r="Y55" s="1">
        <v>0.5</v>
      </c>
      <c r="Z55" s="1" t="b">
        <f>IF(COUNTIF(AlignmentComponents,"N")=1,FALSE,TRUE)</f>
        <v>1</v>
      </c>
      <c r="AA55" s="1" t="str">
        <f t="shared" si="19"/>
        <v/>
      </c>
      <c r="AB55" s="1" t="str">
        <f t="shared" si="20"/>
        <v/>
      </c>
      <c r="AC55" s="1">
        <f t="shared" si="41"/>
        <v>0</v>
      </c>
      <c r="AD55" s="1" t="str">
        <f t="shared" si="21"/>
        <v/>
      </c>
      <c r="AE55" s="1" t="str">
        <f t="shared" si="22"/>
        <v/>
      </c>
      <c r="AF55" s="1">
        <f t="shared" si="42"/>
        <v>0</v>
      </c>
      <c r="AG55" s="1">
        <f t="shared" si="23"/>
        <v>5</v>
      </c>
      <c r="AH55" s="1" t="str">
        <f t="shared" si="9"/>
        <v/>
      </c>
      <c r="AI55" s="1">
        <v>1</v>
      </c>
      <c r="AJ55" s="1">
        <f>IF(HRXPH,1,0)</f>
        <v>0</v>
      </c>
      <c r="AK55" s="1">
        <v>1</v>
      </c>
      <c r="AL55" s="1">
        <v>1</v>
      </c>
      <c r="AM55" s="1">
        <v>1</v>
      </c>
      <c r="AN55" s="1">
        <f>IF(IsLycanthrope,2,0)</f>
        <v>0</v>
      </c>
      <c r="AO55" s="1">
        <v>2</v>
      </c>
      <c r="AP55" s="1">
        <v>2</v>
      </c>
      <c r="AQ55" s="1">
        <v>2</v>
      </c>
      <c r="AR55" s="1">
        <v>2</v>
      </c>
      <c r="AS55" s="1">
        <v>2</v>
      </c>
      <c r="AT55" s="1">
        <v>2</v>
      </c>
      <c r="AU55" s="1">
        <v>2</v>
      </c>
      <c r="AV55" s="1">
        <v>2</v>
      </c>
      <c r="AW55" s="1">
        <v>1</v>
      </c>
      <c r="AX55" s="1">
        <v>1</v>
      </c>
      <c r="AY55" s="1">
        <v>1</v>
      </c>
      <c r="AZ55" s="1">
        <v>1</v>
      </c>
      <c r="BA55" s="1">
        <v>1</v>
      </c>
      <c r="BB55" s="1">
        <v>1</v>
      </c>
      <c r="BC55" s="1">
        <v>1</v>
      </c>
      <c r="BD55" s="1">
        <v>1</v>
      </c>
      <c r="BE55" s="1">
        <v>1</v>
      </c>
      <c r="BF55" s="1">
        <v>1</v>
      </c>
      <c r="BG55" s="1">
        <f>IF(HRRVL,1,0)</f>
        <v>0</v>
      </c>
      <c r="BH55" s="1">
        <f>IF(HROA,1,0)</f>
        <v>0</v>
      </c>
      <c r="BI55" s="1">
        <v>1</v>
      </c>
      <c r="BJ55" s="1">
        <v>1</v>
      </c>
      <c r="BK55" s="1">
        <v>2</v>
      </c>
      <c r="BL55" s="1">
        <v>1</v>
      </c>
      <c r="BM55" s="1">
        <v>1</v>
      </c>
      <c r="BN55" s="1">
        <v>1</v>
      </c>
      <c r="BO55" s="1">
        <v>1</v>
      </c>
      <c r="BP55" s="1">
        <v>1</v>
      </c>
      <c r="BQ55" s="1">
        <f>IF(HRRVL,1,0)</f>
        <v>0</v>
      </c>
      <c r="BR55" s="1">
        <v>1</v>
      </c>
      <c r="BS55" s="1">
        <v>1</v>
      </c>
      <c r="BT55" s="1">
        <f>IF(HRXPH,1,0)</f>
        <v>0</v>
      </c>
      <c r="BU55" s="1">
        <f>IF(HRRVL,1,0)</f>
        <v>0</v>
      </c>
      <c r="BV55" s="1">
        <v>2</v>
      </c>
      <c r="BW55" s="1">
        <v>2</v>
      </c>
      <c r="BX55" s="1">
        <v>1</v>
      </c>
      <c r="BY55" s="1">
        <v>1</v>
      </c>
      <c r="BZ55" s="1">
        <v>1</v>
      </c>
      <c r="CA55" s="1">
        <v>1</v>
      </c>
      <c r="CB55" s="1">
        <v>1</v>
      </c>
      <c r="CC55" s="1">
        <v>1</v>
      </c>
      <c r="CD55" s="1">
        <v>1</v>
      </c>
      <c r="CE55" s="1">
        <v>1</v>
      </c>
      <c r="CF55" s="1">
        <v>1</v>
      </c>
      <c r="CG55" s="1">
        <f>IF(HRToB,1,0)</f>
        <v>0</v>
      </c>
      <c r="CH55" s="1">
        <v>1</v>
      </c>
      <c r="CI55" s="1">
        <v>1</v>
      </c>
      <c r="CJ55" s="1">
        <v>1</v>
      </c>
      <c r="CK55" s="1">
        <v>1</v>
      </c>
      <c r="CL55" s="1">
        <v>1</v>
      </c>
      <c r="CM55" s="1">
        <v>1</v>
      </c>
      <c r="CN55" s="1">
        <v>1</v>
      </c>
      <c r="CO55" s="1">
        <v>1</v>
      </c>
      <c r="CP55" s="1">
        <v>2</v>
      </c>
      <c r="CQ55" s="1">
        <v>2</v>
      </c>
      <c r="CR55" s="1">
        <v>2</v>
      </c>
      <c r="CS55" s="1">
        <v>2</v>
      </c>
      <c r="CT55" s="1">
        <v>2</v>
      </c>
      <c r="CU55" s="1">
        <v>2</v>
      </c>
      <c r="CV55" s="1">
        <f>IF(HRXPH,1,0)</f>
        <v>0</v>
      </c>
      <c r="CW55" s="1">
        <v>1</v>
      </c>
      <c r="CX55" s="1">
        <v>1</v>
      </c>
      <c r="CY55" s="1">
        <v>1</v>
      </c>
      <c r="CZ55" s="1">
        <f>IF(HRCS,1,0)</f>
        <v>0</v>
      </c>
      <c r="DA55" s="1">
        <v>1</v>
      </c>
      <c r="DB55" s="1">
        <v>1</v>
      </c>
      <c r="DC55" s="1">
        <v>2</v>
      </c>
      <c r="DD55" s="1">
        <v>1</v>
      </c>
      <c r="DE55" s="1">
        <v>1</v>
      </c>
      <c r="DF55" s="1">
        <v>1</v>
      </c>
      <c r="DG55" s="1">
        <v>1</v>
      </c>
      <c r="DH55" s="1">
        <v>1</v>
      </c>
      <c r="DI55" s="1">
        <f>IF(HRXPH,1,0)</f>
        <v>0</v>
      </c>
      <c r="DJ55" s="1">
        <v>1</v>
      </c>
      <c r="DK55" s="1" t="s">
        <v>218</v>
      </c>
      <c r="DL55" s="1" t="s">
        <v>170</v>
      </c>
      <c r="EE55" s="8" t="s">
        <v>219</v>
      </c>
      <c r="EF55" s="9">
        <v>3</v>
      </c>
      <c r="EG55" s="9" t="s">
        <v>126</v>
      </c>
      <c r="EH55" s="9">
        <v>2</v>
      </c>
      <c r="EI55" s="9" t="b">
        <f t="shared" si="62"/>
        <v>0</v>
      </c>
      <c r="EJ55" s="9" t="str">
        <f t="shared" si="55"/>
        <v/>
      </c>
      <c r="EK55" s="9">
        <f>IF($EI55,MATCH($EJ55,TblClassN,0),99)</f>
        <v>99</v>
      </c>
      <c r="EL55" s="9">
        <f t="shared" si="65"/>
        <v>99</v>
      </c>
      <c r="EM55" s="9">
        <f t="shared" si="63"/>
        <v>99</v>
      </c>
      <c r="EN55" s="9">
        <f t="shared" si="57"/>
        <v>99</v>
      </c>
      <c r="EO55" s="10">
        <f t="shared" si="64"/>
        <v>0</v>
      </c>
    </row>
    <row r="56" spans="1:145" ht="11.25" customHeight="1" x14ac:dyDescent="0.2">
      <c r="A56" s="1">
        <f t="shared" si="18"/>
        <v>53</v>
      </c>
      <c r="B56" s="1" t="s">
        <v>220</v>
      </c>
      <c r="C56" s="1" t="s">
        <v>221</v>
      </c>
      <c r="D56" s="1" t="s">
        <v>221</v>
      </c>
      <c r="E56" s="1">
        <f t="shared" si="40"/>
        <v>0</v>
      </c>
      <c r="K56" s="1">
        <v>2</v>
      </c>
      <c r="L56" s="1">
        <v>10</v>
      </c>
      <c r="N56" s="1" t="b">
        <v>1</v>
      </c>
      <c r="O56" s="1" t="b">
        <v>1</v>
      </c>
      <c r="P56" s="1" t="b">
        <v>1</v>
      </c>
      <c r="Q56" s="1" t="b">
        <v>1</v>
      </c>
      <c r="S56" s="1" t="b">
        <v>1</v>
      </c>
      <c r="T56" s="1" t="b">
        <v>1</v>
      </c>
      <c r="V56" s="1">
        <v>1</v>
      </c>
      <c r="W56" s="1">
        <v>0.5</v>
      </c>
      <c r="X56" s="1">
        <v>0.34</v>
      </c>
      <c r="Y56" s="1">
        <v>0.34</v>
      </c>
      <c r="Z56" s="1" t="b">
        <f>IF(COUNTIF(AlignmentComponents,"N")=0,FALSE,TRUE)</f>
        <v>0</v>
      </c>
      <c r="AA56" s="1" t="str">
        <f t="shared" si="19"/>
        <v/>
      </c>
      <c r="AB56" s="1" t="str">
        <f t="shared" si="20"/>
        <v/>
      </c>
      <c r="AC56" s="1">
        <f t="shared" si="41"/>
        <v>0</v>
      </c>
      <c r="AD56" s="1" t="str">
        <f t="shared" si="21"/>
        <v/>
      </c>
      <c r="AE56" s="1" t="str">
        <f t="shared" si="22"/>
        <v/>
      </c>
      <c r="AF56" s="1">
        <f t="shared" si="42"/>
        <v>0</v>
      </c>
      <c r="AG56" s="1">
        <f t="shared" si="23"/>
        <v>5</v>
      </c>
      <c r="AH56" s="1" t="str">
        <f t="shared" si="9"/>
        <v/>
      </c>
      <c r="AI56" s="1">
        <v>1</v>
      </c>
      <c r="AJ56" s="1">
        <f>IF(HRXPH,1,0)</f>
        <v>0</v>
      </c>
      <c r="AK56" s="1">
        <v>1</v>
      </c>
      <c r="AL56" s="1">
        <f>IF(Alignment="LE",2,1)</f>
        <v>1</v>
      </c>
      <c r="AM56" s="1">
        <v>2</v>
      </c>
      <c r="AN56" s="1">
        <f>IF(IsLycanthrope,2,0)</f>
        <v>0</v>
      </c>
      <c r="AO56" s="1">
        <v>2</v>
      </c>
      <c r="AP56" s="1">
        <v>2</v>
      </c>
      <c r="AQ56" s="1">
        <v>2</v>
      </c>
      <c r="AR56" s="1">
        <v>2</v>
      </c>
      <c r="AS56" s="1">
        <v>2</v>
      </c>
      <c r="AT56" s="1">
        <v>2</v>
      </c>
      <c r="AU56" s="1">
        <v>2</v>
      </c>
      <c r="AV56" s="1">
        <v>2</v>
      </c>
      <c r="AW56" s="1">
        <v>1</v>
      </c>
      <c r="AX56" s="1">
        <f>IF(Alignment="LG",2,1)</f>
        <v>2</v>
      </c>
      <c r="AY56" s="1">
        <v>1</v>
      </c>
      <c r="AZ56" s="1">
        <v>1</v>
      </c>
      <c r="BA56" s="1">
        <v>1</v>
      </c>
      <c r="BB56" s="1">
        <v>1</v>
      </c>
      <c r="BC56" s="1">
        <f>IF(Alignment="CG",2,1)</f>
        <v>1</v>
      </c>
      <c r="BD56" s="1">
        <v>2</v>
      </c>
      <c r="BE56" s="1">
        <v>2</v>
      </c>
      <c r="BF56" s="1">
        <v>1</v>
      </c>
      <c r="BG56" s="1">
        <f>IF(HRRVL,1,0)</f>
        <v>0</v>
      </c>
      <c r="BH56" s="1">
        <f>IF(HROA,1,0)</f>
        <v>0</v>
      </c>
      <c r="BI56" s="1">
        <f>IF(Alignment="CE",2,1)</f>
        <v>1</v>
      </c>
      <c r="BJ56" s="1">
        <v>2</v>
      </c>
      <c r="BK56" s="1">
        <v>2</v>
      </c>
      <c r="BL56" s="1">
        <v>1</v>
      </c>
      <c r="BM56" s="1">
        <v>1</v>
      </c>
      <c r="BN56" s="1">
        <v>1</v>
      </c>
      <c r="BO56" s="1">
        <v>1</v>
      </c>
      <c r="BP56" s="1">
        <v>1</v>
      </c>
      <c r="BQ56" s="1">
        <f>IF(HRRVL,1,0)</f>
        <v>0</v>
      </c>
      <c r="BR56" s="1">
        <v>1</v>
      </c>
      <c r="BS56" s="1">
        <v>1</v>
      </c>
      <c r="BT56" s="1">
        <f>IF(HRXPH,1,0)</f>
        <v>0</v>
      </c>
      <c r="BU56" s="1">
        <f>IF(HRRVL,1,0)</f>
        <v>0</v>
      </c>
      <c r="BV56" s="1">
        <v>1</v>
      </c>
      <c r="BW56" s="1">
        <v>2</v>
      </c>
      <c r="BX56" s="1">
        <v>1</v>
      </c>
      <c r="BY56" s="1">
        <v>1</v>
      </c>
      <c r="BZ56" s="1">
        <v>1</v>
      </c>
      <c r="CA56" s="1">
        <v>1</v>
      </c>
      <c r="CB56" s="1">
        <v>1</v>
      </c>
      <c r="CC56" s="1">
        <v>1</v>
      </c>
      <c r="CD56" s="1">
        <v>1</v>
      </c>
      <c r="CE56" s="1">
        <v>1</v>
      </c>
      <c r="CF56" s="1">
        <v>1</v>
      </c>
      <c r="CG56" s="1">
        <f>IF(HRToB,1,0)</f>
        <v>0</v>
      </c>
      <c r="CH56" s="1">
        <v>1</v>
      </c>
      <c r="CI56" s="1">
        <v>1</v>
      </c>
      <c r="CJ56" s="1">
        <v>1</v>
      </c>
      <c r="CK56" s="1">
        <v>1</v>
      </c>
      <c r="CL56" s="1">
        <v>1</v>
      </c>
      <c r="CM56" s="1">
        <v>1</v>
      </c>
      <c r="CN56" s="1">
        <v>1</v>
      </c>
      <c r="CO56" s="1">
        <v>1</v>
      </c>
      <c r="CP56" s="1">
        <v>2</v>
      </c>
      <c r="CQ56" s="1">
        <v>2</v>
      </c>
      <c r="CR56" s="1">
        <v>2</v>
      </c>
      <c r="CS56" s="1">
        <v>2</v>
      </c>
      <c r="CT56" s="1">
        <v>2</v>
      </c>
      <c r="CU56" s="1">
        <v>2</v>
      </c>
      <c r="CV56" s="1">
        <f>IF(HRXPH,1,0)</f>
        <v>0</v>
      </c>
      <c r="CW56" s="1">
        <v>2</v>
      </c>
      <c r="CX56" s="1">
        <v>1</v>
      </c>
      <c r="CY56" s="1">
        <v>1</v>
      </c>
      <c r="CZ56" s="1">
        <f>IF(HRCS,1,0)</f>
        <v>0</v>
      </c>
      <c r="DA56" s="1">
        <v>1</v>
      </c>
      <c r="DB56" s="1">
        <v>1</v>
      </c>
      <c r="DC56" s="1">
        <v>2</v>
      </c>
      <c r="DD56" s="1">
        <v>1</v>
      </c>
      <c r="DE56" s="1">
        <v>1</v>
      </c>
      <c r="DF56" s="1">
        <v>2</v>
      </c>
      <c r="DG56" s="1">
        <v>1</v>
      </c>
      <c r="DH56" s="1">
        <v>1</v>
      </c>
      <c r="DI56" s="1">
        <f>IF(HRXPH,1,0)</f>
        <v>0</v>
      </c>
      <c r="DJ56" s="1">
        <v>1</v>
      </c>
      <c r="DK56" s="1" t="s">
        <v>218</v>
      </c>
      <c r="DL56" s="1" t="s">
        <v>170</v>
      </c>
      <c r="EE56" s="8" t="s">
        <v>222</v>
      </c>
      <c r="EF56" s="9">
        <v>3</v>
      </c>
      <c r="EG56" s="9" t="s">
        <v>129</v>
      </c>
      <c r="EH56" s="9">
        <v>2</v>
      </c>
      <c r="EI56" s="9" t="b">
        <f t="shared" si="62"/>
        <v>0</v>
      </c>
      <c r="EJ56" s="9" t="str">
        <f t="shared" si="55"/>
        <v/>
      </c>
      <c r="EK56" s="9">
        <f>IF($EI56,MATCH($EJ56,TblClassN,0),99)</f>
        <v>99</v>
      </c>
      <c r="EL56" s="9">
        <f t="shared" si="65"/>
        <v>99</v>
      </c>
      <c r="EM56" s="9">
        <f t="shared" si="63"/>
        <v>99</v>
      </c>
      <c r="EN56" s="9">
        <f t="shared" si="57"/>
        <v>99</v>
      </c>
      <c r="EO56" s="10">
        <f t="shared" si="64"/>
        <v>0</v>
      </c>
    </row>
    <row r="57" spans="1:145" ht="11.25" customHeight="1" x14ac:dyDescent="0.2">
      <c r="A57" s="1">
        <f t="shared" si="18"/>
        <v>54</v>
      </c>
      <c r="B57" s="1" t="s">
        <v>223</v>
      </c>
      <c r="C57" s="1" t="s">
        <v>224</v>
      </c>
      <c r="D57" s="1" t="s">
        <v>225</v>
      </c>
      <c r="E57" s="1">
        <f t="shared" si="40"/>
        <v>0</v>
      </c>
      <c r="K57" s="1">
        <v>4</v>
      </c>
      <c r="L57" s="1">
        <v>8</v>
      </c>
      <c r="N57" s="1" t="b">
        <v>1</v>
      </c>
      <c r="Q57" s="1" t="b">
        <v>1</v>
      </c>
      <c r="S57" s="1" t="b">
        <v>1</v>
      </c>
      <c r="V57" s="1">
        <v>0.75</v>
      </c>
      <c r="W57" s="1">
        <v>0.5</v>
      </c>
      <c r="X57" s="1">
        <v>0.5</v>
      </c>
      <c r="Y57" s="1">
        <v>0.34</v>
      </c>
      <c r="Z57" s="1" t="b">
        <f>FALSE</f>
        <v>0</v>
      </c>
      <c r="AA57" s="1" t="str">
        <f t="shared" si="19"/>
        <v/>
      </c>
      <c r="AB57" s="1" t="str">
        <f t="shared" si="20"/>
        <v/>
      </c>
      <c r="AC57" s="1">
        <f t="shared" si="41"/>
        <v>0</v>
      </c>
      <c r="AD57" s="1" t="str">
        <f t="shared" si="21"/>
        <v/>
      </c>
      <c r="AE57" s="1" t="str">
        <f t="shared" si="22"/>
        <v/>
      </c>
      <c r="AF57" s="1">
        <f t="shared" si="42"/>
        <v>0</v>
      </c>
      <c r="AG57" s="1">
        <f t="shared" si="23"/>
        <v>5</v>
      </c>
      <c r="AH57" s="1" t="str">
        <f t="shared" si="9"/>
        <v/>
      </c>
      <c r="AI57" s="1">
        <v>1</v>
      </c>
      <c r="AJ57" s="1">
        <f>IF(HRXPH,1,0)</f>
        <v>0</v>
      </c>
      <c r="AK57" s="1">
        <v>1</v>
      </c>
      <c r="AL57" s="1">
        <v>1</v>
      </c>
      <c r="AM57" s="1">
        <v>1</v>
      </c>
      <c r="AN57" s="1">
        <f>IF(IsLycanthrope,2,0)</f>
        <v>0</v>
      </c>
      <c r="AO57" s="1">
        <v>2</v>
      </c>
      <c r="AP57" s="1">
        <v>2</v>
      </c>
      <c r="AQ57" s="1">
        <v>2</v>
      </c>
      <c r="AR57" s="1">
        <v>2</v>
      </c>
      <c r="AS57" s="1">
        <v>2</v>
      </c>
      <c r="AT57" s="1">
        <v>2</v>
      </c>
      <c r="AU57" s="1">
        <v>2</v>
      </c>
      <c r="AV57" s="1">
        <v>2</v>
      </c>
      <c r="AW57" s="1">
        <v>1</v>
      </c>
      <c r="AX57" s="1">
        <v>1</v>
      </c>
      <c r="AY57" s="1">
        <v>1</v>
      </c>
      <c r="AZ57" s="1">
        <v>1</v>
      </c>
      <c r="BA57" s="1">
        <v>1</v>
      </c>
      <c r="BB57" s="1">
        <v>1</v>
      </c>
      <c r="BC57" s="1">
        <v>1</v>
      </c>
      <c r="BD57" s="1">
        <v>2</v>
      </c>
      <c r="BE57" s="1">
        <v>1</v>
      </c>
      <c r="BF57" s="1">
        <v>1</v>
      </c>
      <c r="BG57" s="1">
        <f>IF(HRRVL,1,0)</f>
        <v>0</v>
      </c>
      <c r="BH57" s="1">
        <f>IF(HROA,1,0)</f>
        <v>0</v>
      </c>
      <c r="BI57" s="1">
        <v>1</v>
      </c>
      <c r="BJ57" s="1">
        <v>1</v>
      </c>
      <c r="BK57" s="1">
        <v>2</v>
      </c>
      <c r="BL57" s="1">
        <v>1</v>
      </c>
      <c r="BM57" s="1">
        <v>1</v>
      </c>
      <c r="BN57" s="1">
        <v>1</v>
      </c>
      <c r="BO57" s="1">
        <v>1</v>
      </c>
      <c r="BP57" s="1">
        <v>1</v>
      </c>
      <c r="BQ57" s="1">
        <f>IF(HRRVL,1,0)</f>
        <v>0</v>
      </c>
      <c r="BR57" s="1">
        <v>2</v>
      </c>
      <c r="BS57" s="1">
        <v>1</v>
      </c>
      <c r="BT57" s="1">
        <f>IF(HRXPH,1,0)</f>
        <v>0</v>
      </c>
      <c r="BU57" s="1">
        <f>IF(HRRVL,1,0)</f>
        <v>0</v>
      </c>
      <c r="BV57" s="1">
        <v>1</v>
      </c>
      <c r="BW57" s="1">
        <v>2</v>
      </c>
      <c r="BX57" s="1">
        <v>1</v>
      </c>
      <c r="BY57" s="1">
        <v>1</v>
      </c>
      <c r="BZ57" s="1">
        <v>1</v>
      </c>
      <c r="CA57" s="1">
        <v>1</v>
      </c>
      <c r="CB57" s="1">
        <v>1</v>
      </c>
      <c r="CC57" s="1">
        <v>1</v>
      </c>
      <c r="CD57" s="1">
        <v>1</v>
      </c>
      <c r="CE57" s="1">
        <v>1</v>
      </c>
      <c r="CF57" s="1">
        <v>2</v>
      </c>
      <c r="CG57" s="1">
        <f>IF(HRToB,1,0)</f>
        <v>0</v>
      </c>
      <c r="CH57" s="1">
        <v>1</v>
      </c>
      <c r="CI57" s="1">
        <v>1</v>
      </c>
      <c r="CJ57" s="1">
        <v>1</v>
      </c>
      <c r="CK57" s="1">
        <v>1</v>
      </c>
      <c r="CL57" s="1">
        <v>1</v>
      </c>
      <c r="CM57" s="1">
        <v>1</v>
      </c>
      <c r="CN57" s="1">
        <v>1</v>
      </c>
      <c r="CO57" s="1">
        <v>1</v>
      </c>
      <c r="CP57" s="1">
        <v>2</v>
      </c>
      <c r="CQ57" s="1">
        <v>2</v>
      </c>
      <c r="CR57" s="1">
        <v>2</v>
      </c>
      <c r="CS57" s="1">
        <v>2</v>
      </c>
      <c r="CT57" s="1">
        <v>2</v>
      </c>
      <c r="CU57" s="1">
        <v>2</v>
      </c>
      <c r="CV57" s="1">
        <f>IF(HRXPH,1,0)</f>
        <v>0</v>
      </c>
      <c r="CW57" s="1">
        <v>2</v>
      </c>
      <c r="CX57" s="1">
        <v>1</v>
      </c>
      <c r="CY57" s="1">
        <v>1</v>
      </c>
      <c r="CZ57" s="1">
        <f>IF(HRCS,1,0)</f>
        <v>0</v>
      </c>
      <c r="DA57" s="1">
        <v>1</v>
      </c>
      <c r="DB57" s="1">
        <v>1</v>
      </c>
      <c r="DC57" s="1">
        <v>2</v>
      </c>
      <c r="DD57" s="1">
        <v>2</v>
      </c>
      <c r="DE57" s="1">
        <v>2</v>
      </c>
      <c r="DF57" s="1">
        <v>2</v>
      </c>
      <c r="DG57" s="1">
        <v>1</v>
      </c>
      <c r="DH57" s="1">
        <v>1</v>
      </c>
      <c r="DI57" s="1">
        <f>IF(HRXPH,1,0)</f>
        <v>0</v>
      </c>
      <c r="DJ57" s="1">
        <v>1</v>
      </c>
      <c r="DK57" s="1" t="s">
        <v>218</v>
      </c>
      <c r="DL57" s="1" t="s">
        <v>170</v>
      </c>
      <c r="EE57" s="8" t="s">
        <v>226</v>
      </c>
      <c r="EF57" s="9">
        <v>3</v>
      </c>
      <c r="EG57" s="9" t="s">
        <v>153</v>
      </c>
      <c r="EH57" s="9">
        <v>2</v>
      </c>
      <c r="EI57" s="9" t="b">
        <f t="shared" si="62"/>
        <v>0</v>
      </c>
      <c r="EJ57" s="9" t="str">
        <f t="shared" si="55"/>
        <v/>
      </c>
      <c r="EK57" s="9">
        <f>IF($EI57,MATCH($EJ57,TblClassN,0),99)</f>
        <v>99</v>
      </c>
      <c r="EL57" s="9">
        <f t="shared" si="65"/>
        <v>99</v>
      </c>
      <c r="EM57" s="9">
        <f t="shared" si="63"/>
        <v>99</v>
      </c>
      <c r="EN57" s="9">
        <f t="shared" si="57"/>
        <v>99</v>
      </c>
      <c r="EO57" s="10">
        <f t="shared" si="64"/>
        <v>0</v>
      </c>
    </row>
    <row r="58" spans="1:145" ht="11.25" customHeight="1" x14ac:dyDescent="0.2">
      <c r="A58" s="1">
        <f t="shared" si="18"/>
        <v>55</v>
      </c>
      <c r="B58" s="1" t="s">
        <v>227</v>
      </c>
      <c r="E58" s="1">
        <f t="shared" si="40"/>
        <v>0</v>
      </c>
      <c r="F58" s="1">
        <v>1</v>
      </c>
      <c r="Z58" s="1" t="b">
        <f>FALSE</f>
        <v>0</v>
      </c>
      <c r="AA58" s="1" t="str">
        <f t="shared" si="19"/>
        <v/>
      </c>
      <c r="AB58" s="1" t="str">
        <f t="shared" si="20"/>
        <v/>
      </c>
      <c r="AC58" s="1">
        <f t="shared" si="41"/>
        <v>0</v>
      </c>
      <c r="AD58" s="1" t="str">
        <f t="shared" si="21"/>
        <v/>
      </c>
      <c r="AE58" s="1" t="str">
        <f t="shared" si="22"/>
        <v/>
      </c>
      <c r="AF58" s="1">
        <f t="shared" si="42"/>
        <v>0</v>
      </c>
      <c r="AG58" s="1">
        <f t="shared" si="23"/>
        <v>5</v>
      </c>
      <c r="AH58" s="1" t="str">
        <f t="shared" si="9"/>
        <v/>
      </c>
      <c r="EE58" s="8" t="s">
        <v>228</v>
      </c>
      <c r="EF58" s="9">
        <v>5</v>
      </c>
      <c r="EG58" s="9" t="s">
        <v>153</v>
      </c>
      <c r="EH58" s="9">
        <v>1</v>
      </c>
      <c r="EI58" s="9" t="b">
        <f t="shared" si="62"/>
        <v>0</v>
      </c>
      <c r="EJ58" s="9" t="str">
        <f t="shared" si="55"/>
        <v/>
      </c>
      <c r="EK58" s="9">
        <f>IF($EI58,MATCH($EJ58,TblClassN,0),99)</f>
        <v>99</v>
      </c>
      <c r="EL58" s="9">
        <f t="shared" si="65"/>
        <v>99</v>
      </c>
      <c r="EM58" s="9">
        <f t="shared" si="63"/>
        <v>99</v>
      </c>
      <c r="EN58" s="9">
        <f t="shared" si="57"/>
        <v>99</v>
      </c>
      <c r="EO58" s="10">
        <f t="shared" si="64"/>
        <v>0</v>
      </c>
    </row>
    <row r="59" spans="1:145" ht="11.25" customHeight="1" x14ac:dyDescent="0.2">
      <c r="A59" s="1">
        <f t="shared" si="18"/>
        <v>56</v>
      </c>
      <c r="B59" s="1" t="s">
        <v>229</v>
      </c>
      <c r="C59" s="1" t="s">
        <v>230</v>
      </c>
      <c r="D59" s="1" t="s">
        <v>230</v>
      </c>
      <c r="E59" s="1">
        <f t="shared" si="40"/>
        <v>0</v>
      </c>
      <c r="K59" s="1">
        <v>4</v>
      </c>
      <c r="L59" s="1">
        <v>8</v>
      </c>
      <c r="N59" s="1" t="b">
        <v>1</v>
      </c>
      <c r="S59" s="1" t="b">
        <v>1</v>
      </c>
      <c r="V59" s="1">
        <v>0.5</v>
      </c>
      <c r="W59" s="1">
        <v>0.5</v>
      </c>
      <c r="X59" s="1">
        <v>0.34</v>
      </c>
      <c r="Y59" s="1">
        <v>0.5</v>
      </c>
      <c r="Z59" s="1" t="b">
        <f>FALSE</f>
        <v>0</v>
      </c>
      <c r="AA59" s="1" t="str">
        <f t="shared" si="19"/>
        <v/>
      </c>
      <c r="AB59" s="1" t="str">
        <f t="shared" si="20"/>
        <v/>
      </c>
      <c r="AC59" s="1">
        <f t="shared" si="41"/>
        <v>0</v>
      </c>
      <c r="AD59" s="1" t="str">
        <f t="shared" si="21"/>
        <v/>
      </c>
      <c r="AE59" s="1" t="str">
        <f t="shared" si="22"/>
        <v/>
      </c>
      <c r="AF59" s="1">
        <f t="shared" si="42"/>
        <v>0</v>
      </c>
      <c r="AG59" s="1">
        <f t="shared" si="23"/>
        <v>5</v>
      </c>
      <c r="AH59" s="1" t="str">
        <f t="shared" si="9"/>
        <v/>
      </c>
      <c r="AI59" s="1">
        <v>1</v>
      </c>
      <c r="AJ59" s="1">
        <f>IF(HRXPH,1,0)</f>
        <v>0</v>
      </c>
      <c r="AK59" s="1">
        <v>1</v>
      </c>
      <c r="AL59" s="1">
        <v>1</v>
      </c>
      <c r="AM59" s="1">
        <v>1</v>
      </c>
      <c r="AN59" s="1">
        <f>IF(IsLycanthrope,2,0)</f>
        <v>0</v>
      </c>
      <c r="AO59" s="1">
        <v>2</v>
      </c>
      <c r="AP59" s="1">
        <v>2</v>
      </c>
      <c r="AQ59" s="1">
        <v>2</v>
      </c>
      <c r="AR59" s="1">
        <v>2</v>
      </c>
      <c r="AS59" s="1">
        <v>2</v>
      </c>
      <c r="AT59" s="1">
        <v>2</v>
      </c>
      <c r="AU59" s="1">
        <v>2</v>
      </c>
      <c r="AV59" s="1">
        <v>2</v>
      </c>
      <c r="AW59" s="1">
        <v>1</v>
      </c>
      <c r="AX59" s="1">
        <v>2</v>
      </c>
      <c r="AY59" s="1">
        <v>1</v>
      </c>
      <c r="AZ59" s="1">
        <v>1</v>
      </c>
      <c r="BA59" s="1">
        <v>1</v>
      </c>
      <c r="BB59" s="1">
        <v>1</v>
      </c>
      <c r="BC59" s="1">
        <v>1</v>
      </c>
      <c r="BD59" s="1">
        <v>2</v>
      </c>
      <c r="BE59" s="1">
        <v>2</v>
      </c>
      <c r="BF59" s="1">
        <v>1</v>
      </c>
      <c r="BG59" s="1">
        <f>IF(HRRVL,1,0)</f>
        <v>0</v>
      </c>
      <c r="BH59" s="1">
        <f>IF(HROA,1,0)</f>
        <v>0</v>
      </c>
      <c r="BI59" s="1">
        <v>1</v>
      </c>
      <c r="BJ59" s="1">
        <v>1</v>
      </c>
      <c r="BK59" s="1">
        <v>1</v>
      </c>
      <c r="BL59" s="1">
        <v>1</v>
      </c>
      <c r="BM59" s="1">
        <v>1</v>
      </c>
      <c r="BN59" s="1">
        <v>1</v>
      </c>
      <c r="BO59" s="1">
        <v>1</v>
      </c>
      <c r="BP59" s="1">
        <v>1</v>
      </c>
      <c r="BQ59" s="1">
        <f>IF(HRRVL,2,0)</f>
        <v>0</v>
      </c>
      <c r="BR59" s="1">
        <v>2</v>
      </c>
      <c r="BS59" s="1">
        <v>1</v>
      </c>
      <c r="BT59" s="1">
        <f>IF(HRXPH,1,0)</f>
        <v>0</v>
      </c>
      <c r="BU59" s="1">
        <f>IF(HRRVL,2,0)</f>
        <v>0</v>
      </c>
      <c r="BV59" s="1">
        <v>2</v>
      </c>
      <c r="BW59" s="1">
        <v>1</v>
      </c>
      <c r="BX59" s="1">
        <v>1</v>
      </c>
      <c r="BY59" s="1">
        <v>1</v>
      </c>
      <c r="BZ59" s="1">
        <v>1</v>
      </c>
      <c r="CA59" s="1">
        <v>1</v>
      </c>
      <c r="CB59" s="1">
        <v>1</v>
      </c>
      <c r="CC59" s="1">
        <v>1</v>
      </c>
      <c r="CD59" s="1">
        <v>1</v>
      </c>
      <c r="CE59" s="1">
        <v>1</v>
      </c>
      <c r="CF59" s="1">
        <v>1</v>
      </c>
      <c r="CG59" s="1">
        <f>IF(HRToB,1,0)</f>
        <v>0</v>
      </c>
      <c r="CH59" s="1">
        <v>1</v>
      </c>
      <c r="CI59" s="1">
        <v>1</v>
      </c>
      <c r="CJ59" s="1">
        <v>1</v>
      </c>
      <c r="CK59" s="1">
        <v>1</v>
      </c>
      <c r="CL59" s="1">
        <v>1</v>
      </c>
      <c r="CM59" s="1">
        <v>1</v>
      </c>
      <c r="CN59" s="1">
        <v>1</v>
      </c>
      <c r="CO59" s="1">
        <v>1</v>
      </c>
      <c r="CP59" s="1">
        <v>2</v>
      </c>
      <c r="CQ59" s="1">
        <v>2</v>
      </c>
      <c r="CR59" s="1">
        <v>2</v>
      </c>
      <c r="CS59" s="1">
        <v>2</v>
      </c>
      <c r="CT59" s="1">
        <v>2</v>
      </c>
      <c r="CU59" s="1">
        <v>2</v>
      </c>
      <c r="CV59" s="1">
        <f>IF(HRXPH,1,0)</f>
        <v>0</v>
      </c>
      <c r="CW59" s="1">
        <v>1</v>
      </c>
      <c r="CX59" s="1">
        <v>1</v>
      </c>
      <c r="CY59" s="1">
        <v>2</v>
      </c>
      <c r="CZ59" s="1">
        <f>IF(HRCS,1,0)</f>
        <v>0</v>
      </c>
      <c r="DA59" s="1">
        <v>1</v>
      </c>
      <c r="DB59" s="1">
        <v>1</v>
      </c>
      <c r="DC59" s="1">
        <v>2</v>
      </c>
      <c r="DD59" s="1">
        <v>1</v>
      </c>
      <c r="DE59" s="1">
        <v>2</v>
      </c>
      <c r="DF59" s="1">
        <v>1</v>
      </c>
      <c r="DG59" s="1">
        <v>1</v>
      </c>
      <c r="DH59" s="1">
        <v>1</v>
      </c>
      <c r="DI59" s="1">
        <f>IF(HRXPH,1,0)</f>
        <v>0</v>
      </c>
      <c r="DJ59" s="1">
        <v>1</v>
      </c>
      <c r="DK59" s="1" t="s">
        <v>231</v>
      </c>
      <c r="DL59" s="1" t="s">
        <v>40</v>
      </c>
      <c r="EE59" s="8" t="s">
        <v>228</v>
      </c>
      <c r="EF59" s="9">
        <v>7</v>
      </c>
      <c r="EG59" s="9" t="s">
        <v>126</v>
      </c>
      <c r="EH59" s="9">
        <v>2</v>
      </c>
      <c r="EI59" s="9" t="b">
        <f t="shared" si="62"/>
        <v>0</v>
      </c>
      <c r="EJ59" s="9" t="str">
        <f t="shared" si="55"/>
        <v/>
      </c>
      <c r="EK59" s="9">
        <f>IF($EI59,MATCH($EJ59,TblClassN,0),99)</f>
        <v>99</v>
      </c>
      <c r="EL59" s="9">
        <f t="shared" si="65"/>
        <v>99</v>
      </c>
      <c r="EM59" s="9">
        <f t="shared" si="63"/>
        <v>99</v>
      </c>
      <c r="EN59" s="9">
        <f t="shared" si="57"/>
        <v>99</v>
      </c>
      <c r="EO59" s="10">
        <f t="shared" si="64"/>
        <v>0</v>
      </c>
    </row>
    <row r="60" spans="1:145" ht="11.25" customHeight="1" x14ac:dyDescent="0.2">
      <c r="A60" s="1">
        <f t="shared" si="18"/>
        <v>57</v>
      </c>
      <c r="B60" s="1" t="s">
        <v>232</v>
      </c>
      <c r="C60" s="1" t="s">
        <v>233</v>
      </c>
      <c r="D60" s="1" t="s">
        <v>234</v>
      </c>
      <c r="E60" s="1">
        <f t="shared" si="40"/>
        <v>0</v>
      </c>
      <c r="K60" s="1">
        <v>4</v>
      </c>
      <c r="L60" s="1">
        <v>8</v>
      </c>
      <c r="N60" s="1" t="b">
        <v>1</v>
      </c>
      <c r="O60" s="1" t="b">
        <v>1</v>
      </c>
      <c r="P60" s="1" t="b">
        <v>1</v>
      </c>
      <c r="Q60" s="1" t="b">
        <v>1</v>
      </c>
      <c r="S60" s="1" t="b">
        <v>1</v>
      </c>
      <c r="T60" s="1" t="b">
        <v>1</v>
      </c>
      <c r="V60" s="1">
        <v>0.75</v>
      </c>
      <c r="W60" s="1">
        <v>0.5</v>
      </c>
      <c r="X60" s="1">
        <v>0.34</v>
      </c>
      <c r="Y60" s="1">
        <v>0.5</v>
      </c>
      <c r="Z60" s="1" t="b">
        <f>FALSE</f>
        <v>0</v>
      </c>
      <c r="AA60" s="1" t="str">
        <f t="shared" si="19"/>
        <v/>
      </c>
      <c r="AB60" s="1" t="str">
        <f t="shared" si="20"/>
        <v/>
      </c>
      <c r="AC60" s="1">
        <f t="shared" si="41"/>
        <v>0</v>
      </c>
      <c r="AD60" s="1" t="str">
        <f t="shared" si="21"/>
        <v/>
      </c>
      <c r="AE60" s="1" t="str">
        <f t="shared" si="22"/>
        <v/>
      </c>
      <c r="AF60" s="1">
        <f t="shared" si="42"/>
        <v>0</v>
      </c>
      <c r="AG60" s="1">
        <f t="shared" si="23"/>
        <v>5</v>
      </c>
      <c r="AH60" s="1" t="str">
        <f t="shared" si="9"/>
        <v/>
      </c>
      <c r="AI60" s="1">
        <v>1</v>
      </c>
      <c r="AJ60" s="1">
        <f>IF(HRXPH,1,0)</f>
        <v>0</v>
      </c>
      <c r="AK60" s="1">
        <v>1</v>
      </c>
      <c r="AL60" s="1">
        <v>2</v>
      </c>
      <c r="AM60" s="1">
        <v>1</v>
      </c>
      <c r="AN60" s="1">
        <f>IF(IsLycanthrope,2,0)</f>
        <v>0</v>
      </c>
      <c r="AO60" s="1">
        <v>1</v>
      </c>
      <c r="AP60" s="1">
        <v>1</v>
      </c>
      <c r="AQ60" s="1">
        <v>1</v>
      </c>
      <c r="AR60" s="1">
        <v>1</v>
      </c>
      <c r="AS60" s="1">
        <v>1</v>
      </c>
      <c r="AT60" s="1">
        <v>1</v>
      </c>
      <c r="AU60" s="1">
        <v>1</v>
      </c>
      <c r="AV60" s="1">
        <v>1</v>
      </c>
      <c r="AW60" s="1">
        <v>1</v>
      </c>
      <c r="AX60" s="1">
        <v>2</v>
      </c>
      <c r="AY60" s="1">
        <v>1</v>
      </c>
      <c r="AZ60" s="1">
        <v>1</v>
      </c>
      <c r="BA60" s="1">
        <v>1</v>
      </c>
      <c r="BB60" s="1">
        <v>1</v>
      </c>
      <c r="BC60" s="1">
        <v>1</v>
      </c>
      <c r="BD60" s="1">
        <v>2</v>
      </c>
      <c r="BE60" s="1">
        <v>1</v>
      </c>
      <c r="BF60" s="1">
        <v>1</v>
      </c>
      <c r="BG60" s="1">
        <f>IF(HRRVL,1,0)</f>
        <v>0</v>
      </c>
      <c r="BH60" s="1">
        <f>IF(HROA,1,0)</f>
        <v>0</v>
      </c>
      <c r="BI60" s="1">
        <v>2</v>
      </c>
      <c r="BJ60" s="1">
        <v>1</v>
      </c>
      <c r="BK60" s="1">
        <v>2</v>
      </c>
      <c r="BL60" s="1">
        <v>2</v>
      </c>
      <c r="BM60" s="1">
        <v>2</v>
      </c>
      <c r="BN60" s="1">
        <v>2</v>
      </c>
      <c r="BO60" s="1">
        <v>2</v>
      </c>
      <c r="BP60" s="1">
        <f>1+NOT(HRLivingGreyhawk)</f>
        <v>2</v>
      </c>
      <c r="BQ60" s="1">
        <f>IF(HRRVL,2,0)</f>
        <v>0</v>
      </c>
      <c r="BR60" s="1">
        <v>2</v>
      </c>
      <c r="BS60" s="1">
        <v>2</v>
      </c>
      <c r="BT60" s="1">
        <f>IF(HRXPH,2,0)</f>
        <v>0</v>
      </c>
      <c r="BU60" s="1">
        <f>IF(HRRVL,2,0)</f>
        <v>0</v>
      </c>
      <c r="BV60" s="1">
        <v>2</v>
      </c>
      <c r="BW60" s="1">
        <v>2</v>
      </c>
      <c r="BX60" s="1">
        <v>2</v>
      </c>
      <c r="BY60" s="1">
        <v>2</v>
      </c>
      <c r="BZ60" s="1">
        <v>2</v>
      </c>
      <c r="CA60" s="1">
        <v>2</v>
      </c>
      <c r="CB60" s="1">
        <v>2</v>
      </c>
      <c r="CC60" s="1">
        <v>2</v>
      </c>
      <c r="CD60" s="1">
        <v>2</v>
      </c>
      <c r="CE60" s="1">
        <v>2</v>
      </c>
      <c r="CF60" s="1">
        <v>2</v>
      </c>
      <c r="CG60" s="1">
        <f>IF(HRToB,1,0)</f>
        <v>0</v>
      </c>
      <c r="CH60" s="1">
        <v>1</v>
      </c>
      <c r="CI60" s="1">
        <v>1</v>
      </c>
      <c r="CJ60" s="1">
        <v>2</v>
      </c>
      <c r="CK60" s="1">
        <v>2</v>
      </c>
      <c r="CL60" s="1">
        <v>2</v>
      </c>
      <c r="CM60" s="1">
        <v>2</v>
      </c>
      <c r="CN60" s="1">
        <v>2</v>
      </c>
      <c r="CO60" s="1">
        <v>2</v>
      </c>
      <c r="CP60" s="1">
        <v>1</v>
      </c>
      <c r="CQ60" s="1">
        <v>1</v>
      </c>
      <c r="CR60" s="1">
        <v>1</v>
      </c>
      <c r="CS60" s="1">
        <v>1</v>
      </c>
      <c r="CT60" s="1">
        <v>1</v>
      </c>
      <c r="CU60" s="1">
        <v>1</v>
      </c>
      <c r="CV60" s="1">
        <f>IF(HRXPH,1,0)</f>
        <v>0</v>
      </c>
      <c r="CW60" s="1">
        <v>2</v>
      </c>
      <c r="CX60" s="1">
        <v>1</v>
      </c>
      <c r="CY60" s="1">
        <v>2</v>
      </c>
      <c r="CZ60" s="1">
        <f>IF(HRCS,1,0)</f>
        <v>0</v>
      </c>
      <c r="DA60" s="1">
        <v>1</v>
      </c>
      <c r="DB60" s="1">
        <v>2</v>
      </c>
      <c r="DC60" s="1">
        <v>1</v>
      </c>
      <c r="DD60" s="1">
        <v>2</v>
      </c>
      <c r="DE60" s="1">
        <v>2</v>
      </c>
      <c r="DF60" s="1">
        <v>2</v>
      </c>
      <c r="DG60" s="1">
        <v>1</v>
      </c>
      <c r="DH60" s="1">
        <v>1</v>
      </c>
      <c r="DI60" s="1">
        <f>IF(HRXPH,1,0)</f>
        <v>0</v>
      </c>
      <c r="DJ60" s="1">
        <v>1</v>
      </c>
      <c r="DK60" s="1" t="s">
        <v>231</v>
      </c>
      <c r="DL60" s="1" t="s">
        <v>40</v>
      </c>
      <c r="EE60" s="8" t="s">
        <v>228</v>
      </c>
      <c r="EF60" s="9">
        <v>9</v>
      </c>
      <c r="EG60" s="9" t="s">
        <v>129</v>
      </c>
      <c r="EH60" s="9">
        <v>1</v>
      </c>
      <c r="EI60" s="9" t="b">
        <f t="shared" si="62"/>
        <v>0</v>
      </c>
      <c r="EJ60" s="9" t="str">
        <f t="shared" si="55"/>
        <v/>
      </c>
      <c r="EK60" s="9">
        <f>IF($EI60,MATCH($EJ60,TblClassN,0),99)</f>
        <v>99</v>
      </c>
      <c r="EL60" s="9">
        <f t="shared" si="65"/>
        <v>99</v>
      </c>
      <c r="EM60" s="9">
        <f t="shared" si="63"/>
        <v>99</v>
      </c>
      <c r="EN60" s="9">
        <f t="shared" si="57"/>
        <v>99</v>
      </c>
      <c r="EO60" s="10">
        <f t="shared" si="64"/>
        <v>0</v>
      </c>
    </row>
    <row r="61" spans="1:145" ht="11.25" customHeight="1" x14ac:dyDescent="0.2">
      <c r="A61" s="1">
        <f t="shared" si="18"/>
        <v>58</v>
      </c>
      <c r="B61" s="1" t="s">
        <v>235</v>
      </c>
      <c r="E61" s="1">
        <f t="shared" si="40"/>
        <v>0</v>
      </c>
      <c r="F61" s="1">
        <v>1</v>
      </c>
      <c r="Z61" s="1" t="b">
        <f>FALSE</f>
        <v>0</v>
      </c>
      <c r="AA61" s="1" t="str">
        <f t="shared" si="19"/>
        <v/>
      </c>
      <c r="AB61" s="1" t="str">
        <f t="shared" si="20"/>
        <v/>
      </c>
      <c r="AC61" s="1">
        <f t="shared" si="41"/>
        <v>0</v>
      </c>
      <c r="AD61" s="1" t="str">
        <f t="shared" si="21"/>
        <v/>
      </c>
      <c r="AE61" s="1" t="str">
        <f t="shared" si="22"/>
        <v/>
      </c>
      <c r="AF61" s="1">
        <f t="shared" si="42"/>
        <v>0</v>
      </c>
      <c r="AG61" s="1">
        <f t="shared" si="23"/>
        <v>5</v>
      </c>
      <c r="AH61" s="1" t="str">
        <f t="shared" si="9"/>
        <v/>
      </c>
      <c r="EE61" s="8" t="s">
        <v>228</v>
      </c>
      <c r="EF61" s="9">
        <v>9</v>
      </c>
      <c r="EG61" s="9" t="s">
        <v>153</v>
      </c>
      <c r="EH61" s="9">
        <v>1</v>
      </c>
      <c r="EI61" s="9" t="b">
        <f t="shared" si="62"/>
        <v>0</v>
      </c>
      <c r="EJ61" s="9" t="str">
        <f t="shared" si="55"/>
        <v/>
      </c>
      <c r="EK61" s="9">
        <f>IF($EI61,MATCH($EJ61,TblClassN,0),99)</f>
        <v>99</v>
      </c>
      <c r="EL61" s="9">
        <f t="shared" si="65"/>
        <v>99</v>
      </c>
      <c r="EM61" s="9">
        <f t="shared" si="63"/>
        <v>99</v>
      </c>
      <c r="EN61" s="9">
        <f t="shared" si="57"/>
        <v>99</v>
      </c>
      <c r="EO61" s="10">
        <f t="shared" si="64"/>
        <v>0</v>
      </c>
    </row>
    <row r="62" spans="1:145" ht="11.25" customHeight="1" x14ac:dyDescent="0.2">
      <c r="A62" s="1">
        <f t="shared" si="18"/>
        <v>59</v>
      </c>
      <c r="B62" s="1" t="s">
        <v>236</v>
      </c>
      <c r="C62" s="1" t="s">
        <v>237</v>
      </c>
      <c r="D62" s="1" t="s">
        <v>237</v>
      </c>
      <c r="E62" s="1">
        <f t="shared" si="40"/>
        <v>0</v>
      </c>
      <c r="K62" s="1">
        <v>2</v>
      </c>
      <c r="L62" s="1">
        <v>4</v>
      </c>
      <c r="V62" s="1">
        <v>0.5</v>
      </c>
      <c r="W62" s="1">
        <v>0.34</v>
      </c>
      <c r="X62" s="1">
        <v>0.34</v>
      </c>
      <c r="Y62" s="1">
        <v>0.5</v>
      </c>
      <c r="Z62" s="1" t="b">
        <f>FALSE</f>
        <v>0</v>
      </c>
      <c r="AA62" s="1" t="str">
        <f t="shared" si="19"/>
        <v/>
      </c>
      <c r="AB62" s="1" t="str">
        <f t="shared" si="20"/>
        <v/>
      </c>
      <c r="AC62" s="1">
        <f t="shared" si="41"/>
        <v>0</v>
      </c>
      <c r="AD62" s="1" t="str">
        <f t="shared" si="21"/>
        <v/>
      </c>
      <c r="AE62" s="1" t="str">
        <f t="shared" si="22"/>
        <v/>
      </c>
      <c r="AF62" s="1">
        <f t="shared" si="42"/>
        <v>0</v>
      </c>
      <c r="AG62" s="1">
        <f t="shared" si="23"/>
        <v>5</v>
      </c>
      <c r="AH62" s="1" t="str">
        <f t="shared" si="9"/>
        <v/>
      </c>
      <c r="AI62" s="1">
        <v>1</v>
      </c>
      <c r="AJ62" s="1">
        <f>IF(OR(PsionDisciplineCell=4,PsionDisciplineCell=5),2,1)</f>
        <v>1</v>
      </c>
      <c r="AK62" s="1">
        <f>IF(PsionDisciplineCell=5,2,1)</f>
        <v>1</v>
      </c>
      <c r="AL62" s="1">
        <f>IF(OR(PsionDisciplineCell=3,PsionDisciplineCell=7),2,1)</f>
        <v>1</v>
      </c>
      <c r="AM62" s="1">
        <f>IF(PsionDisciplineCell=6,2,1)</f>
        <v>1</v>
      </c>
      <c r="AN62" s="1">
        <f>IF(IsLycanthrope,2,0)</f>
        <v>0</v>
      </c>
      <c r="AO62" s="1">
        <v>2</v>
      </c>
      <c r="AP62" s="1">
        <v>2</v>
      </c>
      <c r="AQ62" s="1">
        <v>2</v>
      </c>
      <c r="AR62" s="1">
        <v>2</v>
      </c>
      <c r="AS62" s="1">
        <v>2</v>
      </c>
      <c r="AT62" s="1">
        <v>2</v>
      </c>
      <c r="AU62" s="1">
        <v>2</v>
      </c>
      <c r="AV62" s="1">
        <v>2</v>
      </c>
      <c r="AW62" s="1">
        <v>1</v>
      </c>
      <c r="AX62" s="1">
        <f>IF(PsionDisciplineCell=7,2,1)</f>
        <v>1</v>
      </c>
      <c r="AY62" s="1">
        <f>IF(PsionDisciplineCell=4,2,1)</f>
        <v>1</v>
      </c>
      <c r="AZ62" s="1">
        <f>IF(PsionDisciplineCell=3,2,1)</f>
        <v>1</v>
      </c>
      <c r="BA62" s="1">
        <v>1</v>
      </c>
      <c r="BB62" s="1">
        <v>1</v>
      </c>
      <c r="BC62" s="1">
        <f>IF(OR(PsionDisciplineCell=2,PsionDisciplineCell=7),2,1)</f>
        <v>1</v>
      </c>
      <c r="BD62" s="1">
        <v>1</v>
      </c>
      <c r="BE62" s="1">
        <f>IF(PsionDisciplineCell=5,2,1)</f>
        <v>1</v>
      </c>
      <c r="BF62" s="1">
        <v>1</v>
      </c>
      <c r="BG62" s="1">
        <f>IF(HRRVL,1,0)</f>
        <v>0</v>
      </c>
      <c r="BH62" s="1">
        <f>IF(HROA,1,0)</f>
        <v>0</v>
      </c>
      <c r="BI62" s="1">
        <f>IF(PsionDisciplineCell=4,2,1)</f>
        <v>1</v>
      </c>
      <c r="BJ62" s="1">
        <f>IF(PsionDisciplineCell=6,2,1)</f>
        <v>1</v>
      </c>
      <c r="BK62" s="1">
        <v>2</v>
      </c>
      <c r="BL62" s="1">
        <v>2</v>
      </c>
      <c r="BM62" s="1">
        <v>2</v>
      </c>
      <c r="BN62" s="1">
        <v>2</v>
      </c>
      <c r="BO62" s="1">
        <v>2</v>
      </c>
      <c r="BP62" s="1">
        <f>1+NOT(HRLivingGreyhawk)</f>
        <v>2</v>
      </c>
      <c r="BQ62" s="1">
        <f>IF(HRRVL,2,0)</f>
        <v>0</v>
      </c>
      <c r="BR62" s="1">
        <v>2</v>
      </c>
      <c r="BS62" s="1">
        <v>2</v>
      </c>
      <c r="BT62" s="1">
        <v>2</v>
      </c>
      <c r="BU62" s="1">
        <f>IF(HRRVL,2,0)</f>
        <v>0</v>
      </c>
      <c r="BV62" s="1">
        <v>2</v>
      </c>
      <c r="BW62" s="1">
        <v>2</v>
      </c>
      <c r="BX62" s="1">
        <v>2</v>
      </c>
      <c r="BY62" s="1">
        <v>2</v>
      </c>
      <c r="BZ62" s="1">
        <v>2</v>
      </c>
      <c r="CA62" s="1">
        <v>2</v>
      </c>
      <c r="CB62" s="1">
        <v>2</v>
      </c>
      <c r="CC62" s="1">
        <v>2</v>
      </c>
      <c r="CD62" s="1">
        <v>2</v>
      </c>
      <c r="CE62" s="1">
        <v>2</v>
      </c>
      <c r="CF62" s="1">
        <f>IF(PsionDisciplineCell=2,2,1)</f>
        <v>1</v>
      </c>
      <c r="CG62" s="1">
        <f>IF(HRToB,1,0)</f>
        <v>0</v>
      </c>
      <c r="CH62" s="1">
        <v>1</v>
      </c>
      <c r="CI62" s="1">
        <v>1</v>
      </c>
      <c r="CJ62" s="1">
        <v>1</v>
      </c>
      <c r="CK62" s="1">
        <v>1</v>
      </c>
      <c r="CL62" s="1">
        <v>1</v>
      </c>
      <c r="CM62" s="1">
        <v>1</v>
      </c>
      <c r="CN62" s="1">
        <v>1</v>
      </c>
      <c r="CO62" s="1">
        <v>1</v>
      </c>
      <c r="CP62" s="1">
        <v>2</v>
      </c>
      <c r="CQ62" s="1">
        <v>2</v>
      </c>
      <c r="CR62" s="1">
        <v>2</v>
      </c>
      <c r="CS62" s="1">
        <v>2</v>
      </c>
      <c r="CT62" s="1">
        <v>2</v>
      </c>
      <c r="CU62" s="1">
        <v>2</v>
      </c>
      <c r="CV62" s="1">
        <v>2</v>
      </c>
      <c r="CW62" s="1">
        <f>IF(PsionDisciplineCell=6,2,1)</f>
        <v>1</v>
      </c>
      <c r="CX62" s="1">
        <v>1</v>
      </c>
      <c r="CY62" s="1">
        <f>IF(PsionDisciplineCell=7,2,1)</f>
        <v>1</v>
      </c>
      <c r="CZ62" s="1">
        <f>IF(HRCS,1,0)</f>
        <v>0</v>
      </c>
      <c r="DA62" s="1">
        <v>1</v>
      </c>
      <c r="DB62" s="1">
        <v>1</v>
      </c>
      <c r="DC62" s="1">
        <v>1</v>
      </c>
      <c r="DD62" s="1">
        <f>IF(PsionDisciplineCell=2,2,1)</f>
        <v>1</v>
      </c>
      <c r="DE62" s="1">
        <f>IF(PsionDisciplineCell=6,2,1)</f>
        <v>1</v>
      </c>
      <c r="DF62" s="1">
        <f>IF(PsionDisciplineCell=6,2,1)</f>
        <v>1</v>
      </c>
      <c r="DG62" s="1">
        <v>1</v>
      </c>
      <c r="DH62" s="1">
        <v>1</v>
      </c>
      <c r="DI62" s="1">
        <f>IF(PsionDisciplineCell=3,2,1)</f>
        <v>1</v>
      </c>
      <c r="DJ62" s="1">
        <v>1</v>
      </c>
      <c r="DK62" s="1" t="s">
        <v>238</v>
      </c>
      <c r="DL62" s="1" t="s">
        <v>170</v>
      </c>
      <c r="EE62" s="8" t="s">
        <v>228</v>
      </c>
      <c r="EF62" s="9">
        <v>10</v>
      </c>
      <c r="EG62" s="9" t="s">
        <v>129</v>
      </c>
      <c r="EH62" s="9">
        <v>1</v>
      </c>
      <c r="EI62" s="9" t="b">
        <f t="shared" si="62"/>
        <v>0</v>
      </c>
      <c r="EJ62" s="9" t="str">
        <f t="shared" si="55"/>
        <v/>
      </c>
      <c r="EK62" s="9">
        <f>IF($EI62,MATCH($EJ62,TblClassN,0),99)</f>
        <v>99</v>
      </c>
      <c r="EL62" s="9">
        <f t="shared" si="65"/>
        <v>99</v>
      </c>
      <c r="EM62" s="9">
        <f t="shared" si="63"/>
        <v>99</v>
      </c>
      <c r="EN62" s="9">
        <f t="shared" si="57"/>
        <v>99</v>
      </c>
      <c r="EO62" s="10">
        <f t="shared" si="64"/>
        <v>0</v>
      </c>
    </row>
    <row r="63" spans="1:145" ht="11.25" customHeight="1" x14ac:dyDescent="0.2">
      <c r="A63" s="1">
        <f t="shared" si="18"/>
        <v>60</v>
      </c>
      <c r="B63" s="1" t="s">
        <v>239</v>
      </c>
      <c r="C63" s="1" t="s">
        <v>240</v>
      </c>
      <c r="D63" s="1" t="s">
        <v>240</v>
      </c>
      <c r="E63" s="1">
        <f t="shared" si="40"/>
        <v>0</v>
      </c>
      <c r="K63" s="1">
        <v>2</v>
      </c>
      <c r="L63" s="1">
        <v>8</v>
      </c>
      <c r="N63" s="1" t="b">
        <v>1</v>
      </c>
      <c r="O63" s="1" t="b">
        <v>1</v>
      </c>
      <c r="P63" s="1" t="b">
        <v>1</v>
      </c>
      <c r="Q63" s="1" t="b">
        <v>1</v>
      </c>
      <c r="S63" s="1" t="b">
        <v>1</v>
      </c>
      <c r="T63" s="1" t="b">
        <v>1</v>
      </c>
      <c r="V63" s="1">
        <v>0.75</v>
      </c>
      <c r="W63" s="1">
        <v>0.5</v>
      </c>
      <c r="X63" s="1">
        <v>0.34</v>
      </c>
      <c r="Y63" s="1">
        <v>0.34</v>
      </c>
      <c r="Z63" s="1" t="b">
        <f>FALSE</f>
        <v>0</v>
      </c>
      <c r="AA63" s="1" t="str">
        <f t="shared" si="19"/>
        <v/>
      </c>
      <c r="AB63" s="1" t="str">
        <f t="shared" si="20"/>
        <v/>
      </c>
      <c r="AC63" s="1">
        <f t="shared" si="41"/>
        <v>0</v>
      </c>
      <c r="AD63" s="1" t="str">
        <f t="shared" si="21"/>
        <v/>
      </c>
      <c r="AE63" s="1" t="str">
        <f t="shared" si="22"/>
        <v/>
      </c>
      <c r="AF63" s="1">
        <f t="shared" si="42"/>
        <v>0</v>
      </c>
      <c r="AG63" s="1">
        <f t="shared" si="23"/>
        <v>5</v>
      </c>
      <c r="AH63" s="1" t="str">
        <f t="shared" si="9"/>
        <v/>
      </c>
      <c r="AI63" s="1">
        <v>1</v>
      </c>
      <c r="AJ63" s="1">
        <v>2</v>
      </c>
      <c r="AK63" s="1">
        <v>1</v>
      </c>
      <c r="AL63" s="1">
        <v>1</v>
      </c>
      <c r="AM63" s="1">
        <v>2</v>
      </c>
      <c r="AN63" s="1">
        <f>IF(IsLycanthrope,2,0)</f>
        <v>0</v>
      </c>
      <c r="AO63" s="1">
        <v>2</v>
      </c>
      <c r="AP63" s="1">
        <v>2</v>
      </c>
      <c r="AQ63" s="1">
        <v>2</v>
      </c>
      <c r="AR63" s="1">
        <v>2</v>
      </c>
      <c r="AS63" s="1">
        <v>2</v>
      </c>
      <c r="AT63" s="1">
        <v>2</v>
      </c>
      <c r="AU63" s="1">
        <v>2</v>
      </c>
      <c r="AV63" s="1">
        <v>2</v>
      </c>
      <c r="AW63" s="1">
        <v>1</v>
      </c>
      <c r="AX63" s="1">
        <v>1</v>
      </c>
      <c r="AY63" s="1">
        <v>1</v>
      </c>
      <c r="AZ63" s="1">
        <v>1</v>
      </c>
      <c r="BA63" s="1">
        <v>1</v>
      </c>
      <c r="BB63" s="1">
        <v>1</v>
      </c>
      <c r="BC63" s="1">
        <v>1</v>
      </c>
      <c r="BD63" s="1">
        <v>1</v>
      </c>
      <c r="BE63" s="1">
        <v>1</v>
      </c>
      <c r="BF63" s="1">
        <v>1</v>
      </c>
      <c r="BG63" s="1">
        <f>IF(HRRVL,1,0)</f>
        <v>0</v>
      </c>
      <c r="BH63" s="1">
        <f>IF(HROA,1,0)</f>
        <v>0</v>
      </c>
      <c r="BI63" s="1">
        <v>1</v>
      </c>
      <c r="BJ63" s="1">
        <v>2</v>
      </c>
      <c r="BK63" s="1">
        <v>1</v>
      </c>
      <c r="BL63" s="1">
        <v>1</v>
      </c>
      <c r="BM63" s="1">
        <v>1</v>
      </c>
      <c r="BN63" s="1">
        <v>1</v>
      </c>
      <c r="BO63" s="1">
        <v>1</v>
      </c>
      <c r="BP63" s="1">
        <v>1</v>
      </c>
      <c r="BQ63" s="1">
        <f>IF(HRRVL,1,0)</f>
        <v>0</v>
      </c>
      <c r="BR63" s="1">
        <v>1</v>
      </c>
      <c r="BS63" s="1">
        <v>1</v>
      </c>
      <c r="BT63" s="1">
        <v>2</v>
      </c>
      <c r="BU63" s="1">
        <f>IF(HRRVL,1,0)</f>
        <v>0</v>
      </c>
      <c r="BV63" s="1">
        <v>1</v>
      </c>
      <c r="BW63" s="1">
        <v>1</v>
      </c>
      <c r="BX63" s="1">
        <v>1</v>
      </c>
      <c r="BY63" s="1">
        <v>1</v>
      </c>
      <c r="BZ63" s="1">
        <v>1</v>
      </c>
      <c r="CA63" s="1">
        <v>1</v>
      </c>
      <c r="CB63" s="1">
        <v>1</v>
      </c>
      <c r="CC63" s="1">
        <v>1</v>
      </c>
      <c r="CD63" s="1">
        <v>1</v>
      </c>
      <c r="CE63" s="1">
        <v>1</v>
      </c>
      <c r="CF63" s="1">
        <v>1</v>
      </c>
      <c r="CG63" s="1">
        <f>IF(HRToB,1,0)</f>
        <v>0</v>
      </c>
      <c r="CH63" s="1">
        <v>1</v>
      </c>
      <c r="CI63" s="1">
        <v>1</v>
      </c>
      <c r="CJ63" s="1">
        <v>1</v>
      </c>
      <c r="CK63" s="1">
        <v>1</v>
      </c>
      <c r="CL63" s="1">
        <v>1</v>
      </c>
      <c r="CM63" s="1">
        <v>1</v>
      </c>
      <c r="CN63" s="1">
        <v>1</v>
      </c>
      <c r="CO63" s="1">
        <v>1</v>
      </c>
      <c r="CP63" s="1">
        <v>2</v>
      </c>
      <c r="CQ63" s="1">
        <v>2</v>
      </c>
      <c r="CR63" s="1">
        <v>2</v>
      </c>
      <c r="CS63" s="1">
        <v>2</v>
      </c>
      <c r="CT63" s="1">
        <v>2</v>
      </c>
      <c r="CU63" s="1">
        <v>2</v>
      </c>
      <c r="CV63" s="1">
        <f>IF(HRXPH,1,0)</f>
        <v>0</v>
      </c>
      <c r="CW63" s="1">
        <v>2</v>
      </c>
      <c r="CX63" s="1">
        <v>2</v>
      </c>
      <c r="CY63" s="1">
        <v>1</v>
      </c>
      <c r="CZ63" s="1">
        <f>IF(HRCS,1,0)</f>
        <v>0</v>
      </c>
      <c r="DA63" s="1">
        <v>1</v>
      </c>
      <c r="DB63" s="1">
        <v>1</v>
      </c>
      <c r="DC63" s="1">
        <v>1</v>
      </c>
      <c r="DD63" s="1">
        <v>1</v>
      </c>
      <c r="DE63" s="1">
        <v>1</v>
      </c>
      <c r="DF63" s="1">
        <v>2</v>
      </c>
      <c r="DG63" s="1">
        <v>1</v>
      </c>
      <c r="DH63" s="1">
        <v>1</v>
      </c>
      <c r="DI63" s="1">
        <f>IF(HRXPH,1,0)</f>
        <v>0</v>
      </c>
      <c r="DJ63" s="1">
        <v>1</v>
      </c>
      <c r="DK63" s="1" t="s">
        <v>238</v>
      </c>
      <c r="DL63" s="1" t="s">
        <v>170</v>
      </c>
      <c r="EE63" s="8" t="s">
        <v>228</v>
      </c>
      <c r="EF63" s="9">
        <v>10</v>
      </c>
      <c r="EG63" s="9" t="s">
        <v>126</v>
      </c>
      <c r="EH63" s="9">
        <v>2</v>
      </c>
      <c r="EI63" s="9" t="b">
        <f t="shared" si="62"/>
        <v>0</v>
      </c>
      <c r="EJ63" s="9" t="str">
        <f t="shared" si="55"/>
        <v/>
      </c>
      <c r="EK63" s="9">
        <f>IF($EI63,MATCH($EJ63,TblClassN,0),99)</f>
        <v>99</v>
      </c>
      <c r="EL63" s="9">
        <f t="shared" si="65"/>
        <v>99</v>
      </c>
      <c r="EM63" s="9">
        <f t="shared" si="63"/>
        <v>99</v>
      </c>
      <c r="EN63" s="9">
        <f t="shared" si="57"/>
        <v>99</v>
      </c>
      <c r="EO63" s="10">
        <f t="shared" si="64"/>
        <v>0</v>
      </c>
    </row>
    <row r="64" spans="1:145" ht="11.25" customHeight="1" x14ac:dyDescent="0.2">
      <c r="A64" s="1">
        <f t="shared" si="18"/>
        <v>61</v>
      </c>
      <c r="B64" s="1" t="s">
        <v>241</v>
      </c>
      <c r="C64" s="1" t="s">
        <v>242</v>
      </c>
      <c r="D64" s="1" t="s">
        <v>243</v>
      </c>
      <c r="E64" s="1">
        <f t="shared" si="40"/>
        <v>0</v>
      </c>
      <c r="K64" s="1">
        <v>4</v>
      </c>
      <c r="L64" s="1">
        <v>10</v>
      </c>
      <c r="N64" s="1" t="b">
        <v>1</v>
      </c>
      <c r="Q64" s="1" t="b">
        <v>1</v>
      </c>
      <c r="S64" s="1" t="b">
        <v>1</v>
      </c>
      <c r="V64" s="1">
        <v>0.75</v>
      </c>
      <c r="W64" s="1">
        <v>0.34</v>
      </c>
      <c r="X64" s="1">
        <v>0.5</v>
      </c>
      <c r="Y64" s="1">
        <v>0.5</v>
      </c>
      <c r="Z64" s="1" t="b">
        <f>FALSE</f>
        <v>0</v>
      </c>
      <c r="AA64" s="1" t="str">
        <f t="shared" si="19"/>
        <v/>
      </c>
      <c r="AB64" s="1" t="str">
        <f t="shared" si="20"/>
        <v/>
      </c>
      <c r="AC64" s="1">
        <f t="shared" si="41"/>
        <v>0</v>
      </c>
      <c r="AD64" s="1" t="str">
        <f t="shared" si="21"/>
        <v/>
      </c>
      <c r="AE64" s="1" t="str">
        <f t="shared" si="22"/>
        <v/>
      </c>
      <c r="AF64" s="1">
        <f t="shared" si="42"/>
        <v>0</v>
      </c>
      <c r="AG64" s="1">
        <f t="shared" si="23"/>
        <v>5</v>
      </c>
      <c r="AH64" s="1" t="str">
        <f t="shared" si="9"/>
        <v/>
      </c>
      <c r="AI64" s="1">
        <v>1</v>
      </c>
      <c r="AJ64" s="1">
        <v>2</v>
      </c>
      <c r="AK64" s="1">
        <v>1</v>
      </c>
      <c r="AL64" s="1">
        <v>1</v>
      </c>
      <c r="AM64" s="1">
        <v>2</v>
      </c>
      <c r="AN64" s="1">
        <f>IF(IsLycanthrope,2,0)</f>
        <v>0</v>
      </c>
      <c r="AO64" s="1">
        <v>2</v>
      </c>
      <c r="AP64" s="1">
        <v>2</v>
      </c>
      <c r="AQ64" s="1">
        <v>2</v>
      </c>
      <c r="AR64" s="1">
        <v>2</v>
      </c>
      <c r="AS64" s="1">
        <v>2</v>
      </c>
      <c r="AT64" s="1">
        <v>2</v>
      </c>
      <c r="AU64" s="1">
        <v>2</v>
      </c>
      <c r="AV64" s="1">
        <v>2</v>
      </c>
      <c r="AW64" s="1">
        <v>1</v>
      </c>
      <c r="AX64" s="1">
        <v>1</v>
      </c>
      <c r="AY64" s="1">
        <v>1</v>
      </c>
      <c r="AZ64" s="1">
        <v>1</v>
      </c>
      <c r="BA64" s="1">
        <v>1</v>
      </c>
      <c r="BB64" s="1">
        <v>1</v>
      </c>
      <c r="BC64" s="1">
        <v>1</v>
      </c>
      <c r="BD64" s="1">
        <v>1</v>
      </c>
      <c r="BE64" s="1">
        <v>1</v>
      </c>
      <c r="BF64" s="1">
        <v>2</v>
      </c>
      <c r="BG64" s="1">
        <f>IF(HRRVL,1,0)</f>
        <v>0</v>
      </c>
      <c r="BH64" s="1">
        <f>IF(HROA,1,0)</f>
        <v>0</v>
      </c>
      <c r="BI64" s="1">
        <v>1</v>
      </c>
      <c r="BJ64" s="1">
        <v>2</v>
      </c>
      <c r="BK64" s="1">
        <v>1</v>
      </c>
      <c r="BL64" s="1">
        <v>1</v>
      </c>
      <c r="BM64" s="1">
        <v>1</v>
      </c>
      <c r="BN64" s="1">
        <v>1</v>
      </c>
      <c r="BO64" s="1">
        <v>1</v>
      </c>
      <c r="BP64" s="1">
        <v>1</v>
      </c>
      <c r="BQ64" s="1">
        <f>IF(HRRVL,1,0)</f>
        <v>0</v>
      </c>
      <c r="BR64" s="1">
        <v>1</v>
      </c>
      <c r="BS64" s="1">
        <v>1</v>
      </c>
      <c r="BT64" s="1">
        <v>2</v>
      </c>
      <c r="BU64" s="1">
        <f>IF(HRRVL,1,0)</f>
        <v>0</v>
      </c>
      <c r="BV64" s="1">
        <v>1</v>
      </c>
      <c r="BW64" s="1">
        <v>1</v>
      </c>
      <c r="BX64" s="1">
        <v>1</v>
      </c>
      <c r="BY64" s="1">
        <v>1</v>
      </c>
      <c r="BZ64" s="1">
        <v>1</v>
      </c>
      <c r="CA64" s="1">
        <v>1</v>
      </c>
      <c r="CB64" s="1">
        <v>1</v>
      </c>
      <c r="CC64" s="1">
        <v>1</v>
      </c>
      <c r="CD64" s="1">
        <v>1</v>
      </c>
      <c r="CE64" s="1">
        <v>1</v>
      </c>
      <c r="CF64" s="1">
        <v>2</v>
      </c>
      <c r="CG64" s="1">
        <f>IF(HRToB,1,0)</f>
        <v>0</v>
      </c>
      <c r="CH64" s="1">
        <v>2</v>
      </c>
      <c r="CI64" s="1">
        <v>1</v>
      </c>
      <c r="CJ64" s="1">
        <v>1</v>
      </c>
      <c r="CK64" s="1">
        <v>1</v>
      </c>
      <c r="CL64" s="1">
        <v>1</v>
      </c>
      <c r="CM64" s="1">
        <v>1</v>
      </c>
      <c r="CN64" s="1">
        <v>1</v>
      </c>
      <c r="CO64" s="1">
        <v>1</v>
      </c>
      <c r="CP64" s="1">
        <v>2</v>
      </c>
      <c r="CQ64" s="1">
        <v>2</v>
      </c>
      <c r="CR64" s="1">
        <v>2</v>
      </c>
      <c r="CS64" s="1">
        <v>2</v>
      </c>
      <c r="CT64" s="1">
        <v>2</v>
      </c>
      <c r="CU64" s="1">
        <v>2</v>
      </c>
      <c r="CV64" s="1">
        <f>IF(HRXPH,1,0)</f>
        <v>0</v>
      </c>
      <c r="CW64" s="1">
        <v>1</v>
      </c>
      <c r="CX64" s="1">
        <v>1</v>
      </c>
      <c r="CY64" s="1">
        <v>1</v>
      </c>
      <c r="CZ64" s="1">
        <f>IF(HRCS,1,0)</f>
        <v>0</v>
      </c>
      <c r="DA64" s="1">
        <v>1</v>
      </c>
      <c r="DB64" s="1">
        <v>1</v>
      </c>
      <c r="DC64" s="1">
        <v>1</v>
      </c>
      <c r="DD64" s="1">
        <v>2</v>
      </c>
      <c r="DE64" s="1">
        <v>1</v>
      </c>
      <c r="DF64" s="1">
        <v>1</v>
      </c>
      <c r="DG64" s="1">
        <v>2</v>
      </c>
      <c r="DH64" s="1">
        <v>1</v>
      </c>
      <c r="DI64" s="1">
        <f>IF(HRXPH,1,0)</f>
        <v>0</v>
      </c>
      <c r="DJ64" s="1">
        <v>1</v>
      </c>
      <c r="DK64" s="1" t="s">
        <v>238</v>
      </c>
      <c r="DL64" s="1" t="s">
        <v>170</v>
      </c>
      <c r="EE64" s="8" t="s">
        <v>228</v>
      </c>
      <c r="EF64" s="9">
        <v>10</v>
      </c>
      <c r="EG64" s="9" t="s">
        <v>134</v>
      </c>
      <c r="EH64" s="9">
        <v>2</v>
      </c>
      <c r="EI64" s="9" t="b">
        <f t="shared" si="62"/>
        <v>0</v>
      </c>
      <c r="EJ64" s="9" t="str">
        <f t="shared" si="55"/>
        <v/>
      </c>
      <c r="EK64" s="9">
        <f>IF($EI64,MATCH($EJ64,TblClassN,0),99)</f>
        <v>99</v>
      </c>
      <c r="EL64" s="9">
        <f t="shared" si="65"/>
        <v>99</v>
      </c>
      <c r="EM64" s="9">
        <f t="shared" si="63"/>
        <v>99</v>
      </c>
      <c r="EN64" s="9">
        <f t="shared" si="57"/>
        <v>99</v>
      </c>
      <c r="EO64" s="10">
        <f t="shared" si="64"/>
        <v>0</v>
      </c>
    </row>
    <row r="65" spans="1:145" ht="11.25" customHeight="1" x14ac:dyDescent="0.2">
      <c r="A65" s="1">
        <f t="shared" si="18"/>
        <v>62</v>
      </c>
      <c r="B65" s="1" t="s">
        <v>244</v>
      </c>
      <c r="C65" s="1" t="s">
        <v>245</v>
      </c>
      <c r="D65" s="1" t="s">
        <v>245</v>
      </c>
      <c r="E65" s="1">
        <f t="shared" si="40"/>
        <v>0</v>
      </c>
      <c r="K65" s="1">
        <v>4</v>
      </c>
      <c r="L65" s="1">
        <v>6</v>
      </c>
      <c r="N65" s="1" t="b">
        <v>1</v>
      </c>
      <c r="Q65" s="1" t="b">
        <v>1</v>
      </c>
      <c r="S65" s="1" t="b">
        <v>1</v>
      </c>
      <c r="V65" s="1">
        <v>0.75</v>
      </c>
      <c r="W65" s="1">
        <v>0.34</v>
      </c>
      <c r="X65" s="1">
        <v>0.34</v>
      </c>
      <c r="Y65" s="1">
        <v>0.5</v>
      </c>
      <c r="Z65" s="1" t="b">
        <f>FALSE</f>
        <v>0</v>
      </c>
      <c r="AA65" s="1" t="str">
        <f t="shared" si="19"/>
        <v/>
      </c>
      <c r="AB65" s="1" t="str">
        <f t="shared" si="20"/>
        <v/>
      </c>
      <c r="AC65" s="1">
        <f t="shared" si="41"/>
        <v>0</v>
      </c>
      <c r="AD65" s="1" t="str">
        <f t="shared" si="21"/>
        <v/>
      </c>
      <c r="AE65" s="1" t="str">
        <f t="shared" si="22"/>
        <v/>
      </c>
      <c r="AF65" s="1">
        <f t="shared" si="42"/>
        <v>0</v>
      </c>
      <c r="AG65" s="1">
        <f t="shared" si="23"/>
        <v>5</v>
      </c>
      <c r="AH65" s="1" t="str">
        <f t="shared" si="9"/>
        <v/>
      </c>
      <c r="AI65" s="1">
        <v>1</v>
      </c>
      <c r="AJ65" s="1">
        <v>2</v>
      </c>
      <c r="AK65" s="1">
        <v>2</v>
      </c>
      <c r="AL65" s="1">
        <v>2</v>
      </c>
      <c r="AM65" s="1">
        <v>2</v>
      </c>
      <c r="AN65" s="1">
        <f>IF(IsLycanthrope,2,0)</f>
        <v>0</v>
      </c>
      <c r="AO65" s="1">
        <v>2</v>
      </c>
      <c r="AP65" s="1">
        <v>2</v>
      </c>
      <c r="AQ65" s="1">
        <v>2</v>
      </c>
      <c r="AR65" s="1">
        <v>2</v>
      </c>
      <c r="AS65" s="1">
        <v>2</v>
      </c>
      <c r="AT65" s="1">
        <v>2</v>
      </c>
      <c r="AU65" s="1">
        <v>2</v>
      </c>
      <c r="AV65" s="1">
        <v>2</v>
      </c>
      <c r="AW65" s="1">
        <v>1</v>
      </c>
      <c r="AX65" s="1">
        <v>1</v>
      </c>
      <c r="AY65" s="1">
        <v>1</v>
      </c>
      <c r="AZ65" s="1">
        <v>1</v>
      </c>
      <c r="BA65" s="1">
        <v>2</v>
      </c>
      <c r="BB65" s="1">
        <v>1</v>
      </c>
      <c r="BC65" s="1">
        <v>1</v>
      </c>
      <c r="BD65" s="1">
        <v>1</v>
      </c>
      <c r="BE65" s="1">
        <v>1</v>
      </c>
      <c r="BF65" s="1">
        <v>1</v>
      </c>
      <c r="BG65" s="1">
        <f>IF(HRRVL,1,0)</f>
        <v>0</v>
      </c>
      <c r="BH65" s="1">
        <f>IF(HROA,1,0)</f>
        <v>0</v>
      </c>
      <c r="BI65" s="1">
        <v>2</v>
      </c>
      <c r="BJ65" s="1">
        <v>2</v>
      </c>
      <c r="BK65" s="1">
        <v>1</v>
      </c>
      <c r="BL65" s="1">
        <v>1</v>
      </c>
      <c r="BM65" s="1">
        <v>1</v>
      </c>
      <c r="BN65" s="1">
        <v>1</v>
      </c>
      <c r="BO65" s="1">
        <v>1</v>
      </c>
      <c r="BP65" s="1">
        <v>1</v>
      </c>
      <c r="BQ65" s="1">
        <f>IF(HRRVL,1,0)</f>
        <v>0</v>
      </c>
      <c r="BR65" s="1">
        <v>1</v>
      </c>
      <c r="BS65" s="1">
        <v>1</v>
      </c>
      <c r="BT65" s="1">
        <v>2</v>
      </c>
      <c r="BU65" s="1">
        <f>IF(HRRVL,1,0)</f>
        <v>0</v>
      </c>
      <c r="BV65" s="1">
        <v>1</v>
      </c>
      <c r="BW65" s="1">
        <v>1</v>
      </c>
      <c r="BX65" s="1">
        <v>1</v>
      </c>
      <c r="BY65" s="1">
        <v>1</v>
      </c>
      <c r="BZ65" s="1">
        <v>1</v>
      </c>
      <c r="CA65" s="1">
        <v>1</v>
      </c>
      <c r="CB65" s="1">
        <v>1</v>
      </c>
      <c r="CC65" s="1">
        <v>1</v>
      </c>
      <c r="CD65" s="1">
        <v>1</v>
      </c>
      <c r="CE65" s="1">
        <v>1</v>
      </c>
      <c r="CF65" s="1">
        <v>2</v>
      </c>
      <c r="CG65" s="1">
        <f>IF(HRToB,1,0)</f>
        <v>0</v>
      </c>
      <c r="CH65" s="1">
        <v>1</v>
      </c>
      <c r="CI65" s="1">
        <v>1</v>
      </c>
      <c r="CJ65" s="1">
        <v>1</v>
      </c>
      <c r="CK65" s="1">
        <v>1</v>
      </c>
      <c r="CL65" s="1">
        <v>1</v>
      </c>
      <c r="CM65" s="1">
        <v>1</v>
      </c>
      <c r="CN65" s="1">
        <v>1</v>
      </c>
      <c r="CO65" s="1">
        <v>1</v>
      </c>
      <c r="CP65" s="1">
        <v>2</v>
      </c>
      <c r="CQ65" s="1">
        <v>2</v>
      </c>
      <c r="CR65" s="1">
        <v>2</v>
      </c>
      <c r="CS65" s="1">
        <v>2</v>
      </c>
      <c r="CT65" s="1">
        <v>2</v>
      </c>
      <c r="CU65" s="1">
        <v>2</v>
      </c>
      <c r="CV65" s="1">
        <v>2</v>
      </c>
      <c r="CW65" s="1">
        <v>1</v>
      </c>
      <c r="CX65" s="1">
        <v>1</v>
      </c>
      <c r="CY65" s="1">
        <v>2</v>
      </c>
      <c r="CZ65" s="1">
        <f>IF(HRCS,1,0)</f>
        <v>0</v>
      </c>
      <c r="DA65" s="1">
        <v>1</v>
      </c>
      <c r="DB65" s="1">
        <v>1</v>
      </c>
      <c r="DC65" s="1">
        <v>1</v>
      </c>
      <c r="DD65" s="1">
        <v>2</v>
      </c>
      <c r="DE65" s="1">
        <v>1</v>
      </c>
      <c r="DF65" s="1">
        <v>2</v>
      </c>
      <c r="DG65" s="1">
        <v>2</v>
      </c>
      <c r="DH65" s="1">
        <v>1</v>
      </c>
      <c r="DI65" s="1">
        <f>IF(HRXPH,1,0)</f>
        <v>0</v>
      </c>
      <c r="DJ65" s="1">
        <v>1</v>
      </c>
      <c r="DK65" s="1" t="s">
        <v>238</v>
      </c>
      <c r="DL65" s="1" t="s">
        <v>170</v>
      </c>
      <c r="EE65" s="8" t="s">
        <v>246</v>
      </c>
      <c r="EF65" s="9">
        <v>10</v>
      </c>
      <c r="EG65" s="9" t="s">
        <v>129</v>
      </c>
      <c r="EH65" s="9">
        <f>IF(RaceConModReal &lt;=0,2,1*(RaceConModReal=1))</f>
        <v>2</v>
      </c>
      <c r="EI65" s="9" t="b">
        <f t="shared" si="62"/>
        <v>0</v>
      </c>
      <c r="EJ65" s="9" t="str">
        <f t="shared" si="55"/>
        <v/>
      </c>
      <c r="EK65" s="9">
        <f>IF($EI65,MATCH($EJ65,TblClassN,0),99)</f>
        <v>99</v>
      </c>
      <c r="EL65" s="9">
        <f t="shared" si="65"/>
        <v>99</v>
      </c>
      <c r="EM65" s="9">
        <f t="shared" si="63"/>
        <v>99</v>
      </c>
      <c r="EN65" s="9">
        <f t="shared" si="57"/>
        <v>99</v>
      </c>
      <c r="EO65" s="10">
        <f t="shared" si="64"/>
        <v>0</v>
      </c>
    </row>
    <row r="66" spans="1:145" ht="11.25" customHeight="1" x14ac:dyDescent="0.2">
      <c r="A66" s="1">
        <f t="shared" si="18"/>
        <v>63</v>
      </c>
      <c r="B66" s="1" t="s">
        <v>247</v>
      </c>
      <c r="E66" s="1">
        <f t="shared" si="40"/>
        <v>0</v>
      </c>
      <c r="F66" s="1">
        <v>1</v>
      </c>
      <c r="Z66" s="1" t="b">
        <v>0</v>
      </c>
      <c r="AA66" s="1" t="str">
        <f t="shared" si="19"/>
        <v/>
      </c>
      <c r="AB66" s="1" t="str">
        <f t="shared" si="20"/>
        <v/>
      </c>
      <c r="AC66" s="1">
        <f t="shared" si="41"/>
        <v>0</v>
      </c>
      <c r="AD66" s="1" t="str">
        <f t="shared" si="21"/>
        <v/>
      </c>
      <c r="AE66" s="1" t="str">
        <f t="shared" si="22"/>
        <v/>
      </c>
      <c r="AF66" s="1">
        <f t="shared" si="42"/>
        <v>0</v>
      </c>
      <c r="AG66" s="1">
        <f t="shared" si="23"/>
        <v>5</v>
      </c>
      <c r="AH66" s="1" t="str">
        <f t="shared" si="9"/>
        <v/>
      </c>
      <c r="EE66" s="8" t="s">
        <v>248</v>
      </c>
      <c r="EF66" s="9">
        <v>1</v>
      </c>
      <c r="EG66" s="9" t="s">
        <v>162</v>
      </c>
      <c r="EH66" s="9">
        <v>1</v>
      </c>
      <c r="EI66" s="9" t="b">
        <f t="shared" si="62"/>
        <v>0</v>
      </c>
      <c r="EJ66" s="9" t="str">
        <f t="shared" si="55"/>
        <v/>
      </c>
      <c r="EK66" s="9">
        <f>IF($EI66,MATCH($EJ66,TblClassN,0),99)</f>
        <v>99</v>
      </c>
      <c r="EL66" s="9">
        <f t="shared" si="65"/>
        <v>99</v>
      </c>
      <c r="EM66" s="9">
        <f t="shared" si="63"/>
        <v>99</v>
      </c>
      <c r="EN66" s="9">
        <f t="shared" si="57"/>
        <v>99</v>
      </c>
      <c r="EO66" s="10">
        <f t="shared" si="64"/>
        <v>0</v>
      </c>
    </row>
    <row r="67" spans="1:145" ht="11.25" customHeight="1" x14ac:dyDescent="0.2">
      <c r="A67" s="1">
        <f t="shared" si="18"/>
        <v>64</v>
      </c>
      <c r="B67" s="1" t="s">
        <v>127</v>
      </c>
      <c r="C67" s="1" t="s">
        <v>249</v>
      </c>
      <c r="D67" s="1" t="s">
        <v>249</v>
      </c>
      <c r="E67" s="1">
        <f t="shared" si="40"/>
        <v>0</v>
      </c>
      <c r="K67" s="1">
        <v>4</v>
      </c>
      <c r="L67" s="1">
        <v>10</v>
      </c>
      <c r="N67" s="1" t="b">
        <v>1</v>
      </c>
      <c r="O67" s="1" t="b">
        <v>1</v>
      </c>
      <c r="S67" s="1" t="b">
        <v>1</v>
      </c>
      <c r="T67" s="1" t="b">
        <v>1</v>
      </c>
      <c r="V67" s="1">
        <v>1</v>
      </c>
      <c r="W67" s="1">
        <v>0.5</v>
      </c>
      <c r="X67" s="1">
        <v>0.34</v>
      </c>
      <c r="Y67" s="1">
        <v>0.5</v>
      </c>
      <c r="Z67" s="1" t="b">
        <f>NOT(AlignmentLawful)</f>
        <v>0</v>
      </c>
      <c r="AA67" s="1" t="str">
        <f t="shared" si="19"/>
        <v/>
      </c>
      <c r="AB67" s="1" t="str">
        <f t="shared" si="20"/>
        <v/>
      </c>
      <c r="AC67" s="1">
        <f t="shared" si="41"/>
        <v>0</v>
      </c>
      <c r="AD67" s="1" t="str">
        <f t="shared" si="21"/>
        <v/>
      </c>
      <c r="AE67" s="1" t="str">
        <f t="shared" si="22"/>
        <v/>
      </c>
      <c r="AF67" s="1">
        <f t="shared" si="42"/>
        <v>0</v>
      </c>
      <c r="AG67" s="1">
        <f t="shared" si="23"/>
        <v>5</v>
      </c>
      <c r="AH67" s="1" t="str">
        <f t="shared" si="9"/>
        <v/>
      </c>
      <c r="AI67" s="1">
        <v>1</v>
      </c>
      <c r="AJ67" s="1">
        <f>IF(HRXPH,1,0)</f>
        <v>0</v>
      </c>
      <c r="AK67" s="1">
        <v>1</v>
      </c>
      <c r="AL67" s="1">
        <v>1</v>
      </c>
      <c r="AM67" s="1">
        <v>2</v>
      </c>
      <c r="AN67" s="1">
        <f>IF(IsLycanthrope,2,0)</f>
        <v>0</v>
      </c>
      <c r="AO67" s="1">
        <v>1</v>
      </c>
      <c r="AP67" s="1">
        <v>2</v>
      </c>
      <c r="AQ67" s="1">
        <v>2</v>
      </c>
      <c r="AR67" s="1">
        <v>2</v>
      </c>
      <c r="AS67" s="1">
        <v>2</v>
      </c>
      <c r="AT67" s="1">
        <v>2</v>
      </c>
      <c r="AU67" s="1">
        <v>2</v>
      </c>
      <c r="AV67" s="1">
        <v>2</v>
      </c>
      <c r="AW67" s="1">
        <v>1</v>
      </c>
      <c r="AX67" s="1">
        <v>2</v>
      </c>
      <c r="AY67" s="1">
        <v>1</v>
      </c>
      <c r="AZ67" s="1">
        <v>1</v>
      </c>
      <c r="BA67" s="1">
        <v>1</v>
      </c>
      <c r="BB67" s="1">
        <v>1</v>
      </c>
      <c r="BC67" s="1">
        <v>1</v>
      </c>
      <c r="BD67" s="1">
        <v>1</v>
      </c>
      <c r="BE67" s="1">
        <v>1</v>
      </c>
      <c r="BF67" s="1">
        <v>1</v>
      </c>
      <c r="BG67" s="1">
        <f>IF(HRRVL,1,0)</f>
        <v>0</v>
      </c>
      <c r="BH67" s="1">
        <v>2</v>
      </c>
      <c r="BI67" s="1">
        <v>2</v>
      </c>
      <c r="BJ67" s="1">
        <v>2</v>
      </c>
      <c r="BK67" s="1">
        <v>1</v>
      </c>
      <c r="BL67" s="1">
        <v>1</v>
      </c>
      <c r="BM67" s="1">
        <v>1</v>
      </c>
      <c r="BN67" s="1">
        <v>1</v>
      </c>
      <c r="BO67" s="1">
        <v>1</v>
      </c>
      <c r="BP67" s="1">
        <v>1</v>
      </c>
      <c r="BQ67" s="1">
        <f>IF(HRRVL,1,0)</f>
        <v>0</v>
      </c>
      <c r="BR67" s="1">
        <v>1</v>
      </c>
      <c r="BS67" s="1">
        <v>1</v>
      </c>
      <c r="BT67" s="1">
        <f>IF(HRXPH,1,0)</f>
        <v>0</v>
      </c>
      <c r="BU67" s="1">
        <f>IF(HRRVL,1,0)</f>
        <v>0</v>
      </c>
      <c r="BV67" s="1">
        <v>1</v>
      </c>
      <c r="BW67" s="1">
        <v>1</v>
      </c>
      <c r="BX67" s="1">
        <v>1</v>
      </c>
      <c r="BY67" s="1">
        <v>1</v>
      </c>
      <c r="BZ67" s="1">
        <v>1</v>
      </c>
      <c r="CA67" s="1">
        <v>1</v>
      </c>
      <c r="CB67" s="1">
        <v>1</v>
      </c>
      <c r="CC67" s="1">
        <v>1</v>
      </c>
      <c r="CD67" s="1">
        <v>1</v>
      </c>
      <c r="CE67" s="1">
        <v>1</v>
      </c>
      <c r="CF67" s="1">
        <v>1</v>
      </c>
      <c r="CG67" s="1">
        <f>IF(HRToB,1,0)</f>
        <v>0</v>
      </c>
      <c r="CH67" s="1">
        <v>1</v>
      </c>
      <c r="CI67" s="1">
        <v>1</v>
      </c>
      <c r="CJ67" s="1">
        <v>2</v>
      </c>
      <c r="CK67" s="1">
        <v>2</v>
      </c>
      <c r="CL67" s="1">
        <v>2</v>
      </c>
      <c r="CM67" s="1">
        <v>2</v>
      </c>
      <c r="CN67" s="1">
        <v>2</v>
      </c>
      <c r="CO67" s="1">
        <v>2</v>
      </c>
      <c r="CP67" s="1">
        <v>2</v>
      </c>
      <c r="CQ67" s="1">
        <v>2</v>
      </c>
      <c r="CR67" s="1">
        <v>2</v>
      </c>
      <c r="CS67" s="1">
        <v>2</v>
      </c>
      <c r="CT67" s="1">
        <v>2</v>
      </c>
      <c r="CU67" s="1">
        <v>2</v>
      </c>
      <c r="CV67" s="1">
        <f>IF(HRXPH,1,0)</f>
        <v>0</v>
      </c>
      <c r="CW67" s="1">
        <v>2</v>
      </c>
      <c r="CX67" s="1">
        <v>1</v>
      </c>
      <c r="CY67" s="1">
        <v>2</v>
      </c>
      <c r="CZ67" s="1">
        <f>IF(HRCS,1,0)</f>
        <v>0</v>
      </c>
      <c r="DA67" s="1">
        <v>1</v>
      </c>
      <c r="DB67" s="1">
        <v>1</v>
      </c>
      <c r="DC67" s="1">
        <v>1</v>
      </c>
      <c r="DD67" s="1">
        <v>1</v>
      </c>
      <c r="DE67" s="1">
        <v>1</v>
      </c>
      <c r="DF67" s="1">
        <v>2</v>
      </c>
      <c r="DG67" s="1">
        <v>1</v>
      </c>
      <c r="DH67" s="1">
        <v>1</v>
      </c>
      <c r="DI67" s="1">
        <f>IF(HRXPH,1,0)</f>
        <v>0</v>
      </c>
      <c r="DJ67" s="1">
        <v>1</v>
      </c>
      <c r="DK67" s="1" t="s">
        <v>250</v>
      </c>
      <c r="DL67" s="1" t="s">
        <v>170</v>
      </c>
      <c r="EE67" s="8" t="s">
        <v>248</v>
      </c>
      <c r="EF67" s="9">
        <v>5</v>
      </c>
      <c r="EG67" s="9" t="s">
        <v>162</v>
      </c>
      <c r="EH67" s="9">
        <v>1</v>
      </c>
      <c r="EI67" s="9" t="b">
        <f t="shared" si="62"/>
        <v>0</v>
      </c>
      <c r="EJ67" s="9" t="str">
        <f t="shared" si="55"/>
        <v/>
      </c>
      <c r="EK67" s="9">
        <f>IF($EI67,MATCH($EJ67,TblClassN,0),99)</f>
        <v>99</v>
      </c>
      <c r="EL67" s="9">
        <f t="shared" si="65"/>
        <v>99</v>
      </c>
      <c r="EM67" s="9">
        <f t="shared" si="63"/>
        <v>99</v>
      </c>
      <c r="EN67" s="9">
        <f t="shared" si="57"/>
        <v>99</v>
      </c>
      <c r="EO67" s="10">
        <f t="shared" si="64"/>
        <v>0</v>
      </c>
    </row>
    <row r="68" spans="1:145" ht="11.25" customHeight="1" x14ac:dyDescent="0.2">
      <c r="A68" s="1">
        <f t="shared" si="18"/>
        <v>65</v>
      </c>
      <c r="B68" s="1" t="s">
        <v>251</v>
      </c>
      <c r="C68" s="1" t="s">
        <v>252</v>
      </c>
      <c r="D68" s="1" t="s">
        <v>252</v>
      </c>
      <c r="E68" s="1">
        <f t="shared" si="40"/>
        <v>0</v>
      </c>
      <c r="K68" s="1">
        <v>4</v>
      </c>
      <c r="L68" s="1">
        <v>6</v>
      </c>
      <c r="M68" s="1">
        <f>MAX(0,ShaLvl-2)</f>
        <v>0</v>
      </c>
      <c r="N68" s="1" t="b">
        <v>1</v>
      </c>
      <c r="S68" s="1" t="b">
        <v>1</v>
      </c>
      <c r="V68" s="1">
        <v>0.75</v>
      </c>
      <c r="W68" s="1">
        <v>0.34</v>
      </c>
      <c r="X68" s="1">
        <v>0.34</v>
      </c>
      <c r="Y68" s="1">
        <v>0.5</v>
      </c>
      <c r="Z68" s="1" t="b">
        <v>0</v>
      </c>
      <c r="AA68" s="1" t="str">
        <f t="shared" si="19"/>
        <v/>
      </c>
      <c r="AB68" s="1" t="str">
        <f t="shared" si="20"/>
        <v/>
      </c>
      <c r="AC68" s="1">
        <f t="shared" si="41"/>
        <v>0</v>
      </c>
      <c r="AD68" s="1" t="str">
        <f t="shared" si="21"/>
        <v/>
      </c>
      <c r="AE68" s="1" t="str">
        <f t="shared" si="22"/>
        <v/>
      </c>
      <c r="AF68" s="1">
        <f t="shared" si="42"/>
        <v>0</v>
      </c>
      <c r="AG68" s="1">
        <f t="shared" si="23"/>
        <v>5</v>
      </c>
      <c r="AH68" s="1" t="str">
        <f t="shared" si="9"/>
        <v/>
      </c>
      <c r="AI68" s="1">
        <v>1</v>
      </c>
      <c r="AJ68" s="1">
        <f>IF(HRXPH,1,0)</f>
        <v>0</v>
      </c>
      <c r="AK68" s="1">
        <v>1</v>
      </c>
      <c r="AL68" s="1">
        <v>1</v>
      </c>
      <c r="AM68" s="1">
        <v>1</v>
      </c>
      <c r="AN68" s="1">
        <f>IF(IsLycanthrope,2,0)</f>
        <v>0</v>
      </c>
      <c r="AO68" s="1">
        <v>2</v>
      </c>
      <c r="AP68" s="1">
        <v>2</v>
      </c>
      <c r="AQ68" s="1">
        <v>2</v>
      </c>
      <c r="AR68" s="1">
        <v>2</v>
      </c>
      <c r="AS68" s="1">
        <v>2</v>
      </c>
      <c r="AT68" s="1">
        <v>2</v>
      </c>
      <c r="AU68" s="1">
        <v>2</v>
      </c>
      <c r="AV68" s="1">
        <v>2</v>
      </c>
      <c r="AW68" s="1">
        <v>1</v>
      </c>
      <c r="AX68" s="1">
        <v>1</v>
      </c>
      <c r="AY68" s="1">
        <v>1</v>
      </c>
      <c r="AZ68" s="1">
        <v>1</v>
      </c>
      <c r="BA68" s="1">
        <v>1</v>
      </c>
      <c r="BB68" s="1">
        <v>1</v>
      </c>
      <c r="BC68" s="1">
        <v>1</v>
      </c>
      <c r="BD68" s="1">
        <v>1</v>
      </c>
      <c r="BE68" s="1">
        <v>2</v>
      </c>
      <c r="BF68" s="1">
        <v>1</v>
      </c>
      <c r="BG68" s="1">
        <f>IF(HRRVL,1,0)</f>
        <v>0</v>
      </c>
      <c r="BH68" s="1">
        <v>1</v>
      </c>
      <c r="BI68" s="1">
        <v>1</v>
      </c>
      <c r="BJ68" s="1">
        <v>1</v>
      </c>
      <c r="BK68" s="1">
        <v>2</v>
      </c>
      <c r="BL68" s="1">
        <v>1</v>
      </c>
      <c r="BM68" s="1">
        <v>1</v>
      </c>
      <c r="BN68" s="1">
        <v>1</v>
      </c>
      <c r="BO68" s="1">
        <v>1</v>
      </c>
      <c r="BP68" s="1">
        <v>1</v>
      </c>
      <c r="BQ68" s="1">
        <f>IF(HRRVL,1,0)</f>
        <v>0</v>
      </c>
      <c r="BR68" s="1">
        <v>1</v>
      </c>
      <c r="BS68" s="1">
        <v>1</v>
      </c>
      <c r="BT68" s="1">
        <f>IF(HRXPH,1,0)</f>
        <v>0</v>
      </c>
      <c r="BU68" s="1">
        <f>IF(HRRVL,1,0)</f>
        <v>0</v>
      </c>
      <c r="BV68" s="1">
        <v>1</v>
      </c>
      <c r="BW68" s="1">
        <v>1</v>
      </c>
      <c r="BX68" s="1">
        <v>1</v>
      </c>
      <c r="BY68" s="1">
        <f>IF(LOWER(BY$2)="knowledge (spirits)",2,1)</f>
        <v>1</v>
      </c>
      <c r="BZ68" s="1">
        <f t="shared" ref="BZ68:CE68" si="66">IF(LOWER(BZ$2)="knowledge (spirits)",2,1)</f>
        <v>1</v>
      </c>
      <c r="CA68" s="1">
        <f t="shared" si="66"/>
        <v>1</v>
      </c>
      <c r="CB68" s="1">
        <f t="shared" si="66"/>
        <v>1</v>
      </c>
      <c r="CC68" s="1">
        <f t="shared" si="66"/>
        <v>1</v>
      </c>
      <c r="CD68" s="1">
        <f t="shared" si="66"/>
        <v>1</v>
      </c>
      <c r="CE68" s="1">
        <f t="shared" si="66"/>
        <v>1</v>
      </c>
      <c r="CF68" s="1">
        <v>1</v>
      </c>
      <c r="CG68" s="1">
        <f>IF(HRToB,1,0)</f>
        <v>0</v>
      </c>
      <c r="CH68" s="1">
        <v>1</v>
      </c>
      <c r="CI68" s="1">
        <v>1</v>
      </c>
      <c r="CJ68" s="1">
        <v>1</v>
      </c>
      <c r="CK68" s="1">
        <v>1</v>
      </c>
      <c r="CL68" s="1">
        <v>1</v>
      </c>
      <c r="CM68" s="1">
        <v>1</v>
      </c>
      <c r="CN68" s="1">
        <v>1</v>
      </c>
      <c r="CO68" s="1">
        <v>1</v>
      </c>
      <c r="CP68" s="1">
        <v>2</v>
      </c>
      <c r="CQ68" s="1">
        <v>2</v>
      </c>
      <c r="CR68" s="1">
        <v>2</v>
      </c>
      <c r="CS68" s="1">
        <v>2</v>
      </c>
      <c r="CT68" s="1">
        <v>2</v>
      </c>
      <c r="CU68" s="1">
        <v>2</v>
      </c>
      <c r="CV68" s="1">
        <f>IF(HRXPH,1,0)</f>
        <v>0</v>
      </c>
      <c r="CW68" s="1">
        <v>1</v>
      </c>
      <c r="CX68" s="1">
        <v>1</v>
      </c>
      <c r="CY68" s="1">
        <v>1</v>
      </c>
      <c r="CZ68" s="1">
        <f>IF(HRCS,1,0)</f>
        <v>0</v>
      </c>
      <c r="DA68" s="1">
        <v>1</v>
      </c>
      <c r="DB68" s="1">
        <v>1</v>
      </c>
      <c r="DC68" s="1">
        <v>2</v>
      </c>
      <c r="DD68" s="1">
        <v>1</v>
      </c>
      <c r="DE68" s="1">
        <v>1</v>
      </c>
      <c r="DF68" s="1">
        <v>1</v>
      </c>
      <c r="DG68" s="1">
        <v>1</v>
      </c>
      <c r="DH68" s="1">
        <v>1</v>
      </c>
      <c r="DI68" s="1">
        <f>IF(HRXPH,1,0)</f>
        <v>0</v>
      </c>
      <c r="DJ68" s="1">
        <v>1</v>
      </c>
      <c r="DK68" s="1" t="s">
        <v>250</v>
      </c>
      <c r="DL68" s="1" t="s">
        <v>170</v>
      </c>
      <c r="EE68" s="8" t="s">
        <v>248</v>
      </c>
      <c r="EF68" s="9">
        <v>10</v>
      </c>
      <c r="EG68" s="9" t="s">
        <v>162</v>
      </c>
      <c r="EH68" s="9">
        <v>1</v>
      </c>
      <c r="EI68" s="9" t="b">
        <f t="shared" si="62"/>
        <v>0</v>
      </c>
      <c r="EJ68" s="9" t="str">
        <f t="shared" si="55"/>
        <v/>
      </c>
      <c r="EK68" s="9">
        <f>IF($EI68,MATCH($EJ68,TblClassN,0),99)</f>
        <v>99</v>
      </c>
      <c r="EL68" s="9">
        <f t="shared" si="65"/>
        <v>99</v>
      </c>
      <c r="EM68" s="9">
        <f t="shared" si="63"/>
        <v>99</v>
      </c>
      <c r="EN68" s="9">
        <f t="shared" si="57"/>
        <v>99</v>
      </c>
      <c r="EO68" s="10">
        <f t="shared" si="64"/>
        <v>0</v>
      </c>
    </row>
    <row r="69" spans="1:145" ht="11.25" customHeight="1" x14ac:dyDescent="0.2">
      <c r="A69" s="1">
        <f t="shared" si="18"/>
        <v>66</v>
      </c>
      <c r="B69" s="1" t="s">
        <v>253</v>
      </c>
      <c r="C69" s="1" t="s">
        <v>254</v>
      </c>
      <c r="D69" s="1" t="s">
        <v>254</v>
      </c>
      <c r="E69" s="1">
        <f t="shared" si="40"/>
        <v>0</v>
      </c>
      <c r="K69" s="1">
        <v>2</v>
      </c>
      <c r="L69" s="1">
        <v>10</v>
      </c>
      <c r="N69" s="1" t="b">
        <v>1</v>
      </c>
      <c r="O69" s="1" t="b">
        <v>1</v>
      </c>
      <c r="P69" s="1" t="b">
        <v>1</v>
      </c>
      <c r="S69" s="1" t="b">
        <v>1</v>
      </c>
      <c r="T69" s="1" t="b">
        <v>1</v>
      </c>
      <c r="V69" s="1">
        <v>0.75</v>
      </c>
      <c r="W69" s="1">
        <v>0.5</v>
      </c>
      <c r="X69" s="1">
        <v>0.34</v>
      </c>
      <c r="Y69" s="1">
        <v>0.5</v>
      </c>
      <c r="Z69" s="1" t="b">
        <f>NOT(AlignmentLawful)</f>
        <v>0</v>
      </c>
      <c r="AA69" s="1" t="str">
        <f t="shared" si="19"/>
        <v/>
      </c>
      <c r="AB69" s="1" t="str">
        <f t="shared" si="20"/>
        <v/>
      </c>
      <c r="AC69" s="1">
        <f t="shared" si="41"/>
        <v>0</v>
      </c>
      <c r="AD69" s="1" t="str">
        <f t="shared" si="21"/>
        <v/>
      </c>
      <c r="AE69" s="1" t="str">
        <f t="shared" si="22"/>
        <v/>
      </c>
      <c r="AF69" s="1">
        <f t="shared" si="42"/>
        <v>0</v>
      </c>
      <c r="AG69" s="1">
        <f t="shared" si="23"/>
        <v>5</v>
      </c>
      <c r="AH69" s="1" t="str">
        <f t="shared" ref="AH69:AH81" si="67">IF(ROW()&gt;$AG$2,"",INDEX($B$5:$B$794,MATCH(ROW(),$AG$5:$AG$794,0)))</f>
        <v/>
      </c>
      <c r="AI69" s="1">
        <v>1</v>
      </c>
      <c r="AJ69" s="1">
        <f>IF(HRXPH,1,0)</f>
        <v>0</v>
      </c>
      <c r="AK69" s="1">
        <v>1</v>
      </c>
      <c r="AL69" s="1">
        <v>1</v>
      </c>
      <c r="AM69" s="1">
        <v>1</v>
      </c>
      <c r="AN69" s="1">
        <f>IF(IsLycanthrope,2,0)</f>
        <v>0</v>
      </c>
      <c r="AO69" s="1">
        <v>2</v>
      </c>
      <c r="AP69" s="1">
        <v>2</v>
      </c>
      <c r="AQ69" s="1">
        <v>2</v>
      </c>
      <c r="AR69" s="1">
        <v>2</v>
      </c>
      <c r="AS69" s="1">
        <v>2</v>
      </c>
      <c r="AT69" s="1">
        <v>2</v>
      </c>
      <c r="AU69" s="1">
        <v>2</v>
      </c>
      <c r="AV69" s="1">
        <v>2</v>
      </c>
      <c r="AW69" s="1">
        <v>1</v>
      </c>
      <c r="AX69" s="1">
        <v>2</v>
      </c>
      <c r="AY69" s="1">
        <v>1</v>
      </c>
      <c r="AZ69" s="1">
        <v>1</v>
      </c>
      <c r="BA69" s="1">
        <v>1</v>
      </c>
      <c r="BB69" s="1">
        <v>1</v>
      </c>
      <c r="BC69" s="1">
        <v>1</v>
      </c>
      <c r="BD69" s="1">
        <v>1</v>
      </c>
      <c r="BE69" s="1">
        <v>2</v>
      </c>
      <c r="BF69" s="1">
        <v>1</v>
      </c>
      <c r="BG69" s="1">
        <f>IF(HRRVL,1,0)</f>
        <v>0</v>
      </c>
      <c r="BH69" s="1">
        <v>2</v>
      </c>
      <c r="BI69" s="1">
        <v>1</v>
      </c>
      <c r="BJ69" s="1">
        <v>1</v>
      </c>
      <c r="BK69" s="1">
        <v>1</v>
      </c>
      <c r="BL69" s="1">
        <v>1</v>
      </c>
      <c r="BM69" s="1">
        <v>1</v>
      </c>
      <c r="BN69" s="1">
        <v>1</v>
      </c>
      <c r="BO69" s="1">
        <v>1</v>
      </c>
      <c r="BP69" s="1">
        <v>1</v>
      </c>
      <c r="BQ69" s="1">
        <f>IF(HRRVL,1,0)</f>
        <v>0</v>
      </c>
      <c r="BR69" s="1">
        <v>1</v>
      </c>
      <c r="BS69" s="1">
        <v>1</v>
      </c>
      <c r="BT69" s="1">
        <f>IF(HRXPH,1,0)</f>
        <v>0</v>
      </c>
      <c r="BU69" s="1">
        <f>IF(HRRVL,1,0)</f>
        <v>0</v>
      </c>
      <c r="BV69" s="1">
        <v>2</v>
      </c>
      <c r="BW69" s="1">
        <v>1</v>
      </c>
      <c r="BX69" s="1">
        <v>1</v>
      </c>
      <c r="BY69" s="1">
        <v>1</v>
      </c>
      <c r="BZ69" s="1">
        <v>1</v>
      </c>
      <c r="CA69" s="1">
        <v>1</v>
      </c>
      <c r="CB69" s="1">
        <v>1</v>
      </c>
      <c r="CC69" s="1">
        <v>1</v>
      </c>
      <c r="CD69" s="1">
        <v>1</v>
      </c>
      <c r="CE69" s="1">
        <v>1</v>
      </c>
      <c r="CF69" s="1">
        <v>1</v>
      </c>
      <c r="CG69" s="1">
        <f>IF(HRToB,1,0)</f>
        <v>0</v>
      </c>
      <c r="CH69" s="1">
        <v>1</v>
      </c>
      <c r="CI69" s="1">
        <v>1</v>
      </c>
      <c r="CJ69" s="1">
        <v>1</v>
      </c>
      <c r="CK69" s="1">
        <v>1</v>
      </c>
      <c r="CL69" s="1">
        <v>1</v>
      </c>
      <c r="CM69" s="1">
        <v>1</v>
      </c>
      <c r="CN69" s="1">
        <v>1</v>
      </c>
      <c r="CO69" s="1">
        <v>1</v>
      </c>
      <c r="CP69" s="1">
        <v>2</v>
      </c>
      <c r="CQ69" s="1">
        <v>2</v>
      </c>
      <c r="CR69" s="1">
        <v>2</v>
      </c>
      <c r="CS69" s="1">
        <v>2</v>
      </c>
      <c r="CT69" s="1">
        <v>2</v>
      </c>
      <c r="CU69" s="1">
        <v>2</v>
      </c>
      <c r="CV69" s="1">
        <f>IF(HRXPH,1,0)</f>
        <v>0</v>
      </c>
      <c r="CW69" s="1">
        <v>1</v>
      </c>
      <c r="CX69" s="1">
        <v>1</v>
      </c>
      <c r="CY69" s="1">
        <v>1</v>
      </c>
      <c r="CZ69" s="1">
        <f>IF(HRCS,1,0)</f>
        <v>0</v>
      </c>
      <c r="DA69" s="1">
        <v>1</v>
      </c>
      <c r="DB69" s="1">
        <v>1</v>
      </c>
      <c r="DC69" s="1">
        <v>1</v>
      </c>
      <c r="DD69" s="1">
        <v>1</v>
      </c>
      <c r="DE69" s="1">
        <v>1</v>
      </c>
      <c r="DF69" s="1">
        <v>1</v>
      </c>
      <c r="DG69" s="1">
        <v>1</v>
      </c>
      <c r="DH69" s="1">
        <v>1</v>
      </c>
      <c r="DI69" s="1">
        <f>IF(HRXPH,1,0)</f>
        <v>0</v>
      </c>
      <c r="DJ69" s="1">
        <v>1</v>
      </c>
      <c r="DK69" s="1" t="s">
        <v>250</v>
      </c>
      <c r="DL69" s="1" t="s">
        <v>170</v>
      </c>
      <c r="EE69" s="8" t="s">
        <v>255</v>
      </c>
      <c r="EF69" s="9">
        <v>4</v>
      </c>
      <c r="EG69" s="9" t="s">
        <v>134</v>
      </c>
      <c r="EH69" s="9">
        <v>2</v>
      </c>
      <c r="EI69" s="9" t="b">
        <f t="shared" si="62"/>
        <v>0</v>
      </c>
      <c r="EJ69" s="9" t="str">
        <f t="shared" si="55"/>
        <v/>
      </c>
      <c r="EK69" s="9">
        <f>IF($EI69,MATCH($EJ69,TblClassN,0),99)</f>
        <v>99</v>
      </c>
      <c r="EL69" s="9">
        <f t="shared" si="65"/>
        <v>99</v>
      </c>
      <c r="EM69" s="9">
        <f t="shared" si="63"/>
        <v>99</v>
      </c>
      <c r="EN69" s="9">
        <f t="shared" si="57"/>
        <v>99</v>
      </c>
      <c r="EO69" s="10">
        <f t="shared" si="64"/>
        <v>0</v>
      </c>
    </row>
    <row r="70" spans="1:145" ht="11.25" customHeight="1" x14ac:dyDescent="0.2">
      <c r="A70" s="1">
        <f t="shared" ref="A70:A133" si="68">A69+1</f>
        <v>67</v>
      </c>
      <c r="B70" s="1" t="s">
        <v>256</v>
      </c>
      <c r="E70" s="1">
        <f t="shared" si="40"/>
        <v>0</v>
      </c>
      <c r="F70" s="1">
        <v>1</v>
      </c>
      <c r="Z70" s="1" t="b">
        <f>FALSE</f>
        <v>0</v>
      </c>
      <c r="AA70" s="1" t="str">
        <f t="shared" si="19"/>
        <v/>
      </c>
      <c r="AB70" s="1" t="str">
        <f t="shared" si="20"/>
        <v/>
      </c>
      <c r="AC70" s="1">
        <f t="shared" si="41"/>
        <v>0</v>
      </c>
      <c r="AD70" s="1" t="str">
        <f t="shared" si="21"/>
        <v/>
      </c>
      <c r="AE70" s="1" t="str">
        <f t="shared" si="22"/>
        <v/>
      </c>
      <c r="AF70" s="1">
        <f t="shared" si="42"/>
        <v>0</v>
      </c>
      <c r="AG70" s="1">
        <f t="shared" ref="AG70:AG83" si="69">IF($AC70&gt;0,$AG69+1,$AG69)</f>
        <v>5</v>
      </c>
      <c r="AH70" s="1" t="str">
        <f t="shared" si="67"/>
        <v/>
      </c>
      <c r="EE70" s="8" t="s">
        <v>255</v>
      </c>
      <c r="EF70" s="9">
        <v>10</v>
      </c>
      <c r="EG70" s="9" t="s">
        <v>129</v>
      </c>
      <c r="EH70" s="9">
        <v>2</v>
      </c>
      <c r="EI70" s="9" t="b">
        <f t="shared" si="62"/>
        <v>0</v>
      </c>
      <c r="EJ70" s="9" t="str">
        <f t="shared" si="55"/>
        <v/>
      </c>
      <c r="EK70" s="9">
        <f>IF($EI70,MATCH($EJ70,TblClassN,0),99)</f>
        <v>99</v>
      </c>
      <c r="EL70" s="9">
        <f t="shared" si="65"/>
        <v>99</v>
      </c>
      <c r="EM70" s="9">
        <f t="shared" si="63"/>
        <v>99</v>
      </c>
      <c r="EN70" s="9">
        <f t="shared" si="57"/>
        <v>99</v>
      </c>
      <c r="EO70" s="10">
        <f t="shared" si="64"/>
        <v>0</v>
      </c>
    </row>
    <row r="71" spans="1:145" ht="11.25" customHeight="1" x14ac:dyDescent="0.2">
      <c r="A71" s="1">
        <f t="shared" si="68"/>
        <v>68</v>
      </c>
      <c r="B71" s="1" t="s">
        <v>257</v>
      </c>
      <c r="C71" s="1" t="s">
        <v>219</v>
      </c>
      <c r="D71" s="1" t="s">
        <v>219</v>
      </c>
      <c r="E71" s="1">
        <f t="shared" si="40"/>
        <v>0</v>
      </c>
      <c r="G71" s="1">
        <f>(DrPgLvl&gt;=1)+(DrPgLvl&gt;=3)</f>
        <v>0</v>
      </c>
      <c r="K71" s="1">
        <v>4</v>
      </c>
      <c r="L71" s="1">
        <v>6</v>
      </c>
      <c r="N71" s="1" t="b">
        <v>1</v>
      </c>
      <c r="S71" s="1" t="b">
        <v>1</v>
      </c>
      <c r="V71" s="1">
        <v>0.75</v>
      </c>
      <c r="W71" s="1">
        <v>0.34</v>
      </c>
      <c r="X71" s="1">
        <v>0.5</v>
      </c>
      <c r="Y71" s="1">
        <v>0.34</v>
      </c>
      <c r="Z71" s="1" t="b">
        <f>FALSE</f>
        <v>0</v>
      </c>
      <c r="AA71" s="1" t="str">
        <f t="shared" si="19"/>
        <v/>
      </c>
      <c r="AB71" s="1" t="str">
        <f t="shared" si="20"/>
        <v/>
      </c>
      <c r="AC71" s="1">
        <f t="shared" si="41"/>
        <v>0</v>
      </c>
      <c r="AD71" s="1" t="str">
        <f t="shared" si="21"/>
        <v/>
      </c>
      <c r="AE71" s="1" t="str">
        <f t="shared" si="22"/>
        <v/>
      </c>
      <c r="AF71" s="1">
        <f t="shared" si="42"/>
        <v>0</v>
      </c>
      <c r="AG71" s="1">
        <f t="shared" si="69"/>
        <v>5</v>
      </c>
      <c r="AH71" s="1" t="str">
        <f t="shared" si="67"/>
        <v/>
      </c>
      <c r="AI71" s="1">
        <v>1</v>
      </c>
      <c r="AJ71" s="1">
        <f t="shared" ref="AJ71:AJ85" si="70">IF(HRXPH,1,0)</f>
        <v>0</v>
      </c>
      <c r="AK71" s="1">
        <v>1</v>
      </c>
      <c r="AL71" s="1">
        <v>1</v>
      </c>
      <c r="AM71" s="1">
        <v>2</v>
      </c>
      <c r="AN71" s="1">
        <f t="shared" ref="AN71:AN81" si="71">IF(IsLycanthrope,2,0)</f>
        <v>0</v>
      </c>
      <c r="AO71" s="1">
        <v>1</v>
      </c>
      <c r="AP71" s="1">
        <v>2</v>
      </c>
      <c r="AQ71" s="1">
        <v>2</v>
      </c>
      <c r="AR71" s="1">
        <v>2</v>
      </c>
      <c r="AS71" s="1">
        <v>2</v>
      </c>
      <c r="AT71" s="1">
        <v>2</v>
      </c>
      <c r="AU71" s="1">
        <v>2</v>
      </c>
      <c r="AV71" s="1">
        <v>2</v>
      </c>
      <c r="AW71" s="1">
        <v>1</v>
      </c>
      <c r="AX71" s="1">
        <v>1</v>
      </c>
      <c r="AY71" s="1">
        <v>1</v>
      </c>
      <c r="AZ71" s="1">
        <v>1</v>
      </c>
      <c r="BA71" s="1">
        <v>1</v>
      </c>
      <c r="BB71" s="1">
        <v>1</v>
      </c>
      <c r="BC71" s="1">
        <v>1</v>
      </c>
      <c r="BD71" s="1">
        <v>1</v>
      </c>
      <c r="BE71" s="1">
        <v>1</v>
      </c>
      <c r="BF71" s="1">
        <v>2</v>
      </c>
      <c r="BG71" s="1">
        <f t="shared" ref="BG71:BG85" si="72">IF(HRRVL,1,0)</f>
        <v>0</v>
      </c>
      <c r="BH71" s="1">
        <f t="shared" ref="BH71:BH81" si="73">IF(HROA,1,0)</f>
        <v>0</v>
      </c>
      <c r="BI71" s="1">
        <v>2</v>
      </c>
      <c r="BJ71" s="1">
        <v>2</v>
      </c>
      <c r="BK71" s="1">
        <v>2</v>
      </c>
      <c r="BL71" s="1">
        <v>2</v>
      </c>
      <c r="BM71" s="1">
        <v>2</v>
      </c>
      <c r="BN71" s="1">
        <v>2</v>
      </c>
      <c r="BO71" s="1">
        <v>2</v>
      </c>
      <c r="BP71" s="1">
        <v>2</v>
      </c>
      <c r="BQ71" s="1">
        <f>IF(HRRVL,2,0)</f>
        <v>0</v>
      </c>
      <c r="BR71" s="1">
        <v>2</v>
      </c>
      <c r="BS71" s="1">
        <v>2</v>
      </c>
      <c r="BT71" s="1">
        <f>IF(HRXPH,2,0)</f>
        <v>0</v>
      </c>
      <c r="BU71" s="1">
        <f>IF(HRRVL,2,0)</f>
        <v>0</v>
      </c>
      <c r="BV71" s="1">
        <v>2</v>
      </c>
      <c r="BW71" s="1">
        <v>2</v>
      </c>
      <c r="BX71" s="1">
        <v>2</v>
      </c>
      <c r="BY71" s="1">
        <v>2</v>
      </c>
      <c r="BZ71" s="1">
        <v>2</v>
      </c>
      <c r="CA71" s="1">
        <v>2</v>
      </c>
      <c r="CB71" s="1">
        <v>2</v>
      </c>
      <c r="CC71" s="1">
        <v>2</v>
      </c>
      <c r="CD71" s="1">
        <v>2</v>
      </c>
      <c r="CE71" s="1">
        <v>2</v>
      </c>
      <c r="CF71" s="1">
        <v>2</v>
      </c>
      <c r="CG71" s="1">
        <f t="shared" ref="CG71:CG85" si="74">IF(HRToB,1,0)</f>
        <v>0</v>
      </c>
      <c r="CH71" s="1">
        <v>2</v>
      </c>
      <c r="CI71" s="1">
        <v>1</v>
      </c>
      <c r="CJ71" s="1">
        <v>1</v>
      </c>
      <c r="CK71" s="1">
        <v>1</v>
      </c>
      <c r="CL71" s="1">
        <v>1</v>
      </c>
      <c r="CM71" s="1">
        <v>1</v>
      </c>
      <c r="CN71" s="1">
        <v>1</v>
      </c>
      <c r="CO71" s="1">
        <v>1</v>
      </c>
      <c r="CP71" s="1">
        <v>2</v>
      </c>
      <c r="CQ71" s="1">
        <v>2</v>
      </c>
      <c r="CR71" s="1">
        <v>2</v>
      </c>
      <c r="CS71" s="1">
        <v>2</v>
      </c>
      <c r="CT71" s="1">
        <v>2</v>
      </c>
      <c r="CU71" s="1">
        <v>2</v>
      </c>
      <c r="CV71" s="1">
        <f t="shared" ref="CV71:CV85" si="75">IF(HRXPH,1,0)</f>
        <v>0</v>
      </c>
      <c r="CW71" s="1">
        <v>1</v>
      </c>
      <c r="CX71" s="1">
        <v>1</v>
      </c>
      <c r="CY71" s="1">
        <v>1</v>
      </c>
      <c r="CZ71" s="1">
        <f t="shared" ref="CZ71:CZ85" si="76">IF(HRCS,1,0)</f>
        <v>0</v>
      </c>
      <c r="DA71" s="1">
        <v>1</v>
      </c>
      <c r="DB71" s="1">
        <v>1</v>
      </c>
      <c r="DC71" s="1">
        <v>2</v>
      </c>
      <c r="DD71" s="1">
        <v>2</v>
      </c>
      <c r="DE71" s="1">
        <v>2</v>
      </c>
      <c r="DF71" s="1">
        <v>2</v>
      </c>
      <c r="DG71" s="1">
        <v>1</v>
      </c>
      <c r="DH71" s="1">
        <v>1</v>
      </c>
      <c r="DI71" s="1">
        <f t="shared" ref="DI71:DI85" si="77">IF(HRXPH,1,0)</f>
        <v>0</v>
      </c>
      <c r="DJ71" s="1">
        <v>1</v>
      </c>
      <c r="DK71" s="1" t="s">
        <v>258</v>
      </c>
      <c r="EE71" s="8" t="s">
        <v>255</v>
      </c>
      <c r="EF71" s="9">
        <v>10</v>
      </c>
      <c r="EG71" s="9" t="s">
        <v>134</v>
      </c>
      <c r="EH71" s="9">
        <v>2</v>
      </c>
      <c r="EI71" s="9" t="b">
        <f t="shared" si="62"/>
        <v>0</v>
      </c>
      <c r="EJ71" s="9" t="str">
        <f t="shared" si="55"/>
        <v/>
      </c>
      <c r="EK71" s="9">
        <f>IF($EI71,MATCH($EJ71,TblClassN,0),99)</f>
        <v>99</v>
      </c>
      <c r="EL71" s="9">
        <f t="shared" si="65"/>
        <v>99</v>
      </c>
      <c r="EM71" s="9">
        <f t="shared" si="63"/>
        <v>99</v>
      </c>
      <c r="EN71" s="9">
        <f t="shared" si="57"/>
        <v>99</v>
      </c>
      <c r="EO71" s="10">
        <f t="shared" si="64"/>
        <v>0</v>
      </c>
    </row>
    <row r="72" spans="1:145" ht="11.25" customHeight="1" x14ac:dyDescent="0.2">
      <c r="A72" s="1">
        <f t="shared" si="68"/>
        <v>69</v>
      </c>
      <c r="B72" s="1" t="s">
        <v>259</v>
      </c>
      <c r="C72" s="1" t="s">
        <v>222</v>
      </c>
      <c r="D72" s="1" t="s">
        <v>222</v>
      </c>
      <c r="E72" s="1">
        <f t="shared" si="40"/>
        <v>0</v>
      </c>
      <c r="K72" s="1">
        <v>2</v>
      </c>
      <c r="L72" s="1">
        <v>10</v>
      </c>
      <c r="N72" s="1" t="b">
        <v>1</v>
      </c>
      <c r="O72" s="1" t="b">
        <v>1</v>
      </c>
      <c r="P72" s="1" t="b">
        <v>1</v>
      </c>
      <c r="Q72" s="1" t="b">
        <v>1</v>
      </c>
      <c r="S72" s="1" t="b">
        <v>1</v>
      </c>
      <c r="T72" s="1" t="b">
        <v>1</v>
      </c>
      <c r="V72" s="1">
        <v>1</v>
      </c>
      <c r="W72" s="1">
        <v>0.5</v>
      </c>
      <c r="X72" s="1">
        <v>0.34</v>
      </c>
      <c r="Y72" s="1">
        <v>0.34</v>
      </c>
      <c r="Z72" s="1" t="b">
        <f>FALSE</f>
        <v>0</v>
      </c>
      <c r="AA72" s="1" t="str">
        <f t="shared" si="19"/>
        <v/>
      </c>
      <c r="AB72" s="1" t="str">
        <f t="shared" si="20"/>
        <v/>
      </c>
      <c r="AC72" s="1">
        <f t="shared" si="41"/>
        <v>0</v>
      </c>
      <c r="AD72" s="1" t="str">
        <f t="shared" si="21"/>
        <v/>
      </c>
      <c r="AE72" s="1" t="str">
        <f t="shared" si="22"/>
        <v/>
      </c>
      <c r="AF72" s="1">
        <f t="shared" si="42"/>
        <v>0</v>
      </c>
      <c r="AG72" s="1">
        <f t="shared" si="69"/>
        <v>5</v>
      </c>
      <c r="AH72" s="1" t="str">
        <f t="shared" si="67"/>
        <v/>
      </c>
      <c r="AI72" s="1">
        <v>2</v>
      </c>
      <c r="AJ72" s="1">
        <f t="shared" si="70"/>
        <v>0</v>
      </c>
      <c r="AK72" s="1">
        <v>1</v>
      </c>
      <c r="AL72" s="1">
        <v>1</v>
      </c>
      <c r="AM72" s="1">
        <v>2</v>
      </c>
      <c r="AN72" s="1">
        <f t="shared" si="71"/>
        <v>0</v>
      </c>
      <c r="AO72" s="1">
        <v>1</v>
      </c>
      <c r="AP72" s="1">
        <v>2</v>
      </c>
      <c r="AQ72" s="1">
        <v>2</v>
      </c>
      <c r="AR72" s="1">
        <v>2</v>
      </c>
      <c r="AS72" s="1">
        <v>2</v>
      </c>
      <c r="AT72" s="1">
        <v>2</v>
      </c>
      <c r="AU72" s="1">
        <v>2</v>
      </c>
      <c r="AV72" s="1">
        <v>2</v>
      </c>
      <c r="AW72" s="1">
        <v>1</v>
      </c>
      <c r="AX72" s="1">
        <v>1</v>
      </c>
      <c r="AY72" s="1">
        <v>1</v>
      </c>
      <c r="AZ72" s="1">
        <v>1</v>
      </c>
      <c r="BA72" s="1">
        <v>1</v>
      </c>
      <c r="BB72" s="1">
        <v>1</v>
      </c>
      <c r="BC72" s="1">
        <v>1</v>
      </c>
      <c r="BD72" s="1">
        <v>1</v>
      </c>
      <c r="BE72" s="1">
        <v>1</v>
      </c>
      <c r="BF72" s="1">
        <v>1</v>
      </c>
      <c r="BG72" s="1">
        <f t="shared" si="72"/>
        <v>0</v>
      </c>
      <c r="BH72" s="1">
        <f t="shared" si="73"/>
        <v>0</v>
      </c>
      <c r="BI72" s="1">
        <v>2</v>
      </c>
      <c r="BJ72" s="1">
        <v>2</v>
      </c>
      <c r="BK72" s="1">
        <v>1</v>
      </c>
      <c r="BL72" s="1">
        <v>1</v>
      </c>
      <c r="BM72" s="1">
        <v>2</v>
      </c>
      <c r="BN72" s="1">
        <v>1</v>
      </c>
      <c r="BO72" s="1">
        <v>1</v>
      </c>
      <c r="BP72" s="1">
        <v>1</v>
      </c>
      <c r="BQ72" s="1">
        <f>IF(HRRVL,1,0)</f>
        <v>0</v>
      </c>
      <c r="BR72" s="1">
        <v>1</v>
      </c>
      <c r="BS72" s="1">
        <v>1</v>
      </c>
      <c r="BT72" s="1">
        <f>IF(HRXPH,1,0)</f>
        <v>0</v>
      </c>
      <c r="BU72" s="1">
        <f>IF(HRRVL,1,0)</f>
        <v>0</v>
      </c>
      <c r="BV72" s="1">
        <v>1</v>
      </c>
      <c r="BW72" s="1">
        <v>1</v>
      </c>
      <c r="BX72" s="1">
        <v>1</v>
      </c>
      <c r="BY72" s="1">
        <v>1</v>
      </c>
      <c r="BZ72" s="1">
        <v>1</v>
      </c>
      <c r="CA72" s="1">
        <v>1</v>
      </c>
      <c r="CB72" s="1">
        <v>1</v>
      </c>
      <c r="CC72" s="1">
        <v>1</v>
      </c>
      <c r="CD72" s="1">
        <v>1</v>
      </c>
      <c r="CE72" s="1">
        <v>1</v>
      </c>
      <c r="CF72" s="1">
        <v>1</v>
      </c>
      <c r="CG72" s="1">
        <f t="shared" si="74"/>
        <v>0</v>
      </c>
      <c r="CH72" s="1">
        <v>1</v>
      </c>
      <c r="CI72" s="1">
        <v>1</v>
      </c>
      <c r="CJ72" s="1">
        <v>1</v>
      </c>
      <c r="CK72" s="1">
        <v>1</v>
      </c>
      <c r="CL72" s="1">
        <v>1</v>
      </c>
      <c r="CM72" s="1">
        <v>1</v>
      </c>
      <c r="CN72" s="1">
        <v>1</v>
      </c>
      <c r="CO72" s="1">
        <v>1</v>
      </c>
      <c r="CP72" s="1">
        <v>2</v>
      </c>
      <c r="CQ72" s="1">
        <v>2</v>
      </c>
      <c r="CR72" s="1">
        <v>2</v>
      </c>
      <c r="CS72" s="1">
        <v>2</v>
      </c>
      <c r="CT72" s="1">
        <v>2</v>
      </c>
      <c r="CU72" s="1">
        <v>2</v>
      </c>
      <c r="CV72" s="1">
        <f t="shared" si="75"/>
        <v>0</v>
      </c>
      <c r="CW72" s="1">
        <v>1</v>
      </c>
      <c r="CX72" s="1">
        <v>1</v>
      </c>
      <c r="CY72" s="1">
        <v>2</v>
      </c>
      <c r="CZ72" s="1">
        <f t="shared" si="76"/>
        <v>0</v>
      </c>
      <c r="DA72" s="1">
        <v>1</v>
      </c>
      <c r="DB72" s="1">
        <v>1</v>
      </c>
      <c r="DC72" s="1">
        <v>1</v>
      </c>
      <c r="DD72" s="1">
        <v>1</v>
      </c>
      <c r="DE72" s="1">
        <v>2</v>
      </c>
      <c r="DF72" s="1">
        <v>1</v>
      </c>
      <c r="DG72" s="1">
        <v>1</v>
      </c>
      <c r="DH72" s="1">
        <v>1</v>
      </c>
      <c r="DI72" s="1">
        <f t="shared" si="77"/>
        <v>0</v>
      </c>
      <c r="DJ72" s="1">
        <v>1</v>
      </c>
      <c r="DK72" s="1" t="s">
        <v>258</v>
      </c>
      <c r="EE72" s="8" t="s">
        <v>260</v>
      </c>
      <c r="EF72" s="9">
        <v>3</v>
      </c>
      <c r="EG72" s="9" t="s">
        <v>162</v>
      </c>
      <c r="EH72" s="9">
        <v>2</v>
      </c>
      <c r="EI72" s="9" t="b">
        <f t="shared" si="62"/>
        <v>0</v>
      </c>
      <c r="EJ72" s="9" t="str">
        <f t="shared" si="55"/>
        <v/>
      </c>
      <c r="EK72" s="9">
        <f>IF($EI72,MATCH($EJ72,TblClassN,0),99)</f>
        <v>99</v>
      </c>
      <c r="EL72" s="9">
        <f t="shared" si="65"/>
        <v>99</v>
      </c>
      <c r="EM72" s="9">
        <f t="shared" si="63"/>
        <v>99</v>
      </c>
      <c r="EN72" s="9">
        <f t="shared" si="57"/>
        <v>99</v>
      </c>
      <c r="EO72" s="10">
        <f t="shared" si="64"/>
        <v>0</v>
      </c>
    </row>
    <row r="73" spans="1:145" ht="11.25" customHeight="1" x14ac:dyDescent="0.2">
      <c r="A73" s="1">
        <f t="shared" si="68"/>
        <v>70</v>
      </c>
      <c r="B73" s="1" t="s">
        <v>261</v>
      </c>
      <c r="C73" s="1" t="s">
        <v>226</v>
      </c>
      <c r="D73" s="1" t="s">
        <v>226</v>
      </c>
      <c r="E73" s="1">
        <f t="shared" si="40"/>
        <v>0</v>
      </c>
      <c r="G73" s="1">
        <f>(EPgLvl&gt;=2)+(EPgLvl&gt;=3)</f>
        <v>0</v>
      </c>
      <c r="K73" s="1">
        <v>2</v>
      </c>
      <c r="L73" s="1">
        <v>8</v>
      </c>
      <c r="N73" s="1" t="b">
        <v>1</v>
      </c>
      <c r="S73" s="1" t="b">
        <v>1</v>
      </c>
      <c r="V73" s="1">
        <v>0.75</v>
      </c>
      <c r="W73" s="1">
        <v>0.34</v>
      </c>
      <c r="X73" s="1">
        <v>0.5</v>
      </c>
      <c r="Y73" s="1">
        <v>0.34</v>
      </c>
      <c r="Z73" s="1" t="b">
        <f>FALSE</f>
        <v>0</v>
      </c>
      <c r="AA73" s="1" t="str">
        <f t="shared" si="19"/>
        <v/>
      </c>
      <c r="AB73" s="1" t="str">
        <f t="shared" si="20"/>
        <v/>
      </c>
      <c r="AC73" s="1">
        <f t="shared" si="41"/>
        <v>0</v>
      </c>
      <c r="AD73" s="1" t="str">
        <f t="shared" si="21"/>
        <v/>
      </c>
      <c r="AE73" s="1" t="str">
        <f t="shared" si="22"/>
        <v/>
      </c>
      <c r="AF73" s="1">
        <f t="shared" si="42"/>
        <v>0</v>
      </c>
      <c r="AG73" s="1">
        <f t="shared" si="69"/>
        <v>5</v>
      </c>
      <c r="AH73" s="1" t="str">
        <f t="shared" si="67"/>
        <v/>
      </c>
      <c r="AI73" s="1">
        <v>1</v>
      </c>
      <c r="AJ73" s="1">
        <f t="shared" si="70"/>
        <v>0</v>
      </c>
      <c r="AK73" s="1">
        <v>1</v>
      </c>
      <c r="AL73" s="1">
        <v>1</v>
      </c>
      <c r="AM73" s="1">
        <v>2</v>
      </c>
      <c r="AN73" s="1">
        <f t="shared" si="71"/>
        <v>0</v>
      </c>
      <c r="AO73" s="1">
        <v>1</v>
      </c>
      <c r="AP73" s="1">
        <v>2</v>
      </c>
      <c r="AQ73" s="1">
        <v>2</v>
      </c>
      <c r="AR73" s="1">
        <v>2</v>
      </c>
      <c r="AS73" s="1">
        <v>2</v>
      </c>
      <c r="AT73" s="1">
        <v>2</v>
      </c>
      <c r="AU73" s="1">
        <v>2</v>
      </c>
      <c r="AV73" s="1">
        <v>2</v>
      </c>
      <c r="AW73" s="1">
        <v>1</v>
      </c>
      <c r="AX73" s="1">
        <v>2</v>
      </c>
      <c r="AY73" s="1">
        <v>1</v>
      </c>
      <c r="AZ73" s="1">
        <v>1</v>
      </c>
      <c r="BA73" s="1">
        <v>1</v>
      </c>
      <c r="BB73" s="1">
        <v>1</v>
      </c>
      <c r="BC73" s="1">
        <v>1</v>
      </c>
      <c r="BD73" s="1">
        <v>1</v>
      </c>
      <c r="BE73" s="1">
        <v>1</v>
      </c>
      <c r="BF73" s="1">
        <v>2</v>
      </c>
      <c r="BG73" s="1">
        <f t="shared" si="72"/>
        <v>0</v>
      </c>
      <c r="BH73" s="1">
        <f t="shared" si="73"/>
        <v>0</v>
      </c>
      <c r="BI73" s="1">
        <v>1</v>
      </c>
      <c r="BJ73" s="1">
        <v>2</v>
      </c>
      <c r="BK73" s="1">
        <v>2</v>
      </c>
      <c r="BL73" s="1">
        <v>2</v>
      </c>
      <c r="BM73" s="1">
        <v>2</v>
      </c>
      <c r="BN73" s="1">
        <v>2</v>
      </c>
      <c r="BO73" s="1">
        <v>2</v>
      </c>
      <c r="BP73" s="1">
        <v>2</v>
      </c>
      <c r="BQ73" s="1">
        <f>IF(HRRVL,2,0)</f>
        <v>0</v>
      </c>
      <c r="BR73" s="1">
        <v>2</v>
      </c>
      <c r="BS73" s="1">
        <v>2</v>
      </c>
      <c r="BT73" s="1">
        <f>IF(HRXPH,2,0)</f>
        <v>0</v>
      </c>
      <c r="BU73" s="1">
        <f>IF(HRRVL,2,0)</f>
        <v>0</v>
      </c>
      <c r="BV73" s="1">
        <v>2</v>
      </c>
      <c r="BW73" s="1">
        <v>2</v>
      </c>
      <c r="BX73" s="1">
        <v>2</v>
      </c>
      <c r="BY73" s="1">
        <v>2</v>
      </c>
      <c r="BZ73" s="1">
        <v>2</v>
      </c>
      <c r="CA73" s="1">
        <v>2</v>
      </c>
      <c r="CB73" s="1">
        <v>2</v>
      </c>
      <c r="CC73" s="1">
        <v>2</v>
      </c>
      <c r="CD73" s="1">
        <v>2</v>
      </c>
      <c r="CE73" s="1">
        <v>2</v>
      </c>
      <c r="CF73" s="1">
        <v>2</v>
      </c>
      <c r="CG73" s="1">
        <f t="shared" si="74"/>
        <v>0</v>
      </c>
      <c r="CH73" s="1">
        <v>2</v>
      </c>
      <c r="CI73" s="1">
        <v>1</v>
      </c>
      <c r="CJ73" s="1">
        <v>1</v>
      </c>
      <c r="CK73" s="1">
        <v>1</v>
      </c>
      <c r="CL73" s="1">
        <v>1</v>
      </c>
      <c r="CM73" s="1">
        <v>1</v>
      </c>
      <c r="CN73" s="1">
        <v>1</v>
      </c>
      <c r="CO73" s="1">
        <v>1</v>
      </c>
      <c r="CP73" s="1">
        <v>2</v>
      </c>
      <c r="CQ73" s="1">
        <v>2</v>
      </c>
      <c r="CR73" s="1">
        <v>2</v>
      </c>
      <c r="CS73" s="1">
        <v>2</v>
      </c>
      <c r="CT73" s="1">
        <v>2</v>
      </c>
      <c r="CU73" s="1">
        <v>2</v>
      </c>
      <c r="CV73" s="1">
        <f t="shared" si="75"/>
        <v>0</v>
      </c>
      <c r="CW73" s="1">
        <v>1</v>
      </c>
      <c r="CX73" s="1">
        <v>1</v>
      </c>
      <c r="CY73" s="1">
        <v>1</v>
      </c>
      <c r="CZ73" s="1">
        <f t="shared" si="76"/>
        <v>0</v>
      </c>
      <c r="DA73" s="1">
        <v>1</v>
      </c>
      <c r="DB73" s="1">
        <v>1</v>
      </c>
      <c r="DC73" s="1">
        <v>2</v>
      </c>
      <c r="DD73" s="1">
        <v>2</v>
      </c>
      <c r="DE73" s="1">
        <v>1</v>
      </c>
      <c r="DF73" s="1">
        <v>2</v>
      </c>
      <c r="DG73" s="1">
        <v>1</v>
      </c>
      <c r="DH73" s="1">
        <v>1</v>
      </c>
      <c r="DI73" s="1">
        <f t="shared" si="77"/>
        <v>0</v>
      </c>
      <c r="DJ73" s="1">
        <v>1</v>
      </c>
      <c r="DK73" s="1" t="s">
        <v>258</v>
      </c>
      <c r="EE73" s="8" t="s">
        <v>262</v>
      </c>
      <c r="EF73" s="9">
        <v>1</v>
      </c>
      <c r="EG73" s="9" t="s">
        <v>126</v>
      </c>
      <c r="EH73" s="9">
        <v>-1</v>
      </c>
      <c r="EI73" s="9" t="b">
        <f t="shared" si="62"/>
        <v>0</v>
      </c>
      <c r="EJ73" s="9" t="str">
        <f t="shared" si="55"/>
        <v/>
      </c>
      <c r="EK73" s="9">
        <f>IF($EI73,MATCH($EJ73,TblClassN,0),99)</f>
        <v>99</v>
      </c>
      <c r="EL73" s="9">
        <f t="shared" si="65"/>
        <v>99</v>
      </c>
      <c r="EM73" s="9">
        <f t="shared" si="63"/>
        <v>99</v>
      </c>
      <c r="EN73" s="9">
        <f t="shared" si="57"/>
        <v>99</v>
      </c>
      <c r="EO73" s="10">
        <f t="shared" si="64"/>
        <v>0</v>
      </c>
    </row>
    <row r="74" spans="1:145" ht="11.25" customHeight="1" x14ac:dyDescent="0.2">
      <c r="A74" s="1">
        <f t="shared" si="68"/>
        <v>71</v>
      </c>
      <c r="B74" s="1" t="s">
        <v>263</v>
      </c>
      <c r="C74" s="1" t="s">
        <v>260</v>
      </c>
      <c r="D74" s="1" t="s">
        <v>260</v>
      </c>
      <c r="E74" s="1">
        <f t="shared" si="40"/>
        <v>0</v>
      </c>
      <c r="G74" s="1">
        <f>(GnPgLvl&gt;=2)+(GnPgLvl&gt;=3)</f>
        <v>0</v>
      </c>
      <c r="K74" s="1">
        <v>4</v>
      </c>
      <c r="L74" s="1">
        <v>6</v>
      </c>
      <c r="N74" s="1" t="b">
        <v>1</v>
      </c>
      <c r="S74" s="1" t="b">
        <v>1</v>
      </c>
      <c r="V74" s="1">
        <v>0.75</v>
      </c>
      <c r="W74" s="1">
        <v>0.5</v>
      </c>
      <c r="X74" s="1">
        <v>0.34</v>
      </c>
      <c r="Y74" s="1">
        <v>0.5</v>
      </c>
      <c r="Z74" s="1" t="b">
        <f>FALSE</f>
        <v>0</v>
      </c>
      <c r="AA74" s="1" t="str">
        <f t="shared" si="19"/>
        <v/>
      </c>
      <c r="AB74" s="1" t="str">
        <f t="shared" si="20"/>
        <v/>
      </c>
      <c r="AC74" s="1">
        <f t="shared" si="41"/>
        <v>0</v>
      </c>
      <c r="AD74" s="1" t="str">
        <f t="shared" si="21"/>
        <v/>
      </c>
      <c r="AE74" s="1" t="str">
        <f t="shared" si="22"/>
        <v/>
      </c>
      <c r="AF74" s="1">
        <f t="shared" si="42"/>
        <v>0</v>
      </c>
      <c r="AG74" s="1">
        <f t="shared" si="69"/>
        <v>5</v>
      </c>
      <c r="AH74" s="1" t="str">
        <f t="shared" si="67"/>
        <v/>
      </c>
      <c r="AI74" s="1">
        <v>1</v>
      </c>
      <c r="AJ74" s="1">
        <f t="shared" si="70"/>
        <v>0</v>
      </c>
      <c r="AK74" s="1">
        <v>1</v>
      </c>
      <c r="AL74" s="1">
        <v>2</v>
      </c>
      <c r="AM74" s="1">
        <v>2</v>
      </c>
      <c r="AN74" s="1">
        <f t="shared" si="71"/>
        <v>0</v>
      </c>
      <c r="AO74" s="1">
        <v>1</v>
      </c>
      <c r="AP74" s="1">
        <v>2</v>
      </c>
      <c r="AQ74" s="1">
        <v>2</v>
      </c>
      <c r="AR74" s="1">
        <v>2</v>
      </c>
      <c r="AS74" s="1">
        <v>2</v>
      </c>
      <c r="AT74" s="1">
        <v>2</v>
      </c>
      <c r="AU74" s="1">
        <v>2</v>
      </c>
      <c r="AV74" s="1">
        <v>2</v>
      </c>
      <c r="AW74" s="1">
        <v>1</v>
      </c>
      <c r="AX74" s="1">
        <v>2</v>
      </c>
      <c r="AY74" s="1">
        <v>1</v>
      </c>
      <c r="AZ74" s="1">
        <v>1</v>
      </c>
      <c r="BA74" s="1">
        <v>1</v>
      </c>
      <c r="BB74" s="1">
        <v>1</v>
      </c>
      <c r="BC74" s="1">
        <v>1</v>
      </c>
      <c r="BD74" s="1">
        <v>1</v>
      </c>
      <c r="BE74" s="1">
        <v>1</v>
      </c>
      <c r="BF74" s="1">
        <v>2</v>
      </c>
      <c r="BG74" s="1">
        <f t="shared" si="72"/>
        <v>0</v>
      </c>
      <c r="BH74" s="1">
        <f t="shared" si="73"/>
        <v>0</v>
      </c>
      <c r="BI74" s="1">
        <v>1</v>
      </c>
      <c r="BJ74" s="1">
        <v>2</v>
      </c>
      <c r="BK74" s="1">
        <v>2</v>
      </c>
      <c r="BL74" s="1">
        <v>2</v>
      </c>
      <c r="BM74" s="1">
        <v>2</v>
      </c>
      <c r="BN74" s="1">
        <v>2</v>
      </c>
      <c r="BO74" s="1">
        <v>2</v>
      </c>
      <c r="BP74" s="1">
        <v>2</v>
      </c>
      <c r="BQ74" s="1">
        <f>IF(HRRVL,2,0)</f>
        <v>0</v>
      </c>
      <c r="BR74" s="1">
        <v>2</v>
      </c>
      <c r="BS74" s="1">
        <v>2</v>
      </c>
      <c r="BT74" s="1">
        <f>IF(HRXPH,2,0)</f>
        <v>0</v>
      </c>
      <c r="BU74" s="1">
        <f>IF(HRRVL,2,0)</f>
        <v>0</v>
      </c>
      <c r="BV74" s="1">
        <v>2</v>
      </c>
      <c r="BW74" s="1">
        <v>2</v>
      </c>
      <c r="BX74" s="1">
        <v>2</v>
      </c>
      <c r="BY74" s="1">
        <v>2</v>
      </c>
      <c r="BZ74" s="1">
        <v>2</v>
      </c>
      <c r="CA74" s="1">
        <v>2</v>
      </c>
      <c r="CB74" s="1">
        <v>2</v>
      </c>
      <c r="CC74" s="1">
        <v>2</v>
      </c>
      <c r="CD74" s="1">
        <v>2</v>
      </c>
      <c r="CE74" s="1">
        <v>2</v>
      </c>
      <c r="CF74" s="1">
        <v>2</v>
      </c>
      <c r="CG74" s="1">
        <f t="shared" si="74"/>
        <v>0</v>
      </c>
      <c r="CH74" s="1">
        <v>2</v>
      </c>
      <c r="CI74" s="1">
        <v>1</v>
      </c>
      <c r="CJ74" s="1">
        <v>2</v>
      </c>
      <c r="CK74" s="1">
        <v>2</v>
      </c>
      <c r="CL74" s="1">
        <v>2</v>
      </c>
      <c r="CM74" s="1">
        <v>2</v>
      </c>
      <c r="CN74" s="1">
        <v>2</v>
      </c>
      <c r="CO74" s="1">
        <v>2</v>
      </c>
      <c r="CP74" s="1">
        <v>2</v>
      </c>
      <c r="CQ74" s="1">
        <v>2</v>
      </c>
      <c r="CR74" s="1">
        <v>2</v>
      </c>
      <c r="CS74" s="1">
        <v>2</v>
      </c>
      <c r="CT74" s="1">
        <v>2</v>
      </c>
      <c r="CU74" s="1">
        <v>2</v>
      </c>
      <c r="CV74" s="1">
        <f t="shared" si="75"/>
        <v>0</v>
      </c>
      <c r="CW74" s="1">
        <v>1</v>
      </c>
      <c r="CX74" s="1">
        <v>1</v>
      </c>
      <c r="CY74" s="1">
        <v>1</v>
      </c>
      <c r="CZ74" s="1">
        <f t="shared" si="76"/>
        <v>0</v>
      </c>
      <c r="DA74" s="1">
        <v>1</v>
      </c>
      <c r="DB74" s="1">
        <v>1</v>
      </c>
      <c r="DC74" s="1">
        <v>2</v>
      </c>
      <c r="DD74" s="1">
        <v>1</v>
      </c>
      <c r="DE74" s="1">
        <v>1</v>
      </c>
      <c r="DF74" s="1">
        <v>2</v>
      </c>
      <c r="DG74" s="1">
        <v>1</v>
      </c>
      <c r="DH74" s="1">
        <v>1</v>
      </c>
      <c r="DI74" s="1">
        <f t="shared" si="77"/>
        <v>0</v>
      </c>
      <c r="DJ74" s="1">
        <v>1</v>
      </c>
      <c r="DK74" s="1" t="s">
        <v>258</v>
      </c>
      <c r="EE74" s="8" t="s">
        <v>262</v>
      </c>
      <c r="EF74" s="9">
        <v>1</v>
      </c>
      <c r="EG74" s="9" t="s">
        <v>134</v>
      </c>
      <c r="EH74" s="9">
        <v>1</v>
      </c>
      <c r="EI74" s="9" t="b">
        <f t="shared" si="62"/>
        <v>0</v>
      </c>
      <c r="EJ74" s="9" t="str">
        <f t="shared" si="55"/>
        <v/>
      </c>
      <c r="EK74" s="9">
        <f>IF($EI74,MATCH($EJ74,TblClassN,0),99)</f>
        <v>99</v>
      </c>
      <c r="EL74" s="9">
        <f t="shared" si="65"/>
        <v>99</v>
      </c>
      <c r="EM74" s="9">
        <f t="shared" si="63"/>
        <v>99</v>
      </c>
      <c r="EN74" s="9">
        <f t="shared" si="57"/>
        <v>99</v>
      </c>
      <c r="EO74" s="10">
        <f t="shared" si="64"/>
        <v>0</v>
      </c>
    </row>
    <row r="75" spans="1:145" ht="11.25" customHeight="1" x14ac:dyDescent="0.2">
      <c r="A75" s="1">
        <f t="shared" si="68"/>
        <v>72</v>
      </c>
      <c r="B75" s="1" t="s">
        <v>264</v>
      </c>
      <c r="C75" s="1" t="s">
        <v>265</v>
      </c>
      <c r="D75" s="1" t="s">
        <v>265</v>
      </c>
      <c r="E75" s="1">
        <f t="shared" si="40"/>
        <v>0</v>
      </c>
      <c r="K75" s="1">
        <v>4</v>
      </c>
      <c r="L75" s="1">
        <v>12</v>
      </c>
      <c r="V75" s="1">
        <v>1</v>
      </c>
      <c r="W75" s="1">
        <v>0.5</v>
      </c>
      <c r="X75" s="1">
        <v>0.34</v>
      </c>
      <c r="Y75" s="1">
        <v>0.5</v>
      </c>
      <c r="Z75" s="1" t="b">
        <f>FALSE</f>
        <v>0</v>
      </c>
      <c r="AA75" s="1" t="str">
        <f t="shared" si="19"/>
        <v/>
      </c>
      <c r="AB75" s="1" t="str">
        <f t="shared" si="20"/>
        <v/>
      </c>
      <c r="AC75" s="1">
        <f t="shared" si="41"/>
        <v>0</v>
      </c>
      <c r="AD75" s="1" t="str">
        <f t="shared" si="21"/>
        <v/>
      </c>
      <c r="AE75" s="1" t="str">
        <f t="shared" si="22"/>
        <v/>
      </c>
      <c r="AF75" s="1">
        <f t="shared" si="42"/>
        <v>0</v>
      </c>
      <c r="AG75" s="1">
        <f t="shared" si="69"/>
        <v>5</v>
      </c>
      <c r="AH75" s="1" t="str">
        <f t="shared" si="67"/>
        <v/>
      </c>
      <c r="AI75" s="1">
        <f>1+1*AND(HalfDragonSelected,HDPgDragonColor=9)</f>
        <v>1</v>
      </c>
      <c r="AJ75" s="1">
        <f t="shared" si="70"/>
        <v>0</v>
      </c>
      <c r="AK75" s="1">
        <v>1</v>
      </c>
      <c r="AL75" s="1">
        <f>1+1*AND(HalfDragonSelected,OR(HDPgDragonColor=3,HDPgDragonColor=4,HDPgDragonColor=6,HDPgDragonColor=8,HDPgDragonColor=10))</f>
        <v>1</v>
      </c>
      <c r="AM75" s="1">
        <v>1</v>
      </c>
      <c r="AN75" s="1">
        <f t="shared" si="71"/>
        <v>0</v>
      </c>
      <c r="AO75" s="1">
        <v>2</v>
      </c>
      <c r="AP75" s="1">
        <v>1</v>
      </c>
      <c r="AQ75" s="1">
        <v>1</v>
      </c>
      <c r="AR75" s="1">
        <v>1</v>
      </c>
      <c r="AS75" s="1">
        <v>1</v>
      </c>
      <c r="AT75" s="1">
        <v>1</v>
      </c>
      <c r="AU75" s="1">
        <v>1</v>
      </c>
      <c r="AV75" s="1">
        <v>1</v>
      </c>
      <c r="AW75" s="1">
        <v>1</v>
      </c>
      <c r="AX75" s="1">
        <v>2</v>
      </c>
      <c r="AY75" s="1">
        <v>1</v>
      </c>
      <c r="AZ75" s="1">
        <f>1+1*AND(HalfDragonSelected,OR(HDPgDragonColor=5,HDPgDragonColor=7))</f>
        <v>1</v>
      </c>
      <c r="BA75" s="1">
        <v>1</v>
      </c>
      <c r="BB75" s="1">
        <v>1</v>
      </c>
      <c r="BC75" s="1">
        <f>1+1*AND(HalfDragonSelected,HDPgDragonColor=4)</f>
        <v>1</v>
      </c>
      <c r="BD75" s="1">
        <v>1</v>
      </c>
      <c r="BE75" s="1">
        <f>1+1*AND(HalfDragonSelected,HDPgDragonColor=7)</f>
        <v>1</v>
      </c>
      <c r="BF75" s="1">
        <f>1+1*AND(HalfDragonSelected,OR(HDPgDragonColor=2,HDPgDragonColor=3,HDPgDragonColor=6,HDPgDragonColor=8,HDPgDragonColor=11))</f>
        <v>1</v>
      </c>
      <c r="BG75" s="1">
        <f t="shared" si="72"/>
        <v>0</v>
      </c>
      <c r="BH75" s="1">
        <f t="shared" si="73"/>
        <v>0</v>
      </c>
      <c r="BI75" s="1">
        <v>2</v>
      </c>
      <c r="BJ75" s="1">
        <f>1+1*AND(HalfDragonSelected,OR(HDPgDragonColor=6,HDPgDragonColor=9,HDPgDragonColor=10))</f>
        <v>1</v>
      </c>
      <c r="BK75" s="1">
        <v>2</v>
      </c>
      <c r="BL75" s="1">
        <v>2</v>
      </c>
      <c r="BM75" s="1">
        <v>2</v>
      </c>
      <c r="BN75" s="1">
        <v>2</v>
      </c>
      <c r="BO75" s="1">
        <v>2</v>
      </c>
      <c r="BP75" s="1">
        <v>2</v>
      </c>
      <c r="BQ75" s="1">
        <f>IF(HRRVL,2,0)</f>
        <v>0</v>
      </c>
      <c r="BR75" s="1">
        <v>2</v>
      </c>
      <c r="BS75" s="1">
        <v>2</v>
      </c>
      <c r="BT75" s="1">
        <f>IF(HRXPH,2,0)</f>
        <v>0</v>
      </c>
      <c r="BU75" s="1">
        <f>IF(HRRVL,2,0)</f>
        <v>0</v>
      </c>
      <c r="BV75" s="1">
        <v>2</v>
      </c>
      <c r="BW75" s="1">
        <v>2</v>
      </c>
      <c r="BX75" s="1">
        <v>2</v>
      </c>
      <c r="BY75" s="1">
        <v>2</v>
      </c>
      <c r="BZ75" s="1">
        <v>2</v>
      </c>
      <c r="CA75" s="1">
        <v>2</v>
      </c>
      <c r="CB75" s="1">
        <v>2</v>
      </c>
      <c r="CC75" s="1">
        <v>2</v>
      </c>
      <c r="CD75" s="1">
        <v>2</v>
      </c>
      <c r="CE75" s="1">
        <v>2</v>
      </c>
      <c r="CF75" s="1">
        <v>2</v>
      </c>
      <c r="CG75" s="1">
        <f t="shared" si="74"/>
        <v>0</v>
      </c>
      <c r="CH75" s="1">
        <f>1+1*AND(HalfDragonSelected,OR(HDPgDragonColor=2,HDPgDragonColor=8,HDPgDragonColor=11))</f>
        <v>1</v>
      </c>
      <c r="CI75" s="1">
        <v>1</v>
      </c>
      <c r="CJ75" s="1">
        <f t="shared" ref="CJ75:CO75" si="78">1+1*AND(HalfDragonSelected,HDPgDragonColor=10)</f>
        <v>1</v>
      </c>
      <c r="CK75" s="1">
        <f t="shared" si="78"/>
        <v>1</v>
      </c>
      <c r="CL75" s="1">
        <f t="shared" si="78"/>
        <v>1</v>
      </c>
      <c r="CM75" s="1">
        <f t="shared" si="78"/>
        <v>1</v>
      </c>
      <c r="CN75" s="1">
        <f t="shared" si="78"/>
        <v>1</v>
      </c>
      <c r="CO75" s="1">
        <f t="shared" si="78"/>
        <v>1</v>
      </c>
      <c r="CP75" s="1">
        <v>1</v>
      </c>
      <c r="CQ75" s="1">
        <v>1</v>
      </c>
      <c r="CR75" s="1">
        <v>1</v>
      </c>
      <c r="CS75" s="1">
        <v>1</v>
      </c>
      <c r="CT75" s="1">
        <v>1</v>
      </c>
      <c r="CU75" s="1">
        <v>1</v>
      </c>
      <c r="CV75" s="1">
        <f t="shared" si="75"/>
        <v>0</v>
      </c>
      <c r="CW75" s="1">
        <v>1</v>
      </c>
      <c r="CX75" s="1">
        <v>2</v>
      </c>
      <c r="CY75" s="1">
        <v>2</v>
      </c>
      <c r="CZ75" s="1">
        <f t="shared" si="76"/>
        <v>0</v>
      </c>
      <c r="DA75" s="1">
        <v>1</v>
      </c>
      <c r="DB75" s="1">
        <v>1</v>
      </c>
      <c r="DC75" s="1">
        <f>1+1*AND(HalfDragonSelected,HDPgDragonColor=2)</f>
        <v>1</v>
      </c>
      <c r="DD75" s="1">
        <v>2</v>
      </c>
      <c r="DE75" s="1">
        <f>1+1*AND(HalfDragonSelected,OR(HDPgDragonColor=4,HDPgDragonColor=5))</f>
        <v>1</v>
      </c>
      <c r="DF75" s="1">
        <f>1+1*AND(HalfDragonSelected,OR(HDPgDragonColor=2,HDPgDragonColor=5,HDPgDragonColor=7,HDPgDragonColor=11))</f>
        <v>1</v>
      </c>
      <c r="DG75" s="1">
        <v>1</v>
      </c>
      <c r="DH75" s="1">
        <v>1</v>
      </c>
      <c r="DI75" s="1">
        <f t="shared" si="77"/>
        <v>0</v>
      </c>
      <c r="DJ75" s="1">
        <v>1</v>
      </c>
      <c r="DK75" s="1" t="s">
        <v>258</v>
      </c>
      <c r="EE75" s="8" t="s">
        <v>262</v>
      </c>
      <c r="EF75" s="9">
        <v>4</v>
      </c>
      <c r="EG75" s="9" t="s">
        <v>134</v>
      </c>
      <c r="EH75" s="9">
        <v>1</v>
      </c>
      <c r="EI75" s="9" t="b">
        <f t="shared" si="62"/>
        <v>0</v>
      </c>
      <c r="EJ75" s="9" t="str">
        <f t="shared" si="55"/>
        <v/>
      </c>
      <c r="EK75" s="9">
        <f>IF($EI75,MATCH($EJ75,TblClassN,0),99)</f>
        <v>99</v>
      </c>
      <c r="EL75" s="9">
        <f t="shared" si="65"/>
        <v>99</v>
      </c>
      <c r="EM75" s="9">
        <f t="shared" si="63"/>
        <v>99</v>
      </c>
      <c r="EN75" s="9">
        <f t="shared" si="57"/>
        <v>99</v>
      </c>
      <c r="EO75" s="10">
        <f t="shared" si="64"/>
        <v>0</v>
      </c>
    </row>
    <row r="76" spans="1:145" ht="11.25" customHeight="1" x14ac:dyDescent="0.2">
      <c r="A76" s="1">
        <f t="shared" si="68"/>
        <v>73</v>
      </c>
      <c r="B76" s="1" t="s">
        <v>266</v>
      </c>
      <c r="C76" s="1" t="s">
        <v>267</v>
      </c>
      <c r="D76" s="1" t="s">
        <v>267</v>
      </c>
      <c r="E76" s="1">
        <f t="shared" si="40"/>
        <v>0</v>
      </c>
      <c r="G76" s="1">
        <f>1*(HEPgLvl&gt;=2)</f>
        <v>0</v>
      </c>
      <c r="K76" s="1">
        <v>4</v>
      </c>
      <c r="L76" s="1">
        <v>8</v>
      </c>
      <c r="N76" s="1" t="b">
        <v>1</v>
      </c>
      <c r="S76" s="1" t="b">
        <v>1</v>
      </c>
      <c r="V76" s="1">
        <v>0.75</v>
      </c>
      <c r="W76" s="1">
        <v>0.34</v>
      </c>
      <c r="X76" s="1">
        <v>0.5</v>
      </c>
      <c r="Y76" s="1">
        <v>0.34</v>
      </c>
      <c r="Z76" s="1" t="b">
        <f>FALSE</f>
        <v>0</v>
      </c>
      <c r="AA76" s="1" t="str">
        <f t="shared" si="19"/>
        <v/>
      </c>
      <c r="AB76" s="1" t="str">
        <f t="shared" si="20"/>
        <v/>
      </c>
      <c r="AC76" s="1">
        <f t="shared" si="41"/>
        <v>0</v>
      </c>
      <c r="AD76" s="1" t="str">
        <f t="shared" si="21"/>
        <v/>
      </c>
      <c r="AE76" s="1" t="str">
        <f t="shared" si="22"/>
        <v/>
      </c>
      <c r="AF76" s="1">
        <f t="shared" si="42"/>
        <v>0</v>
      </c>
      <c r="AG76" s="1">
        <f t="shared" si="69"/>
        <v>5</v>
      </c>
      <c r="AH76" s="1" t="str">
        <f t="shared" si="67"/>
        <v/>
      </c>
      <c r="AI76" s="1">
        <v>1</v>
      </c>
      <c r="AJ76" s="1">
        <f t="shared" si="70"/>
        <v>0</v>
      </c>
      <c r="AK76" s="1">
        <v>1</v>
      </c>
      <c r="AL76" s="1">
        <v>2</v>
      </c>
      <c r="AM76" s="1">
        <v>2</v>
      </c>
      <c r="AN76" s="1">
        <f t="shared" si="71"/>
        <v>0</v>
      </c>
      <c r="AO76" s="1">
        <v>1</v>
      </c>
      <c r="AP76" s="1">
        <v>2</v>
      </c>
      <c r="AQ76" s="1">
        <v>2</v>
      </c>
      <c r="AR76" s="1">
        <v>2</v>
      </c>
      <c r="AS76" s="1">
        <v>2</v>
      </c>
      <c r="AT76" s="1">
        <v>2</v>
      </c>
      <c r="AU76" s="1">
        <v>2</v>
      </c>
      <c r="AV76" s="1">
        <v>2</v>
      </c>
      <c r="AW76" s="1">
        <v>1</v>
      </c>
      <c r="AX76" s="1">
        <v>2</v>
      </c>
      <c r="AY76" s="1">
        <v>1</v>
      </c>
      <c r="AZ76" s="1">
        <v>1</v>
      </c>
      <c r="BA76" s="1">
        <v>1</v>
      </c>
      <c r="BB76" s="1">
        <v>1</v>
      </c>
      <c r="BC76" s="1">
        <v>1</v>
      </c>
      <c r="BD76" s="1">
        <v>1</v>
      </c>
      <c r="BE76" s="1">
        <v>1</v>
      </c>
      <c r="BF76" s="1">
        <v>2</v>
      </c>
      <c r="BG76" s="1">
        <f t="shared" si="72"/>
        <v>0</v>
      </c>
      <c r="BH76" s="1">
        <f t="shared" si="73"/>
        <v>0</v>
      </c>
      <c r="BI76" s="1">
        <v>1</v>
      </c>
      <c r="BJ76" s="1">
        <v>2</v>
      </c>
      <c r="BK76" s="1">
        <v>1</v>
      </c>
      <c r="BL76" s="1">
        <v>1</v>
      </c>
      <c r="BM76" s="1">
        <v>1</v>
      </c>
      <c r="BN76" s="1">
        <v>1</v>
      </c>
      <c r="BO76" s="1">
        <v>1</v>
      </c>
      <c r="BP76" s="1">
        <v>1</v>
      </c>
      <c r="BQ76" s="1">
        <f>IF(HRRVL,1,0)</f>
        <v>0</v>
      </c>
      <c r="BR76" s="1">
        <v>1</v>
      </c>
      <c r="BS76" s="1">
        <v>1</v>
      </c>
      <c r="BT76" s="1">
        <f>IF(HRXPH,1,0)</f>
        <v>0</v>
      </c>
      <c r="BU76" s="1">
        <f>IF(HRRVL,1,0)</f>
        <v>0</v>
      </c>
      <c r="BV76" s="1">
        <v>1</v>
      </c>
      <c r="BW76" s="1">
        <v>1</v>
      </c>
      <c r="BX76" s="1">
        <v>1</v>
      </c>
      <c r="BY76" s="1">
        <v>1</v>
      </c>
      <c r="BZ76" s="1">
        <v>1</v>
      </c>
      <c r="CA76" s="1">
        <v>1</v>
      </c>
      <c r="CB76" s="1">
        <v>1</v>
      </c>
      <c r="CC76" s="1">
        <v>1</v>
      </c>
      <c r="CD76" s="1">
        <v>1</v>
      </c>
      <c r="CE76" s="1">
        <v>1</v>
      </c>
      <c r="CF76" s="1">
        <v>2</v>
      </c>
      <c r="CG76" s="1">
        <f t="shared" si="74"/>
        <v>0</v>
      </c>
      <c r="CH76" s="1">
        <v>2</v>
      </c>
      <c r="CI76" s="1">
        <v>1</v>
      </c>
      <c r="CJ76" s="1">
        <v>2</v>
      </c>
      <c r="CK76" s="1">
        <v>2</v>
      </c>
      <c r="CL76" s="1">
        <v>2</v>
      </c>
      <c r="CM76" s="1">
        <v>2</v>
      </c>
      <c r="CN76" s="1">
        <v>2</v>
      </c>
      <c r="CO76" s="1">
        <v>2</v>
      </c>
      <c r="CP76" s="1">
        <v>2</v>
      </c>
      <c r="CQ76" s="1">
        <v>2</v>
      </c>
      <c r="CR76" s="1">
        <v>2</v>
      </c>
      <c r="CS76" s="1">
        <v>2</v>
      </c>
      <c r="CT76" s="1">
        <v>2</v>
      </c>
      <c r="CU76" s="1">
        <v>2</v>
      </c>
      <c r="CV76" s="1">
        <f t="shared" si="75"/>
        <v>0</v>
      </c>
      <c r="CW76" s="1">
        <v>1</v>
      </c>
      <c r="CX76" s="1">
        <v>1</v>
      </c>
      <c r="CY76" s="1">
        <v>1</v>
      </c>
      <c r="CZ76" s="1">
        <f t="shared" si="76"/>
        <v>0</v>
      </c>
      <c r="DA76" s="1">
        <v>1</v>
      </c>
      <c r="DB76" s="1">
        <v>1</v>
      </c>
      <c r="DC76" s="1">
        <v>1</v>
      </c>
      <c r="DD76" s="1">
        <v>1</v>
      </c>
      <c r="DE76" s="1">
        <v>1</v>
      </c>
      <c r="DF76" s="1">
        <v>2</v>
      </c>
      <c r="DG76" s="1">
        <v>1</v>
      </c>
      <c r="DH76" s="1">
        <v>1</v>
      </c>
      <c r="DI76" s="1">
        <f t="shared" si="77"/>
        <v>0</v>
      </c>
      <c r="DJ76" s="1">
        <v>1</v>
      </c>
      <c r="DK76" s="1" t="s">
        <v>258</v>
      </c>
      <c r="EE76" s="8" t="s">
        <v>262</v>
      </c>
      <c r="EF76" s="9">
        <v>7</v>
      </c>
      <c r="EG76" s="9" t="s">
        <v>126</v>
      </c>
      <c r="EH76" s="9">
        <v>-1</v>
      </c>
      <c r="EI76" s="9" t="b">
        <f t="shared" si="62"/>
        <v>0</v>
      </c>
      <c r="EJ76" s="9" t="str">
        <f t="shared" si="55"/>
        <v/>
      </c>
      <c r="EK76" s="9">
        <f>IF($EI76,MATCH($EJ76,TblClassN,0),99)</f>
        <v>99</v>
      </c>
      <c r="EL76" s="9">
        <f t="shared" si="65"/>
        <v>99</v>
      </c>
      <c r="EM76" s="9">
        <f t="shared" si="63"/>
        <v>99</v>
      </c>
      <c r="EN76" s="9">
        <f t="shared" si="57"/>
        <v>99</v>
      </c>
      <c r="EO76" s="10">
        <f t="shared" si="64"/>
        <v>0</v>
      </c>
    </row>
    <row r="77" spans="1:145" ht="11.25" customHeight="1" x14ac:dyDescent="0.2">
      <c r="A77" s="1">
        <f t="shared" si="68"/>
        <v>74</v>
      </c>
      <c r="B77" s="1" t="s">
        <v>268</v>
      </c>
      <c r="C77" s="1" t="s">
        <v>269</v>
      </c>
      <c r="D77" s="1" t="s">
        <v>269</v>
      </c>
      <c r="E77" s="1">
        <f t="shared" si="40"/>
        <v>0</v>
      </c>
      <c r="K77" s="1">
        <v>4</v>
      </c>
      <c r="L77" s="1">
        <v>8</v>
      </c>
      <c r="N77" s="1" t="b">
        <v>1</v>
      </c>
      <c r="O77" s="1" t="b">
        <v>1</v>
      </c>
      <c r="S77" s="1" t="b">
        <v>1</v>
      </c>
      <c r="T77" s="1" t="b">
        <v>1</v>
      </c>
      <c r="V77" s="1">
        <v>1</v>
      </c>
      <c r="W77" s="1">
        <v>0.5</v>
      </c>
      <c r="X77" s="1">
        <v>0.34</v>
      </c>
      <c r="Y77" s="1">
        <v>0.34</v>
      </c>
      <c r="Z77" s="1" t="b">
        <f>FALSE</f>
        <v>0</v>
      </c>
      <c r="AA77" s="1" t="str">
        <f t="shared" si="19"/>
        <v/>
      </c>
      <c r="AB77" s="1" t="str">
        <f t="shared" si="20"/>
        <v/>
      </c>
      <c r="AC77" s="1">
        <f t="shared" si="41"/>
        <v>0</v>
      </c>
      <c r="AD77" s="1" t="str">
        <f t="shared" si="21"/>
        <v/>
      </c>
      <c r="AE77" s="1" t="str">
        <f t="shared" si="22"/>
        <v/>
      </c>
      <c r="AF77" s="1">
        <f t="shared" si="42"/>
        <v>0</v>
      </c>
      <c r="AG77" s="1">
        <f t="shared" si="69"/>
        <v>5</v>
      </c>
      <c r="AH77" s="1" t="str">
        <f t="shared" si="67"/>
        <v/>
      </c>
      <c r="AI77" s="1">
        <v>1</v>
      </c>
      <c r="AJ77" s="1">
        <f t="shared" si="70"/>
        <v>0</v>
      </c>
      <c r="AK77" s="1">
        <v>1</v>
      </c>
      <c r="AL77" s="1">
        <v>1</v>
      </c>
      <c r="AM77" s="1">
        <v>2</v>
      </c>
      <c r="AN77" s="1">
        <f t="shared" si="71"/>
        <v>0</v>
      </c>
      <c r="AO77" s="1">
        <v>1</v>
      </c>
      <c r="AP77" s="1">
        <v>2</v>
      </c>
      <c r="AQ77" s="1">
        <v>2</v>
      </c>
      <c r="AR77" s="1">
        <v>2</v>
      </c>
      <c r="AS77" s="1">
        <v>2</v>
      </c>
      <c r="AT77" s="1">
        <v>2</v>
      </c>
      <c r="AU77" s="1">
        <v>2</v>
      </c>
      <c r="AV77" s="1">
        <v>2</v>
      </c>
      <c r="AW77" s="1">
        <v>1</v>
      </c>
      <c r="AX77" s="1">
        <v>1</v>
      </c>
      <c r="AY77" s="1">
        <v>1</v>
      </c>
      <c r="AZ77" s="1">
        <v>1</v>
      </c>
      <c r="BA77" s="1">
        <v>1</v>
      </c>
      <c r="BB77" s="1">
        <v>1</v>
      </c>
      <c r="BC77" s="1">
        <v>1</v>
      </c>
      <c r="BD77" s="1">
        <v>2</v>
      </c>
      <c r="BE77" s="1">
        <v>1</v>
      </c>
      <c r="BF77" s="1">
        <v>1</v>
      </c>
      <c r="BG77" s="1">
        <f t="shared" si="72"/>
        <v>0</v>
      </c>
      <c r="BH77" s="1">
        <f t="shared" si="73"/>
        <v>0</v>
      </c>
      <c r="BI77" s="1">
        <v>2</v>
      </c>
      <c r="BJ77" s="1">
        <v>2</v>
      </c>
      <c r="BK77" s="1">
        <v>1</v>
      </c>
      <c r="BL77" s="1">
        <v>1</v>
      </c>
      <c r="BM77" s="1">
        <v>1</v>
      </c>
      <c r="BN77" s="1">
        <v>1</v>
      </c>
      <c r="BO77" s="1">
        <v>1</v>
      </c>
      <c r="BP77" s="1">
        <v>1</v>
      </c>
      <c r="BQ77" s="1">
        <f>IF(HRRVL,1,0)</f>
        <v>0</v>
      </c>
      <c r="BR77" s="1">
        <v>1</v>
      </c>
      <c r="BS77" s="1">
        <v>1</v>
      </c>
      <c r="BT77" s="1">
        <f>IF(HRXPH,1,0)</f>
        <v>0</v>
      </c>
      <c r="BU77" s="1">
        <f>IF(HRRVL,1,0)</f>
        <v>0</v>
      </c>
      <c r="BV77" s="1">
        <v>1</v>
      </c>
      <c r="BW77" s="1">
        <v>1</v>
      </c>
      <c r="BX77" s="1">
        <v>1</v>
      </c>
      <c r="BY77" s="1">
        <v>1</v>
      </c>
      <c r="BZ77" s="1">
        <v>1</v>
      </c>
      <c r="CA77" s="1">
        <v>1</v>
      </c>
      <c r="CB77" s="1">
        <v>1</v>
      </c>
      <c r="CC77" s="1">
        <v>1</v>
      </c>
      <c r="CD77" s="1">
        <v>1</v>
      </c>
      <c r="CE77" s="1">
        <v>1</v>
      </c>
      <c r="CF77" s="1">
        <v>1</v>
      </c>
      <c r="CG77" s="1">
        <f t="shared" si="74"/>
        <v>0</v>
      </c>
      <c r="CH77" s="1">
        <v>1</v>
      </c>
      <c r="CI77" s="1">
        <v>1</v>
      </c>
      <c r="CJ77" s="1">
        <v>1</v>
      </c>
      <c r="CK77" s="1">
        <v>1</v>
      </c>
      <c r="CL77" s="1">
        <v>1</v>
      </c>
      <c r="CM77" s="1">
        <v>1</v>
      </c>
      <c r="CN77" s="1">
        <v>1</v>
      </c>
      <c r="CO77" s="1">
        <v>1</v>
      </c>
      <c r="CP77" s="1">
        <v>2</v>
      </c>
      <c r="CQ77" s="1">
        <v>2</v>
      </c>
      <c r="CR77" s="1">
        <v>2</v>
      </c>
      <c r="CS77" s="1">
        <v>2</v>
      </c>
      <c r="CT77" s="1">
        <v>2</v>
      </c>
      <c r="CU77" s="1">
        <v>2</v>
      </c>
      <c r="CV77" s="1">
        <f t="shared" si="75"/>
        <v>0</v>
      </c>
      <c r="CW77" s="1">
        <v>2</v>
      </c>
      <c r="CX77" s="1">
        <v>1</v>
      </c>
      <c r="CY77" s="1">
        <v>1</v>
      </c>
      <c r="CZ77" s="1">
        <f t="shared" si="76"/>
        <v>0</v>
      </c>
      <c r="DA77" s="1">
        <v>1</v>
      </c>
      <c r="DB77" s="1">
        <v>1</v>
      </c>
      <c r="DC77" s="1">
        <v>1</v>
      </c>
      <c r="DD77" s="1">
        <v>1</v>
      </c>
      <c r="DE77" s="1">
        <v>2</v>
      </c>
      <c r="DF77" s="1">
        <v>2</v>
      </c>
      <c r="DG77" s="1">
        <v>1</v>
      </c>
      <c r="DH77" s="1">
        <v>1</v>
      </c>
      <c r="DI77" s="1">
        <f t="shared" si="77"/>
        <v>0</v>
      </c>
      <c r="DJ77" s="1">
        <v>1</v>
      </c>
      <c r="DK77" s="1" t="s">
        <v>258</v>
      </c>
      <c r="EE77" s="8" t="s">
        <v>262</v>
      </c>
      <c r="EF77" s="9">
        <v>7</v>
      </c>
      <c r="EG77" s="9" t="s">
        <v>134</v>
      </c>
      <c r="EH77" s="9">
        <v>2</v>
      </c>
      <c r="EI77" s="9" t="b">
        <f t="shared" si="62"/>
        <v>0</v>
      </c>
      <c r="EJ77" s="9" t="str">
        <f t="shared" si="55"/>
        <v/>
      </c>
      <c r="EK77" s="9">
        <f>IF($EI77,MATCH($EJ77,TblClassN,0),99)</f>
        <v>99</v>
      </c>
      <c r="EL77" s="9">
        <f t="shared" si="65"/>
        <v>99</v>
      </c>
      <c r="EM77" s="9">
        <f t="shared" si="63"/>
        <v>99</v>
      </c>
      <c r="EN77" s="9">
        <f t="shared" si="57"/>
        <v>99</v>
      </c>
      <c r="EO77" s="10">
        <f t="shared" si="64"/>
        <v>0</v>
      </c>
    </row>
    <row r="78" spans="1:145" ht="11.25" customHeight="1" x14ac:dyDescent="0.2">
      <c r="A78" s="1">
        <f t="shared" si="68"/>
        <v>75</v>
      </c>
      <c r="B78" s="1" t="s">
        <v>270</v>
      </c>
      <c r="C78" s="1" t="s">
        <v>271</v>
      </c>
      <c r="D78" s="1" t="s">
        <v>271</v>
      </c>
      <c r="E78" s="1">
        <f t="shared" si="40"/>
        <v>0</v>
      </c>
      <c r="K78" s="1">
        <v>4</v>
      </c>
      <c r="L78" s="1">
        <v>6</v>
      </c>
      <c r="N78" s="1" t="b">
        <v>1</v>
      </c>
      <c r="S78" s="1" t="b">
        <v>1</v>
      </c>
      <c r="V78" s="1">
        <v>0.75</v>
      </c>
      <c r="W78" s="1">
        <v>0.34</v>
      </c>
      <c r="X78" s="1">
        <v>0.5</v>
      </c>
      <c r="Y78" s="1">
        <v>0.34</v>
      </c>
      <c r="Z78" s="1" t="b">
        <f>FALSE</f>
        <v>0</v>
      </c>
      <c r="AA78" s="1" t="str">
        <f t="shared" si="19"/>
        <v/>
      </c>
      <c r="AB78" s="1" t="str">
        <f t="shared" si="20"/>
        <v/>
      </c>
      <c r="AC78" s="1">
        <f t="shared" si="41"/>
        <v>0</v>
      </c>
      <c r="AD78" s="1" t="str">
        <f t="shared" si="21"/>
        <v/>
      </c>
      <c r="AE78" s="1" t="str">
        <f t="shared" si="22"/>
        <v/>
      </c>
      <c r="AF78" s="1">
        <f t="shared" si="42"/>
        <v>0</v>
      </c>
      <c r="AG78" s="1">
        <f t="shared" si="69"/>
        <v>5</v>
      </c>
      <c r="AH78" s="1" t="str">
        <f t="shared" si="67"/>
        <v/>
      </c>
      <c r="AI78" s="1">
        <v>1</v>
      </c>
      <c r="AJ78" s="1">
        <f t="shared" si="70"/>
        <v>0</v>
      </c>
      <c r="AK78" s="1">
        <v>1</v>
      </c>
      <c r="AL78" s="1">
        <v>2</v>
      </c>
      <c r="AM78" s="1">
        <v>2</v>
      </c>
      <c r="AN78" s="1">
        <f t="shared" si="71"/>
        <v>0</v>
      </c>
      <c r="AO78" s="1">
        <v>1</v>
      </c>
      <c r="AP78" s="1">
        <v>2</v>
      </c>
      <c r="AQ78" s="1">
        <v>2</v>
      </c>
      <c r="AR78" s="1">
        <v>2</v>
      </c>
      <c r="AS78" s="1">
        <v>2</v>
      </c>
      <c r="AT78" s="1">
        <v>2</v>
      </c>
      <c r="AU78" s="1">
        <v>2</v>
      </c>
      <c r="AV78" s="1">
        <v>2</v>
      </c>
      <c r="AW78" s="1">
        <v>1</v>
      </c>
      <c r="AX78" s="1">
        <v>2</v>
      </c>
      <c r="AY78" s="1">
        <v>1</v>
      </c>
      <c r="BA78" s="1">
        <v>1</v>
      </c>
      <c r="BB78" s="1">
        <v>1</v>
      </c>
      <c r="BC78" s="1">
        <v>1</v>
      </c>
      <c r="BD78" s="1">
        <v>1</v>
      </c>
      <c r="BE78" s="1">
        <v>1</v>
      </c>
      <c r="BF78" s="1">
        <v>2</v>
      </c>
      <c r="BG78" s="1">
        <f t="shared" si="72"/>
        <v>0</v>
      </c>
      <c r="BH78" s="1">
        <f t="shared" si="73"/>
        <v>0</v>
      </c>
      <c r="BI78" s="1">
        <v>1</v>
      </c>
      <c r="BJ78" s="1">
        <v>2</v>
      </c>
      <c r="BK78" s="1">
        <v>1</v>
      </c>
      <c r="BL78" s="1">
        <v>1</v>
      </c>
      <c r="BM78" s="1">
        <v>1</v>
      </c>
      <c r="BN78" s="1">
        <v>1</v>
      </c>
      <c r="BO78" s="1">
        <v>1</v>
      </c>
      <c r="BP78" s="1">
        <v>1</v>
      </c>
      <c r="BQ78" s="1">
        <f>IF(HRRVL,1,0)</f>
        <v>0</v>
      </c>
      <c r="BR78" s="1">
        <v>1</v>
      </c>
      <c r="BS78" s="1">
        <v>1</v>
      </c>
      <c r="BT78" s="1">
        <v>1</v>
      </c>
      <c r="BU78" s="1">
        <f>IF(HRRVL,1,0)</f>
        <v>0</v>
      </c>
      <c r="BV78" s="1">
        <v>1</v>
      </c>
      <c r="BW78" s="1">
        <v>1</v>
      </c>
      <c r="BX78" s="1">
        <v>1</v>
      </c>
      <c r="BY78" s="1">
        <v>1</v>
      </c>
      <c r="BZ78" s="1">
        <v>1</v>
      </c>
      <c r="CA78" s="1">
        <v>1</v>
      </c>
      <c r="CB78" s="1">
        <v>1</v>
      </c>
      <c r="CC78" s="1">
        <v>1</v>
      </c>
      <c r="CD78" s="1">
        <v>1</v>
      </c>
      <c r="CE78" s="1">
        <v>1</v>
      </c>
      <c r="CF78" s="1">
        <v>2</v>
      </c>
      <c r="CG78" s="1">
        <f t="shared" si="74"/>
        <v>0</v>
      </c>
      <c r="CH78" s="1">
        <v>2</v>
      </c>
      <c r="CI78" s="1">
        <v>1</v>
      </c>
      <c r="CJ78" s="1">
        <v>2</v>
      </c>
      <c r="CK78" s="1">
        <v>2</v>
      </c>
      <c r="CL78" s="1">
        <v>2</v>
      </c>
      <c r="CM78" s="1">
        <v>2</v>
      </c>
      <c r="CN78" s="1">
        <v>2</v>
      </c>
      <c r="CO78" s="1">
        <v>2</v>
      </c>
      <c r="CP78" s="1">
        <v>2</v>
      </c>
      <c r="CQ78" s="1">
        <v>2</v>
      </c>
      <c r="CR78" s="1">
        <v>2</v>
      </c>
      <c r="CS78" s="1">
        <v>2</v>
      </c>
      <c r="CT78" s="1">
        <v>2</v>
      </c>
      <c r="CU78" s="1">
        <v>2</v>
      </c>
      <c r="CV78" s="1">
        <f t="shared" si="75"/>
        <v>0</v>
      </c>
      <c r="CW78" s="1">
        <v>1</v>
      </c>
      <c r="CX78" s="1">
        <v>1</v>
      </c>
      <c r="CY78" s="1">
        <v>1</v>
      </c>
      <c r="CZ78" s="1">
        <f t="shared" si="76"/>
        <v>0</v>
      </c>
      <c r="DA78" s="1">
        <v>1</v>
      </c>
      <c r="DB78" s="1">
        <v>1</v>
      </c>
      <c r="DC78" s="1">
        <v>1</v>
      </c>
      <c r="DD78" s="1">
        <v>1</v>
      </c>
      <c r="DE78" s="1">
        <v>2</v>
      </c>
      <c r="DF78" s="1">
        <v>2</v>
      </c>
      <c r="DG78" s="1">
        <v>1</v>
      </c>
      <c r="DH78" s="1">
        <v>1</v>
      </c>
      <c r="DI78" s="1">
        <f t="shared" si="77"/>
        <v>0</v>
      </c>
      <c r="DJ78" s="1">
        <v>1</v>
      </c>
      <c r="DK78" s="1" t="s">
        <v>258</v>
      </c>
      <c r="EE78" s="8" t="s">
        <v>262</v>
      </c>
      <c r="EF78" s="9">
        <v>10</v>
      </c>
      <c r="EG78" s="9" t="s">
        <v>126</v>
      </c>
      <c r="EH78" s="9">
        <v>-1</v>
      </c>
      <c r="EI78" s="9" t="b">
        <f t="shared" si="62"/>
        <v>0</v>
      </c>
      <c r="EJ78" s="9" t="str">
        <f t="shared" si="55"/>
        <v/>
      </c>
      <c r="EK78" s="9">
        <f>IF($EI78,MATCH($EJ78,TblClassN,0),99)</f>
        <v>99</v>
      </c>
      <c r="EL78" s="9">
        <f t="shared" si="65"/>
        <v>99</v>
      </c>
      <c r="EM78" s="9">
        <f t="shared" si="63"/>
        <v>99</v>
      </c>
      <c r="EN78" s="9">
        <f t="shared" si="57"/>
        <v>99</v>
      </c>
      <c r="EO78" s="10">
        <f t="shared" si="64"/>
        <v>0</v>
      </c>
    </row>
    <row r="79" spans="1:145" ht="11.25" customHeight="1" x14ac:dyDescent="0.2">
      <c r="A79" s="1">
        <f t="shared" si="68"/>
        <v>76</v>
      </c>
      <c r="B79" s="1" t="s">
        <v>272</v>
      </c>
      <c r="C79" s="1" t="s">
        <v>273</v>
      </c>
      <c r="D79" s="1" t="s">
        <v>273</v>
      </c>
      <c r="E79" s="1">
        <f t="shared" si="40"/>
        <v>0</v>
      </c>
      <c r="G79" s="1">
        <f>(HuPgLvl&gt;=2)+(HuPgLvl&gt;=3)</f>
        <v>0</v>
      </c>
      <c r="K79" s="1">
        <v>4</v>
      </c>
      <c r="L79" s="1">
        <v>8</v>
      </c>
      <c r="N79" s="1" t="b">
        <v>1</v>
      </c>
      <c r="S79" s="1" t="b">
        <v>1</v>
      </c>
      <c r="V79" s="1">
        <v>0.75</v>
      </c>
      <c r="W79" s="1">
        <v>0.34</v>
      </c>
      <c r="X79" s="1">
        <v>0.34</v>
      </c>
      <c r="Y79" s="1">
        <v>0.5</v>
      </c>
      <c r="Z79" s="1" t="b">
        <f>FALSE</f>
        <v>0</v>
      </c>
      <c r="AA79" s="1" t="str">
        <f t="shared" si="19"/>
        <v/>
      </c>
      <c r="AB79" s="1" t="str">
        <f t="shared" si="20"/>
        <v/>
      </c>
      <c r="AC79" s="1">
        <f t="shared" si="41"/>
        <v>0</v>
      </c>
      <c r="AD79" s="1" t="str">
        <f t="shared" si="21"/>
        <v/>
      </c>
      <c r="AE79" s="1" t="str">
        <f t="shared" si="22"/>
        <v/>
      </c>
      <c r="AF79" s="1">
        <f t="shared" si="42"/>
        <v>0</v>
      </c>
      <c r="AG79" s="1">
        <f t="shared" si="69"/>
        <v>5</v>
      </c>
      <c r="AH79" s="1" t="str">
        <f t="shared" si="67"/>
        <v/>
      </c>
      <c r="AI79" s="1">
        <f>1+1*(COUNTIF(TblHuPgSkills,AI98)&gt;0)</f>
        <v>2</v>
      </c>
      <c r="AJ79" s="1">
        <f>IF(NOT(HRXPH),0,1+1*(COUNTIF(TblHuPgSkills,AJ98)&gt;0))</f>
        <v>0</v>
      </c>
      <c r="AK79" s="1">
        <f>1+1*(COUNTIF(TblHuPgSkills,AK98)&gt;0)</f>
        <v>1</v>
      </c>
      <c r="AL79" s="1">
        <f>1+1*(COUNTIF(TblHuPgSkills,AL98)&gt;0)</f>
        <v>1</v>
      </c>
      <c r="AM79" s="1">
        <f>1+1*(COUNTIF(TblHuPgSkills,AM98)&gt;0)</f>
        <v>1</v>
      </c>
      <c r="AN79" s="1">
        <f t="shared" si="71"/>
        <v>0</v>
      </c>
      <c r="AO79" s="1">
        <f t="shared" ref="AO79:BF79" si="79">1+1*(COUNTIF(TblHuPgSkills,AO98)&gt;0)</f>
        <v>1</v>
      </c>
      <c r="AP79" s="1">
        <f t="shared" si="79"/>
        <v>1</v>
      </c>
      <c r="AQ79" s="1">
        <f t="shared" si="79"/>
        <v>1</v>
      </c>
      <c r="AR79" s="1">
        <f t="shared" si="79"/>
        <v>1</v>
      </c>
      <c r="AS79" s="1">
        <f t="shared" si="79"/>
        <v>1</v>
      </c>
      <c r="AT79" s="1">
        <f t="shared" si="79"/>
        <v>1</v>
      </c>
      <c r="AU79" s="1">
        <f t="shared" si="79"/>
        <v>1</v>
      </c>
      <c r="AV79" s="1">
        <f t="shared" si="79"/>
        <v>1</v>
      </c>
      <c r="AW79" s="1">
        <f t="shared" si="79"/>
        <v>1</v>
      </c>
      <c r="AX79" s="1">
        <f t="shared" si="79"/>
        <v>1</v>
      </c>
      <c r="AY79" s="1">
        <f t="shared" si="79"/>
        <v>1</v>
      </c>
      <c r="AZ79" s="1">
        <f t="shared" si="79"/>
        <v>1</v>
      </c>
      <c r="BA79" s="1">
        <f t="shared" si="79"/>
        <v>1</v>
      </c>
      <c r="BB79" s="1">
        <f t="shared" si="79"/>
        <v>1</v>
      </c>
      <c r="BC79" s="1">
        <f t="shared" si="79"/>
        <v>1</v>
      </c>
      <c r="BD79" s="1">
        <f t="shared" si="79"/>
        <v>1</v>
      </c>
      <c r="BE79" s="1">
        <f t="shared" si="79"/>
        <v>1</v>
      </c>
      <c r="BF79" s="1">
        <f t="shared" si="79"/>
        <v>1</v>
      </c>
      <c r="BG79" s="1">
        <f>IF(NOT(HRRVL),0,1+1*(COUNTIF(TblHuPgSkills,BG98)&gt;0))</f>
        <v>0</v>
      </c>
      <c r="BH79" s="1">
        <f t="shared" si="73"/>
        <v>0</v>
      </c>
      <c r="BI79" s="1">
        <f t="shared" ref="BI79:BP79" si="80">1+1*(COUNTIF(TblHuPgSkills,BI98)&gt;0)</f>
        <v>1</v>
      </c>
      <c r="BJ79" s="1">
        <f t="shared" si="80"/>
        <v>1</v>
      </c>
      <c r="BK79" s="1">
        <f t="shared" si="80"/>
        <v>1</v>
      </c>
      <c r="BL79" s="1">
        <f t="shared" si="80"/>
        <v>1</v>
      </c>
      <c r="BM79" s="1">
        <f t="shared" si="80"/>
        <v>1</v>
      </c>
      <c r="BN79" s="1">
        <f t="shared" si="80"/>
        <v>1</v>
      </c>
      <c r="BO79" s="1">
        <f t="shared" si="80"/>
        <v>1</v>
      </c>
      <c r="BP79" s="1">
        <f t="shared" si="80"/>
        <v>1</v>
      </c>
      <c r="BQ79" s="1">
        <f>IF(NOT(HRRVL),0,1+1*(COUNTIF(TblHuPgSkills,BQ98)&gt;0))</f>
        <v>0</v>
      </c>
      <c r="BR79" s="1">
        <f>1+1*(COUNTIF(TblHuPgSkills,BR98)&gt;0)</f>
        <v>1</v>
      </c>
      <c r="BS79" s="1">
        <f>1+1*(COUNTIF(TblHuPgSkills,BS98)&gt;0)</f>
        <v>1</v>
      </c>
      <c r="BT79" s="1">
        <f>1+1*(COUNTIF(TblHuPgSkills,BT98)&gt;0)</f>
        <v>1</v>
      </c>
      <c r="BU79" s="1">
        <f>IF(NOT(HRRVL),0,1+1*(COUNTIF(TblHuPgSkills,BU98)&gt;0))</f>
        <v>0</v>
      </c>
      <c r="BV79" s="1">
        <f t="shared" ref="BV79:CF79" si="81">1+1*(COUNTIF(TblHuPgSkills,BV98)&gt;0)</f>
        <v>1</v>
      </c>
      <c r="BW79" s="1">
        <f t="shared" si="81"/>
        <v>1</v>
      </c>
      <c r="BX79" s="1">
        <f t="shared" si="81"/>
        <v>1</v>
      </c>
      <c r="BY79" s="1">
        <f t="shared" si="81"/>
        <v>1</v>
      </c>
      <c r="BZ79" s="1">
        <f t="shared" si="81"/>
        <v>1</v>
      </c>
      <c r="CA79" s="1">
        <f t="shared" si="81"/>
        <v>1</v>
      </c>
      <c r="CB79" s="1">
        <f t="shared" si="81"/>
        <v>1</v>
      </c>
      <c r="CC79" s="1">
        <f t="shared" si="81"/>
        <v>1</v>
      </c>
      <c r="CD79" s="1">
        <f t="shared" si="81"/>
        <v>1</v>
      </c>
      <c r="CE79" s="1">
        <f t="shared" si="81"/>
        <v>1</v>
      </c>
      <c r="CF79" s="1">
        <f t="shared" si="81"/>
        <v>1</v>
      </c>
      <c r="CG79" s="1">
        <f t="shared" si="74"/>
        <v>0</v>
      </c>
      <c r="CH79" s="1">
        <f t="shared" ref="CH79:CU79" si="82">1+1*(COUNTIF(TblHuPgSkills,CH98)&gt;0)</f>
        <v>1</v>
      </c>
      <c r="CI79" s="1">
        <f t="shared" si="82"/>
        <v>1</v>
      </c>
      <c r="CJ79" s="1">
        <f t="shared" si="82"/>
        <v>1</v>
      </c>
      <c r="CK79" s="1">
        <f t="shared" si="82"/>
        <v>1</v>
      </c>
      <c r="CL79" s="1">
        <f t="shared" si="82"/>
        <v>1</v>
      </c>
      <c r="CM79" s="1">
        <f t="shared" si="82"/>
        <v>1</v>
      </c>
      <c r="CN79" s="1">
        <f t="shared" si="82"/>
        <v>1</v>
      </c>
      <c r="CO79" s="1">
        <f t="shared" si="82"/>
        <v>1</v>
      </c>
      <c r="CP79" s="1">
        <f t="shared" si="82"/>
        <v>1</v>
      </c>
      <c r="CQ79" s="1">
        <f t="shared" si="82"/>
        <v>1</v>
      </c>
      <c r="CR79" s="1">
        <f t="shared" si="82"/>
        <v>1</v>
      </c>
      <c r="CS79" s="1">
        <f t="shared" si="82"/>
        <v>1</v>
      </c>
      <c r="CT79" s="1">
        <f t="shared" si="82"/>
        <v>1</v>
      </c>
      <c r="CU79" s="1">
        <f t="shared" si="82"/>
        <v>1</v>
      </c>
      <c r="CV79" s="1">
        <f>IF(NOT(HRXPH),0,1+1*(COUNTIF(TblHuPgSkills,CV98)&gt;0))</f>
        <v>0</v>
      </c>
      <c r="CW79" s="1">
        <f>1+1*(COUNTIF(TblHuPgSkills,CW98)&gt;0)</f>
        <v>1</v>
      </c>
      <c r="CX79" s="1">
        <f>1+1*(COUNTIF(TblHuPgSkills,CX98)&gt;0)</f>
        <v>1</v>
      </c>
      <c r="CY79" s="1">
        <f>1+1*(COUNTIF(TblHuPgSkills,CY98)&gt;0)</f>
        <v>1</v>
      </c>
      <c r="CZ79" s="1">
        <f t="shared" si="76"/>
        <v>0</v>
      </c>
      <c r="DA79" s="1">
        <f t="shared" ref="DA79:DH79" si="83">1+1*(COUNTIF(TblHuPgSkills,DA98)&gt;0)</f>
        <v>1</v>
      </c>
      <c r="DB79" s="1">
        <f t="shared" si="83"/>
        <v>1</v>
      </c>
      <c r="DC79" s="1">
        <f t="shared" si="83"/>
        <v>1</v>
      </c>
      <c r="DD79" s="1">
        <f t="shared" si="83"/>
        <v>1</v>
      </c>
      <c r="DE79" s="1">
        <f t="shared" si="83"/>
        <v>1</v>
      </c>
      <c r="DF79" s="1">
        <f t="shared" si="83"/>
        <v>1</v>
      </c>
      <c r="DG79" s="1">
        <f t="shared" si="83"/>
        <v>1</v>
      </c>
      <c r="DH79" s="1">
        <f t="shared" si="83"/>
        <v>1</v>
      </c>
      <c r="DI79" s="1">
        <f>IF(NOT(HRXPH),0,1+1*(COUNTIF(TblHuPgSkills,DI98)&gt;0))</f>
        <v>0</v>
      </c>
      <c r="DJ79" s="1">
        <f>1+1*(COUNTIF(TblHuPgSkills,DJ98)&gt;0)</f>
        <v>1</v>
      </c>
      <c r="DK79" s="1" t="s">
        <v>258</v>
      </c>
      <c r="EE79" s="8" t="s">
        <v>262</v>
      </c>
      <c r="EF79" s="9">
        <v>10</v>
      </c>
      <c r="EG79" s="9" t="s">
        <v>134</v>
      </c>
      <c r="EH79" s="9">
        <v>2</v>
      </c>
      <c r="EI79" s="9" t="b">
        <f t="shared" si="62"/>
        <v>0</v>
      </c>
      <c r="EJ79" s="9" t="str">
        <f t="shared" si="55"/>
        <v/>
      </c>
      <c r="EK79" s="9">
        <f>IF($EI79,MATCH($EJ79,TblClassN,0),99)</f>
        <v>99</v>
      </c>
      <c r="EL79" s="9">
        <f t="shared" si="65"/>
        <v>99</v>
      </c>
      <c r="EM79" s="9">
        <f t="shared" si="63"/>
        <v>99</v>
      </c>
      <c r="EN79" s="9">
        <f t="shared" si="57"/>
        <v>99</v>
      </c>
      <c r="EO79" s="10">
        <f t="shared" si="64"/>
        <v>0</v>
      </c>
    </row>
    <row r="80" spans="1:145" ht="11.25" customHeight="1" x14ac:dyDescent="0.2">
      <c r="A80" s="1">
        <f t="shared" si="68"/>
        <v>77</v>
      </c>
      <c r="B80" s="1" t="s">
        <v>274</v>
      </c>
      <c r="C80" s="1" t="s">
        <v>275</v>
      </c>
      <c r="D80" s="1" t="s">
        <v>275</v>
      </c>
      <c r="E80" s="1">
        <f t="shared" si="40"/>
        <v>0</v>
      </c>
      <c r="K80" s="1">
        <v>2</v>
      </c>
      <c r="L80" s="1">
        <v>10</v>
      </c>
      <c r="N80" s="1" t="b">
        <v>1</v>
      </c>
      <c r="O80" s="1" t="b">
        <v>1</v>
      </c>
      <c r="S80" s="1" t="b">
        <v>1</v>
      </c>
      <c r="T80" s="1" t="b">
        <v>1</v>
      </c>
      <c r="V80" s="1">
        <v>1</v>
      </c>
      <c r="W80" s="1">
        <v>0.5</v>
      </c>
      <c r="X80" s="1">
        <v>0.34</v>
      </c>
      <c r="Y80" s="1">
        <v>0.34</v>
      </c>
      <c r="Z80" s="1" t="b">
        <f>FALSE</f>
        <v>0</v>
      </c>
      <c r="AA80" s="1" t="str">
        <f t="shared" si="19"/>
        <v/>
      </c>
      <c r="AB80" s="1" t="str">
        <f t="shared" si="20"/>
        <v/>
      </c>
      <c r="AC80" s="1">
        <f t="shared" si="41"/>
        <v>0</v>
      </c>
      <c r="AD80" s="1" t="str">
        <f t="shared" si="21"/>
        <v/>
      </c>
      <c r="AE80" s="1" t="str">
        <f t="shared" si="22"/>
        <v/>
      </c>
      <c r="AF80" s="1">
        <f t="shared" si="42"/>
        <v>0</v>
      </c>
      <c r="AG80" s="1">
        <f t="shared" si="69"/>
        <v>5</v>
      </c>
      <c r="AH80" s="1" t="str">
        <f t="shared" si="67"/>
        <v/>
      </c>
      <c r="AI80" s="1">
        <v>1</v>
      </c>
      <c r="AJ80" s="1">
        <f t="shared" si="70"/>
        <v>0</v>
      </c>
      <c r="AK80" s="1">
        <v>1</v>
      </c>
      <c r="AL80" s="1">
        <v>1</v>
      </c>
      <c r="AM80" s="1">
        <v>2</v>
      </c>
      <c r="AN80" s="1">
        <f t="shared" si="71"/>
        <v>0</v>
      </c>
      <c r="AO80" s="1">
        <v>1</v>
      </c>
      <c r="AP80" s="1">
        <v>2</v>
      </c>
      <c r="AQ80" s="1">
        <v>2</v>
      </c>
      <c r="AR80" s="1">
        <v>2</v>
      </c>
      <c r="AS80" s="1">
        <v>2</v>
      </c>
      <c r="AT80" s="1">
        <v>2</v>
      </c>
      <c r="AU80" s="1">
        <v>2</v>
      </c>
      <c r="AV80" s="1">
        <v>2</v>
      </c>
      <c r="AW80" s="1">
        <v>1</v>
      </c>
      <c r="AX80" s="1">
        <v>1</v>
      </c>
      <c r="AY80" s="1">
        <v>1</v>
      </c>
      <c r="AZ80" s="1">
        <v>1</v>
      </c>
      <c r="BA80" s="1">
        <v>1</v>
      </c>
      <c r="BB80" s="1">
        <v>1</v>
      </c>
      <c r="BC80" s="1">
        <v>1</v>
      </c>
      <c r="BD80" s="1">
        <v>1</v>
      </c>
      <c r="BE80" s="1">
        <v>1</v>
      </c>
      <c r="BF80" s="1">
        <v>1</v>
      </c>
      <c r="BG80" s="1">
        <f t="shared" si="72"/>
        <v>0</v>
      </c>
      <c r="BH80" s="1">
        <f t="shared" si="73"/>
        <v>0</v>
      </c>
      <c r="BI80" s="1">
        <v>2</v>
      </c>
      <c r="BJ80" s="1">
        <v>2</v>
      </c>
      <c r="BK80" s="1">
        <v>1</v>
      </c>
      <c r="BL80" s="1">
        <v>1</v>
      </c>
      <c r="BM80" s="1">
        <v>1</v>
      </c>
      <c r="BN80" s="1">
        <v>1</v>
      </c>
      <c r="BO80" s="1">
        <v>1</v>
      </c>
      <c r="BP80" s="1">
        <v>1</v>
      </c>
      <c r="BQ80" s="1">
        <f>IF(HRRVL,1,0)</f>
        <v>0</v>
      </c>
      <c r="BR80" s="1">
        <v>1</v>
      </c>
      <c r="BS80" s="1">
        <v>1</v>
      </c>
      <c r="BT80" s="1">
        <v>1</v>
      </c>
      <c r="BU80" s="1">
        <f>IF(HRRVL,1,0)</f>
        <v>0</v>
      </c>
      <c r="BV80" s="1">
        <v>1</v>
      </c>
      <c r="BW80" s="1">
        <v>1</v>
      </c>
      <c r="BX80" s="1">
        <v>1</v>
      </c>
      <c r="BY80" s="1">
        <v>1</v>
      </c>
      <c r="BZ80" s="1">
        <v>1</v>
      </c>
      <c r="CA80" s="1">
        <v>1</v>
      </c>
      <c r="CB80" s="1">
        <v>1</v>
      </c>
      <c r="CC80" s="1">
        <v>1</v>
      </c>
      <c r="CD80" s="1">
        <v>1</v>
      </c>
      <c r="CE80" s="1">
        <v>1</v>
      </c>
      <c r="CF80" s="1">
        <v>2</v>
      </c>
      <c r="CG80" s="1">
        <f t="shared" si="74"/>
        <v>0</v>
      </c>
      <c r="CH80" s="1">
        <v>1</v>
      </c>
      <c r="CI80" s="1">
        <v>1</v>
      </c>
      <c r="CJ80" s="1">
        <v>1</v>
      </c>
      <c r="CK80" s="1">
        <v>1</v>
      </c>
      <c r="CL80" s="1">
        <v>1</v>
      </c>
      <c r="CM80" s="1">
        <v>1</v>
      </c>
      <c r="CN80" s="1">
        <v>1</v>
      </c>
      <c r="CO80" s="1">
        <v>1</v>
      </c>
      <c r="CP80" s="1">
        <v>1</v>
      </c>
      <c r="CQ80" s="1">
        <v>1</v>
      </c>
      <c r="CR80" s="1">
        <v>1</v>
      </c>
      <c r="CS80" s="1">
        <v>1</v>
      </c>
      <c r="CT80" s="1">
        <v>1</v>
      </c>
      <c r="CU80" s="1">
        <v>1</v>
      </c>
      <c r="CV80" s="1">
        <f t="shared" si="75"/>
        <v>0</v>
      </c>
      <c r="CW80" s="1">
        <v>1</v>
      </c>
      <c r="CX80" s="1">
        <v>1</v>
      </c>
      <c r="CY80" s="1">
        <v>1</v>
      </c>
      <c r="CZ80" s="1">
        <f t="shared" si="76"/>
        <v>0</v>
      </c>
      <c r="DA80" s="1">
        <v>1</v>
      </c>
      <c r="DB80" s="1">
        <v>1</v>
      </c>
      <c r="DC80" s="1">
        <v>1</v>
      </c>
      <c r="DD80" s="1">
        <v>2</v>
      </c>
      <c r="DE80" s="1">
        <v>2</v>
      </c>
      <c r="DF80" s="1">
        <v>2</v>
      </c>
      <c r="DG80" s="1">
        <v>1</v>
      </c>
      <c r="DH80" s="1">
        <v>1</v>
      </c>
      <c r="DI80" s="1">
        <f t="shared" si="77"/>
        <v>0</v>
      </c>
      <c r="DJ80" s="1">
        <v>1</v>
      </c>
      <c r="DK80" s="1" t="s">
        <v>258</v>
      </c>
      <c r="EE80" s="8" t="s">
        <v>271</v>
      </c>
      <c r="EF80" s="9">
        <v>3</v>
      </c>
      <c r="EG80" s="9" t="s">
        <v>126</v>
      </c>
      <c r="EH80" s="9">
        <v>2</v>
      </c>
      <c r="EI80" s="9" t="b">
        <f t="shared" si="62"/>
        <v>0</v>
      </c>
      <c r="EJ80" s="9" t="str">
        <f t="shared" si="55"/>
        <v/>
      </c>
      <c r="EK80" s="9">
        <f>IF($EI80,MATCH($EJ80,TblClassN,0),99)</f>
        <v>99</v>
      </c>
      <c r="EL80" s="9">
        <f t="shared" si="65"/>
        <v>99</v>
      </c>
      <c r="EM80" s="9">
        <f t="shared" si="63"/>
        <v>99</v>
      </c>
      <c r="EN80" s="9">
        <f t="shared" si="57"/>
        <v>99</v>
      </c>
      <c r="EO80" s="10">
        <f t="shared" si="64"/>
        <v>0</v>
      </c>
    </row>
    <row r="81" spans="1:145" ht="11.25" customHeight="1" x14ac:dyDescent="0.2">
      <c r="A81" s="1">
        <f t="shared" si="68"/>
        <v>78</v>
      </c>
      <c r="B81" s="1" t="s">
        <v>276</v>
      </c>
      <c r="C81" s="1" t="s">
        <v>277</v>
      </c>
      <c r="D81" s="1" t="s">
        <v>277</v>
      </c>
      <c r="E81" s="1">
        <f t="shared" ref="E81:E146" si="84">$AC81+$AF81+IF(HasVirtualClasses,COUNTIF(TblVClassesAtLvlCS,$A81),0)</f>
        <v>0</v>
      </c>
      <c r="K81" s="1">
        <v>4</v>
      </c>
      <c r="L81" s="1">
        <v>8</v>
      </c>
      <c r="N81" s="1" t="b">
        <v>1</v>
      </c>
      <c r="S81" s="1" t="b">
        <v>1</v>
      </c>
      <c r="V81" s="1">
        <v>0.75</v>
      </c>
      <c r="W81" s="1">
        <v>0.5</v>
      </c>
      <c r="X81" s="1">
        <v>0.5</v>
      </c>
      <c r="Y81" s="1">
        <v>0.5</v>
      </c>
      <c r="Z81" s="1" t="b">
        <f>FALSE</f>
        <v>0</v>
      </c>
      <c r="AA81" s="1" t="str">
        <f t="shared" si="19"/>
        <v/>
      </c>
      <c r="AB81" s="1" t="str">
        <f t="shared" si="20"/>
        <v/>
      </c>
      <c r="AC81" s="1">
        <f t="shared" ref="AC81:AC146" si="85">COUNTIF(TblClassesAtLvlCS,$A81)</f>
        <v>0</v>
      </c>
      <c r="AD81" s="1" t="str">
        <f t="shared" si="21"/>
        <v/>
      </c>
      <c r="AE81" s="1" t="str">
        <f t="shared" si="22"/>
        <v/>
      </c>
      <c r="AF81" s="1">
        <f t="shared" ref="AF81:AF146" si="86">IF(HRGestalt,COUNTIF(TblGClassesAtLvlCS,$A81),0)</f>
        <v>0</v>
      </c>
      <c r="AG81" s="1">
        <f t="shared" si="69"/>
        <v>5</v>
      </c>
      <c r="AH81" s="1" t="str">
        <f t="shared" si="67"/>
        <v/>
      </c>
      <c r="AJ81" s="1">
        <f t="shared" si="70"/>
        <v>0</v>
      </c>
      <c r="AK81" s="1">
        <v>1</v>
      </c>
      <c r="AL81" s="1">
        <v>2</v>
      </c>
      <c r="AM81" s="1">
        <v>1</v>
      </c>
      <c r="AN81" s="1">
        <f t="shared" si="71"/>
        <v>0</v>
      </c>
      <c r="AO81" s="1">
        <v>1</v>
      </c>
      <c r="AP81" s="1">
        <v>2</v>
      </c>
      <c r="AQ81" s="1">
        <v>2</v>
      </c>
      <c r="AR81" s="1">
        <v>2</v>
      </c>
      <c r="AS81" s="1">
        <v>2</v>
      </c>
      <c r="AT81" s="1">
        <v>2</v>
      </c>
      <c r="AU81" s="1">
        <v>2</v>
      </c>
      <c r="AV81" s="1">
        <v>2</v>
      </c>
      <c r="AW81" s="1">
        <v>1</v>
      </c>
      <c r="AX81" s="1">
        <v>1</v>
      </c>
      <c r="AY81" s="1">
        <v>1</v>
      </c>
      <c r="AZ81" s="1">
        <v>2</v>
      </c>
      <c r="BA81" s="1">
        <v>1</v>
      </c>
      <c r="BB81" s="1">
        <v>1</v>
      </c>
      <c r="BC81" s="1">
        <v>1</v>
      </c>
      <c r="BD81" s="1">
        <v>1</v>
      </c>
      <c r="BE81" s="1">
        <v>1</v>
      </c>
      <c r="BF81" s="1">
        <v>2</v>
      </c>
      <c r="BG81" s="1">
        <f t="shared" si="72"/>
        <v>0</v>
      </c>
      <c r="BH81" s="1">
        <f t="shared" si="73"/>
        <v>0</v>
      </c>
      <c r="BI81" s="1">
        <v>1</v>
      </c>
      <c r="BJ81" s="1">
        <v>1</v>
      </c>
      <c r="BK81" s="1">
        <v>1</v>
      </c>
      <c r="BL81" s="1">
        <v>1</v>
      </c>
      <c r="BM81" s="1">
        <v>1</v>
      </c>
      <c r="BN81" s="1">
        <v>1</v>
      </c>
      <c r="BO81" s="1">
        <v>1</v>
      </c>
      <c r="BP81" s="1">
        <v>1</v>
      </c>
      <c r="BQ81" s="1">
        <f>IF(HRRVL,1,0)</f>
        <v>0</v>
      </c>
      <c r="BR81" s="1">
        <v>1</v>
      </c>
      <c r="BS81" s="1">
        <v>1</v>
      </c>
      <c r="BT81" s="1">
        <v>1</v>
      </c>
      <c r="BU81" s="1">
        <f>IF(HRRVL,1,0)</f>
        <v>0</v>
      </c>
      <c r="BV81" s="1">
        <v>1</v>
      </c>
      <c r="BW81" s="1">
        <v>2</v>
      </c>
      <c r="BX81" s="1">
        <v>1</v>
      </c>
      <c r="BY81" s="1">
        <v>1</v>
      </c>
      <c r="BZ81" s="1">
        <v>1</v>
      </c>
      <c r="CA81" s="1">
        <v>1</v>
      </c>
      <c r="CB81" s="1">
        <v>1</v>
      </c>
      <c r="CC81" s="1">
        <v>1</v>
      </c>
      <c r="CD81" s="1">
        <v>1</v>
      </c>
      <c r="CE81" s="1">
        <v>1</v>
      </c>
      <c r="CF81" s="1">
        <v>2</v>
      </c>
      <c r="CG81" s="1">
        <f t="shared" si="74"/>
        <v>0</v>
      </c>
      <c r="CH81" s="1">
        <v>2</v>
      </c>
      <c r="CI81" s="1">
        <v>1</v>
      </c>
      <c r="CJ81" s="1">
        <v>1</v>
      </c>
      <c r="CK81" s="1">
        <v>1</v>
      </c>
      <c r="CL81" s="1">
        <v>1</v>
      </c>
      <c r="CM81" s="1">
        <v>1</v>
      </c>
      <c r="CN81" s="1">
        <v>1</v>
      </c>
      <c r="CO81" s="1">
        <v>1</v>
      </c>
      <c r="CP81" s="1">
        <v>2</v>
      </c>
      <c r="CQ81" s="1">
        <v>2</v>
      </c>
      <c r="CR81" s="1">
        <v>2</v>
      </c>
      <c r="CS81" s="1">
        <v>2</v>
      </c>
      <c r="CT81" s="1">
        <v>2</v>
      </c>
      <c r="CU81" s="1">
        <v>2</v>
      </c>
      <c r="CV81" s="1">
        <f t="shared" si="75"/>
        <v>0</v>
      </c>
      <c r="CW81" s="1">
        <v>1</v>
      </c>
      <c r="CX81" s="1">
        <v>1</v>
      </c>
      <c r="CY81" s="1">
        <v>1</v>
      </c>
      <c r="CZ81" s="1">
        <f t="shared" si="76"/>
        <v>0</v>
      </c>
      <c r="DA81" s="1">
        <v>2</v>
      </c>
      <c r="DB81" s="1">
        <v>1</v>
      </c>
      <c r="DC81" s="1">
        <v>1</v>
      </c>
      <c r="DD81" s="1">
        <v>2</v>
      </c>
      <c r="DE81" s="1">
        <v>1</v>
      </c>
      <c r="DF81" s="1">
        <v>1</v>
      </c>
      <c r="DG81" s="1">
        <v>1</v>
      </c>
      <c r="DH81" s="1">
        <v>1</v>
      </c>
      <c r="DI81" s="1">
        <f t="shared" si="77"/>
        <v>0</v>
      </c>
      <c r="DJ81" s="1">
        <v>1</v>
      </c>
      <c r="DK81" s="1" t="s">
        <v>258</v>
      </c>
      <c r="EE81" s="8" t="s">
        <v>267</v>
      </c>
      <c r="EF81" s="9">
        <v>3</v>
      </c>
      <c r="EG81" s="9" t="str">
        <f>IF(HEPgStatBump&gt;1,INDEX(AbilityAcronym,HEPgStatBump-1),"")</f>
        <v/>
      </c>
      <c r="EH81" s="9">
        <v>2</v>
      </c>
      <c r="EI81" s="9" t="b">
        <f t="shared" si="62"/>
        <v>0</v>
      </c>
      <c r="EJ81" s="9" t="str">
        <f t="shared" si="55"/>
        <v/>
      </c>
      <c r="EK81" s="9">
        <f>IF($EI81,MATCH($EJ81,TblClassN,0),99)</f>
        <v>99</v>
      </c>
      <c r="EL81" s="9">
        <f t="shared" si="65"/>
        <v>99</v>
      </c>
      <c r="EM81" s="9">
        <f t="shared" si="63"/>
        <v>99</v>
      </c>
      <c r="EN81" s="9">
        <f t="shared" si="57"/>
        <v>99</v>
      </c>
      <c r="EO81" s="10">
        <f t="shared" si="64"/>
        <v>0</v>
      </c>
    </row>
    <row r="82" spans="1:145" ht="11.25" customHeight="1" x14ac:dyDescent="0.2">
      <c r="A82" s="1">
        <f t="shared" si="68"/>
        <v>79</v>
      </c>
      <c r="B82" s="1" t="s">
        <v>278</v>
      </c>
      <c r="F82" s="1">
        <v>1</v>
      </c>
      <c r="Z82" s="1" t="b">
        <f>FALSE</f>
        <v>0</v>
      </c>
      <c r="EE82" s="8" t="s">
        <v>269</v>
      </c>
      <c r="EF82" s="9">
        <v>3</v>
      </c>
      <c r="EG82" s="9" t="s">
        <v>134</v>
      </c>
      <c r="EH82" s="9">
        <v>2</v>
      </c>
      <c r="EI82" s="9" t="b">
        <f t="shared" si="62"/>
        <v>0</v>
      </c>
      <c r="EJ82" s="9" t="str">
        <f t="shared" si="55"/>
        <v/>
      </c>
      <c r="EK82" s="9">
        <f>IF($EI82,MATCH($EJ82,TblClassN,0),99)</f>
        <v>99</v>
      </c>
      <c r="EL82" s="9">
        <f t="shared" si="65"/>
        <v>99</v>
      </c>
      <c r="EM82" s="9">
        <f t="shared" si="63"/>
        <v>99</v>
      </c>
      <c r="EN82" s="9">
        <f t="shared" si="57"/>
        <v>99</v>
      </c>
      <c r="EO82" s="10">
        <f t="shared" si="64"/>
        <v>0</v>
      </c>
    </row>
    <row r="83" spans="1:145" ht="11.25" customHeight="1" x14ac:dyDescent="0.2">
      <c r="A83" s="1">
        <f t="shared" si="68"/>
        <v>80</v>
      </c>
      <c r="B83" s="1" t="s">
        <v>279</v>
      </c>
      <c r="C83" s="1" t="s">
        <v>280</v>
      </c>
      <c r="D83" s="1" t="s">
        <v>280</v>
      </c>
      <c r="E83" s="1">
        <f>$AC83+$AF83+IF(HasVirtualClasses,COUNTIF(TblVClassesAtLvlCS,$A83),0)</f>
        <v>0</v>
      </c>
      <c r="K83" s="1">
        <v>6</v>
      </c>
      <c r="L83" s="1">
        <v>6</v>
      </c>
      <c r="M83" s="1">
        <f>IF(OR(CMClrDivCounterSpell,UAClrChampionOfFaith),0,E83)</f>
        <v>0</v>
      </c>
      <c r="N83" s="1" t="b">
        <v>1</v>
      </c>
      <c r="S83" s="1" t="b">
        <v>1</v>
      </c>
      <c r="V83" s="1">
        <v>0.5</v>
      </c>
      <c r="W83" s="1">
        <v>0.5</v>
      </c>
      <c r="X83" s="1">
        <f>0.34+IF(Subrace="Cleric",-2,0)</f>
        <v>0.34</v>
      </c>
      <c r="Y83" s="1">
        <v>0.5</v>
      </c>
      <c r="Z83" s="1" t="b">
        <f>FALSE</f>
        <v>0</v>
      </c>
      <c r="AA83" s="1" t="str">
        <f t="shared" si="19"/>
        <v/>
      </c>
      <c r="AB83" s="1" t="str">
        <f t="shared" si="20"/>
        <v/>
      </c>
      <c r="AC83" s="1">
        <f>COUNTIF(TblClassesAtLvlCS,$A83)</f>
        <v>0</v>
      </c>
      <c r="AD83" s="1" t="str">
        <f t="shared" si="21"/>
        <v/>
      </c>
      <c r="AE83" s="1" t="str">
        <f t="shared" si="22"/>
        <v/>
      </c>
      <c r="AF83" s="1">
        <f>IF(HRGestalt,COUNTIF(TblGClassesAtLvlCS,$A83),0)</f>
        <v>0</v>
      </c>
      <c r="AG83" s="1">
        <f t="shared" si="69"/>
        <v>0</v>
      </c>
      <c r="AH83" s="1" t="str">
        <f t="shared" ref="AH83:AH146" si="87">IF(ROW()&gt;$AG$2,"",INDEX($B$5:$B$794,MATCH(ROW(),$AG$5:$AG$794,0)))</f>
        <v/>
      </c>
      <c r="AI83" s="1">
        <f>1+OR(NOT(ISNA(MATCH("Wealth",Domains,0))),NOT(ISNA(MATCH("Pact",Domains,0))),NOT(ISNA(MATCH("Commerce",Domains,0))))</f>
        <v>1</v>
      </c>
      <c r="AJ83" s="1">
        <f>IF(HRXPH,1,0)</f>
        <v>0</v>
      </c>
      <c r="AK83" s="1">
        <v>1</v>
      </c>
      <c r="AL83" s="1">
        <f>1+OR(NOT(ISNA(MATCH("Trickery",Domains,0))),NOT(ISNA(MATCH("Dragon",Domains,0))),NOT(ISNA(MATCH("Baator-1",Domains,0))),NOT(ISNA(MATCH("Envy",Domains,0))))</f>
        <v>1</v>
      </c>
      <c r="AM83" s="1">
        <f>IF(FtFarHorizons,2,1)</f>
        <v>1</v>
      </c>
      <c r="AN83" s="1">
        <f>IF(IsLycanthrope,2,0)</f>
        <v>0</v>
      </c>
      <c r="AO83" s="1">
        <v>2</v>
      </c>
      <c r="AP83" s="1">
        <v>2</v>
      </c>
      <c r="AQ83" s="1">
        <v>2</v>
      </c>
      <c r="AR83" s="1">
        <v>2</v>
      </c>
      <c r="AS83" s="1">
        <v>2</v>
      </c>
      <c r="AT83" s="1">
        <v>2</v>
      </c>
      <c r="AU83" s="1">
        <v>2</v>
      </c>
      <c r="AV83" s="1">
        <v>2</v>
      </c>
      <c r="AW83" s="1">
        <v>2</v>
      </c>
      <c r="AX83" s="1">
        <v>2</v>
      </c>
      <c r="AY83" s="1">
        <f>IF(FtInitiateOfGond,2,1)</f>
        <v>1</v>
      </c>
      <c r="AZ83" s="1">
        <f>1+NOT(ISNA(MATCH("Trickery",Domains,0)))</f>
        <v>1</v>
      </c>
      <c r="BA83" s="1">
        <v>1</v>
      </c>
      <c r="BB83" s="1">
        <v>1</v>
      </c>
      <c r="BC83" s="1">
        <v>1</v>
      </c>
      <c r="BD83" s="1">
        <v>1</v>
      </c>
      <c r="BE83" s="1">
        <v>2</v>
      </c>
      <c r="BF83" s="1">
        <f>1+NOT(ISNA(MATCH("Trickery",Domains,0)))</f>
        <v>1</v>
      </c>
      <c r="BG83" s="1">
        <f>IF(HRRVL,1,0)</f>
        <v>0</v>
      </c>
      <c r="BH83" s="1">
        <f>IF(HROA,1,0)</f>
        <v>0</v>
      </c>
      <c r="BI83" s="1">
        <f>1+OR(FtDreadTyranny,NOT(ISNA(MATCH("Dragon",Domains,0))),NOT(ISNA(MATCH("Pact",Domains,0))),NOT(ISNA(MATCH("Herald",Domains,0))),NOT(ISNA(MATCH("Abyss-1",Domains,0))))</f>
        <v>1</v>
      </c>
      <c r="BJ83" s="1">
        <f>IF(FtFarHorizons,2,1)</f>
        <v>1</v>
      </c>
      <c r="BK83" s="1">
        <v>2</v>
      </c>
      <c r="BL83" s="1">
        <v>2</v>
      </c>
      <c r="BM83" s="1">
        <v>2</v>
      </c>
      <c r="BN83" s="1">
        <v>2</v>
      </c>
      <c r="BO83" s="1">
        <v>2</v>
      </c>
      <c r="BP83" s="1">
        <v>2</v>
      </c>
      <c r="BQ83" s="1">
        <f>IF(CampaignCell&lt;&gt;5,0,2)</f>
        <v>0</v>
      </c>
      <c r="BR83" s="1">
        <v>2</v>
      </c>
      <c r="BS83" s="1">
        <v>2</v>
      </c>
      <c r="BT83" s="1">
        <f>IF(HRXPH,2,0)</f>
        <v>0</v>
      </c>
      <c r="BU83" s="1">
        <f>IF(HRRVL,2,0)</f>
        <v>0</v>
      </c>
      <c r="BV83" s="1">
        <v>2</v>
      </c>
      <c r="BW83" s="1">
        <v>2</v>
      </c>
      <c r="BX83" s="1">
        <v>2</v>
      </c>
      <c r="BY83" s="1">
        <v>2</v>
      </c>
      <c r="BZ83" s="1">
        <v>2</v>
      </c>
      <c r="CA83" s="1">
        <v>2</v>
      </c>
      <c r="CB83" s="1">
        <v>2</v>
      </c>
      <c r="CC83" s="1">
        <v>2</v>
      </c>
      <c r="CD83" s="1">
        <v>2</v>
      </c>
      <c r="CE83" s="1">
        <v>2</v>
      </c>
      <c r="CF83" s="1">
        <f>IF(FtWhisperedSecrets,2,1)</f>
        <v>1</v>
      </c>
      <c r="CG83" s="1">
        <f>IF(HRToB,1,0)</f>
        <v>0</v>
      </c>
      <c r="CH83" s="1">
        <v>1</v>
      </c>
      <c r="CI83" s="1">
        <f>IF(FtInitiateOfGond,2,1)</f>
        <v>1</v>
      </c>
      <c r="CJ83" s="1">
        <v>1</v>
      </c>
      <c r="CK83" s="1">
        <v>1</v>
      </c>
      <c r="CL83" s="1">
        <v>1</v>
      </c>
      <c r="CM83" s="1">
        <v>1</v>
      </c>
      <c r="CN83" s="1">
        <v>1</v>
      </c>
      <c r="CO83" s="1">
        <v>1</v>
      </c>
      <c r="CP83" s="1">
        <v>2</v>
      </c>
      <c r="CQ83" s="1">
        <v>2</v>
      </c>
      <c r="CR83" s="1">
        <v>2</v>
      </c>
      <c r="CS83" s="1">
        <v>2</v>
      </c>
      <c r="CT83" s="1">
        <v>2</v>
      </c>
      <c r="CU83" s="1">
        <v>2</v>
      </c>
      <c r="CV83" s="1">
        <f>IF(HRXPH,1,0)</f>
        <v>0</v>
      </c>
      <c r="CW83" s="1">
        <v>1</v>
      </c>
      <c r="CX83" s="1">
        <v>1</v>
      </c>
      <c r="CY83" s="1">
        <f>IF(OR(NOT(ISNA(MATCH("Pact",Domains,0))),NOT(ISNA(MATCH("Celestia-1",Domains,0)))),2,1)</f>
        <v>1</v>
      </c>
      <c r="CZ83" s="1">
        <f>IF(HRCS,1,0)</f>
        <v>0</v>
      </c>
      <c r="DA83" s="1">
        <v>1</v>
      </c>
      <c r="DB83" s="1">
        <v>2</v>
      </c>
      <c r="DC83" s="1">
        <v>2</v>
      </c>
      <c r="DD83" s="1">
        <f>1+OR(FtWhisperedSecrets,NOT(ISNA(MATCH("Sky",Domains,0))))</f>
        <v>1</v>
      </c>
      <c r="DE83" s="1">
        <f>1+OR(NOT(ISNA(MATCH("Travel",Domains,0))),NOT(ISNA(MATCH("Weather",Domains,0))),NOT(ISNA(MATCH("Arborea-1",Domains,0))))</f>
        <v>1</v>
      </c>
      <c r="DF83" s="1">
        <f>IF(FtFarHorizons,2,1)</f>
        <v>1</v>
      </c>
      <c r="DG83" s="1">
        <v>1</v>
      </c>
      <c r="DH83" s="1">
        <v>1</v>
      </c>
      <c r="DI83" s="1">
        <f>IF(HRXPH,1,0)</f>
        <v>0</v>
      </c>
      <c r="DJ83" s="1">
        <v>1</v>
      </c>
      <c r="DK83" s="1" t="s">
        <v>258</v>
      </c>
      <c r="DL83" s="1" t="s">
        <v>170</v>
      </c>
      <c r="EE83" s="8" t="s">
        <v>281</v>
      </c>
      <c r="EF83" s="9">
        <v>10</v>
      </c>
      <c r="EG83" s="9" t="s">
        <v>129</v>
      </c>
      <c r="EH83" s="9">
        <v>2</v>
      </c>
      <c r="EI83" s="9" t="b">
        <f t="shared" si="62"/>
        <v>0</v>
      </c>
      <c r="EJ83" s="9" t="str">
        <f t="shared" si="55"/>
        <v/>
      </c>
      <c r="EK83" s="9">
        <f>IF($EI83,MATCH($EJ83,TblClassN,0),99)</f>
        <v>99</v>
      </c>
      <c r="EL83" s="9">
        <f t="shared" si="65"/>
        <v>99</v>
      </c>
      <c r="EM83" s="9">
        <f t="shared" si="63"/>
        <v>99</v>
      </c>
      <c r="EN83" s="9">
        <f t="shared" si="57"/>
        <v>99</v>
      </c>
      <c r="EO83" s="10">
        <f t="shared" si="64"/>
        <v>0</v>
      </c>
    </row>
    <row r="84" spans="1:145" ht="11.25" customHeight="1" x14ac:dyDescent="0.2">
      <c r="A84" s="1">
        <f t="shared" si="68"/>
        <v>81</v>
      </c>
      <c r="B84" s="1" t="s">
        <v>282</v>
      </c>
      <c r="E84" s="1">
        <f t="shared" si="84"/>
        <v>0</v>
      </c>
      <c r="F84" s="1">
        <v>1</v>
      </c>
      <c r="Z84" s="1" t="b">
        <f>FALSE</f>
        <v>0</v>
      </c>
      <c r="AA84" s="1" t="str">
        <f t="shared" ref="AA84:AA147" si="88">IF($AC84=0,"",IF($Z84,"Ex-","")&amp;$B84)</f>
        <v/>
      </c>
      <c r="AB84" s="1" t="str">
        <f t="shared" ref="AB84:AB147" si="89">IF($AC84=0,"",IF($Z84,"Ex-","")&amp;$C84)</f>
        <v/>
      </c>
      <c r="AC84" s="1">
        <f t="shared" si="85"/>
        <v>0</v>
      </c>
      <c r="AD84" s="1" t="str">
        <f t="shared" ref="AD84:AD147" si="90">IF($AF84=0,"",IF($Z84,"Ex-","")&amp;$B84)</f>
        <v/>
      </c>
      <c r="AE84" s="1" t="str">
        <f t="shared" ref="AE84:AE147" si="91">IF($AF84=0,"",IF($Z84,"Ex-","")&amp;$C84)</f>
        <v/>
      </c>
      <c r="AF84" s="1">
        <f t="shared" si="86"/>
        <v>0</v>
      </c>
      <c r="AG84" s="1">
        <f>IF($AC84&gt;0,$AG81+1,$AG81)</f>
        <v>5</v>
      </c>
      <c r="AH84" s="1" t="str">
        <f t="shared" si="87"/>
        <v/>
      </c>
      <c r="EE84" s="8" t="s">
        <v>283</v>
      </c>
      <c r="EF84" s="9">
        <v>1</v>
      </c>
      <c r="EG84" s="9" t="s">
        <v>162</v>
      </c>
      <c r="EH84" s="9">
        <v>1</v>
      </c>
      <c r="EI84" s="9" t="b">
        <f t="shared" ref="EI84:EI115" si="92">(INDEX(TblClasses,MATCH($EE84,TblTLAList,0),ClassInfoLevelColumn)&gt;=$EF84)</f>
        <v>0</v>
      </c>
      <c r="EJ84" s="9" t="str">
        <f t="shared" ref="EJ84:EJ129" si="93">IF(EI84,$EE84&amp;$EF84,"")</f>
        <v/>
      </c>
      <c r="EK84" s="9">
        <f>IF($EI84,MATCH($EJ84,TblClassN,0),99)</f>
        <v>99</v>
      </c>
      <c r="EL84" s="9">
        <f t="shared" si="65"/>
        <v>99</v>
      </c>
      <c r="EM84" s="9">
        <f t="shared" ref="EM84:EM115" si="94">IF($EI84,IF(HasVirtualClasses,MATCH($EJ84,TblClass3,0),99),99)</f>
        <v>99</v>
      </c>
      <c r="EN84" s="9">
        <f t="shared" ref="EN84:EN129" si="95">IF($EI84,MIN(IF(ISNA($EK84),99,$EK84),IF(ISNA($EL84),99,$EL84),IF(ISNA($EM84),99,$EM84)),99)</f>
        <v>99</v>
      </c>
      <c r="EO84" s="10">
        <f t="shared" ref="EO84:EO115" si="96">IF(DoClassIntAdj,IF($EG84="Int",$EH84*($EN84&lt;=LvlMax),0),0)</f>
        <v>0</v>
      </c>
    </row>
    <row r="85" spans="1:145" ht="11.25" customHeight="1" x14ac:dyDescent="0.2">
      <c r="A85" s="1">
        <f t="shared" si="68"/>
        <v>82</v>
      </c>
      <c r="B85" s="1" t="s">
        <v>284</v>
      </c>
      <c r="C85" s="1" t="s">
        <v>285</v>
      </c>
      <c r="D85" s="1" t="s">
        <v>285</v>
      </c>
      <c r="E85" s="1">
        <f t="shared" si="84"/>
        <v>0</v>
      </c>
      <c r="K85" s="1">
        <v>4</v>
      </c>
      <c r="L85" s="1">
        <v>8</v>
      </c>
      <c r="S85" s="1" t="b">
        <v>1</v>
      </c>
      <c r="V85" s="1">
        <v>0.5</v>
      </c>
      <c r="W85" s="1">
        <v>0.5</v>
      </c>
      <c r="X85" s="1">
        <v>0.34</v>
      </c>
      <c r="Y85" s="1">
        <v>0.5</v>
      </c>
      <c r="Z85" s="1" t="b">
        <f>FALSE</f>
        <v>0</v>
      </c>
      <c r="AA85" s="1" t="str">
        <f t="shared" si="88"/>
        <v/>
      </c>
      <c r="AB85" s="1" t="str">
        <f t="shared" si="89"/>
        <v/>
      </c>
      <c r="AC85" s="1">
        <f t="shared" si="85"/>
        <v>0</v>
      </c>
      <c r="AD85" s="1" t="str">
        <f t="shared" si="90"/>
        <v/>
      </c>
      <c r="AE85" s="1" t="str">
        <f t="shared" si="91"/>
        <v/>
      </c>
      <c r="AF85" s="1">
        <f t="shared" si="86"/>
        <v>0</v>
      </c>
      <c r="AG85" s="1">
        <f t="shared" ref="AG85:AG148" si="97">IF($AC85&gt;0,$AG84+1,$AG84)</f>
        <v>5</v>
      </c>
      <c r="AH85" s="1" t="str">
        <f t="shared" si="87"/>
        <v/>
      </c>
      <c r="AI85" s="1">
        <v>2</v>
      </c>
      <c r="AJ85" s="1">
        <f t="shared" si="70"/>
        <v>0</v>
      </c>
      <c r="AK85" s="1">
        <v>1</v>
      </c>
      <c r="AL85" s="1">
        <v>2</v>
      </c>
      <c r="AM85" s="1">
        <v>2</v>
      </c>
      <c r="AN85" s="1">
        <f>IF(IsLycanthrope,2,0)</f>
        <v>0</v>
      </c>
      <c r="AO85" s="1">
        <v>2</v>
      </c>
      <c r="AP85" s="1">
        <v>2</v>
      </c>
      <c r="AQ85" s="1">
        <v>2</v>
      </c>
      <c r="AR85" s="1">
        <v>2</v>
      </c>
      <c r="AS85" s="1">
        <v>2</v>
      </c>
      <c r="AT85" s="1">
        <v>2</v>
      </c>
      <c r="AU85" s="1">
        <v>2</v>
      </c>
      <c r="AV85" s="1">
        <v>2</v>
      </c>
      <c r="AW85" s="1">
        <v>2</v>
      </c>
      <c r="AX85" s="1">
        <v>2</v>
      </c>
      <c r="AY85" s="1">
        <v>1</v>
      </c>
      <c r="AZ85" s="1">
        <v>1</v>
      </c>
      <c r="BA85" s="1">
        <v>1</v>
      </c>
      <c r="BB85" s="1">
        <v>1</v>
      </c>
      <c r="BC85" s="1">
        <v>1</v>
      </c>
      <c r="BD85" s="1">
        <v>1</v>
      </c>
      <c r="BE85" s="1">
        <v>1</v>
      </c>
      <c r="BF85" s="1">
        <v>1</v>
      </c>
      <c r="BG85" s="1">
        <f t="shared" si="72"/>
        <v>0</v>
      </c>
      <c r="BH85" s="1">
        <f>IF(HROA,1,0)</f>
        <v>0</v>
      </c>
      <c r="BI85" s="1">
        <v>2</v>
      </c>
      <c r="BJ85" s="1">
        <v>2</v>
      </c>
      <c r="BK85" s="1">
        <v>2</v>
      </c>
      <c r="BL85" s="1">
        <v>2</v>
      </c>
      <c r="BM85" s="1">
        <v>2</v>
      </c>
      <c r="BN85" s="1">
        <v>2</v>
      </c>
      <c r="BO85" s="1">
        <v>2</v>
      </c>
      <c r="BP85" s="1">
        <v>2</v>
      </c>
      <c r="BQ85" s="1">
        <f>IF(HRRVL,2,0)</f>
        <v>0</v>
      </c>
      <c r="BR85" s="1">
        <v>2</v>
      </c>
      <c r="BS85" s="1">
        <v>2</v>
      </c>
      <c r="BT85" s="1">
        <v>2</v>
      </c>
      <c r="BU85" s="1">
        <f>IF(HRRVL,2,0)</f>
        <v>0</v>
      </c>
      <c r="BV85" s="1">
        <v>2</v>
      </c>
      <c r="BW85" s="1">
        <v>2</v>
      </c>
      <c r="BX85" s="1">
        <v>2</v>
      </c>
      <c r="BY85" s="1">
        <v>2</v>
      </c>
      <c r="BZ85" s="1">
        <v>2</v>
      </c>
      <c r="CA85" s="1">
        <v>2</v>
      </c>
      <c r="CB85" s="1">
        <v>2</v>
      </c>
      <c r="CC85" s="1">
        <v>2</v>
      </c>
      <c r="CD85" s="1">
        <v>2</v>
      </c>
      <c r="CE85" s="1">
        <v>2</v>
      </c>
      <c r="CF85" s="1">
        <v>2</v>
      </c>
      <c r="CG85" s="1">
        <f t="shared" si="74"/>
        <v>0</v>
      </c>
      <c r="CH85" s="1">
        <v>1</v>
      </c>
      <c r="CI85" s="1">
        <v>1</v>
      </c>
      <c r="CJ85" s="1">
        <v>1</v>
      </c>
      <c r="CK85" s="1">
        <v>1</v>
      </c>
      <c r="CL85" s="1">
        <v>1</v>
      </c>
      <c r="CM85" s="1">
        <v>1</v>
      </c>
      <c r="CN85" s="1">
        <v>1</v>
      </c>
      <c r="CO85" s="1">
        <v>1</v>
      </c>
      <c r="CP85" s="1">
        <v>1</v>
      </c>
      <c r="CQ85" s="1">
        <v>1</v>
      </c>
      <c r="CR85" s="1">
        <v>1</v>
      </c>
      <c r="CS85" s="1">
        <v>1</v>
      </c>
      <c r="CT85" s="1">
        <v>1</v>
      </c>
      <c r="CU85" s="1">
        <v>1</v>
      </c>
      <c r="CV85" s="1">
        <f t="shared" si="75"/>
        <v>0</v>
      </c>
      <c r="CW85" s="1">
        <v>1</v>
      </c>
      <c r="CX85" s="1">
        <v>2</v>
      </c>
      <c r="CY85" s="1">
        <v>2</v>
      </c>
      <c r="CZ85" s="1">
        <f t="shared" si="76"/>
        <v>0</v>
      </c>
      <c r="DA85" s="1">
        <v>1</v>
      </c>
      <c r="DB85" s="1">
        <v>2</v>
      </c>
      <c r="DC85" s="1">
        <v>2</v>
      </c>
      <c r="DD85" s="1">
        <v>2</v>
      </c>
      <c r="DE85" s="1">
        <v>1</v>
      </c>
      <c r="DF85" s="1">
        <v>1</v>
      </c>
      <c r="DG85" s="1">
        <v>1</v>
      </c>
      <c r="DH85" s="1">
        <v>2</v>
      </c>
      <c r="DI85" s="1">
        <f t="shared" si="77"/>
        <v>0</v>
      </c>
      <c r="DJ85" s="1">
        <v>1</v>
      </c>
      <c r="DK85" s="1" t="s">
        <v>286</v>
      </c>
      <c r="DL85" s="1" t="s">
        <v>170</v>
      </c>
      <c r="EE85" s="8" t="s">
        <v>273</v>
      </c>
      <c r="EF85" s="9">
        <v>3</v>
      </c>
      <c r="EG85" s="9" t="str">
        <f>IF(HuPgStatBump&gt;1,INDEX(AbilityAcronym,HuPgStatBump-1),"")</f>
        <v/>
      </c>
      <c r="EH85" s="9">
        <v>2</v>
      </c>
      <c r="EI85" s="9" t="b">
        <f t="shared" si="92"/>
        <v>0</v>
      </c>
      <c r="EJ85" s="9" t="str">
        <f t="shared" si="93"/>
        <v/>
      </c>
      <c r="EK85" s="9">
        <f>IF($EI85,MATCH($EJ85,TblClassN,0),99)</f>
        <v>99</v>
      </c>
      <c r="EL85" s="9">
        <f t="shared" ref="EL85:EL116" si="98">IF($EI85,IF(HRGestalt,MATCH($EJ85,TblGClassN,0),99),99)</f>
        <v>99</v>
      </c>
      <c r="EM85" s="9">
        <f t="shared" si="94"/>
        <v>99</v>
      </c>
      <c r="EN85" s="9">
        <f t="shared" si="95"/>
        <v>99</v>
      </c>
      <c r="EO85" s="10">
        <f t="shared" si="96"/>
        <v>0</v>
      </c>
    </row>
    <row r="86" spans="1:145" ht="11.25" customHeight="1" x14ac:dyDescent="0.2">
      <c r="A86" s="1">
        <f t="shared" si="68"/>
        <v>83</v>
      </c>
      <c r="B86" s="1" t="s">
        <v>287</v>
      </c>
      <c r="E86" s="1">
        <f t="shared" si="84"/>
        <v>0</v>
      </c>
      <c r="F86" s="1">
        <v>1</v>
      </c>
      <c r="Z86" s="1" t="b">
        <f>FALSE</f>
        <v>0</v>
      </c>
      <c r="AA86" s="1" t="str">
        <f t="shared" si="88"/>
        <v/>
      </c>
      <c r="AB86" s="1" t="str">
        <f t="shared" si="89"/>
        <v/>
      </c>
      <c r="AC86" s="1">
        <f t="shared" si="85"/>
        <v>0</v>
      </c>
      <c r="AD86" s="1" t="str">
        <f t="shared" si="90"/>
        <v/>
      </c>
      <c r="AE86" s="1" t="str">
        <f t="shared" si="91"/>
        <v/>
      </c>
      <c r="AF86" s="1">
        <f t="shared" si="86"/>
        <v>0</v>
      </c>
      <c r="AG86" s="1">
        <f t="shared" si="97"/>
        <v>5</v>
      </c>
      <c r="AH86" s="1" t="str">
        <f t="shared" si="87"/>
        <v/>
      </c>
      <c r="EE86" s="8" t="s">
        <v>288</v>
      </c>
      <c r="EF86" s="9">
        <v>10</v>
      </c>
      <c r="EG86" s="9" t="str">
        <f>IF(MyELvl&gt;0,INDEX(TblParagonPaths,ParagonsPathCell,3),"")</f>
        <v/>
      </c>
      <c r="EH86" s="9">
        <v>2</v>
      </c>
      <c r="EI86" s="9" t="b">
        <f t="shared" si="92"/>
        <v>0</v>
      </c>
      <c r="EJ86" s="9" t="str">
        <f t="shared" si="93"/>
        <v/>
      </c>
      <c r="EK86" s="9">
        <f>IF($EI86,MATCH($EJ86,TblClassN,0),99)</f>
        <v>99</v>
      </c>
      <c r="EL86" s="9">
        <f t="shared" si="98"/>
        <v>99</v>
      </c>
      <c r="EM86" s="9">
        <f t="shared" si="94"/>
        <v>99</v>
      </c>
      <c r="EN86" s="9">
        <f t="shared" si="95"/>
        <v>99</v>
      </c>
      <c r="EO86" s="10">
        <f t="shared" si="96"/>
        <v>0</v>
      </c>
    </row>
    <row r="87" spans="1:145" ht="11.25" customHeight="1" x14ac:dyDescent="0.2">
      <c r="A87" s="1">
        <f t="shared" si="68"/>
        <v>84</v>
      </c>
      <c r="B87" s="1" t="s">
        <v>289</v>
      </c>
      <c r="C87" s="1" t="s">
        <v>290</v>
      </c>
      <c r="D87" s="1" t="s">
        <v>291</v>
      </c>
      <c r="E87" s="1">
        <f t="shared" si="84"/>
        <v>0</v>
      </c>
      <c r="K87" s="1">
        <v>4</v>
      </c>
      <c r="L87" s="1">
        <v>6</v>
      </c>
      <c r="N87" s="1" t="b">
        <v>1</v>
      </c>
      <c r="O87" s="1" t="b">
        <v>1</v>
      </c>
      <c r="Q87" s="1" t="b">
        <v>1</v>
      </c>
      <c r="S87" s="1" t="b">
        <v>1</v>
      </c>
      <c r="V87" s="1">
        <v>0.75</v>
      </c>
      <c r="W87" s="1">
        <v>0.34</v>
      </c>
      <c r="X87" s="1">
        <v>0.34</v>
      </c>
      <c r="Y87" s="1">
        <v>0.5</v>
      </c>
      <c r="Z87" s="1" t="b">
        <f>FALSE</f>
        <v>0</v>
      </c>
      <c r="AA87" s="1" t="str">
        <f t="shared" si="88"/>
        <v/>
      </c>
      <c r="AB87" s="1" t="str">
        <f t="shared" si="89"/>
        <v/>
      </c>
      <c r="AC87" s="1">
        <f t="shared" si="85"/>
        <v>0</v>
      </c>
      <c r="AD87" s="1" t="str">
        <f t="shared" si="90"/>
        <v/>
      </c>
      <c r="AE87" s="1" t="str">
        <f t="shared" si="91"/>
        <v/>
      </c>
      <c r="AF87" s="1">
        <f t="shared" si="86"/>
        <v>0</v>
      </c>
      <c r="AG87" s="1">
        <f t="shared" si="97"/>
        <v>5</v>
      </c>
      <c r="AH87" s="1" t="str">
        <f t="shared" si="87"/>
        <v/>
      </c>
      <c r="AI87" s="1">
        <v>2</v>
      </c>
      <c r="AJ87" s="1">
        <f>IF(HRXPH,1,0)</f>
        <v>0</v>
      </c>
      <c r="AK87" s="1">
        <v>1</v>
      </c>
      <c r="AL87" s="1">
        <v>1</v>
      </c>
      <c r="AM87" s="1">
        <v>1</v>
      </c>
      <c r="AN87" s="1">
        <f>IF(IsLycanthrope,2,0)</f>
        <v>0</v>
      </c>
      <c r="AO87" s="1">
        <v>2</v>
      </c>
      <c r="AP87" s="1">
        <v>2</v>
      </c>
      <c r="AQ87" s="1">
        <v>2</v>
      </c>
      <c r="AR87" s="1">
        <v>2</v>
      </c>
      <c r="AS87" s="1">
        <v>2</v>
      </c>
      <c r="AT87" s="1">
        <v>2</v>
      </c>
      <c r="AU87" s="1">
        <v>2</v>
      </c>
      <c r="AV87" s="1">
        <v>2</v>
      </c>
      <c r="AW87" s="1">
        <v>1</v>
      </c>
      <c r="AX87" s="1">
        <v>1</v>
      </c>
      <c r="AY87" s="1">
        <v>2</v>
      </c>
      <c r="AZ87" s="1">
        <v>1</v>
      </c>
      <c r="BA87" s="1">
        <v>1</v>
      </c>
      <c r="BB87" s="1">
        <v>1</v>
      </c>
      <c r="BC87" s="1">
        <v>1</v>
      </c>
      <c r="BD87" s="1">
        <v>1</v>
      </c>
      <c r="BE87" s="1">
        <v>1</v>
      </c>
      <c r="BF87" s="1">
        <v>1</v>
      </c>
      <c r="BG87" s="1">
        <f>IF(HRRVL,1,0)</f>
        <v>0</v>
      </c>
      <c r="BH87" s="1">
        <f>IF(HROA,1,0)</f>
        <v>0</v>
      </c>
      <c r="BI87" s="1">
        <v>1</v>
      </c>
      <c r="BJ87" s="1">
        <v>1</v>
      </c>
      <c r="BK87" s="1">
        <v>2</v>
      </c>
      <c r="BL87" s="1">
        <v>2</v>
      </c>
      <c r="BM87" s="1">
        <v>1</v>
      </c>
      <c r="BN87" s="1">
        <v>1</v>
      </c>
      <c r="BO87" s="1">
        <v>1</v>
      </c>
      <c r="BP87" s="1">
        <v>1</v>
      </c>
      <c r="BQ87" s="1">
        <f>IF(HRRVL,1,0)</f>
        <v>0</v>
      </c>
      <c r="BR87" s="1">
        <v>1</v>
      </c>
      <c r="BS87" s="1">
        <v>1</v>
      </c>
      <c r="BT87" s="1">
        <f>IF(HRXPH,1,0)</f>
        <v>0</v>
      </c>
      <c r="BU87" s="1">
        <f>IF(HRRVL,1,0)</f>
        <v>0</v>
      </c>
      <c r="BV87" s="1">
        <v>1</v>
      </c>
      <c r="BW87" s="1">
        <v>2</v>
      </c>
      <c r="BX87" s="1">
        <v>1</v>
      </c>
      <c r="BY87" s="1">
        <v>1</v>
      </c>
      <c r="BZ87" s="1">
        <v>1</v>
      </c>
      <c r="CA87" s="1">
        <v>1</v>
      </c>
      <c r="CB87" s="1">
        <v>1</v>
      </c>
      <c r="CC87" s="1">
        <v>1</v>
      </c>
      <c r="CD87" s="1">
        <v>1</v>
      </c>
      <c r="CE87" s="1">
        <v>1</v>
      </c>
      <c r="CF87" s="1">
        <v>1</v>
      </c>
      <c r="CG87" s="1">
        <f>IF(HRToB,1,0)</f>
        <v>0</v>
      </c>
      <c r="CH87" s="1">
        <v>1</v>
      </c>
      <c r="CI87" s="1">
        <v>2</v>
      </c>
      <c r="CJ87" s="1">
        <v>1</v>
      </c>
      <c r="CK87" s="1">
        <v>1</v>
      </c>
      <c r="CL87" s="1">
        <v>1</v>
      </c>
      <c r="CM87" s="1">
        <v>1</v>
      </c>
      <c r="CN87" s="1">
        <v>1</v>
      </c>
      <c r="CO87" s="1">
        <v>1</v>
      </c>
      <c r="CP87" s="1">
        <v>2</v>
      </c>
      <c r="CQ87" s="1">
        <v>2</v>
      </c>
      <c r="CR87" s="1">
        <v>2</v>
      </c>
      <c r="CS87" s="1">
        <v>2</v>
      </c>
      <c r="CT87" s="1">
        <v>2</v>
      </c>
      <c r="CU87" s="1">
        <v>2</v>
      </c>
      <c r="CV87" s="1">
        <f>IF(HRXPH,1,0)</f>
        <v>0</v>
      </c>
      <c r="CW87" s="1">
        <v>1</v>
      </c>
      <c r="CX87" s="1">
        <v>2</v>
      </c>
      <c r="CY87" s="1">
        <v>1</v>
      </c>
      <c r="CZ87" s="1">
        <f>IF(HRCS,1,0)</f>
        <v>0</v>
      </c>
      <c r="DA87" s="1">
        <v>1</v>
      </c>
      <c r="DB87" s="1">
        <v>1</v>
      </c>
      <c r="DC87" s="1">
        <v>2</v>
      </c>
      <c r="DD87" s="1">
        <v>1</v>
      </c>
      <c r="DE87" s="1">
        <v>1</v>
      </c>
      <c r="DF87" s="1">
        <v>1</v>
      </c>
      <c r="DG87" s="1">
        <v>1</v>
      </c>
      <c r="DH87" s="1">
        <v>2</v>
      </c>
      <c r="DI87" s="1">
        <f>IF(HRXPH,1,0)</f>
        <v>0</v>
      </c>
      <c r="DJ87" s="1">
        <v>1</v>
      </c>
      <c r="DK87" s="1" t="s">
        <v>292</v>
      </c>
      <c r="DL87" s="1" t="s">
        <v>170</v>
      </c>
      <c r="EE87" s="8" t="s">
        <v>275</v>
      </c>
      <c r="EF87" s="9">
        <v>3</v>
      </c>
      <c r="EG87" s="9" t="s">
        <v>134</v>
      </c>
      <c r="EH87" s="9">
        <v>2</v>
      </c>
      <c r="EI87" s="9" t="b">
        <f t="shared" si="92"/>
        <v>0</v>
      </c>
      <c r="EJ87" s="9" t="str">
        <f t="shared" si="93"/>
        <v/>
      </c>
      <c r="EK87" s="9">
        <f>IF($EI87,MATCH($EJ87,TblClassN,0),99)</f>
        <v>99</v>
      </c>
      <c r="EL87" s="9">
        <f t="shared" si="98"/>
        <v>99</v>
      </c>
      <c r="EM87" s="9">
        <f t="shared" si="94"/>
        <v>99</v>
      </c>
      <c r="EN87" s="9">
        <f t="shared" si="95"/>
        <v>99</v>
      </c>
      <c r="EO87" s="10">
        <f t="shared" si="96"/>
        <v>0</v>
      </c>
    </row>
    <row r="88" spans="1:145" ht="11.25" customHeight="1" x14ac:dyDescent="0.2">
      <c r="A88" s="1">
        <f t="shared" si="68"/>
        <v>85</v>
      </c>
      <c r="B88" s="1" t="s">
        <v>293</v>
      </c>
      <c r="E88" s="1">
        <f t="shared" si="84"/>
        <v>0</v>
      </c>
      <c r="F88" s="1">
        <v>1</v>
      </c>
      <c r="Z88" s="1" t="b">
        <f>FALSE</f>
        <v>0</v>
      </c>
      <c r="AA88" s="1" t="str">
        <f t="shared" si="88"/>
        <v/>
      </c>
      <c r="AB88" s="1" t="str">
        <f t="shared" si="89"/>
        <v/>
      </c>
      <c r="AC88" s="1">
        <f t="shared" si="85"/>
        <v>0</v>
      </c>
      <c r="AD88" s="1" t="str">
        <f t="shared" si="90"/>
        <v/>
      </c>
      <c r="AE88" s="1" t="str">
        <f t="shared" si="91"/>
        <v/>
      </c>
      <c r="AF88" s="1">
        <f t="shared" si="86"/>
        <v>0</v>
      </c>
      <c r="AG88" s="1">
        <f t="shared" si="97"/>
        <v>5</v>
      </c>
      <c r="AH88" s="1" t="str">
        <f t="shared" si="87"/>
        <v/>
      </c>
      <c r="EE88" s="8" t="s">
        <v>294</v>
      </c>
      <c r="EF88" s="9">
        <v>9</v>
      </c>
      <c r="EG88" s="9" t="s">
        <v>162</v>
      </c>
      <c r="EH88" s="9">
        <v>2</v>
      </c>
      <c r="EI88" s="9" t="b">
        <f t="shared" si="92"/>
        <v>0</v>
      </c>
      <c r="EJ88" s="9" t="str">
        <f t="shared" si="93"/>
        <v/>
      </c>
      <c r="EK88" s="9">
        <f>IF($EI88,MATCH($EJ88,TblClassN,0),99)</f>
        <v>99</v>
      </c>
      <c r="EL88" s="9">
        <f t="shared" si="98"/>
        <v>99</v>
      </c>
      <c r="EM88" s="9">
        <f t="shared" si="94"/>
        <v>99</v>
      </c>
      <c r="EN88" s="9">
        <f t="shared" si="95"/>
        <v>99</v>
      </c>
      <c r="EO88" s="10">
        <f t="shared" si="96"/>
        <v>0</v>
      </c>
    </row>
    <row r="89" spans="1:145" ht="11.25" customHeight="1" x14ac:dyDescent="0.2">
      <c r="A89" s="1">
        <f t="shared" si="68"/>
        <v>86</v>
      </c>
      <c r="B89" s="1" t="s">
        <v>295</v>
      </c>
      <c r="C89" s="1" t="s">
        <v>296</v>
      </c>
      <c r="D89" s="1" t="s">
        <v>296</v>
      </c>
      <c r="E89" s="1">
        <f t="shared" si="84"/>
        <v>0</v>
      </c>
      <c r="K89" s="1">
        <v>2</v>
      </c>
      <c r="L89" s="1">
        <v>8</v>
      </c>
      <c r="N89" s="1" t="b">
        <v>1</v>
      </c>
      <c r="O89" s="1" t="b">
        <v>1</v>
      </c>
      <c r="Q89" s="1" t="b">
        <v>1</v>
      </c>
      <c r="S89" s="1" t="b">
        <v>1</v>
      </c>
      <c r="V89" s="1">
        <v>0.75</v>
      </c>
      <c r="W89" s="1">
        <v>0.5</v>
      </c>
      <c r="X89" s="1">
        <v>0.34</v>
      </c>
      <c r="Y89" s="1">
        <v>0.5</v>
      </c>
      <c r="Z89" s="1" t="b">
        <f>FALSE</f>
        <v>0</v>
      </c>
      <c r="AA89" s="1" t="str">
        <f t="shared" si="88"/>
        <v/>
      </c>
      <c r="AB89" s="1" t="str">
        <f t="shared" si="89"/>
        <v/>
      </c>
      <c r="AC89" s="1">
        <f t="shared" si="85"/>
        <v>0</v>
      </c>
      <c r="AD89" s="1" t="str">
        <f t="shared" si="90"/>
        <v/>
      </c>
      <c r="AE89" s="1" t="str">
        <f t="shared" si="91"/>
        <v/>
      </c>
      <c r="AF89" s="1">
        <f t="shared" si="86"/>
        <v>0</v>
      </c>
      <c r="AG89" s="1">
        <f t="shared" si="97"/>
        <v>5</v>
      </c>
      <c r="AH89" s="1" t="str">
        <f t="shared" si="87"/>
        <v/>
      </c>
      <c r="AI89" s="1">
        <v>1</v>
      </c>
      <c r="AJ89" s="1">
        <f>IF(HRXPH,1,0)</f>
        <v>0</v>
      </c>
      <c r="AK89" s="1">
        <v>1</v>
      </c>
      <c r="AL89" s="1">
        <v>1</v>
      </c>
      <c r="AM89" s="1">
        <v>1</v>
      </c>
      <c r="AN89" s="1">
        <f>IF(IsLycanthrope,2,0)</f>
        <v>0</v>
      </c>
      <c r="AO89" s="1">
        <v>2</v>
      </c>
      <c r="AP89" s="1">
        <v>2</v>
      </c>
      <c r="AQ89" s="1">
        <v>2</v>
      </c>
      <c r="AR89" s="1">
        <v>2</v>
      </c>
      <c r="AS89" s="1">
        <v>2</v>
      </c>
      <c r="AT89" s="1">
        <v>2</v>
      </c>
      <c r="AU89" s="1">
        <v>2</v>
      </c>
      <c r="AV89" s="1">
        <v>2</v>
      </c>
      <c r="AW89" s="1">
        <v>1</v>
      </c>
      <c r="AX89" s="1">
        <v>2</v>
      </c>
      <c r="AY89" s="1">
        <v>1</v>
      </c>
      <c r="AZ89" s="1">
        <v>1</v>
      </c>
      <c r="BA89" s="1">
        <v>1</v>
      </c>
      <c r="BB89" s="1">
        <v>1</v>
      </c>
      <c r="BC89" s="1">
        <v>1</v>
      </c>
      <c r="BD89" s="1">
        <v>1</v>
      </c>
      <c r="BE89" s="1">
        <v>2</v>
      </c>
      <c r="BF89" s="1">
        <v>1</v>
      </c>
      <c r="BG89" s="1">
        <f>IF(HRRVL,1,0)</f>
        <v>0</v>
      </c>
      <c r="BH89" s="1">
        <f>IF(HROA,1,0)</f>
        <v>0</v>
      </c>
      <c r="BI89" s="1">
        <v>1</v>
      </c>
      <c r="BJ89" s="1">
        <v>1</v>
      </c>
      <c r="BK89" s="1">
        <v>2</v>
      </c>
      <c r="BL89" s="1">
        <v>1</v>
      </c>
      <c r="BM89" s="1">
        <v>1</v>
      </c>
      <c r="BN89" s="1">
        <v>1</v>
      </c>
      <c r="BO89" s="1">
        <v>1</v>
      </c>
      <c r="BP89" s="1">
        <v>1</v>
      </c>
      <c r="BQ89" s="1">
        <f>IF(HRRVL,1,0)</f>
        <v>0</v>
      </c>
      <c r="BR89" s="1">
        <v>2</v>
      </c>
      <c r="BS89" s="1">
        <v>1</v>
      </c>
      <c r="BT89" s="1">
        <f>IF(HRXPH,1,0)</f>
        <v>0</v>
      </c>
      <c r="BU89" s="1">
        <f>IF(HRRVL,1,0)</f>
        <v>0</v>
      </c>
      <c r="BV89" s="1">
        <v>2</v>
      </c>
      <c r="BW89" s="1">
        <v>1</v>
      </c>
      <c r="BX89" s="1">
        <v>1</v>
      </c>
      <c r="BY89" s="1">
        <v>1</v>
      </c>
      <c r="BZ89" s="1">
        <v>1</v>
      </c>
      <c r="CA89" s="1">
        <v>1</v>
      </c>
      <c r="CB89" s="1">
        <v>1</v>
      </c>
      <c r="CC89" s="1">
        <v>1</v>
      </c>
      <c r="CD89" s="1">
        <v>1</v>
      </c>
      <c r="CE89" s="1">
        <v>1</v>
      </c>
      <c r="CF89" s="1">
        <v>1</v>
      </c>
      <c r="CG89" s="1">
        <f>IF(HRToB,1,0)</f>
        <v>0</v>
      </c>
      <c r="CH89" s="1">
        <v>1</v>
      </c>
      <c r="CI89" s="1">
        <v>1</v>
      </c>
      <c r="CJ89" s="1">
        <v>1</v>
      </c>
      <c r="CK89" s="1">
        <v>1</v>
      </c>
      <c r="CL89" s="1">
        <v>1</v>
      </c>
      <c r="CM89" s="1">
        <v>1</v>
      </c>
      <c r="CN89" s="1">
        <v>1</v>
      </c>
      <c r="CO89" s="1">
        <v>1</v>
      </c>
      <c r="CP89" s="1">
        <v>2</v>
      </c>
      <c r="CQ89" s="1">
        <v>2</v>
      </c>
      <c r="CR89" s="1">
        <v>2</v>
      </c>
      <c r="CS89" s="1">
        <v>2</v>
      </c>
      <c r="CT89" s="1">
        <v>2</v>
      </c>
      <c r="CU89" s="1">
        <v>2</v>
      </c>
      <c r="CV89" s="1">
        <f>IF(HRXPH,1,0)</f>
        <v>0</v>
      </c>
      <c r="CW89" s="1">
        <v>1</v>
      </c>
      <c r="CX89" s="1">
        <v>1</v>
      </c>
      <c r="CY89" s="1">
        <v>1</v>
      </c>
      <c r="CZ89" s="1">
        <f>IF(HRCS,1,0)</f>
        <v>0</v>
      </c>
      <c r="DA89" s="1">
        <v>1</v>
      </c>
      <c r="DB89" s="1">
        <v>1</v>
      </c>
      <c r="DC89" s="1">
        <v>2</v>
      </c>
      <c r="DD89" s="1">
        <v>1</v>
      </c>
      <c r="DE89" s="1">
        <v>1</v>
      </c>
      <c r="DF89" s="1">
        <v>1</v>
      </c>
      <c r="DG89" s="1">
        <v>1</v>
      </c>
      <c r="DH89" s="1">
        <v>1</v>
      </c>
      <c r="DI89" s="1">
        <f>IF(HRXPH,1,0)</f>
        <v>0</v>
      </c>
      <c r="DJ89" s="1">
        <v>1</v>
      </c>
      <c r="DK89" s="1" t="s">
        <v>297</v>
      </c>
      <c r="DL89" s="1" t="s">
        <v>170</v>
      </c>
      <c r="EE89" s="8" t="s">
        <v>298</v>
      </c>
      <c r="EF89" s="9">
        <v>6</v>
      </c>
      <c r="EG89" s="9" t="s">
        <v>134</v>
      </c>
      <c r="EH89" s="9">
        <v>4</v>
      </c>
      <c r="EI89" s="9" t="b">
        <f t="shared" si="92"/>
        <v>0</v>
      </c>
      <c r="EJ89" s="9" t="str">
        <f t="shared" si="93"/>
        <v/>
      </c>
      <c r="EK89" s="9">
        <f>IF($EI89,MATCH($EJ89,TblClassN,0),99)</f>
        <v>99</v>
      </c>
      <c r="EL89" s="9">
        <f t="shared" si="98"/>
        <v>99</v>
      </c>
      <c r="EM89" s="9">
        <f t="shared" si="94"/>
        <v>99</v>
      </c>
      <c r="EN89" s="9">
        <f t="shared" si="95"/>
        <v>99</v>
      </c>
      <c r="EO89" s="10">
        <f t="shared" si="96"/>
        <v>0</v>
      </c>
    </row>
    <row r="90" spans="1:145" ht="11.25" customHeight="1" x14ac:dyDescent="0.2">
      <c r="A90" s="1">
        <f t="shared" si="68"/>
        <v>87</v>
      </c>
      <c r="B90" s="1" t="s">
        <v>299</v>
      </c>
      <c r="C90" s="1" t="s">
        <v>300</v>
      </c>
      <c r="D90" s="1" t="s">
        <v>300</v>
      </c>
      <c r="E90" s="1">
        <f t="shared" si="84"/>
        <v>0</v>
      </c>
      <c r="K90" s="1">
        <v>4</v>
      </c>
      <c r="L90" s="1">
        <v>8</v>
      </c>
      <c r="N90" s="1" t="b">
        <v>1</v>
      </c>
      <c r="Q90" s="1" t="b">
        <v>1</v>
      </c>
      <c r="S90" s="1" t="b">
        <v>1</v>
      </c>
      <c r="T90" s="1" t="b">
        <v>1</v>
      </c>
      <c r="V90" s="1">
        <v>0.75</v>
      </c>
      <c r="W90" s="1">
        <v>0.34</v>
      </c>
      <c r="X90" s="1">
        <v>0.5</v>
      </c>
      <c r="Y90" s="1">
        <v>0.5</v>
      </c>
      <c r="Z90" s="1" t="b">
        <f>FALSE</f>
        <v>0</v>
      </c>
      <c r="AA90" s="1" t="str">
        <f t="shared" si="88"/>
        <v/>
      </c>
      <c r="AB90" s="1" t="str">
        <f t="shared" si="89"/>
        <v/>
      </c>
      <c r="AC90" s="1">
        <f t="shared" si="85"/>
        <v>0</v>
      </c>
      <c r="AD90" s="1" t="str">
        <f t="shared" si="90"/>
        <v/>
      </c>
      <c r="AE90" s="1" t="str">
        <f t="shared" si="91"/>
        <v/>
      </c>
      <c r="AF90" s="1">
        <f t="shared" si="86"/>
        <v>0</v>
      </c>
      <c r="AG90" s="1">
        <f t="shared" si="97"/>
        <v>5</v>
      </c>
      <c r="AH90" s="1" t="str">
        <f t="shared" si="87"/>
        <v/>
      </c>
      <c r="AI90" s="1">
        <v>2</v>
      </c>
      <c r="AJ90" s="1">
        <f>IF(HRXPH,1,0)+IF(NobleBonusClassSkillCell=2,1,0)</f>
        <v>0</v>
      </c>
      <c r="AK90" s="1">
        <f>1+IF(NobleBonusClassSkillCell=3,1,0)</f>
        <v>1</v>
      </c>
      <c r="AL90" s="1">
        <v>2</v>
      </c>
      <c r="AM90" s="1">
        <f>1+IF(NobleBonusClassSkillCell=4,1,0)</f>
        <v>1</v>
      </c>
      <c r="AN90" s="1">
        <f>IF(IsLycanthrope,2,0)</f>
        <v>0</v>
      </c>
      <c r="AO90" s="1">
        <f>1+IF(NobleBonusClassSkillCell=5,1,0)</f>
        <v>1</v>
      </c>
      <c r="AP90" s="1">
        <f t="shared" ref="AP90:AV90" si="99">1+IF(NobleBonusClassSkillCell=6,1,0)</f>
        <v>1</v>
      </c>
      <c r="AQ90" s="1">
        <f t="shared" si="99"/>
        <v>1</v>
      </c>
      <c r="AR90" s="1">
        <f t="shared" si="99"/>
        <v>1</v>
      </c>
      <c r="AS90" s="1">
        <f t="shared" si="99"/>
        <v>1</v>
      </c>
      <c r="AT90" s="1">
        <f t="shared" si="99"/>
        <v>1</v>
      </c>
      <c r="AU90" s="1">
        <f t="shared" si="99"/>
        <v>1</v>
      </c>
      <c r="AV90" s="1">
        <f t="shared" si="99"/>
        <v>1</v>
      </c>
      <c r="AW90" s="1">
        <f>1+IF(NobleBonusClassSkillCell=7,1,0)</f>
        <v>1</v>
      </c>
      <c r="AX90" s="1">
        <v>2</v>
      </c>
      <c r="AY90" s="1">
        <f>1+IF(NobleBonusClassSkillCell=8,1,0)</f>
        <v>1</v>
      </c>
      <c r="AZ90" s="1">
        <f>1+IF(NobleBonusClassSkillCell=9,1,0)</f>
        <v>1</v>
      </c>
      <c r="BA90" s="1">
        <f>1+IF(NobleBonusClassSkillCell=10,1,0)</f>
        <v>1</v>
      </c>
      <c r="BB90" s="1">
        <f>1+IF(NobleBonusClassSkillCell=11,1,0)</f>
        <v>1</v>
      </c>
      <c r="BC90" s="1">
        <v>2</v>
      </c>
      <c r="BD90" s="1">
        <f>1+IF(NobleBonusClassSkillCell=12,1,0)</f>
        <v>1</v>
      </c>
      <c r="BE90" s="1">
        <f>1+IF(NobleBonusClassSkillCell=13,1,0)</f>
        <v>1</v>
      </c>
      <c r="BF90" s="1">
        <f>1+IF(NobleBonusClassSkillCell=14,1,0)</f>
        <v>1</v>
      </c>
      <c r="BG90" s="1">
        <f>IF(HRRVL,1,0)+IF(NobleBonusClassSkillCell=15,1,0)</f>
        <v>0</v>
      </c>
      <c r="BH90" s="1">
        <f>IF(HROA,1,0)</f>
        <v>0</v>
      </c>
      <c r="BI90" s="1">
        <v>2</v>
      </c>
      <c r="BJ90" s="1">
        <f>1+IF(NobleBonusClassSkillCell=16,1,0)</f>
        <v>1</v>
      </c>
      <c r="BK90" s="1">
        <v>2</v>
      </c>
      <c r="BL90" s="1">
        <v>2</v>
      </c>
      <c r="BM90" s="1">
        <v>2</v>
      </c>
      <c r="BN90" s="1">
        <v>2</v>
      </c>
      <c r="BO90" s="1">
        <v>2</v>
      </c>
      <c r="BP90" s="1">
        <v>2</v>
      </c>
      <c r="BQ90" s="1">
        <f>IF(HRRVL,2,0)</f>
        <v>0</v>
      </c>
      <c r="BR90" s="1">
        <v>2</v>
      </c>
      <c r="BS90" s="1">
        <v>2</v>
      </c>
      <c r="BT90" s="1">
        <f>IF(HRXPH,2,0)</f>
        <v>0</v>
      </c>
      <c r="BU90" s="1">
        <f>IF(HRRVL,2,0)</f>
        <v>0</v>
      </c>
      <c r="BV90" s="1">
        <v>2</v>
      </c>
      <c r="BW90" s="1">
        <v>2</v>
      </c>
      <c r="BX90" s="1">
        <v>2</v>
      </c>
      <c r="BY90" s="1">
        <v>2</v>
      </c>
      <c r="BZ90" s="1">
        <v>2</v>
      </c>
      <c r="CA90" s="1">
        <v>2</v>
      </c>
      <c r="CB90" s="1">
        <v>2</v>
      </c>
      <c r="CC90" s="1">
        <v>2</v>
      </c>
      <c r="CD90" s="1">
        <v>2</v>
      </c>
      <c r="CE90" s="1">
        <v>2</v>
      </c>
      <c r="CF90" s="1">
        <v>2</v>
      </c>
      <c r="CG90" s="1">
        <f>IF(HRToB,1,0)</f>
        <v>0</v>
      </c>
      <c r="CH90" s="1">
        <f>1+IF(NobleBonusClassSkillCell=17,1,0)</f>
        <v>1</v>
      </c>
      <c r="CI90" s="1">
        <f>1+IF(NobleBonusClassSkillCell=18,1,0)</f>
        <v>1</v>
      </c>
      <c r="CJ90" s="1">
        <v>2</v>
      </c>
      <c r="CK90" s="1">
        <v>2</v>
      </c>
      <c r="CL90" s="1">
        <v>2</v>
      </c>
      <c r="CM90" s="1">
        <v>2</v>
      </c>
      <c r="CN90" s="1">
        <v>2</v>
      </c>
      <c r="CO90" s="1">
        <v>2</v>
      </c>
      <c r="CP90" s="1">
        <f t="shared" ref="CP90:CU90" si="100">1+IF(NobleBonusClassSkillCell=19,1,0)</f>
        <v>1</v>
      </c>
      <c r="CQ90" s="1">
        <f t="shared" si="100"/>
        <v>1</v>
      </c>
      <c r="CR90" s="1">
        <f t="shared" si="100"/>
        <v>1</v>
      </c>
      <c r="CS90" s="1">
        <f t="shared" si="100"/>
        <v>1</v>
      </c>
      <c r="CT90" s="1">
        <f t="shared" si="100"/>
        <v>1</v>
      </c>
      <c r="CU90" s="1">
        <f t="shared" si="100"/>
        <v>1</v>
      </c>
      <c r="CV90" s="1">
        <f>IF(HRXPH,1,0)+IF(NobleBonusClassSkillCell=20,1,0)</f>
        <v>0</v>
      </c>
      <c r="CW90" s="1">
        <v>2</v>
      </c>
      <c r="CX90" s="1">
        <f>1+IF(NobleBonusClassSkillCell=21,1,0)</f>
        <v>1</v>
      </c>
      <c r="CY90" s="1">
        <v>2</v>
      </c>
      <c r="CZ90" s="1">
        <f>1</f>
        <v>1</v>
      </c>
      <c r="DA90" s="1">
        <f>1+IF(NobleBonusClassSkillCell=22,1,0)</f>
        <v>1</v>
      </c>
      <c r="DB90" s="1">
        <v>2</v>
      </c>
      <c r="DC90" s="1">
        <f>1+IF(NobleBonusClassSkillCell=23,1,0)</f>
        <v>1</v>
      </c>
      <c r="DD90" s="1">
        <f>1+IF(NobleBonusClassSkillCell=24,1,0)</f>
        <v>1</v>
      </c>
      <c r="DE90" s="1">
        <f>1+IF(NobleBonusClassSkillCell=25,1,0)</f>
        <v>1</v>
      </c>
      <c r="DF90" s="1">
        <f>1+IF(NobleBonusClassSkillCell=26,1,0)</f>
        <v>1</v>
      </c>
      <c r="DG90" s="1">
        <f>1+IF(NobleBonusClassSkillCell=27,1,0)</f>
        <v>1</v>
      </c>
      <c r="DH90" s="1">
        <f>1+IF(NobleBonusClassSkillCell=28,1,0)</f>
        <v>1</v>
      </c>
      <c r="DI90" s="1">
        <f>IF(HRXPH,1,0)+IF(NobleBonusClassSkillCell=29,1,0)</f>
        <v>0</v>
      </c>
      <c r="DJ90" s="1">
        <f>1+IF(NobleBonusClassSkillCell=30,1,0)</f>
        <v>1</v>
      </c>
      <c r="DK90" s="1" t="s">
        <v>297</v>
      </c>
      <c r="DL90" s="1" t="s">
        <v>170</v>
      </c>
      <c r="EE90" s="8" t="s">
        <v>301</v>
      </c>
      <c r="EF90" s="9">
        <v>2</v>
      </c>
      <c r="EG90" s="9" t="s">
        <v>162</v>
      </c>
      <c r="EH90" s="9">
        <v>-1</v>
      </c>
      <c r="EI90" s="9" t="b">
        <f t="shared" si="92"/>
        <v>0</v>
      </c>
      <c r="EJ90" s="9" t="str">
        <f t="shared" si="93"/>
        <v/>
      </c>
      <c r="EK90" s="9">
        <f>IF($EI90,MATCH($EJ90,TblClassN,0),99)</f>
        <v>99</v>
      </c>
      <c r="EL90" s="9">
        <f t="shared" si="98"/>
        <v>99</v>
      </c>
      <c r="EM90" s="9">
        <f t="shared" si="94"/>
        <v>99</v>
      </c>
      <c r="EN90" s="9">
        <f t="shared" si="95"/>
        <v>99</v>
      </c>
      <c r="EO90" s="10">
        <f t="shared" si="96"/>
        <v>0</v>
      </c>
    </row>
    <row r="91" spans="1:145" ht="11.25" customHeight="1" x14ac:dyDescent="0.2">
      <c r="A91" s="1">
        <f t="shared" si="68"/>
        <v>88</v>
      </c>
      <c r="B91" s="1" t="s">
        <v>302</v>
      </c>
      <c r="E91" s="1">
        <f t="shared" si="84"/>
        <v>0</v>
      </c>
      <c r="F91" s="1">
        <v>1</v>
      </c>
      <c r="Z91" s="1" t="b">
        <f>FALSE</f>
        <v>0</v>
      </c>
      <c r="AA91" s="1" t="str">
        <f t="shared" si="88"/>
        <v/>
      </c>
      <c r="AB91" s="1" t="str">
        <f t="shared" si="89"/>
        <v/>
      </c>
      <c r="AC91" s="1">
        <f t="shared" si="85"/>
        <v>0</v>
      </c>
      <c r="AD91" s="1" t="str">
        <f t="shared" si="90"/>
        <v/>
      </c>
      <c r="AE91" s="1" t="str">
        <f t="shared" si="91"/>
        <v/>
      </c>
      <c r="AF91" s="1">
        <f t="shared" si="86"/>
        <v>0</v>
      </c>
      <c r="AG91" s="1">
        <f t="shared" si="97"/>
        <v>5</v>
      </c>
      <c r="AH91" s="1" t="str">
        <f t="shared" si="87"/>
        <v/>
      </c>
      <c r="EE91" s="8" t="s">
        <v>301</v>
      </c>
      <c r="EF91" s="9">
        <v>2</v>
      </c>
      <c r="EG91" s="9" t="s">
        <v>129</v>
      </c>
      <c r="EH91" s="9">
        <v>1</v>
      </c>
      <c r="EI91" s="9" t="b">
        <f t="shared" si="92"/>
        <v>0</v>
      </c>
      <c r="EJ91" s="9" t="str">
        <f t="shared" si="93"/>
        <v/>
      </c>
      <c r="EK91" s="9">
        <f>IF($EI91,MATCH($EJ91,TblClassN,0),99)</f>
        <v>99</v>
      </c>
      <c r="EL91" s="9">
        <f t="shared" si="98"/>
        <v>99</v>
      </c>
      <c r="EM91" s="9">
        <f t="shared" si="94"/>
        <v>99</v>
      </c>
      <c r="EN91" s="9">
        <f t="shared" si="95"/>
        <v>99</v>
      </c>
      <c r="EO91" s="10">
        <f t="shared" si="96"/>
        <v>0</v>
      </c>
    </row>
    <row r="92" spans="1:145" ht="11.25" customHeight="1" x14ac:dyDescent="0.2">
      <c r="A92" s="1">
        <f t="shared" si="68"/>
        <v>89</v>
      </c>
      <c r="B92" s="1" t="s">
        <v>303</v>
      </c>
      <c r="C92" s="1" t="s">
        <v>304</v>
      </c>
      <c r="D92" s="1" t="s">
        <v>304</v>
      </c>
      <c r="E92" s="1">
        <f t="shared" si="84"/>
        <v>0</v>
      </c>
      <c r="K92" s="1">
        <v>6</v>
      </c>
      <c r="L92" s="1">
        <v>8</v>
      </c>
      <c r="N92" s="1" t="b">
        <v>1</v>
      </c>
      <c r="S92" s="1" t="b">
        <v>1</v>
      </c>
      <c r="V92" s="1">
        <v>1</v>
      </c>
      <c r="W92" s="1">
        <v>0.5</v>
      </c>
      <c r="X92" s="1">
        <v>0.5</v>
      </c>
      <c r="Y92" s="1">
        <v>0.34</v>
      </c>
      <c r="Z92" s="1" t="b">
        <f>FALSE</f>
        <v>0</v>
      </c>
      <c r="AA92" s="1" t="str">
        <f t="shared" si="88"/>
        <v/>
      </c>
      <c r="AB92" s="1" t="str">
        <f t="shared" si="89"/>
        <v/>
      </c>
      <c r="AC92" s="1">
        <f t="shared" si="85"/>
        <v>0</v>
      </c>
      <c r="AD92" s="1" t="str">
        <f t="shared" si="90"/>
        <v/>
      </c>
      <c r="AE92" s="1" t="str">
        <f t="shared" si="91"/>
        <v/>
      </c>
      <c r="AF92" s="1">
        <f t="shared" si="86"/>
        <v>0</v>
      </c>
      <c r="AG92" s="1">
        <f t="shared" si="97"/>
        <v>5</v>
      </c>
      <c r="AH92" s="1" t="str">
        <f t="shared" si="87"/>
        <v/>
      </c>
      <c r="AI92" s="1">
        <v>1</v>
      </c>
      <c r="AJ92" s="1">
        <f>IF(HRXPH,1,0)</f>
        <v>0</v>
      </c>
      <c r="AK92" s="1">
        <v>2</v>
      </c>
      <c r="AL92" s="1">
        <v>2</v>
      </c>
      <c r="AM92" s="1">
        <v>2</v>
      </c>
      <c r="AN92" s="1">
        <f>IF(IsLycanthrope,2,0)</f>
        <v>0</v>
      </c>
      <c r="AO92" s="1">
        <v>1</v>
      </c>
      <c r="AP92" s="1">
        <v>2</v>
      </c>
      <c r="AQ92" s="1">
        <v>2</v>
      </c>
      <c r="AR92" s="1">
        <v>2</v>
      </c>
      <c r="AS92" s="1">
        <v>2</v>
      </c>
      <c r="AT92" s="1">
        <v>2</v>
      </c>
      <c r="AU92" s="1">
        <v>2</v>
      </c>
      <c r="AV92" s="1">
        <v>2</v>
      </c>
      <c r="AW92" s="1">
        <v>1</v>
      </c>
      <c r="AX92" s="1">
        <v>1</v>
      </c>
      <c r="AY92" s="1">
        <v>1</v>
      </c>
      <c r="AZ92" s="1">
        <v>1</v>
      </c>
      <c r="BA92" s="1">
        <v>2</v>
      </c>
      <c r="BB92" s="1">
        <v>1</v>
      </c>
      <c r="BC92" s="1">
        <v>2</v>
      </c>
      <c r="BD92" s="1">
        <v>1</v>
      </c>
      <c r="BE92" s="1">
        <v>1</v>
      </c>
      <c r="BF92" s="1">
        <v>1</v>
      </c>
      <c r="BG92" s="1">
        <f>IF(HRRVL,1,0)</f>
        <v>0</v>
      </c>
      <c r="BH92" s="1">
        <f>IF(HROA,1,0)</f>
        <v>0</v>
      </c>
      <c r="BI92" s="1">
        <v>1</v>
      </c>
      <c r="BJ92" s="1">
        <v>2</v>
      </c>
      <c r="BK92" s="1">
        <v>1</v>
      </c>
      <c r="BL92" s="1">
        <v>1</v>
      </c>
      <c r="BM92" s="1">
        <v>1</v>
      </c>
      <c r="BN92" s="1">
        <v>1</v>
      </c>
      <c r="BO92" s="1">
        <v>1</v>
      </c>
      <c r="BP92" s="1">
        <v>2</v>
      </c>
      <c r="BQ92" s="1">
        <f>IF(HRRVL,1,0)</f>
        <v>0</v>
      </c>
      <c r="BR92" s="1">
        <v>2</v>
      </c>
      <c r="BS92" s="1">
        <v>1</v>
      </c>
      <c r="BT92" s="1">
        <f>IF(HRXPH,1,0)</f>
        <v>0</v>
      </c>
      <c r="BU92" s="1">
        <f>IF(HRRVL,1,0)</f>
        <v>0</v>
      </c>
      <c r="BV92" s="1">
        <v>1</v>
      </c>
      <c r="BW92" s="1">
        <v>1</v>
      </c>
      <c r="BX92" s="1">
        <v>1</v>
      </c>
      <c r="BY92" s="1">
        <v>1</v>
      </c>
      <c r="BZ92" s="1">
        <v>1</v>
      </c>
      <c r="CA92" s="1">
        <v>1</v>
      </c>
      <c r="CB92" s="1">
        <v>1</v>
      </c>
      <c r="CC92" s="1">
        <v>1</v>
      </c>
      <c r="CD92" s="1">
        <v>1</v>
      </c>
      <c r="CE92" s="1">
        <v>1</v>
      </c>
      <c r="CF92" s="1">
        <v>1</v>
      </c>
      <c r="CG92" s="1">
        <f>IF(HRToB,1,0)</f>
        <v>0</v>
      </c>
      <c r="CH92" s="1">
        <v>1</v>
      </c>
      <c r="CI92" s="1">
        <v>1</v>
      </c>
      <c r="CJ92" s="1">
        <v>1</v>
      </c>
      <c r="CK92" s="1">
        <v>1</v>
      </c>
      <c r="CL92" s="1">
        <v>1</v>
      </c>
      <c r="CM92" s="1">
        <v>1</v>
      </c>
      <c r="CN92" s="1">
        <v>1</v>
      </c>
      <c r="CO92" s="1">
        <v>1</v>
      </c>
      <c r="CP92" s="1">
        <v>2</v>
      </c>
      <c r="CQ92" s="1">
        <v>2</v>
      </c>
      <c r="CR92" s="1">
        <v>2</v>
      </c>
      <c r="CS92" s="1">
        <v>2</v>
      </c>
      <c r="CT92" s="1">
        <v>2</v>
      </c>
      <c r="CU92" s="1">
        <v>2</v>
      </c>
      <c r="CV92" s="1">
        <f>IF(HRXPH,1,0)</f>
        <v>0</v>
      </c>
      <c r="CW92" s="1">
        <v>1</v>
      </c>
      <c r="CX92" s="1">
        <v>1</v>
      </c>
      <c r="CY92" s="1">
        <v>1</v>
      </c>
      <c r="CZ92" s="1">
        <f>IF(HRCS,1,0)</f>
        <v>0</v>
      </c>
      <c r="DA92" s="1">
        <v>1</v>
      </c>
      <c r="DB92" s="1">
        <v>2</v>
      </c>
      <c r="DC92" s="1">
        <v>1</v>
      </c>
      <c r="DD92" s="1">
        <v>2</v>
      </c>
      <c r="DE92" s="1">
        <v>2</v>
      </c>
      <c r="DF92" s="1">
        <v>2</v>
      </c>
      <c r="DG92" s="1">
        <v>2</v>
      </c>
      <c r="DH92" s="1">
        <v>1</v>
      </c>
      <c r="DI92" s="1">
        <f>IF(HRXPH,1,0)</f>
        <v>0</v>
      </c>
      <c r="DJ92" s="1">
        <v>2</v>
      </c>
      <c r="DK92" s="1" t="s">
        <v>305</v>
      </c>
      <c r="DL92" s="1" t="s">
        <v>170</v>
      </c>
      <c r="EE92" s="8" t="s">
        <v>301</v>
      </c>
      <c r="EF92" s="9">
        <v>2</v>
      </c>
      <c r="EG92" s="9" t="s">
        <v>126</v>
      </c>
      <c r="EH92" s="9">
        <v>1</v>
      </c>
      <c r="EI92" s="9" t="b">
        <f t="shared" si="92"/>
        <v>0</v>
      </c>
      <c r="EJ92" s="9" t="str">
        <f t="shared" si="93"/>
        <v/>
      </c>
      <c r="EK92" s="9">
        <f>IF($EI92,MATCH($EJ92,TblClassN,0),99)</f>
        <v>99</v>
      </c>
      <c r="EL92" s="9">
        <f t="shared" si="98"/>
        <v>99</v>
      </c>
      <c r="EM92" s="9">
        <f t="shared" si="94"/>
        <v>99</v>
      </c>
      <c r="EN92" s="9">
        <f t="shared" si="95"/>
        <v>99</v>
      </c>
      <c r="EO92" s="10">
        <f t="shared" si="96"/>
        <v>0</v>
      </c>
    </row>
    <row r="93" spans="1:145" ht="11.25" customHeight="1" x14ac:dyDescent="0.2">
      <c r="A93" s="1">
        <f t="shared" si="68"/>
        <v>90</v>
      </c>
      <c r="B93" s="1" t="s">
        <v>306</v>
      </c>
      <c r="E93" s="1">
        <f t="shared" si="84"/>
        <v>0</v>
      </c>
      <c r="F93" s="1">
        <v>1</v>
      </c>
      <c r="Z93" s="1" t="b">
        <f>FALSE</f>
        <v>0</v>
      </c>
      <c r="AA93" s="1" t="str">
        <f t="shared" si="88"/>
        <v/>
      </c>
      <c r="AB93" s="1" t="str">
        <f t="shared" si="89"/>
        <v/>
      </c>
      <c r="AC93" s="1">
        <f t="shared" si="85"/>
        <v>0</v>
      </c>
      <c r="AD93" s="1" t="str">
        <f t="shared" si="90"/>
        <v/>
      </c>
      <c r="AE93" s="1" t="str">
        <f t="shared" si="91"/>
        <v/>
      </c>
      <c r="AF93" s="1">
        <f t="shared" si="86"/>
        <v>0</v>
      </c>
      <c r="AG93" s="1">
        <f t="shared" si="97"/>
        <v>5</v>
      </c>
      <c r="AH93" s="1" t="str">
        <f t="shared" si="87"/>
        <v/>
      </c>
      <c r="EE93" s="8" t="s">
        <v>301</v>
      </c>
      <c r="EF93" s="9">
        <v>2</v>
      </c>
      <c r="EG93" s="9" t="s">
        <v>153</v>
      </c>
      <c r="EH93" s="9">
        <v>1</v>
      </c>
      <c r="EI93" s="9" t="b">
        <f t="shared" si="92"/>
        <v>0</v>
      </c>
      <c r="EJ93" s="9" t="str">
        <f t="shared" si="93"/>
        <v/>
      </c>
      <c r="EK93" s="9">
        <f>IF($EI93,MATCH($EJ93,TblClassN,0),99)</f>
        <v>99</v>
      </c>
      <c r="EL93" s="9">
        <f t="shared" si="98"/>
        <v>99</v>
      </c>
      <c r="EM93" s="9">
        <f t="shared" si="94"/>
        <v>99</v>
      </c>
      <c r="EN93" s="9">
        <f t="shared" si="95"/>
        <v>99</v>
      </c>
      <c r="EO93" s="10">
        <f t="shared" si="96"/>
        <v>0</v>
      </c>
    </row>
    <row r="94" spans="1:145" ht="11.25" customHeight="1" x14ac:dyDescent="0.2">
      <c r="A94" s="1">
        <f t="shared" si="68"/>
        <v>91</v>
      </c>
      <c r="B94" s="1" t="s">
        <v>307</v>
      </c>
      <c r="C94" s="1" t="s">
        <v>308</v>
      </c>
      <c r="D94" s="1" t="s">
        <v>308</v>
      </c>
      <c r="E94" s="1">
        <f t="shared" si="84"/>
        <v>0</v>
      </c>
      <c r="K94" s="1">
        <v>4</v>
      </c>
      <c r="L94" s="1">
        <v>10</v>
      </c>
      <c r="N94" s="1" t="b">
        <v>1</v>
      </c>
      <c r="Q94" s="1" t="b">
        <v>1</v>
      </c>
      <c r="V94" s="1">
        <v>1</v>
      </c>
      <c r="W94" s="1">
        <v>0.5</v>
      </c>
      <c r="X94" s="1">
        <v>0.5</v>
      </c>
      <c r="Y94" s="1">
        <v>0.34</v>
      </c>
      <c r="Z94" s="1" t="b">
        <f>FALSE</f>
        <v>0</v>
      </c>
      <c r="AA94" s="1" t="str">
        <f t="shared" si="88"/>
        <v/>
      </c>
      <c r="AB94" s="1" t="str">
        <f t="shared" si="89"/>
        <v/>
      </c>
      <c r="AC94" s="1">
        <f t="shared" si="85"/>
        <v>0</v>
      </c>
      <c r="AD94" s="1" t="str">
        <f t="shared" si="90"/>
        <v/>
      </c>
      <c r="AE94" s="1" t="str">
        <f t="shared" si="91"/>
        <v/>
      </c>
      <c r="AF94" s="1">
        <f t="shared" si="86"/>
        <v>0</v>
      </c>
      <c r="AG94" s="1">
        <f t="shared" si="97"/>
        <v>5</v>
      </c>
      <c r="AH94" s="1" t="str">
        <f t="shared" si="87"/>
        <v/>
      </c>
      <c r="AI94" s="1">
        <v>1</v>
      </c>
      <c r="AJ94" s="1">
        <f>IF(HRXPH,1,0)</f>
        <v>0</v>
      </c>
      <c r="AK94" s="1">
        <v>2</v>
      </c>
      <c r="AL94" s="1">
        <v>1</v>
      </c>
      <c r="AM94" s="1">
        <v>2</v>
      </c>
      <c r="AN94" s="1">
        <f t="shared" ref="AN94:AN104" si="101">IF(IsLycanthrope,2,0)</f>
        <v>0</v>
      </c>
      <c r="AO94" s="1">
        <v>2</v>
      </c>
      <c r="AP94" s="1">
        <v>2</v>
      </c>
      <c r="AQ94" s="1">
        <v>2</v>
      </c>
      <c r="AR94" s="1">
        <v>2</v>
      </c>
      <c r="AS94" s="1">
        <v>2</v>
      </c>
      <c r="AT94" s="1">
        <v>2</v>
      </c>
      <c r="AU94" s="1">
        <v>2</v>
      </c>
      <c r="AV94" s="1">
        <v>2</v>
      </c>
      <c r="AW94" s="1">
        <v>1</v>
      </c>
      <c r="AX94" s="1">
        <v>1</v>
      </c>
      <c r="AY94" s="1">
        <v>1</v>
      </c>
      <c r="AZ94" s="1">
        <v>2</v>
      </c>
      <c r="BA94" s="1">
        <v>1</v>
      </c>
      <c r="BB94" s="1">
        <v>1</v>
      </c>
      <c r="BC94" s="1">
        <v>1</v>
      </c>
      <c r="BD94" s="1">
        <v>1</v>
      </c>
      <c r="BE94" s="1">
        <v>2</v>
      </c>
      <c r="BF94" s="1">
        <v>1</v>
      </c>
      <c r="BG94" s="1">
        <f>IF(HRRVL,1,0)</f>
        <v>0</v>
      </c>
      <c r="BH94" s="1">
        <f t="shared" ref="BH94:BH104" si="102">IF(HROA,1,0)</f>
        <v>0</v>
      </c>
      <c r="BI94" s="1">
        <v>2</v>
      </c>
      <c r="BJ94" s="1">
        <v>1</v>
      </c>
      <c r="BK94" s="1">
        <v>1</v>
      </c>
      <c r="BL94" s="1">
        <v>1</v>
      </c>
      <c r="BM94" s="1">
        <v>1</v>
      </c>
      <c r="BN94" s="1">
        <v>1</v>
      </c>
      <c r="BO94" s="1">
        <v>1</v>
      </c>
      <c r="BP94" s="1">
        <v>1</v>
      </c>
      <c r="BQ94" s="1">
        <f>IF(HRRVL,1,0)</f>
        <v>0</v>
      </c>
      <c r="BR94" s="1">
        <v>1</v>
      </c>
      <c r="BS94" s="1">
        <v>1</v>
      </c>
      <c r="BT94" s="1">
        <f>IF(HRXPH,1,0)</f>
        <v>0</v>
      </c>
      <c r="BU94" s="1">
        <f>IF(HRRVL,1,0)</f>
        <v>0</v>
      </c>
      <c r="BV94" s="1">
        <v>1</v>
      </c>
      <c r="BW94" s="1">
        <v>1</v>
      </c>
      <c r="BX94" s="1">
        <v>1</v>
      </c>
      <c r="BY94" s="1">
        <v>1</v>
      </c>
      <c r="BZ94" s="1">
        <v>1</v>
      </c>
      <c r="CA94" s="1">
        <v>1</v>
      </c>
      <c r="CB94" s="1">
        <v>1</v>
      </c>
      <c r="CC94" s="1">
        <v>1</v>
      </c>
      <c r="CD94" s="1">
        <v>1</v>
      </c>
      <c r="CE94" s="1">
        <v>1</v>
      </c>
      <c r="CF94" s="1">
        <v>1</v>
      </c>
      <c r="CG94" s="1">
        <f>IF(HRToB,1,0)</f>
        <v>0</v>
      </c>
      <c r="CH94" s="1">
        <v>2</v>
      </c>
      <c r="CI94" s="1">
        <v>1</v>
      </c>
      <c r="CJ94" s="1">
        <v>2</v>
      </c>
      <c r="CK94" s="1">
        <v>2</v>
      </c>
      <c r="CL94" s="1">
        <v>2</v>
      </c>
      <c r="CM94" s="1">
        <v>2</v>
      </c>
      <c r="CN94" s="1">
        <v>2</v>
      </c>
      <c r="CO94" s="1">
        <v>2</v>
      </c>
      <c r="CP94" s="1">
        <v>1</v>
      </c>
      <c r="CQ94" s="1">
        <v>1</v>
      </c>
      <c r="CR94" s="1">
        <v>1</v>
      </c>
      <c r="CS94" s="1">
        <v>1</v>
      </c>
      <c r="CT94" s="1">
        <v>1</v>
      </c>
      <c r="CU94" s="1">
        <v>1</v>
      </c>
      <c r="CV94" s="1">
        <f>IF(HRXPH,1,0)</f>
        <v>0</v>
      </c>
      <c r="CW94" s="1">
        <v>2</v>
      </c>
      <c r="CX94" s="1">
        <v>1</v>
      </c>
      <c r="CY94" s="1">
        <v>2</v>
      </c>
      <c r="CZ94" s="1">
        <f>IF(HRCS,1,0)</f>
        <v>0</v>
      </c>
      <c r="DA94" s="1">
        <v>1</v>
      </c>
      <c r="DB94" s="1">
        <v>1</v>
      </c>
      <c r="DC94" s="1">
        <v>1</v>
      </c>
      <c r="DD94" s="1">
        <v>1</v>
      </c>
      <c r="DE94" s="1">
        <v>1</v>
      </c>
      <c r="DF94" s="1">
        <v>1</v>
      </c>
      <c r="DG94" s="1">
        <v>2</v>
      </c>
      <c r="DH94" s="1">
        <v>1</v>
      </c>
      <c r="DI94" s="1">
        <f>IF(HRXPH,1,0)</f>
        <v>0</v>
      </c>
      <c r="DJ94" s="1">
        <v>1</v>
      </c>
      <c r="DK94" s="1" t="s">
        <v>309</v>
      </c>
      <c r="DL94" s="1" t="s">
        <v>170</v>
      </c>
      <c r="EE94" s="8" t="s">
        <v>301</v>
      </c>
      <c r="EF94" s="9">
        <v>2</v>
      </c>
      <c r="EG94" s="9" t="s">
        <v>153</v>
      </c>
      <c r="EH94" s="9">
        <v>-1</v>
      </c>
      <c r="EI94" s="9" t="b">
        <f t="shared" si="92"/>
        <v>0</v>
      </c>
      <c r="EJ94" s="9" t="str">
        <f t="shared" si="93"/>
        <v/>
      </c>
      <c r="EK94" s="9">
        <f>IF($EI94,MATCH($EJ94,TblClassN,0),99)</f>
        <v>99</v>
      </c>
      <c r="EL94" s="9">
        <f t="shared" si="98"/>
        <v>99</v>
      </c>
      <c r="EM94" s="9">
        <f t="shared" si="94"/>
        <v>99</v>
      </c>
      <c r="EN94" s="9">
        <f t="shared" si="95"/>
        <v>99</v>
      </c>
      <c r="EO94" s="10">
        <f t="shared" si="96"/>
        <v>0</v>
      </c>
    </row>
    <row r="95" spans="1:145" ht="11.25" customHeight="1" x14ac:dyDescent="0.2">
      <c r="A95" s="1">
        <f t="shared" si="68"/>
        <v>92</v>
      </c>
      <c r="B95" s="1" t="s">
        <v>310</v>
      </c>
      <c r="C95" s="1" t="s">
        <v>311</v>
      </c>
      <c r="D95" s="1" t="s">
        <v>311</v>
      </c>
      <c r="E95" s="1">
        <f t="shared" si="84"/>
        <v>0</v>
      </c>
      <c r="K95" s="1">
        <v>2</v>
      </c>
      <c r="L95" s="1">
        <v>8</v>
      </c>
      <c r="N95" s="1" t="b">
        <v>1</v>
      </c>
      <c r="O95" s="1" t="b">
        <v>1</v>
      </c>
      <c r="Q95" s="1" t="b">
        <v>1</v>
      </c>
      <c r="S95" s="1" t="b">
        <v>1</v>
      </c>
      <c r="V95" s="1">
        <v>0.75</v>
      </c>
      <c r="W95" s="1">
        <v>0.5</v>
      </c>
      <c r="X95" s="1">
        <v>0.34</v>
      </c>
      <c r="Y95" s="1">
        <v>0.5</v>
      </c>
      <c r="Z95" s="1" t="b">
        <f>FALSE</f>
        <v>0</v>
      </c>
      <c r="AA95" s="1" t="str">
        <f t="shared" si="88"/>
        <v/>
      </c>
      <c r="AB95" s="1" t="str">
        <f t="shared" si="89"/>
        <v/>
      </c>
      <c r="AC95" s="1">
        <f t="shared" si="85"/>
        <v>0</v>
      </c>
      <c r="AD95" s="1" t="str">
        <f t="shared" si="90"/>
        <v/>
      </c>
      <c r="AE95" s="1" t="str">
        <f t="shared" si="91"/>
        <v/>
      </c>
      <c r="AF95" s="1">
        <f t="shared" si="86"/>
        <v>0</v>
      </c>
      <c r="AG95" s="1">
        <f t="shared" si="97"/>
        <v>5</v>
      </c>
      <c r="AH95" s="1" t="str">
        <f t="shared" si="87"/>
        <v/>
      </c>
      <c r="AI95" s="1">
        <v>1</v>
      </c>
      <c r="AJ95" s="1">
        <f>IF(HRXPH,1,0)</f>
        <v>0</v>
      </c>
      <c r="AK95" s="1">
        <v>1</v>
      </c>
      <c r="AL95" s="1">
        <v>1</v>
      </c>
      <c r="AM95" s="1">
        <v>1</v>
      </c>
      <c r="AN95" s="1">
        <f t="shared" si="101"/>
        <v>0</v>
      </c>
      <c r="AO95" s="1">
        <v>2</v>
      </c>
      <c r="AP95" s="1">
        <v>1</v>
      </c>
      <c r="AQ95" s="1">
        <v>1</v>
      </c>
      <c r="AR95" s="1">
        <v>1</v>
      </c>
      <c r="AS95" s="1">
        <v>1</v>
      </c>
      <c r="AT95" s="1">
        <v>1</v>
      </c>
      <c r="AU95" s="1">
        <v>1</v>
      </c>
      <c r="AV95" s="1">
        <v>1</v>
      </c>
      <c r="AW95" s="1">
        <v>1</v>
      </c>
      <c r="AX95" s="1">
        <v>2</v>
      </c>
      <c r="AY95" s="1">
        <v>1</v>
      </c>
      <c r="AZ95" s="1">
        <v>1</v>
      </c>
      <c r="BA95" s="1">
        <v>1</v>
      </c>
      <c r="BB95" s="1">
        <v>1</v>
      </c>
      <c r="BC95" s="1">
        <v>1</v>
      </c>
      <c r="BD95" s="1">
        <v>1</v>
      </c>
      <c r="BE95" s="1">
        <v>2</v>
      </c>
      <c r="BF95" s="1">
        <v>1</v>
      </c>
      <c r="BG95" s="1">
        <f>IF(HRRVL,1,0)</f>
        <v>0</v>
      </c>
      <c r="BH95" s="1">
        <f t="shared" si="102"/>
        <v>0</v>
      </c>
      <c r="BI95" s="1">
        <v>2</v>
      </c>
      <c r="BJ95" s="1">
        <v>1</v>
      </c>
      <c r="BK95" s="1">
        <v>1</v>
      </c>
      <c r="BL95" s="1">
        <v>1</v>
      </c>
      <c r="BM95" s="1">
        <v>1</v>
      </c>
      <c r="BN95" s="1">
        <v>1</v>
      </c>
      <c r="BO95" s="1">
        <v>1</v>
      </c>
      <c r="BP95" s="1">
        <v>1</v>
      </c>
      <c r="BQ95" s="1">
        <f>IF(HRRVL,1,0)</f>
        <v>0</v>
      </c>
      <c r="BR95" s="1">
        <v>1</v>
      </c>
      <c r="BS95" s="1">
        <v>1</v>
      </c>
      <c r="BT95" s="1">
        <f>IF(HRXPH,1,0)</f>
        <v>0</v>
      </c>
      <c r="BU95" s="1">
        <f>IF(HRRVL,1,0)</f>
        <v>0</v>
      </c>
      <c r="BV95" s="1">
        <v>2</v>
      </c>
      <c r="BW95" s="1">
        <v>1</v>
      </c>
      <c r="BX95" s="1">
        <v>1</v>
      </c>
      <c r="BY95" s="1">
        <v>1</v>
      </c>
      <c r="BZ95" s="1">
        <v>1</v>
      </c>
      <c r="CA95" s="1">
        <v>1</v>
      </c>
      <c r="CB95" s="1">
        <v>1</v>
      </c>
      <c r="CC95" s="1">
        <v>1</v>
      </c>
      <c r="CD95" s="1">
        <v>1</v>
      </c>
      <c r="CE95" s="1">
        <v>1</v>
      </c>
      <c r="CF95" s="1">
        <v>2</v>
      </c>
      <c r="CG95" s="1">
        <f>IF(HRToB,1,0)</f>
        <v>0</v>
      </c>
      <c r="CH95" s="1">
        <v>1</v>
      </c>
      <c r="CI95" s="1">
        <v>1</v>
      </c>
      <c r="CJ95" s="1">
        <v>2</v>
      </c>
      <c r="CK95" s="1">
        <v>2</v>
      </c>
      <c r="CL95" s="1">
        <v>2</v>
      </c>
      <c r="CM95" s="1">
        <v>2</v>
      </c>
      <c r="CN95" s="1">
        <v>2</v>
      </c>
      <c r="CO95" s="1">
        <v>2</v>
      </c>
      <c r="CP95" s="1">
        <v>2</v>
      </c>
      <c r="CQ95" s="1">
        <v>2</v>
      </c>
      <c r="CR95" s="1">
        <v>2</v>
      </c>
      <c r="CS95" s="1">
        <v>2</v>
      </c>
      <c r="CT95" s="1">
        <v>2</v>
      </c>
      <c r="CU95" s="1">
        <v>2</v>
      </c>
      <c r="CV95" s="1">
        <f>IF(HRXPH,1,0)</f>
        <v>0</v>
      </c>
      <c r="CW95" s="1">
        <v>1</v>
      </c>
      <c r="CX95" s="1">
        <v>1</v>
      </c>
      <c r="CY95" s="1">
        <v>1</v>
      </c>
      <c r="CZ95" s="1">
        <f>IF(HRCS,1,0)</f>
        <v>0</v>
      </c>
      <c r="DA95" s="1">
        <v>1</v>
      </c>
      <c r="DB95" s="1">
        <v>1</v>
      </c>
      <c r="DC95" s="1">
        <v>1</v>
      </c>
      <c r="DD95" s="1">
        <v>2</v>
      </c>
      <c r="DE95" s="1">
        <v>1</v>
      </c>
      <c r="DF95" s="1">
        <v>1</v>
      </c>
      <c r="DG95" s="1">
        <v>1</v>
      </c>
      <c r="DH95" s="1">
        <v>1</v>
      </c>
      <c r="DI95" s="1">
        <f>IF(HRXPH,1,0)</f>
        <v>0</v>
      </c>
      <c r="DJ95" s="1">
        <v>1</v>
      </c>
      <c r="DK95" s="1" t="s">
        <v>309</v>
      </c>
      <c r="DL95" s="1" t="s">
        <v>170</v>
      </c>
      <c r="EE95" s="8" t="s">
        <v>301</v>
      </c>
      <c r="EF95" s="9">
        <v>2</v>
      </c>
      <c r="EG95" s="9" t="s">
        <v>134</v>
      </c>
      <c r="EH95" s="9">
        <v>1</v>
      </c>
      <c r="EI95" s="9" t="b">
        <f t="shared" si="92"/>
        <v>0</v>
      </c>
      <c r="EJ95" s="9" t="str">
        <f t="shared" si="93"/>
        <v/>
      </c>
      <c r="EK95" s="9">
        <f>IF($EI95,MATCH($EJ95,TblClassN,0),99)</f>
        <v>99</v>
      </c>
      <c r="EL95" s="9">
        <f t="shared" si="98"/>
        <v>99</v>
      </c>
      <c r="EM95" s="9">
        <f t="shared" si="94"/>
        <v>99</v>
      </c>
      <c r="EN95" s="9">
        <f t="shared" si="95"/>
        <v>99</v>
      </c>
      <c r="EO95" s="10">
        <f t="shared" si="96"/>
        <v>0</v>
      </c>
    </row>
    <row r="96" spans="1:145" ht="11.25" customHeight="1" x14ac:dyDescent="0.2">
      <c r="A96" s="1">
        <f t="shared" si="68"/>
        <v>93</v>
      </c>
      <c r="B96" s="1" t="s">
        <v>312</v>
      </c>
      <c r="C96" s="1" t="s">
        <v>313</v>
      </c>
      <c r="D96" s="1" t="s">
        <v>313</v>
      </c>
      <c r="E96" s="1">
        <f t="shared" si="84"/>
        <v>0</v>
      </c>
      <c r="K96" s="1">
        <v>6</v>
      </c>
      <c r="L96" s="1">
        <v>6</v>
      </c>
      <c r="N96" s="1" t="b">
        <v>1</v>
      </c>
      <c r="S96" s="1" t="b">
        <v>1</v>
      </c>
      <c r="V96" s="1">
        <v>0.5</v>
      </c>
      <c r="W96" s="1">
        <v>0.34</v>
      </c>
      <c r="X96" s="1">
        <v>0.5</v>
      </c>
      <c r="Y96" s="1">
        <v>0.5</v>
      </c>
      <c r="Z96" s="1" t="b">
        <f>FALSE</f>
        <v>0</v>
      </c>
      <c r="AA96" s="1" t="str">
        <f t="shared" si="88"/>
        <v/>
      </c>
      <c r="AB96" s="1" t="str">
        <f t="shared" si="89"/>
        <v/>
      </c>
      <c r="AC96" s="1">
        <f t="shared" si="85"/>
        <v>0</v>
      </c>
      <c r="AD96" s="1" t="str">
        <f t="shared" si="90"/>
        <v/>
      </c>
      <c r="AE96" s="1" t="str">
        <f t="shared" si="91"/>
        <v/>
      </c>
      <c r="AF96" s="1">
        <f t="shared" si="86"/>
        <v>0</v>
      </c>
      <c r="AG96" s="1">
        <f t="shared" si="97"/>
        <v>5</v>
      </c>
      <c r="AH96" s="1" t="str">
        <f t="shared" si="87"/>
        <v/>
      </c>
      <c r="AI96" s="1">
        <v>1</v>
      </c>
      <c r="AJ96" s="1">
        <f>IF(HRXPH,1,0)</f>
        <v>0</v>
      </c>
      <c r="AK96" s="1">
        <v>1</v>
      </c>
      <c r="AL96" s="1">
        <v>1</v>
      </c>
      <c r="AM96" s="1">
        <v>2</v>
      </c>
      <c r="AN96" s="1">
        <f t="shared" si="101"/>
        <v>0</v>
      </c>
      <c r="AO96" s="1">
        <v>1</v>
      </c>
      <c r="AP96" s="1">
        <v>2</v>
      </c>
      <c r="AQ96" s="1">
        <v>2</v>
      </c>
      <c r="AR96" s="1">
        <v>2</v>
      </c>
      <c r="AS96" s="1">
        <v>2</v>
      </c>
      <c r="AT96" s="1">
        <v>2</v>
      </c>
      <c r="AU96" s="1">
        <v>2</v>
      </c>
      <c r="AV96" s="1">
        <v>2</v>
      </c>
      <c r="AW96" s="1">
        <v>1</v>
      </c>
      <c r="AX96" s="1">
        <v>1</v>
      </c>
      <c r="AY96" s="1">
        <v>2</v>
      </c>
      <c r="AZ96" s="1">
        <v>1</v>
      </c>
      <c r="BA96" s="1">
        <v>1</v>
      </c>
      <c r="BB96" s="1">
        <v>1</v>
      </c>
      <c r="BC96" s="1">
        <v>1</v>
      </c>
      <c r="BD96" s="1">
        <v>1</v>
      </c>
      <c r="BE96" s="1">
        <v>1</v>
      </c>
      <c r="BF96" s="1">
        <v>1</v>
      </c>
      <c r="BG96" s="1">
        <f>IF(HRRVL,1,0)</f>
        <v>0</v>
      </c>
      <c r="BH96" s="1">
        <f t="shared" si="102"/>
        <v>0</v>
      </c>
      <c r="BI96" s="1">
        <v>1</v>
      </c>
      <c r="BJ96" s="1">
        <v>1</v>
      </c>
      <c r="BK96" s="1">
        <v>2</v>
      </c>
      <c r="BL96" s="1">
        <v>2</v>
      </c>
      <c r="BM96" s="1">
        <v>1</v>
      </c>
      <c r="BN96" s="1">
        <v>1</v>
      </c>
      <c r="BO96" s="1">
        <v>1</v>
      </c>
      <c r="BP96" s="1">
        <v>1</v>
      </c>
      <c r="BQ96" s="1">
        <f>IF(HRRVL,1,0)</f>
        <v>0</v>
      </c>
      <c r="BR96" s="1">
        <v>1</v>
      </c>
      <c r="BS96" s="1">
        <v>1</v>
      </c>
      <c r="BT96" s="1">
        <f>IF(HRXPH,1,0)</f>
        <v>0</v>
      </c>
      <c r="BU96" s="1">
        <f>IF(HRRVL,1,0)</f>
        <v>0</v>
      </c>
      <c r="BV96" s="1">
        <v>1</v>
      </c>
      <c r="BW96" s="1">
        <v>1</v>
      </c>
      <c r="BX96" s="1">
        <v>2</v>
      </c>
      <c r="BY96" s="1">
        <v>2</v>
      </c>
      <c r="BZ96" s="1">
        <v>2</v>
      </c>
      <c r="CA96" s="1">
        <v>2</v>
      </c>
      <c r="CB96" s="1">
        <v>2</v>
      </c>
      <c r="CC96" s="1">
        <v>2</v>
      </c>
      <c r="CD96" s="1">
        <v>2</v>
      </c>
      <c r="CE96" s="1">
        <v>2</v>
      </c>
      <c r="CF96" s="1">
        <v>2</v>
      </c>
      <c r="CG96" s="1">
        <f>IF(HRToB,1,0)</f>
        <v>0</v>
      </c>
      <c r="CH96" s="1">
        <v>1</v>
      </c>
      <c r="CI96" s="1">
        <v>2</v>
      </c>
      <c r="CJ96" s="1">
        <v>1</v>
      </c>
      <c r="CK96" s="1">
        <v>1</v>
      </c>
      <c r="CL96" s="1">
        <v>1</v>
      </c>
      <c r="CM96" s="1">
        <v>1</v>
      </c>
      <c r="CN96" s="1">
        <v>1</v>
      </c>
      <c r="CO96" s="1">
        <v>1</v>
      </c>
      <c r="CP96" s="1">
        <v>2</v>
      </c>
      <c r="CQ96" s="1">
        <v>2</v>
      </c>
      <c r="CR96" s="1">
        <v>2</v>
      </c>
      <c r="CS96" s="1">
        <v>2</v>
      </c>
      <c r="CT96" s="1">
        <v>2</v>
      </c>
      <c r="CU96" s="1">
        <v>2</v>
      </c>
      <c r="CV96" s="1">
        <f>IF(HRXPH,1,0)</f>
        <v>0</v>
      </c>
      <c r="CW96" s="1">
        <v>1</v>
      </c>
      <c r="CX96" s="1">
        <v>2</v>
      </c>
      <c r="CY96" s="1">
        <v>1</v>
      </c>
      <c r="CZ96" s="1">
        <f>IF(HRCS,1,0)</f>
        <v>0</v>
      </c>
      <c r="DA96" s="1">
        <v>1</v>
      </c>
      <c r="DB96" s="1">
        <v>1</v>
      </c>
      <c r="DC96" s="1">
        <v>1</v>
      </c>
      <c r="DD96" s="1">
        <v>2</v>
      </c>
      <c r="DE96" s="1">
        <v>1</v>
      </c>
      <c r="DF96" s="1">
        <v>1</v>
      </c>
      <c r="DG96" s="1">
        <v>1</v>
      </c>
      <c r="DH96" s="1">
        <v>1</v>
      </c>
      <c r="DI96" s="1">
        <f>IF(HRXPH,1,0)</f>
        <v>0</v>
      </c>
      <c r="DJ96" s="1">
        <v>2</v>
      </c>
      <c r="DK96" s="1" t="s">
        <v>309</v>
      </c>
      <c r="DL96" s="1" t="s">
        <v>170</v>
      </c>
      <c r="EE96" s="8" t="s">
        <v>301</v>
      </c>
      <c r="EF96" s="9">
        <v>2</v>
      </c>
      <c r="EG96" s="9" t="s">
        <v>118</v>
      </c>
      <c r="EH96" s="9">
        <v>1</v>
      </c>
      <c r="EI96" s="9" t="b">
        <f t="shared" si="92"/>
        <v>0</v>
      </c>
      <c r="EJ96" s="9" t="str">
        <f t="shared" si="93"/>
        <v/>
      </c>
      <c r="EK96" s="9">
        <f>IF($EI96,MATCH($EJ96,TblClassN,0),99)</f>
        <v>99</v>
      </c>
      <c r="EL96" s="9">
        <f t="shared" si="98"/>
        <v>99</v>
      </c>
      <c r="EM96" s="9">
        <f t="shared" si="94"/>
        <v>99</v>
      </c>
      <c r="EN96" s="9">
        <f t="shared" si="95"/>
        <v>99</v>
      </c>
      <c r="EO96" s="10">
        <f t="shared" si="96"/>
        <v>0</v>
      </c>
    </row>
    <row r="97" spans="1:145" ht="11.25" customHeight="1" x14ac:dyDescent="0.2">
      <c r="A97" s="1">
        <f t="shared" si="68"/>
        <v>94</v>
      </c>
      <c r="B97" s="1" t="s">
        <v>314</v>
      </c>
      <c r="C97" s="1" t="s">
        <v>315</v>
      </c>
      <c r="D97" s="1" t="s">
        <v>315</v>
      </c>
      <c r="E97" s="1">
        <f t="shared" si="84"/>
        <v>0</v>
      </c>
      <c r="K97" s="1">
        <v>6</v>
      </c>
      <c r="L97" s="1">
        <v>6</v>
      </c>
      <c r="N97" s="1" t="b">
        <v>1</v>
      </c>
      <c r="Q97" s="1" t="b">
        <v>1</v>
      </c>
      <c r="S97" s="1" t="b">
        <v>1</v>
      </c>
      <c r="V97" s="1">
        <v>0.75</v>
      </c>
      <c r="W97" s="1">
        <v>0.34</v>
      </c>
      <c r="X97" s="1">
        <v>0.5</v>
      </c>
      <c r="Y97" s="1">
        <v>0.5</v>
      </c>
      <c r="Z97" s="1" t="b">
        <f>FALSE</f>
        <v>0</v>
      </c>
      <c r="AA97" s="1" t="str">
        <f t="shared" si="88"/>
        <v/>
      </c>
      <c r="AB97" s="1" t="str">
        <f t="shared" si="89"/>
        <v/>
      </c>
      <c r="AC97" s="1">
        <f t="shared" si="85"/>
        <v>0</v>
      </c>
      <c r="AD97" s="1" t="str">
        <f t="shared" si="90"/>
        <v/>
      </c>
      <c r="AE97" s="1" t="str">
        <f t="shared" si="91"/>
        <v/>
      </c>
      <c r="AF97" s="1">
        <f t="shared" si="86"/>
        <v>0</v>
      </c>
      <c r="AG97" s="1">
        <f t="shared" si="97"/>
        <v>5</v>
      </c>
      <c r="AH97" s="1" t="str">
        <f t="shared" si="87"/>
        <v/>
      </c>
      <c r="AI97" s="1">
        <v>2</v>
      </c>
      <c r="AJ97" s="1">
        <f>IF(HRXPH,1,0)</f>
        <v>0</v>
      </c>
      <c r="AK97" s="1">
        <f>1+1*IF([1]Classes!$BN$2=AK2,1,0)</f>
        <v>1</v>
      </c>
      <c r="AL97" s="1">
        <v>2</v>
      </c>
      <c r="AM97" s="1">
        <f>1+1*IF([1]Classes!$BN$2=AM2,1,0)</f>
        <v>1</v>
      </c>
      <c r="AN97" s="1">
        <f t="shared" si="101"/>
        <v>0</v>
      </c>
      <c r="AO97" s="1">
        <f>1+1*IF([1]Classes!$BN$2=AO2,1,0)</f>
        <v>1</v>
      </c>
      <c r="AP97" s="1">
        <v>2</v>
      </c>
      <c r="AQ97" s="1">
        <v>2</v>
      </c>
      <c r="AR97" s="1">
        <v>2</v>
      </c>
      <c r="AS97" s="1">
        <v>2</v>
      </c>
      <c r="AT97" s="1">
        <v>2</v>
      </c>
      <c r="AU97" s="1">
        <v>2</v>
      </c>
      <c r="AV97" s="1">
        <v>2</v>
      </c>
      <c r="AW97" s="1">
        <f>1+1*IF([1]Classes!$BN$2=AW2,1,0)</f>
        <v>1</v>
      </c>
      <c r="AX97" s="1">
        <v>2</v>
      </c>
      <c r="AY97" s="1">
        <f>1+1*IF([1]Classes!$BN$2=AY2,1,0)</f>
        <v>1</v>
      </c>
      <c r="AZ97" s="1">
        <v>2</v>
      </c>
      <c r="BA97" s="1">
        <f>1+1*IF([1]Classes!$BN$2=BA2,1,0)</f>
        <v>1</v>
      </c>
      <c r="BB97" s="1">
        <f>1+1*IF([1]Classes!$BN$2=BB2,1,0)</f>
        <v>1</v>
      </c>
      <c r="BC97" s="1">
        <v>2</v>
      </c>
      <c r="BD97" s="1">
        <f>1+1*IF([1]Classes!$BN$2=BD2,1,0)</f>
        <v>1</v>
      </c>
      <c r="BE97" s="1">
        <f>1+1*IF([1]Classes!$BN$2=BE2,1,0)</f>
        <v>1</v>
      </c>
      <c r="BF97" s="1">
        <f>1+1*IF([1]Classes!$BN$2=BF2,1,0)</f>
        <v>1</v>
      </c>
      <c r="BG97" s="1">
        <f>IF(HRRVL,1,0)</f>
        <v>0</v>
      </c>
      <c r="BH97" s="1">
        <f t="shared" si="102"/>
        <v>0</v>
      </c>
      <c r="BI97" s="1">
        <v>2</v>
      </c>
      <c r="BJ97" s="1">
        <f>1+1*IF([1]Classes!$BN$2=BJ2,1,0)</f>
        <v>1</v>
      </c>
      <c r="BK97" s="1">
        <f>1+1*IF([1]Classes!$BN$2=BK2,1,0)</f>
        <v>1</v>
      </c>
      <c r="BL97" s="1">
        <f>1+1*IF([1]Classes!$BN$2=BL2,1,0)</f>
        <v>1</v>
      </c>
      <c r="BM97" s="1">
        <f>1+1*IF([1]Classes!$BN$2=BM2,1,0)</f>
        <v>1</v>
      </c>
      <c r="BN97" s="1">
        <v>2</v>
      </c>
      <c r="BO97" s="1">
        <v>2</v>
      </c>
      <c r="BP97" s="1">
        <v>2</v>
      </c>
      <c r="BQ97" s="1">
        <f>IF(HRRVL,1,0)</f>
        <v>0</v>
      </c>
      <c r="BR97" s="1">
        <f>1+1*IF([1]Classes!$BN$2=BR2,1,0)</f>
        <v>1</v>
      </c>
      <c r="BS97" s="1">
        <v>2</v>
      </c>
      <c r="BT97" s="1">
        <f>IF(HRXPH,1,0)</f>
        <v>0</v>
      </c>
      <c r="BU97" s="1">
        <f>IF(HRRVL,1,0)</f>
        <v>0</v>
      </c>
      <c r="BV97" s="1">
        <v>2</v>
      </c>
      <c r="BW97" s="1">
        <f>1+1*IF([1]Classes!$BN$2=BW2,1,0)</f>
        <v>1</v>
      </c>
      <c r="BX97" s="1">
        <v>1</v>
      </c>
      <c r="BY97" s="1">
        <v>1</v>
      </c>
      <c r="BZ97" s="1">
        <v>1</v>
      </c>
      <c r="CA97" s="1">
        <v>1</v>
      </c>
      <c r="CB97" s="1">
        <v>1</v>
      </c>
      <c r="CC97" s="1">
        <v>1</v>
      </c>
      <c r="CD97" s="1">
        <v>1</v>
      </c>
      <c r="CE97" s="1">
        <v>1</v>
      </c>
      <c r="CF97" s="1">
        <f>1+1*IF([1]Classes!$BN$2=CF2,1,0)</f>
        <v>1</v>
      </c>
      <c r="CG97" s="1">
        <f>IF(HRToB,1,0)</f>
        <v>0</v>
      </c>
      <c r="CH97" s="1">
        <f>1+1*IF([1]Classes!$BN$2=CH2,1,0)</f>
        <v>1</v>
      </c>
      <c r="CI97" s="1">
        <f>1+1*IF([1]Classes!$BN$2=CI2,1,0)</f>
        <v>1</v>
      </c>
      <c r="CJ97" s="1">
        <v>2</v>
      </c>
      <c r="CK97" s="1">
        <v>2</v>
      </c>
      <c r="CL97" s="1">
        <v>2</v>
      </c>
      <c r="CM97" s="1">
        <v>2</v>
      </c>
      <c r="CN97" s="1">
        <v>2</v>
      </c>
      <c r="CO97" s="1">
        <v>2</v>
      </c>
      <c r="CP97" s="1">
        <v>1</v>
      </c>
      <c r="CQ97" s="1">
        <v>1</v>
      </c>
      <c r="CR97" s="1">
        <v>1</v>
      </c>
      <c r="CS97" s="1">
        <v>1</v>
      </c>
      <c r="CT97" s="1">
        <v>1</v>
      </c>
      <c r="CU97" s="1">
        <v>1</v>
      </c>
      <c r="CV97" s="1">
        <f>IF(HRXPH,1,0)</f>
        <v>0</v>
      </c>
      <c r="CW97" s="1">
        <v>2</v>
      </c>
      <c r="CX97" s="1">
        <f>1+1*IF([1]Classes!$BN$2=CX2,1,0)</f>
        <v>1</v>
      </c>
      <c r="CY97" s="1">
        <v>2</v>
      </c>
      <c r="CZ97" s="1">
        <f>IF(HRCS,1,0)</f>
        <v>0</v>
      </c>
      <c r="DA97" s="1">
        <f>1+1*IF([1]Classes!$BN$2=DA2,1,0)</f>
        <v>1</v>
      </c>
      <c r="DB97" s="1">
        <f>1+1*IF([1]Classes!$BN$2=DB2,1,0)</f>
        <v>1</v>
      </c>
      <c r="DC97" s="1">
        <f>1+1*IF([1]Classes!$BN$2=DC2,1,0)</f>
        <v>1</v>
      </c>
      <c r="DD97" s="1">
        <f>1+1*IF([1]Classes!$BN$2=DD2,1,0)</f>
        <v>1</v>
      </c>
      <c r="DE97" s="1">
        <f>1+1*IF([1]Classes!$BN$2=DE2,1,0)</f>
        <v>1</v>
      </c>
      <c r="DF97" s="1">
        <f>1+1*IF([1]Classes!$BN$2=DF2,1,0)</f>
        <v>1</v>
      </c>
      <c r="DG97" s="1">
        <f>1+1*IF([1]Classes!$BN$2=DG2,1,0)</f>
        <v>1</v>
      </c>
      <c r="DH97" s="1">
        <f>1+1*IF([1]Classes!$BN$2=DH2,1,0)</f>
        <v>1</v>
      </c>
      <c r="DI97" s="1">
        <f>IF(HRXPH,1,0)</f>
        <v>0</v>
      </c>
      <c r="DJ97" s="1">
        <f>1+1*IF([1]Classes!$BN$2=DJ2,1,0)</f>
        <v>1</v>
      </c>
      <c r="DK97" s="1" t="s">
        <v>309</v>
      </c>
      <c r="DL97" s="1" t="s">
        <v>170</v>
      </c>
      <c r="EE97" s="8" t="s">
        <v>301</v>
      </c>
      <c r="EF97" s="9">
        <v>5</v>
      </c>
      <c r="EG97" s="9" t="s">
        <v>162</v>
      </c>
      <c r="EH97" s="9">
        <v>-1</v>
      </c>
      <c r="EI97" s="9" t="b">
        <f t="shared" si="92"/>
        <v>0</v>
      </c>
      <c r="EJ97" s="9" t="str">
        <f t="shared" si="93"/>
        <v/>
      </c>
      <c r="EK97" s="9">
        <f>IF($EI97,MATCH($EJ97,TblClassN,0),99)</f>
        <v>99</v>
      </c>
      <c r="EL97" s="9">
        <f t="shared" si="98"/>
        <v>99</v>
      </c>
      <c r="EM97" s="9">
        <f t="shared" si="94"/>
        <v>99</v>
      </c>
      <c r="EN97" s="9">
        <f t="shared" si="95"/>
        <v>99</v>
      </c>
      <c r="EO97" s="10">
        <f t="shared" si="96"/>
        <v>0</v>
      </c>
    </row>
    <row r="98" spans="1:145" ht="11.25" customHeight="1" x14ac:dyDescent="0.2">
      <c r="A98" s="1">
        <f t="shared" si="68"/>
        <v>95</v>
      </c>
      <c r="B98" s="1" t="s">
        <v>316</v>
      </c>
      <c r="E98" s="1">
        <f t="shared" si="84"/>
        <v>0</v>
      </c>
      <c r="F98" s="1">
        <v>1</v>
      </c>
      <c r="Z98" s="1" t="b">
        <f>FALSE</f>
        <v>0</v>
      </c>
      <c r="AA98" s="1" t="str">
        <f t="shared" si="88"/>
        <v/>
      </c>
      <c r="AB98" s="1" t="str">
        <f t="shared" si="89"/>
        <v/>
      </c>
      <c r="AC98" s="1">
        <f t="shared" si="85"/>
        <v>0</v>
      </c>
      <c r="AD98" s="1" t="str">
        <f t="shared" si="90"/>
        <v/>
      </c>
      <c r="AE98" s="1" t="str">
        <f t="shared" si="91"/>
        <v/>
      </c>
      <c r="AF98" s="1">
        <f t="shared" si="86"/>
        <v>0</v>
      </c>
      <c r="AG98" s="1">
        <f t="shared" si="97"/>
        <v>5</v>
      </c>
      <c r="AH98" s="1" t="str">
        <f t="shared" si="87"/>
        <v/>
      </c>
      <c r="AI98" s="1">
        <f>COLUMN()-$AH$1</f>
        <v>1</v>
      </c>
      <c r="AJ98" s="1">
        <f t="shared" ref="AJ98:CV98" si="103">COLUMN()-$AH$1</f>
        <v>2</v>
      </c>
      <c r="AK98" s="1">
        <f t="shared" si="103"/>
        <v>3</v>
      </c>
      <c r="AL98" s="1">
        <f t="shared" si="103"/>
        <v>4</v>
      </c>
      <c r="AM98" s="1">
        <f t="shared" si="103"/>
        <v>5</v>
      </c>
      <c r="AN98" s="1">
        <f t="shared" si="101"/>
        <v>0</v>
      </c>
      <c r="AO98" s="1">
        <f t="shared" si="103"/>
        <v>7</v>
      </c>
      <c r="AP98" s="1">
        <f t="shared" si="103"/>
        <v>8</v>
      </c>
      <c r="AQ98" s="1">
        <f t="shared" si="103"/>
        <v>9</v>
      </c>
      <c r="AR98" s="1">
        <f t="shared" si="103"/>
        <v>10</v>
      </c>
      <c r="AS98" s="1">
        <f t="shared" si="103"/>
        <v>11</v>
      </c>
      <c r="AT98" s="1">
        <f t="shared" si="103"/>
        <v>12</v>
      </c>
      <c r="AU98" s="1">
        <f t="shared" si="103"/>
        <v>13</v>
      </c>
      <c r="AV98" s="1">
        <f t="shared" si="103"/>
        <v>14</v>
      </c>
      <c r="AW98" s="1">
        <f t="shared" si="103"/>
        <v>15</v>
      </c>
      <c r="AX98" s="1">
        <f t="shared" si="103"/>
        <v>16</v>
      </c>
      <c r="AY98" s="1">
        <f t="shared" si="103"/>
        <v>17</v>
      </c>
      <c r="AZ98" s="1">
        <f t="shared" si="103"/>
        <v>18</v>
      </c>
      <c r="BA98" s="1">
        <f t="shared" si="103"/>
        <v>19</v>
      </c>
      <c r="BB98" s="1">
        <f t="shared" si="103"/>
        <v>20</v>
      </c>
      <c r="BC98" s="1">
        <f t="shared" si="103"/>
        <v>21</v>
      </c>
      <c r="BD98" s="1">
        <f t="shared" si="103"/>
        <v>22</v>
      </c>
      <c r="BE98" s="1">
        <f t="shared" si="103"/>
        <v>23</v>
      </c>
      <c r="BF98" s="1">
        <f t="shared" si="103"/>
        <v>24</v>
      </c>
      <c r="BG98" s="1">
        <f t="shared" si="103"/>
        <v>25</v>
      </c>
      <c r="BH98" s="1">
        <f t="shared" si="102"/>
        <v>0</v>
      </c>
      <c r="BI98" s="1">
        <f t="shared" si="103"/>
        <v>27</v>
      </c>
      <c r="BJ98" s="1">
        <f t="shared" si="103"/>
        <v>28</v>
      </c>
      <c r="BK98" s="1">
        <f t="shared" si="103"/>
        <v>29</v>
      </c>
      <c r="BL98" s="1">
        <f t="shared" si="103"/>
        <v>30</v>
      </c>
      <c r="BM98" s="1">
        <f t="shared" si="103"/>
        <v>31</v>
      </c>
      <c r="BN98" s="1">
        <f t="shared" si="103"/>
        <v>32</v>
      </c>
      <c r="BO98" s="1">
        <f t="shared" si="103"/>
        <v>33</v>
      </c>
      <c r="BP98" s="1">
        <f t="shared" si="103"/>
        <v>34</v>
      </c>
      <c r="BQ98" s="1">
        <f t="shared" si="103"/>
        <v>35</v>
      </c>
      <c r="BR98" s="1">
        <f t="shared" si="103"/>
        <v>36</v>
      </c>
      <c r="BS98" s="1">
        <f t="shared" si="103"/>
        <v>37</v>
      </c>
      <c r="BT98" s="1">
        <f t="shared" si="103"/>
        <v>38</v>
      </c>
      <c r="BU98" s="1">
        <f t="shared" si="103"/>
        <v>39</v>
      </c>
      <c r="BV98" s="1">
        <f t="shared" si="103"/>
        <v>40</v>
      </c>
      <c r="BW98" s="1">
        <f t="shared" si="103"/>
        <v>41</v>
      </c>
      <c r="BX98" s="1">
        <f t="shared" si="103"/>
        <v>42</v>
      </c>
      <c r="BY98" s="1">
        <f t="shared" si="103"/>
        <v>43</v>
      </c>
      <c r="BZ98" s="1">
        <f t="shared" si="103"/>
        <v>44</v>
      </c>
      <c r="CA98" s="1">
        <f t="shared" si="103"/>
        <v>45</v>
      </c>
      <c r="CB98" s="1">
        <f t="shared" si="103"/>
        <v>46</v>
      </c>
      <c r="CC98" s="1">
        <f t="shared" si="103"/>
        <v>47</v>
      </c>
      <c r="CD98" s="1">
        <f t="shared" si="103"/>
        <v>48</v>
      </c>
      <c r="CE98" s="1">
        <f t="shared" si="103"/>
        <v>49</v>
      </c>
      <c r="CF98" s="1">
        <f t="shared" si="103"/>
        <v>50</v>
      </c>
      <c r="CG98" s="1">
        <f t="shared" si="103"/>
        <v>51</v>
      </c>
      <c r="CH98" s="1">
        <f t="shared" si="103"/>
        <v>52</v>
      </c>
      <c r="CI98" s="1">
        <f t="shared" si="103"/>
        <v>53</v>
      </c>
      <c r="CJ98" s="1">
        <f t="shared" si="103"/>
        <v>54</v>
      </c>
      <c r="CK98" s="1">
        <f t="shared" si="103"/>
        <v>55</v>
      </c>
      <c r="CL98" s="1">
        <f t="shared" si="103"/>
        <v>56</v>
      </c>
      <c r="CM98" s="1">
        <f t="shared" si="103"/>
        <v>57</v>
      </c>
      <c r="CN98" s="1">
        <f t="shared" si="103"/>
        <v>58</v>
      </c>
      <c r="CO98" s="1">
        <f t="shared" si="103"/>
        <v>59</v>
      </c>
      <c r="CP98" s="1">
        <f t="shared" si="103"/>
        <v>60</v>
      </c>
      <c r="CQ98" s="1">
        <f t="shared" si="103"/>
        <v>61</v>
      </c>
      <c r="CR98" s="1">
        <f t="shared" si="103"/>
        <v>62</v>
      </c>
      <c r="CS98" s="1">
        <f t="shared" si="103"/>
        <v>63</v>
      </c>
      <c r="CT98" s="1">
        <f t="shared" si="103"/>
        <v>64</v>
      </c>
      <c r="CU98" s="1">
        <f t="shared" si="103"/>
        <v>65</v>
      </c>
      <c r="CV98" s="1">
        <f t="shared" si="103"/>
        <v>66</v>
      </c>
      <c r="CW98" s="1">
        <f t="shared" ref="CW98:DJ98" si="104">COLUMN()-$AH$1</f>
        <v>67</v>
      </c>
      <c r="CX98" s="1">
        <f t="shared" si="104"/>
        <v>68</v>
      </c>
      <c r="CY98" s="1">
        <f t="shared" si="104"/>
        <v>69</v>
      </c>
      <c r="CZ98" s="1">
        <f t="shared" si="104"/>
        <v>70</v>
      </c>
      <c r="DA98" s="1">
        <f t="shared" si="104"/>
        <v>71</v>
      </c>
      <c r="DB98" s="1">
        <f t="shared" si="104"/>
        <v>72</v>
      </c>
      <c r="DC98" s="1">
        <f t="shared" si="104"/>
        <v>73</v>
      </c>
      <c r="DD98" s="1">
        <f t="shared" si="104"/>
        <v>74</v>
      </c>
      <c r="DE98" s="1">
        <f t="shared" si="104"/>
        <v>75</v>
      </c>
      <c r="DF98" s="1">
        <f t="shared" si="104"/>
        <v>76</v>
      </c>
      <c r="DG98" s="1">
        <f t="shared" si="104"/>
        <v>77</v>
      </c>
      <c r="DH98" s="1">
        <f t="shared" si="104"/>
        <v>78</v>
      </c>
      <c r="DI98" s="1">
        <f t="shared" si="104"/>
        <v>79</v>
      </c>
      <c r="DJ98" s="1">
        <f t="shared" si="104"/>
        <v>80</v>
      </c>
      <c r="EE98" s="8" t="s">
        <v>301</v>
      </c>
      <c r="EF98" s="9">
        <v>5</v>
      </c>
      <c r="EG98" s="9" t="s">
        <v>129</v>
      </c>
      <c r="EH98" s="9">
        <v>1</v>
      </c>
      <c r="EI98" s="9" t="b">
        <f t="shared" si="92"/>
        <v>0</v>
      </c>
      <c r="EJ98" s="9" t="str">
        <f t="shared" si="93"/>
        <v/>
      </c>
      <c r="EK98" s="9">
        <f>IF($EI98,MATCH($EJ98,TblClassN,0),99)</f>
        <v>99</v>
      </c>
      <c r="EL98" s="9">
        <f t="shared" si="98"/>
        <v>99</v>
      </c>
      <c r="EM98" s="9">
        <f t="shared" si="94"/>
        <v>99</v>
      </c>
      <c r="EN98" s="9">
        <f t="shared" si="95"/>
        <v>99</v>
      </c>
      <c r="EO98" s="10">
        <f t="shared" si="96"/>
        <v>0</v>
      </c>
    </row>
    <row r="99" spans="1:145" ht="11.25" customHeight="1" x14ac:dyDescent="0.2">
      <c r="A99" s="1">
        <f t="shared" si="68"/>
        <v>96</v>
      </c>
      <c r="B99" s="1" t="s">
        <v>317</v>
      </c>
      <c r="C99" s="1" t="s">
        <v>318</v>
      </c>
      <c r="D99" s="1" t="s">
        <v>318</v>
      </c>
      <c r="E99" s="1">
        <f t="shared" si="84"/>
        <v>0</v>
      </c>
      <c r="K99" s="1">
        <v>2</v>
      </c>
      <c r="L99" s="1">
        <v>6</v>
      </c>
      <c r="S99" s="1" t="b">
        <v>1</v>
      </c>
      <c r="V99" s="1">
        <v>0.5</v>
      </c>
      <c r="W99" s="1">
        <v>0.34</v>
      </c>
      <c r="X99" s="1">
        <v>0.34</v>
      </c>
      <c r="Y99" s="1">
        <v>0.5</v>
      </c>
      <c r="Z99" s="1" t="b">
        <f>FALSE</f>
        <v>0</v>
      </c>
      <c r="AA99" s="1" t="str">
        <f t="shared" si="88"/>
        <v/>
      </c>
      <c r="AB99" s="1" t="str">
        <f t="shared" si="89"/>
        <v/>
      </c>
      <c r="AC99" s="1">
        <f t="shared" si="85"/>
        <v>0</v>
      </c>
      <c r="AD99" s="1" t="str">
        <f t="shared" si="90"/>
        <v/>
      </c>
      <c r="AE99" s="1" t="str">
        <f t="shared" si="91"/>
        <v/>
      </c>
      <c r="AF99" s="1">
        <f t="shared" si="86"/>
        <v>0</v>
      </c>
      <c r="AG99" s="1">
        <f t="shared" si="97"/>
        <v>5</v>
      </c>
      <c r="AH99" s="1" t="str">
        <f t="shared" si="87"/>
        <v/>
      </c>
      <c r="AI99" s="1">
        <v>1</v>
      </c>
      <c r="AJ99" s="1">
        <f>IF(HRXPH,1,0)</f>
        <v>0</v>
      </c>
      <c r="AK99" s="1">
        <v>1</v>
      </c>
      <c r="AL99" s="1">
        <v>1</v>
      </c>
      <c r="AM99" s="1">
        <v>1</v>
      </c>
      <c r="AN99" s="1">
        <f t="shared" si="101"/>
        <v>0</v>
      </c>
      <c r="AO99" s="1">
        <v>2</v>
      </c>
      <c r="AP99" s="1">
        <v>2</v>
      </c>
      <c r="AQ99" s="1">
        <v>2</v>
      </c>
      <c r="AR99" s="1">
        <v>2</v>
      </c>
      <c r="AS99" s="1">
        <v>2</v>
      </c>
      <c r="AT99" s="1">
        <v>2</v>
      </c>
      <c r="AU99" s="1">
        <v>2</v>
      </c>
      <c r="AV99" s="1">
        <v>2</v>
      </c>
      <c r="AW99" s="1">
        <v>1</v>
      </c>
      <c r="AX99" s="1">
        <v>1</v>
      </c>
      <c r="AY99" s="1">
        <v>1</v>
      </c>
      <c r="AZ99" s="1">
        <v>1</v>
      </c>
      <c r="BA99" s="1">
        <v>1</v>
      </c>
      <c r="BB99" s="1">
        <v>1</v>
      </c>
      <c r="BC99" s="1">
        <v>1</v>
      </c>
      <c r="BD99" s="1">
        <v>2</v>
      </c>
      <c r="BE99" s="1">
        <v>2</v>
      </c>
      <c r="BF99" s="1">
        <v>1</v>
      </c>
      <c r="BG99" s="1">
        <f>IF(HRRVL,1,0)</f>
        <v>0</v>
      </c>
      <c r="BH99" s="1">
        <f t="shared" si="102"/>
        <v>0</v>
      </c>
      <c r="BI99" s="1">
        <v>1</v>
      </c>
      <c r="BJ99" s="1">
        <v>1</v>
      </c>
      <c r="BK99" s="1">
        <v>2</v>
      </c>
      <c r="BL99" s="1">
        <v>2</v>
      </c>
      <c r="BM99" s="1">
        <v>2</v>
      </c>
      <c r="BN99" s="1">
        <v>2</v>
      </c>
      <c r="BO99" s="1">
        <v>2</v>
      </c>
      <c r="BP99" s="1">
        <f>1+NOT(HRLivingGreyhawk)</f>
        <v>2</v>
      </c>
      <c r="BQ99" s="1">
        <f>IF(HRRVL,2,0)</f>
        <v>0</v>
      </c>
      <c r="BR99" s="1">
        <v>2</v>
      </c>
      <c r="BS99" s="1">
        <v>2</v>
      </c>
      <c r="BT99" s="1">
        <f>IF(HRXPH,2,0)</f>
        <v>0</v>
      </c>
      <c r="BU99" s="1">
        <f>IF(HRRVL,2,0)</f>
        <v>0</v>
      </c>
      <c r="BV99" s="1">
        <v>2</v>
      </c>
      <c r="BW99" s="1">
        <v>2</v>
      </c>
      <c r="BX99" s="1">
        <v>2</v>
      </c>
      <c r="BY99" s="1">
        <v>2</v>
      </c>
      <c r="BZ99" s="1">
        <v>2</v>
      </c>
      <c r="CA99" s="1">
        <v>2</v>
      </c>
      <c r="CB99" s="1">
        <v>2</v>
      </c>
      <c r="CC99" s="1">
        <v>2</v>
      </c>
      <c r="CD99" s="1">
        <v>2</v>
      </c>
      <c r="CE99" s="1">
        <v>2</v>
      </c>
      <c r="CF99" s="1">
        <v>1</v>
      </c>
      <c r="CG99" s="1">
        <f t="shared" ref="CG99:CG104" si="105">IF(HRToB,1,0)</f>
        <v>0</v>
      </c>
      <c r="CH99" s="1">
        <v>1</v>
      </c>
      <c r="CI99" s="1">
        <v>1</v>
      </c>
      <c r="CJ99" s="1">
        <v>1</v>
      </c>
      <c r="CK99" s="1">
        <v>1</v>
      </c>
      <c r="CL99" s="1">
        <v>1</v>
      </c>
      <c r="CM99" s="1">
        <v>1</v>
      </c>
      <c r="CN99" s="1">
        <v>1</v>
      </c>
      <c r="CO99" s="1">
        <v>1</v>
      </c>
      <c r="CP99" s="1">
        <v>2</v>
      </c>
      <c r="CQ99" s="1">
        <v>2</v>
      </c>
      <c r="CR99" s="1">
        <v>2</v>
      </c>
      <c r="CS99" s="1">
        <v>2</v>
      </c>
      <c r="CT99" s="1">
        <v>2</v>
      </c>
      <c r="CU99" s="1">
        <v>2</v>
      </c>
      <c r="CV99" s="1">
        <f>IF(HRXPH,1,0)</f>
        <v>0</v>
      </c>
      <c r="CW99" s="1">
        <v>1</v>
      </c>
      <c r="CX99" s="1">
        <v>1</v>
      </c>
      <c r="CY99" s="1">
        <v>1</v>
      </c>
      <c r="CZ99" s="1">
        <f t="shared" ref="CZ99:CZ104" si="106">IF(HRCS,1,0)</f>
        <v>0</v>
      </c>
      <c r="DA99" s="1">
        <v>1</v>
      </c>
      <c r="DB99" s="1">
        <v>1</v>
      </c>
      <c r="DC99" s="1">
        <v>2</v>
      </c>
      <c r="DD99" s="1">
        <v>1</v>
      </c>
      <c r="DE99" s="1">
        <v>2</v>
      </c>
      <c r="DF99" s="1">
        <v>1</v>
      </c>
      <c r="DG99" s="1">
        <v>1</v>
      </c>
      <c r="DH99" s="1">
        <v>1</v>
      </c>
      <c r="DI99" s="1">
        <f>IF(HRXPH,1,0)</f>
        <v>0</v>
      </c>
      <c r="DJ99" s="1">
        <v>1</v>
      </c>
      <c r="DK99" s="1" t="s">
        <v>319</v>
      </c>
      <c r="DL99" s="1" t="s">
        <v>150</v>
      </c>
      <c r="EE99" s="8" t="s">
        <v>301</v>
      </c>
      <c r="EF99" s="9">
        <v>5</v>
      </c>
      <c r="EG99" s="9" t="s">
        <v>126</v>
      </c>
      <c r="EH99" s="9">
        <v>1</v>
      </c>
      <c r="EI99" s="9" t="b">
        <f t="shared" si="92"/>
        <v>0</v>
      </c>
      <c r="EJ99" s="9" t="str">
        <f t="shared" si="93"/>
        <v/>
      </c>
      <c r="EK99" s="9">
        <f>IF($EI99,MATCH($EJ99,TblClassN,0),99)</f>
        <v>99</v>
      </c>
      <c r="EL99" s="9">
        <f t="shared" si="98"/>
        <v>99</v>
      </c>
      <c r="EM99" s="9">
        <f t="shared" si="94"/>
        <v>99</v>
      </c>
      <c r="EN99" s="9">
        <f t="shared" si="95"/>
        <v>99</v>
      </c>
      <c r="EO99" s="10">
        <f t="shared" si="96"/>
        <v>0</v>
      </c>
    </row>
    <row r="100" spans="1:145" ht="11.25" customHeight="1" x14ac:dyDescent="0.2">
      <c r="A100" s="1">
        <f t="shared" si="68"/>
        <v>97</v>
      </c>
      <c r="B100" s="1" t="s">
        <v>320</v>
      </c>
      <c r="C100" s="1" t="s">
        <v>321</v>
      </c>
      <c r="D100" s="1" t="s">
        <v>321</v>
      </c>
      <c r="E100" s="1">
        <f t="shared" si="84"/>
        <v>0</v>
      </c>
      <c r="K100" s="1">
        <v>4</v>
      </c>
      <c r="L100" s="1">
        <v>8</v>
      </c>
      <c r="N100" s="1" t="b">
        <v>1</v>
      </c>
      <c r="O100" s="1" t="b">
        <v>1</v>
      </c>
      <c r="P100" s="1" t="b">
        <v>1</v>
      </c>
      <c r="Q100" s="1" t="b">
        <v>1</v>
      </c>
      <c r="R100" s="1" t="b">
        <v>1</v>
      </c>
      <c r="S100" s="1" t="b">
        <v>1</v>
      </c>
      <c r="T100" s="1" t="b">
        <v>1</v>
      </c>
      <c r="V100" s="1">
        <v>0.75</v>
      </c>
      <c r="W100" s="1">
        <v>0.34</v>
      </c>
      <c r="X100" s="1">
        <v>0.34</v>
      </c>
      <c r="Y100" s="1">
        <v>0.5</v>
      </c>
      <c r="Z100" s="1" t="b">
        <f>FALSE</f>
        <v>0</v>
      </c>
      <c r="AA100" s="1" t="str">
        <f t="shared" si="88"/>
        <v/>
      </c>
      <c r="AB100" s="1" t="str">
        <f t="shared" si="89"/>
        <v/>
      </c>
      <c r="AC100" s="1">
        <f t="shared" si="85"/>
        <v>0</v>
      </c>
      <c r="AD100" s="1" t="str">
        <f t="shared" si="90"/>
        <v/>
      </c>
      <c r="AE100" s="1" t="str">
        <f t="shared" si="91"/>
        <v/>
      </c>
      <c r="AF100" s="1">
        <f t="shared" si="86"/>
        <v>0</v>
      </c>
      <c r="AG100" s="1">
        <f t="shared" si="97"/>
        <v>5</v>
      </c>
      <c r="AH100" s="1" t="str">
        <f t="shared" si="87"/>
        <v/>
      </c>
      <c r="AI100" s="1">
        <v>2</v>
      </c>
      <c r="AJ100" s="1">
        <f>IF(HRXPH,1,0)</f>
        <v>0</v>
      </c>
      <c r="AK100" s="1">
        <v>1</v>
      </c>
      <c r="AL100" s="1">
        <v>2</v>
      </c>
      <c r="AM100" s="1">
        <v>1</v>
      </c>
      <c r="AN100" s="1">
        <f t="shared" si="101"/>
        <v>0</v>
      </c>
      <c r="AO100" s="1">
        <v>1</v>
      </c>
      <c r="AP100" s="1">
        <v>1</v>
      </c>
      <c r="AQ100" s="1">
        <v>1</v>
      </c>
      <c r="AR100" s="1">
        <v>1</v>
      </c>
      <c r="AS100" s="1">
        <v>1</v>
      </c>
      <c r="AT100" s="1">
        <v>1</v>
      </c>
      <c r="AU100" s="1">
        <v>1</v>
      </c>
      <c r="AV100" s="1">
        <v>1</v>
      </c>
      <c r="AW100" s="1">
        <v>1</v>
      </c>
      <c r="AX100" s="1">
        <v>2</v>
      </c>
      <c r="AY100" s="1">
        <v>1</v>
      </c>
      <c r="AZ100" s="1">
        <v>2</v>
      </c>
      <c r="BA100" s="1">
        <v>1</v>
      </c>
      <c r="BB100" s="1">
        <v>2</v>
      </c>
      <c r="BC100" s="1">
        <v>2</v>
      </c>
      <c r="BD100" s="1">
        <v>2</v>
      </c>
      <c r="BE100" s="1">
        <v>1</v>
      </c>
      <c r="BF100" s="1">
        <v>1</v>
      </c>
      <c r="BG100" s="1">
        <f>IF(HRRVL,1,0)</f>
        <v>0</v>
      </c>
      <c r="BH100" s="1">
        <f t="shared" si="102"/>
        <v>0</v>
      </c>
      <c r="BI100" s="1">
        <v>2</v>
      </c>
      <c r="BJ100" s="1">
        <v>1</v>
      </c>
      <c r="BK100" s="1">
        <v>2</v>
      </c>
      <c r="BL100" s="1">
        <v>2</v>
      </c>
      <c r="BM100" s="1">
        <v>2</v>
      </c>
      <c r="BN100" s="1">
        <v>2</v>
      </c>
      <c r="BO100" s="1">
        <v>2</v>
      </c>
      <c r="BP100" s="1">
        <f>1+NOT(HRLivingGreyhawk)</f>
        <v>2</v>
      </c>
      <c r="BQ100" s="1">
        <f>IF(HRRVL,2,0)</f>
        <v>0</v>
      </c>
      <c r="BR100" s="1">
        <v>2</v>
      </c>
      <c r="BS100" s="1">
        <v>2</v>
      </c>
      <c r="BT100" s="1">
        <f>IF(HRXPH,2,0)</f>
        <v>0</v>
      </c>
      <c r="BU100" s="1">
        <f>IF(HRRVL,2,0)</f>
        <v>0</v>
      </c>
      <c r="BV100" s="1">
        <v>2</v>
      </c>
      <c r="BW100" s="1">
        <v>2</v>
      </c>
      <c r="BX100" s="1">
        <v>2</v>
      </c>
      <c r="BY100" s="1">
        <v>2</v>
      </c>
      <c r="BZ100" s="1">
        <v>2</v>
      </c>
      <c r="CA100" s="1">
        <v>2</v>
      </c>
      <c r="CB100" s="1">
        <v>2</v>
      </c>
      <c r="CC100" s="1">
        <v>2</v>
      </c>
      <c r="CD100" s="1">
        <v>2</v>
      </c>
      <c r="CE100" s="1">
        <v>2</v>
      </c>
      <c r="CF100" s="1">
        <v>2</v>
      </c>
      <c r="CG100" s="1">
        <f t="shared" si="105"/>
        <v>0</v>
      </c>
      <c r="CH100" s="1">
        <v>1</v>
      </c>
      <c r="CI100" s="1">
        <v>1</v>
      </c>
      <c r="CJ100" s="1">
        <v>2</v>
      </c>
      <c r="CK100" s="1">
        <v>2</v>
      </c>
      <c r="CL100" s="1">
        <v>2</v>
      </c>
      <c r="CM100" s="1">
        <v>2</v>
      </c>
      <c r="CN100" s="1">
        <v>2</v>
      </c>
      <c r="CO100" s="1">
        <v>2</v>
      </c>
      <c r="CP100" s="1">
        <v>1</v>
      </c>
      <c r="CQ100" s="1">
        <v>1</v>
      </c>
      <c r="CR100" s="1">
        <v>1</v>
      </c>
      <c r="CS100" s="1">
        <v>1</v>
      </c>
      <c r="CT100" s="1">
        <v>1</v>
      </c>
      <c r="CU100" s="1">
        <v>1</v>
      </c>
      <c r="CV100" s="1">
        <f>IF(HRXPH,1,0)</f>
        <v>0</v>
      </c>
      <c r="CW100" s="1">
        <v>2</v>
      </c>
      <c r="CX100" s="1">
        <v>1</v>
      </c>
      <c r="CY100" s="1">
        <v>2</v>
      </c>
      <c r="CZ100" s="1">
        <f t="shared" si="106"/>
        <v>0</v>
      </c>
      <c r="DA100" s="1">
        <v>1</v>
      </c>
      <c r="DB100" s="1">
        <v>2</v>
      </c>
      <c r="DC100" s="1">
        <v>1</v>
      </c>
      <c r="DD100" s="1">
        <v>2</v>
      </c>
      <c r="DE100" s="1">
        <v>2</v>
      </c>
      <c r="DF100" s="1">
        <v>2</v>
      </c>
      <c r="DG100" s="1">
        <v>1</v>
      </c>
      <c r="DH100" s="1">
        <v>1</v>
      </c>
      <c r="DI100" s="1">
        <f>IF(HRXPH,1,0)</f>
        <v>0</v>
      </c>
      <c r="DJ100" s="1">
        <v>1</v>
      </c>
      <c r="DK100" s="1" t="s">
        <v>319</v>
      </c>
      <c r="DL100" s="1" t="s">
        <v>150</v>
      </c>
      <c r="EE100" s="8" t="s">
        <v>301</v>
      </c>
      <c r="EF100" s="9">
        <v>5</v>
      </c>
      <c r="EG100" s="9" t="s">
        <v>153</v>
      </c>
      <c r="EH100" s="9">
        <v>1</v>
      </c>
      <c r="EI100" s="9" t="b">
        <f t="shared" si="92"/>
        <v>0</v>
      </c>
      <c r="EJ100" s="9" t="str">
        <f t="shared" si="93"/>
        <v/>
      </c>
      <c r="EK100" s="9">
        <f>IF($EI100,MATCH($EJ100,TblClassN,0),99)</f>
        <v>99</v>
      </c>
      <c r="EL100" s="9">
        <f t="shared" si="98"/>
        <v>99</v>
      </c>
      <c r="EM100" s="9">
        <f t="shared" si="94"/>
        <v>99</v>
      </c>
      <c r="EN100" s="9">
        <f t="shared" si="95"/>
        <v>99</v>
      </c>
      <c r="EO100" s="10">
        <f t="shared" si="96"/>
        <v>0</v>
      </c>
    </row>
    <row r="101" spans="1:145" ht="11.25" customHeight="1" x14ac:dyDescent="0.2">
      <c r="A101" s="1">
        <f t="shared" si="68"/>
        <v>98</v>
      </c>
      <c r="B101" s="1" t="s">
        <v>322</v>
      </c>
      <c r="C101" s="1" t="s">
        <v>323</v>
      </c>
      <c r="D101" s="1" t="s">
        <v>323</v>
      </c>
      <c r="E101" s="1">
        <f t="shared" si="84"/>
        <v>0</v>
      </c>
      <c r="K101" s="1">
        <v>2</v>
      </c>
      <c r="L101" s="1">
        <v>4</v>
      </c>
      <c r="V101" s="1">
        <v>0.5</v>
      </c>
      <c r="W101" s="1">
        <v>0.34</v>
      </c>
      <c r="X101" s="1">
        <v>0.34</v>
      </c>
      <c r="Y101" s="1">
        <v>0.34</v>
      </c>
      <c r="Z101" s="1" t="b">
        <f>FALSE</f>
        <v>0</v>
      </c>
      <c r="AA101" s="1" t="str">
        <f t="shared" si="88"/>
        <v/>
      </c>
      <c r="AB101" s="1" t="str">
        <f t="shared" si="89"/>
        <v/>
      </c>
      <c r="AC101" s="1">
        <f t="shared" si="85"/>
        <v>0</v>
      </c>
      <c r="AD101" s="1" t="str">
        <f t="shared" si="90"/>
        <v/>
      </c>
      <c r="AE101" s="1" t="str">
        <f t="shared" si="91"/>
        <v/>
      </c>
      <c r="AF101" s="1">
        <f t="shared" si="86"/>
        <v>0</v>
      </c>
      <c r="AG101" s="1">
        <f t="shared" si="97"/>
        <v>5</v>
      </c>
      <c r="AH101" s="1" t="str">
        <f t="shared" si="87"/>
        <v/>
      </c>
      <c r="AI101" s="1">
        <v>1</v>
      </c>
      <c r="AJ101" s="1">
        <f>IF(HRXPH,1,0)</f>
        <v>0</v>
      </c>
      <c r="AK101" s="1">
        <v>1</v>
      </c>
      <c r="AL101" s="1">
        <v>1</v>
      </c>
      <c r="AM101" s="1">
        <v>2</v>
      </c>
      <c r="AN101" s="1">
        <f t="shared" si="101"/>
        <v>0</v>
      </c>
      <c r="AO101" s="1">
        <v>1</v>
      </c>
      <c r="AP101" s="1">
        <v>2</v>
      </c>
      <c r="AQ101" s="1">
        <v>2</v>
      </c>
      <c r="AR101" s="1">
        <v>2</v>
      </c>
      <c r="AS101" s="1">
        <v>2</v>
      </c>
      <c r="AT101" s="1">
        <v>2</v>
      </c>
      <c r="AU101" s="1">
        <v>2</v>
      </c>
      <c r="AV101" s="1">
        <v>2</v>
      </c>
      <c r="AW101" s="1">
        <v>1</v>
      </c>
      <c r="AX101" s="1">
        <v>1</v>
      </c>
      <c r="AY101" s="1">
        <v>1</v>
      </c>
      <c r="AZ101" s="1">
        <v>1</v>
      </c>
      <c r="BA101" s="1">
        <v>1</v>
      </c>
      <c r="BB101" s="1">
        <v>1</v>
      </c>
      <c r="BC101" s="1">
        <v>1</v>
      </c>
      <c r="BD101" s="1">
        <v>2</v>
      </c>
      <c r="BE101" s="1">
        <v>1</v>
      </c>
      <c r="BF101" s="1">
        <v>1</v>
      </c>
      <c r="BG101" s="1">
        <f>IF(HRRVL,1,0)</f>
        <v>0</v>
      </c>
      <c r="BH101" s="1">
        <f t="shared" si="102"/>
        <v>0</v>
      </c>
      <c r="BI101" s="1">
        <v>1</v>
      </c>
      <c r="BJ101" s="1">
        <v>2</v>
      </c>
      <c r="BK101" s="1">
        <v>1</v>
      </c>
      <c r="BL101" s="1">
        <v>1</v>
      </c>
      <c r="BM101" s="1">
        <v>1</v>
      </c>
      <c r="BN101" s="1">
        <v>1</v>
      </c>
      <c r="BO101" s="1">
        <v>1</v>
      </c>
      <c r="BP101" s="1">
        <v>1</v>
      </c>
      <c r="BQ101" s="1">
        <f>IF(HRRVL,1,0)</f>
        <v>0</v>
      </c>
      <c r="BR101" s="1">
        <v>1</v>
      </c>
      <c r="BS101" s="1">
        <v>1</v>
      </c>
      <c r="BT101" s="1">
        <f>IF(HRXPH,1,0)</f>
        <v>0</v>
      </c>
      <c r="BU101" s="1">
        <f>IF(HRRVL,1,0)</f>
        <v>0</v>
      </c>
      <c r="BV101" s="1">
        <v>1</v>
      </c>
      <c r="BW101" s="1">
        <v>1</v>
      </c>
      <c r="BX101" s="1">
        <v>1</v>
      </c>
      <c r="BY101" s="1">
        <v>1</v>
      </c>
      <c r="BZ101" s="1">
        <v>1</v>
      </c>
      <c r="CA101" s="1">
        <v>1</v>
      </c>
      <c r="CB101" s="1">
        <v>1</v>
      </c>
      <c r="CC101" s="1">
        <v>1</v>
      </c>
      <c r="CD101" s="1">
        <v>1</v>
      </c>
      <c r="CE101" s="1">
        <v>1</v>
      </c>
      <c r="CF101" s="1">
        <v>2</v>
      </c>
      <c r="CG101" s="1">
        <f t="shared" si="105"/>
        <v>0</v>
      </c>
      <c r="CH101" s="1">
        <v>1</v>
      </c>
      <c r="CI101" s="1">
        <v>1</v>
      </c>
      <c r="CJ101" s="1">
        <v>1</v>
      </c>
      <c r="CK101" s="1">
        <v>1</v>
      </c>
      <c r="CL101" s="1">
        <v>1</v>
      </c>
      <c r="CM101" s="1">
        <v>1</v>
      </c>
      <c r="CN101" s="1">
        <v>1</v>
      </c>
      <c r="CO101" s="1">
        <v>1</v>
      </c>
      <c r="CP101" s="1">
        <v>2</v>
      </c>
      <c r="CQ101" s="1">
        <v>2</v>
      </c>
      <c r="CR101" s="1">
        <v>2</v>
      </c>
      <c r="CS101" s="1">
        <v>2</v>
      </c>
      <c r="CT101" s="1">
        <v>2</v>
      </c>
      <c r="CU101" s="1">
        <v>2</v>
      </c>
      <c r="CV101" s="1">
        <f>IF(HRXPH,1,0)</f>
        <v>0</v>
      </c>
      <c r="CW101" s="1">
        <v>2</v>
      </c>
      <c r="CX101" s="1">
        <v>1</v>
      </c>
      <c r="CY101" s="1">
        <v>1</v>
      </c>
      <c r="CZ101" s="1">
        <f t="shared" si="106"/>
        <v>0</v>
      </c>
      <c r="DA101" s="1">
        <v>1</v>
      </c>
      <c r="DB101" s="1">
        <v>1</v>
      </c>
      <c r="DC101" s="1">
        <v>1</v>
      </c>
      <c r="DD101" s="1">
        <v>2</v>
      </c>
      <c r="DE101" s="1">
        <v>1</v>
      </c>
      <c r="DF101" s="1">
        <v>2</v>
      </c>
      <c r="DG101" s="1">
        <v>1</v>
      </c>
      <c r="DH101" s="1">
        <v>1</v>
      </c>
      <c r="DI101" s="1">
        <f>IF(HRXPH,1,0)</f>
        <v>0</v>
      </c>
      <c r="DJ101" s="1">
        <v>2</v>
      </c>
      <c r="DK101" s="1" t="s">
        <v>319</v>
      </c>
      <c r="DL101" s="1" t="s">
        <v>150</v>
      </c>
      <c r="EE101" s="8" t="s">
        <v>301</v>
      </c>
      <c r="EF101" s="9">
        <v>5</v>
      </c>
      <c r="EG101" s="9" t="s">
        <v>153</v>
      </c>
      <c r="EH101" s="9">
        <v>-1</v>
      </c>
      <c r="EI101" s="9" t="b">
        <f t="shared" si="92"/>
        <v>0</v>
      </c>
      <c r="EJ101" s="9" t="str">
        <f t="shared" si="93"/>
        <v/>
      </c>
      <c r="EK101" s="9">
        <f>IF($EI101,MATCH($EJ101,TblClassN,0),99)</f>
        <v>99</v>
      </c>
      <c r="EL101" s="9">
        <f t="shared" si="98"/>
        <v>99</v>
      </c>
      <c r="EM101" s="9">
        <f t="shared" si="94"/>
        <v>99</v>
      </c>
      <c r="EN101" s="9">
        <f t="shared" si="95"/>
        <v>99</v>
      </c>
      <c r="EO101" s="10">
        <f t="shared" si="96"/>
        <v>0</v>
      </c>
    </row>
    <row r="102" spans="1:145" ht="11.25" customHeight="1" x14ac:dyDescent="0.2">
      <c r="A102" s="1">
        <f t="shared" si="68"/>
        <v>99</v>
      </c>
      <c r="B102" s="1" t="s">
        <v>324</v>
      </c>
      <c r="C102" s="1" t="s">
        <v>325</v>
      </c>
      <c r="D102" s="1" t="s">
        <v>325</v>
      </c>
      <c r="E102" s="1">
        <f t="shared" si="84"/>
        <v>0</v>
      </c>
      <c r="K102" s="1">
        <v>6</v>
      </c>
      <c r="L102" s="1">
        <v>6</v>
      </c>
      <c r="N102" s="1" t="b">
        <v>1</v>
      </c>
      <c r="S102" s="1" t="b">
        <v>1</v>
      </c>
      <c r="V102" s="1">
        <v>0.75</v>
      </c>
      <c r="W102" s="1">
        <v>0.34</v>
      </c>
      <c r="X102" s="1">
        <v>0.34</v>
      </c>
      <c r="Y102" s="1">
        <v>0.5</v>
      </c>
      <c r="Z102" s="1" t="b">
        <f>FALSE</f>
        <v>0</v>
      </c>
      <c r="AA102" s="1" t="str">
        <f t="shared" si="88"/>
        <v/>
      </c>
      <c r="AB102" s="1" t="str">
        <f t="shared" si="89"/>
        <v/>
      </c>
      <c r="AC102" s="1">
        <f t="shared" si="85"/>
        <v>0</v>
      </c>
      <c r="AD102" s="1" t="str">
        <f t="shared" si="90"/>
        <v/>
      </c>
      <c r="AE102" s="1" t="str">
        <f t="shared" si="91"/>
        <v/>
      </c>
      <c r="AF102" s="1">
        <f t="shared" si="86"/>
        <v>0</v>
      </c>
      <c r="AG102" s="1">
        <f t="shared" si="97"/>
        <v>5</v>
      </c>
      <c r="AH102" s="1" t="str">
        <f t="shared" si="87"/>
        <v/>
      </c>
      <c r="AI102" s="1">
        <f>1+1*(COUNTIF(TblExpertSkills,AI98)&gt;0)</f>
        <v>2</v>
      </c>
      <c r="AJ102" s="1">
        <f>IF(NOT(HRXPH),0,1+1*(COUNTIF(TblExpertSkills,AJ98)&gt;0))</f>
        <v>0</v>
      </c>
      <c r="AK102" s="1">
        <f t="shared" ref="AK102:BS102" si="107">1+1*(COUNTIF(TblExpertSkills,AK98)&gt;0)</f>
        <v>1</v>
      </c>
      <c r="AL102" s="1">
        <f t="shared" si="107"/>
        <v>1</v>
      </c>
      <c r="AM102" s="1">
        <f t="shared" si="107"/>
        <v>1</v>
      </c>
      <c r="AN102" s="1">
        <f t="shared" si="101"/>
        <v>0</v>
      </c>
      <c r="AO102" s="1">
        <f t="shared" si="107"/>
        <v>1</v>
      </c>
      <c r="AP102" s="1">
        <f t="shared" si="107"/>
        <v>1</v>
      </c>
      <c r="AQ102" s="1">
        <f t="shared" si="107"/>
        <v>1</v>
      </c>
      <c r="AR102" s="1">
        <f t="shared" si="107"/>
        <v>1</v>
      </c>
      <c r="AS102" s="1">
        <f t="shared" si="107"/>
        <v>1</v>
      </c>
      <c r="AT102" s="1">
        <f t="shared" si="107"/>
        <v>1</v>
      </c>
      <c r="AU102" s="1">
        <f t="shared" si="107"/>
        <v>1</v>
      </c>
      <c r="AV102" s="1">
        <f t="shared" si="107"/>
        <v>1</v>
      </c>
      <c r="AW102" s="1">
        <f t="shared" si="107"/>
        <v>1</v>
      </c>
      <c r="AX102" s="1">
        <f t="shared" si="107"/>
        <v>1</v>
      </c>
      <c r="AY102" s="1">
        <f t="shared" si="107"/>
        <v>1</v>
      </c>
      <c r="AZ102" s="1">
        <f t="shared" si="107"/>
        <v>1</v>
      </c>
      <c r="BA102" s="1">
        <f t="shared" si="107"/>
        <v>1</v>
      </c>
      <c r="BB102" s="1">
        <f t="shared" si="107"/>
        <v>1</v>
      </c>
      <c r="BC102" s="1">
        <f t="shared" si="107"/>
        <v>1</v>
      </c>
      <c r="BD102" s="1">
        <f t="shared" si="107"/>
        <v>1</v>
      </c>
      <c r="BE102" s="1">
        <f t="shared" si="107"/>
        <v>1</v>
      </c>
      <c r="BF102" s="1">
        <f t="shared" si="107"/>
        <v>1</v>
      </c>
      <c r="BG102" s="1">
        <f>IF(NOT(HRRVL),0,1+1*(COUNTIF(TblExpertSkills,BG98)&gt;0))</f>
        <v>0</v>
      </c>
      <c r="BH102" s="1">
        <f t="shared" si="102"/>
        <v>0</v>
      </c>
      <c r="BI102" s="1">
        <f t="shared" si="107"/>
        <v>1</v>
      </c>
      <c r="BJ102" s="1">
        <f t="shared" si="107"/>
        <v>1</v>
      </c>
      <c r="BK102" s="1">
        <f t="shared" si="107"/>
        <v>1</v>
      </c>
      <c r="BL102" s="1">
        <f t="shared" si="107"/>
        <v>1</v>
      </c>
      <c r="BM102" s="1">
        <f t="shared" si="107"/>
        <v>1</v>
      </c>
      <c r="BN102" s="1">
        <f t="shared" si="107"/>
        <v>1</v>
      </c>
      <c r="BO102" s="1">
        <f t="shared" si="107"/>
        <v>1</v>
      </c>
      <c r="BP102" s="1">
        <f t="shared" si="107"/>
        <v>1</v>
      </c>
      <c r="BQ102" s="1">
        <f>IF(CampaignCell&lt;&gt;5,0,1+1*(COUNTIF(TblExpertSkills,BQ98)&gt;0))</f>
        <v>0</v>
      </c>
      <c r="BR102" s="1">
        <f t="shared" si="107"/>
        <v>1</v>
      </c>
      <c r="BS102" s="1">
        <f t="shared" si="107"/>
        <v>1</v>
      </c>
      <c r="BT102" s="1">
        <f>IF(HRXPH,1,0)</f>
        <v>0</v>
      </c>
      <c r="BU102" s="1">
        <f>IF(CampaignCell&lt;&gt;5,0,1+1*(COUNTIF(TblExpertSkills,BU98)&gt;0))</f>
        <v>0</v>
      </c>
      <c r="BV102" s="1">
        <f t="shared" ref="BV102:CU102" si="108">1+1*(COUNTIF(TblExpertSkills,BV98)&gt;0)</f>
        <v>1</v>
      </c>
      <c r="BW102" s="1">
        <f t="shared" si="108"/>
        <v>1</v>
      </c>
      <c r="BX102" s="1">
        <f t="shared" si="108"/>
        <v>1</v>
      </c>
      <c r="BY102" s="1">
        <f t="shared" si="108"/>
        <v>1</v>
      </c>
      <c r="BZ102" s="1">
        <f t="shared" si="108"/>
        <v>1</v>
      </c>
      <c r="CA102" s="1">
        <f t="shared" si="108"/>
        <v>1</v>
      </c>
      <c r="CB102" s="1">
        <f t="shared" si="108"/>
        <v>1</v>
      </c>
      <c r="CC102" s="1">
        <f t="shared" si="108"/>
        <v>1</v>
      </c>
      <c r="CD102" s="1">
        <f t="shared" si="108"/>
        <v>1</v>
      </c>
      <c r="CE102" s="1">
        <f t="shared" si="108"/>
        <v>1</v>
      </c>
      <c r="CF102" s="1">
        <f t="shared" si="108"/>
        <v>1</v>
      </c>
      <c r="CG102" s="1">
        <f>IF(NOT(HRToB),0,1+1*(COUNTIF(TblExpertSkills,CG98)&gt;0))</f>
        <v>0</v>
      </c>
      <c r="CH102" s="1">
        <f t="shared" si="108"/>
        <v>1</v>
      </c>
      <c r="CI102" s="1">
        <f t="shared" si="108"/>
        <v>1</v>
      </c>
      <c r="CJ102" s="1">
        <f t="shared" si="108"/>
        <v>1</v>
      </c>
      <c r="CK102" s="1">
        <f t="shared" si="108"/>
        <v>1</v>
      </c>
      <c r="CL102" s="1">
        <f t="shared" si="108"/>
        <v>1</v>
      </c>
      <c r="CM102" s="1">
        <f t="shared" si="108"/>
        <v>1</v>
      </c>
      <c r="CN102" s="1">
        <f t="shared" si="108"/>
        <v>1</v>
      </c>
      <c r="CO102" s="1">
        <f t="shared" si="108"/>
        <v>1</v>
      </c>
      <c r="CP102" s="1">
        <f t="shared" si="108"/>
        <v>1</v>
      </c>
      <c r="CQ102" s="1">
        <f t="shared" si="108"/>
        <v>1</v>
      </c>
      <c r="CR102" s="1">
        <f t="shared" si="108"/>
        <v>1</v>
      </c>
      <c r="CS102" s="1">
        <f t="shared" si="108"/>
        <v>1</v>
      </c>
      <c r="CT102" s="1">
        <f t="shared" si="108"/>
        <v>1</v>
      </c>
      <c r="CU102" s="1">
        <f t="shared" si="108"/>
        <v>1</v>
      </c>
      <c r="CV102" s="1">
        <f>IF(NOT(HRXPH),0,1+1*(COUNTIF(TblExpertSkills,CV98)&gt;0))</f>
        <v>0</v>
      </c>
      <c r="CW102" s="1">
        <f t="shared" ref="CW102:DH102" si="109">1+1*(COUNTIF(TblExpertSkills,CW98)&gt;0)</f>
        <v>1</v>
      </c>
      <c r="CX102" s="1">
        <f t="shared" si="109"/>
        <v>1</v>
      </c>
      <c r="CY102" s="1">
        <f t="shared" si="109"/>
        <v>1</v>
      </c>
      <c r="CZ102" s="1">
        <f t="shared" si="106"/>
        <v>0</v>
      </c>
      <c r="DA102" s="1">
        <f t="shared" si="109"/>
        <v>1</v>
      </c>
      <c r="DB102" s="1">
        <f t="shared" si="109"/>
        <v>1</v>
      </c>
      <c r="DC102" s="1">
        <f t="shared" si="109"/>
        <v>1</v>
      </c>
      <c r="DD102" s="1">
        <f t="shared" si="109"/>
        <v>1</v>
      </c>
      <c r="DE102" s="1">
        <f t="shared" si="109"/>
        <v>1</v>
      </c>
      <c r="DF102" s="1">
        <f t="shared" si="109"/>
        <v>1</v>
      </c>
      <c r="DG102" s="1">
        <f t="shared" si="109"/>
        <v>1</v>
      </c>
      <c r="DH102" s="1">
        <f t="shared" si="109"/>
        <v>1</v>
      </c>
      <c r="DI102" s="1">
        <f>IF(NOT(HRXPH),0,1+1*(COUNTIF(TblExpertSkills,DI98)&gt;0))</f>
        <v>0</v>
      </c>
      <c r="DJ102" s="1">
        <f>1+1*(COUNTIF(TblExpertSkills,DJ98)&gt;0)</f>
        <v>1</v>
      </c>
      <c r="DK102" s="1" t="s">
        <v>319</v>
      </c>
      <c r="DL102" s="1" t="s">
        <v>150</v>
      </c>
      <c r="EE102" s="8" t="s">
        <v>301</v>
      </c>
      <c r="EF102" s="9">
        <v>5</v>
      </c>
      <c r="EG102" s="9" t="s">
        <v>134</v>
      </c>
      <c r="EH102" s="9">
        <v>1</v>
      </c>
      <c r="EI102" s="9" t="b">
        <f t="shared" si="92"/>
        <v>0</v>
      </c>
      <c r="EJ102" s="9" t="str">
        <f t="shared" si="93"/>
        <v/>
      </c>
      <c r="EK102" s="9">
        <f>IF($EI102,MATCH($EJ102,TblClassN,0),99)</f>
        <v>99</v>
      </c>
      <c r="EL102" s="9">
        <f t="shared" si="98"/>
        <v>99</v>
      </c>
      <c r="EM102" s="9">
        <f t="shared" si="94"/>
        <v>99</v>
      </c>
      <c r="EN102" s="9">
        <f t="shared" si="95"/>
        <v>99</v>
      </c>
      <c r="EO102" s="10">
        <f t="shared" si="96"/>
        <v>0</v>
      </c>
    </row>
    <row r="103" spans="1:145" ht="11.25" customHeight="1" x14ac:dyDescent="0.2">
      <c r="A103" s="1">
        <f t="shared" si="68"/>
        <v>100</v>
      </c>
      <c r="B103" s="1" t="s">
        <v>326</v>
      </c>
      <c r="C103" s="1" t="s">
        <v>327</v>
      </c>
      <c r="D103" s="1" t="s">
        <v>327</v>
      </c>
      <c r="E103" s="1">
        <f t="shared" si="84"/>
        <v>0</v>
      </c>
      <c r="K103" s="1">
        <v>2</v>
      </c>
      <c r="L103" s="1">
        <v>8</v>
      </c>
      <c r="N103" s="1" t="b">
        <v>1</v>
      </c>
      <c r="O103" s="1" t="b">
        <v>1</v>
      </c>
      <c r="P103" s="1" t="b">
        <v>1</v>
      </c>
      <c r="Q103" s="1" t="b">
        <v>1</v>
      </c>
      <c r="R103" s="1" t="b">
        <v>1</v>
      </c>
      <c r="S103" s="1" t="b">
        <v>1</v>
      </c>
      <c r="T103" s="1" t="b">
        <v>1</v>
      </c>
      <c r="V103" s="1">
        <v>1</v>
      </c>
      <c r="W103" s="1">
        <v>0.5</v>
      </c>
      <c r="X103" s="1">
        <v>0.34</v>
      </c>
      <c r="Y103" s="1">
        <v>0.34</v>
      </c>
      <c r="Z103" s="1" t="b">
        <f>FALSE</f>
        <v>0</v>
      </c>
      <c r="AA103" s="1" t="str">
        <f t="shared" si="88"/>
        <v/>
      </c>
      <c r="AB103" s="1" t="str">
        <f t="shared" si="89"/>
        <v/>
      </c>
      <c r="AC103" s="1">
        <f t="shared" si="85"/>
        <v>0</v>
      </c>
      <c r="AD103" s="1" t="str">
        <f t="shared" si="90"/>
        <v/>
      </c>
      <c r="AE103" s="1" t="str">
        <f t="shared" si="91"/>
        <v/>
      </c>
      <c r="AF103" s="1">
        <f t="shared" si="86"/>
        <v>0</v>
      </c>
      <c r="AG103" s="1">
        <f t="shared" si="97"/>
        <v>5</v>
      </c>
      <c r="AH103" s="1" t="str">
        <f t="shared" si="87"/>
        <v/>
      </c>
      <c r="AI103" s="1">
        <v>1</v>
      </c>
      <c r="AJ103" s="1">
        <f>IF(HRXPH,1,0)</f>
        <v>0</v>
      </c>
      <c r="AK103" s="1">
        <v>1</v>
      </c>
      <c r="AL103" s="1">
        <v>1</v>
      </c>
      <c r="AM103" s="1">
        <v>2</v>
      </c>
      <c r="AN103" s="1">
        <f t="shared" si="101"/>
        <v>0</v>
      </c>
      <c r="AO103" s="1">
        <v>1</v>
      </c>
      <c r="AP103" s="1">
        <v>1</v>
      </c>
      <c r="AQ103" s="1">
        <v>1</v>
      </c>
      <c r="AR103" s="1">
        <v>1</v>
      </c>
      <c r="AS103" s="1">
        <v>1</v>
      </c>
      <c r="AT103" s="1">
        <v>1</v>
      </c>
      <c r="AU103" s="1">
        <v>1</v>
      </c>
      <c r="AV103" s="1">
        <v>1</v>
      </c>
      <c r="AW103" s="1">
        <v>1</v>
      </c>
      <c r="AX103" s="1">
        <v>1</v>
      </c>
      <c r="AY103" s="1">
        <v>1</v>
      </c>
      <c r="AZ103" s="1">
        <v>1</v>
      </c>
      <c r="BA103" s="1">
        <v>1</v>
      </c>
      <c r="BB103" s="1">
        <v>1</v>
      </c>
      <c r="BC103" s="1">
        <v>1</v>
      </c>
      <c r="BD103" s="1">
        <v>2</v>
      </c>
      <c r="BE103" s="1">
        <v>1</v>
      </c>
      <c r="BF103" s="1">
        <v>1</v>
      </c>
      <c r="BG103" s="1">
        <f>IF(HRRVL,1,0)</f>
        <v>0</v>
      </c>
      <c r="BH103" s="1">
        <f t="shared" si="102"/>
        <v>0</v>
      </c>
      <c r="BI103" s="1">
        <v>2</v>
      </c>
      <c r="BJ103" s="1">
        <v>2</v>
      </c>
      <c r="BK103" s="1">
        <v>1</v>
      </c>
      <c r="BL103" s="1">
        <v>1</v>
      </c>
      <c r="BM103" s="1">
        <v>1</v>
      </c>
      <c r="BN103" s="1">
        <v>1</v>
      </c>
      <c r="BO103" s="1">
        <v>1</v>
      </c>
      <c r="BP103" s="1">
        <v>1</v>
      </c>
      <c r="BQ103" s="1">
        <f>IF(HRRVL,1,0)</f>
        <v>0</v>
      </c>
      <c r="BR103" s="1">
        <v>1</v>
      </c>
      <c r="BS103" s="1">
        <v>1</v>
      </c>
      <c r="BT103" s="1">
        <f>IF(HRXPH,1,0)</f>
        <v>0</v>
      </c>
      <c r="BU103" s="1">
        <f>IF(HRRVL,1,0)</f>
        <v>0</v>
      </c>
      <c r="BV103" s="1">
        <v>1</v>
      </c>
      <c r="BW103" s="1">
        <v>1</v>
      </c>
      <c r="BX103" s="1">
        <v>1</v>
      </c>
      <c r="BY103" s="1">
        <v>1</v>
      </c>
      <c r="BZ103" s="1">
        <v>1</v>
      </c>
      <c r="CA103" s="1">
        <v>1</v>
      </c>
      <c r="CB103" s="1">
        <v>1</v>
      </c>
      <c r="CC103" s="1">
        <v>1</v>
      </c>
      <c r="CD103" s="1">
        <v>1</v>
      </c>
      <c r="CE103" s="1">
        <v>1</v>
      </c>
      <c r="CF103" s="1">
        <v>1</v>
      </c>
      <c r="CG103" s="1">
        <f t="shared" si="105"/>
        <v>0</v>
      </c>
      <c r="CH103" s="1">
        <v>1</v>
      </c>
      <c r="CI103" s="1">
        <v>1</v>
      </c>
      <c r="CJ103" s="1">
        <v>1</v>
      </c>
      <c r="CK103" s="1">
        <v>1</v>
      </c>
      <c r="CL103" s="1">
        <v>1</v>
      </c>
      <c r="CM103" s="1">
        <v>1</v>
      </c>
      <c r="CN103" s="1">
        <v>1</v>
      </c>
      <c r="CO103" s="1">
        <v>1</v>
      </c>
      <c r="CP103" s="1">
        <v>1</v>
      </c>
      <c r="CQ103" s="1">
        <v>1</v>
      </c>
      <c r="CR103" s="1">
        <v>1</v>
      </c>
      <c r="CS103" s="1">
        <v>1</v>
      </c>
      <c r="CT103" s="1">
        <v>1</v>
      </c>
      <c r="CU103" s="1">
        <v>1</v>
      </c>
      <c r="CV103" s="1">
        <f>IF(HRXPH,1,0)</f>
        <v>0</v>
      </c>
      <c r="CW103" s="1">
        <v>2</v>
      </c>
      <c r="CX103" s="1">
        <v>1</v>
      </c>
      <c r="CY103" s="1">
        <v>1</v>
      </c>
      <c r="CZ103" s="1">
        <f t="shared" si="106"/>
        <v>0</v>
      </c>
      <c r="DA103" s="1">
        <v>1</v>
      </c>
      <c r="DB103" s="1">
        <v>1</v>
      </c>
      <c r="DC103" s="1">
        <v>1</v>
      </c>
      <c r="DD103" s="1">
        <v>1</v>
      </c>
      <c r="DE103" s="1">
        <v>1</v>
      </c>
      <c r="DF103" s="1">
        <v>2</v>
      </c>
      <c r="DG103" s="1">
        <v>1</v>
      </c>
      <c r="DH103" s="1">
        <v>1</v>
      </c>
      <c r="DI103" s="1">
        <f>IF(HRXPH,1,0)</f>
        <v>0</v>
      </c>
      <c r="DJ103" s="1">
        <v>1</v>
      </c>
      <c r="DK103" s="1" t="s">
        <v>319</v>
      </c>
      <c r="DL103" s="1" t="s">
        <v>150</v>
      </c>
      <c r="EE103" s="8" t="s">
        <v>301</v>
      </c>
      <c r="EF103" s="9">
        <v>5</v>
      </c>
      <c r="EG103" s="9" t="s">
        <v>118</v>
      </c>
      <c r="EH103" s="9">
        <v>1</v>
      </c>
      <c r="EI103" s="9" t="b">
        <f t="shared" si="92"/>
        <v>0</v>
      </c>
      <c r="EJ103" s="9" t="str">
        <f t="shared" si="93"/>
        <v/>
      </c>
      <c r="EK103" s="9">
        <f>IF($EI103,MATCH($EJ103,TblClassN,0),99)</f>
        <v>99</v>
      </c>
      <c r="EL103" s="9">
        <f t="shared" si="98"/>
        <v>99</v>
      </c>
      <c r="EM103" s="9">
        <f t="shared" si="94"/>
        <v>99</v>
      </c>
      <c r="EN103" s="9">
        <f t="shared" si="95"/>
        <v>99</v>
      </c>
      <c r="EO103" s="10">
        <f t="shared" si="96"/>
        <v>0</v>
      </c>
    </row>
    <row r="104" spans="1:145" ht="11.25" customHeight="1" x14ac:dyDescent="0.2">
      <c r="A104" s="1">
        <f t="shared" si="68"/>
        <v>101</v>
      </c>
      <c r="B104" s="1" t="s">
        <v>328</v>
      </c>
      <c r="C104" s="1" t="s">
        <v>329</v>
      </c>
      <c r="D104" s="1" t="s">
        <v>329</v>
      </c>
      <c r="E104" s="1">
        <f t="shared" si="84"/>
        <v>0</v>
      </c>
      <c r="K104" s="1">
        <v>4</v>
      </c>
      <c r="L104" s="1">
        <v>4</v>
      </c>
      <c r="S104" s="1" t="b">
        <v>1</v>
      </c>
      <c r="V104" s="1">
        <v>0.5</v>
      </c>
      <c r="W104" s="1">
        <v>0.34</v>
      </c>
      <c r="X104" s="1">
        <v>0.34</v>
      </c>
      <c r="Y104" s="1">
        <v>0.5</v>
      </c>
      <c r="Z104" s="1" t="b">
        <f>FALSE</f>
        <v>0</v>
      </c>
      <c r="AA104" s="1" t="str">
        <f t="shared" si="88"/>
        <v/>
      </c>
      <c r="AB104" s="1" t="str">
        <f t="shared" si="89"/>
        <v/>
      </c>
      <c r="AC104" s="1">
        <f t="shared" si="85"/>
        <v>0</v>
      </c>
      <c r="AD104" s="1" t="str">
        <f t="shared" si="90"/>
        <v/>
      </c>
      <c r="AE104" s="1" t="str">
        <f t="shared" si="91"/>
        <v/>
      </c>
      <c r="AF104" s="1">
        <f t="shared" si="86"/>
        <v>0</v>
      </c>
      <c r="AG104" s="1">
        <f t="shared" si="97"/>
        <v>5</v>
      </c>
      <c r="AH104" s="1" t="str">
        <f t="shared" si="87"/>
        <v/>
      </c>
      <c r="AI104" s="1">
        <v>1</v>
      </c>
      <c r="AJ104" s="1">
        <v>0</v>
      </c>
      <c r="AK104" s="1">
        <v>1</v>
      </c>
      <c r="AL104" s="1">
        <v>2</v>
      </c>
      <c r="AM104" s="1">
        <v>1</v>
      </c>
      <c r="AN104" s="1">
        <f t="shared" si="101"/>
        <v>0</v>
      </c>
      <c r="AO104" s="1">
        <v>2</v>
      </c>
      <c r="AP104" s="1">
        <v>2</v>
      </c>
      <c r="AQ104" s="1">
        <v>2</v>
      </c>
      <c r="AR104" s="1">
        <v>2</v>
      </c>
      <c r="AS104" s="1">
        <v>2</v>
      </c>
      <c r="AT104" s="1">
        <v>2</v>
      </c>
      <c r="AU104" s="1">
        <v>2</v>
      </c>
      <c r="AV104" s="1">
        <v>2</v>
      </c>
      <c r="AW104" s="1">
        <v>2</v>
      </c>
      <c r="AX104" s="1">
        <v>1</v>
      </c>
      <c r="AY104" s="1">
        <v>1</v>
      </c>
      <c r="AZ104" s="1">
        <v>1</v>
      </c>
      <c r="BA104" s="1">
        <v>1</v>
      </c>
      <c r="BB104" s="1">
        <v>1</v>
      </c>
      <c r="BC104" s="1">
        <v>2</v>
      </c>
      <c r="BD104" s="1">
        <v>1</v>
      </c>
      <c r="BE104" s="1">
        <v>1</v>
      </c>
      <c r="BF104" s="1">
        <v>1</v>
      </c>
      <c r="BG104" s="1">
        <f>IF(HRRVL,1,0)</f>
        <v>0</v>
      </c>
      <c r="BH104" s="1">
        <f t="shared" si="102"/>
        <v>0</v>
      </c>
      <c r="BI104" s="1">
        <v>1</v>
      </c>
      <c r="BJ104" s="1">
        <v>1</v>
      </c>
      <c r="BK104" s="1">
        <v>2</v>
      </c>
      <c r="BL104" s="1">
        <v>2</v>
      </c>
      <c r="BM104" s="1">
        <v>2</v>
      </c>
      <c r="BN104" s="1">
        <v>2</v>
      </c>
      <c r="BO104" s="1">
        <v>2</v>
      </c>
      <c r="BP104" s="1">
        <v>2</v>
      </c>
      <c r="BQ104" s="1">
        <f>IF(HRRVL,2,0)</f>
        <v>0</v>
      </c>
      <c r="BR104" s="1">
        <v>2</v>
      </c>
      <c r="BS104" s="1">
        <v>2</v>
      </c>
      <c r="BT104" s="1">
        <v>2</v>
      </c>
      <c r="BU104" s="1">
        <f>IF(HRRVL,2,0)</f>
        <v>0</v>
      </c>
      <c r="BV104" s="1">
        <v>2</v>
      </c>
      <c r="BW104" s="1">
        <v>2</v>
      </c>
      <c r="BX104" s="1">
        <v>2</v>
      </c>
      <c r="BY104" s="1">
        <v>2</v>
      </c>
      <c r="BZ104" s="1">
        <v>2</v>
      </c>
      <c r="CA104" s="1">
        <v>2</v>
      </c>
      <c r="CB104" s="1">
        <v>2</v>
      </c>
      <c r="CC104" s="1">
        <v>2</v>
      </c>
      <c r="CD104" s="1">
        <v>2</v>
      </c>
      <c r="CE104" s="1">
        <v>2</v>
      </c>
      <c r="CF104" s="1">
        <v>2</v>
      </c>
      <c r="CG104" s="1">
        <f t="shared" si="105"/>
        <v>0</v>
      </c>
      <c r="CH104" s="1">
        <v>1</v>
      </c>
      <c r="CI104" s="1">
        <v>1</v>
      </c>
      <c r="CJ104" s="1">
        <v>2</v>
      </c>
      <c r="CK104" s="1">
        <v>2</v>
      </c>
      <c r="CL104" s="1">
        <v>2</v>
      </c>
      <c r="CM104" s="1">
        <v>2</v>
      </c>
      <c r="CN104" s="1">
        <v>2</v>
      </c>
      <c r="CO104" s="1">
        <v>2</v>
      </c>
      <c r="CP104" s="1">
        <v>2</v>
      </c>
      <c r="CQ104" s="1">
        <v>2</v>
      </c>
      <c r="CR104" s="1">
        <v>2</v>
      </c>
      <c r="CS104" s="1">
        <v>2</v>
      </c>
      <c r="CT104" s="1">
        <v>2</v>
      </c>
      <c r="CU104" s="1">
        <v>2</v>
      </c>
      <c r="CV104" s="1">
        <v>0</v>
      </c>
      <c r="CW104" s="1">
        <v>1</v>
      </c>
      <c r="CX104" s="1">
        <v>1</v>
      </c>
      <c r="CY104" s="1">
        <v>1</v>
      </c>
      <c r="CZ104" s="1">
        <f t="shared" si="106"/>
        <v>0</v>
      </c>
      <c r="DA104" s="1">
        <v>1</v>
      </c>
      <c r="DB104" s="1">
        <v>1</v>
      </c>
      <c r="DC104" s="1">
        <v>2</v>
      </c>
      <c r="DD104" s="1">
        <v>1</v>
      </c>
      <c r="DE104" s="1">
        <v>1</v>
      </c>
      <c r="DF104" s="1">
        <v>1</v>
      </c>
      <c r="DG104" s="1">
        <v>1</v>
      </c>
      <c r="DH104" s="1">
        <v>2</v>
      </c>
      <c r="DI104" s="1">
        <v>0</v>
      </c>
      <c r="DJ104" s="1">
        <v>1</v>
      </c>
      <c r="DK104" s="1" t="s">
        <v>330</v>
      </c>
      <c r="EE104" s="8" t="s">
        <v>301</v>
      </c>
      <c r="EF104" s="9">
        <v>8</v>
      </c>
      <c r="EG104" s="9" t="s">
        <v>162</v>
      </c>
      <c r="EH104" s="9">
        <v>-1</v>
      </c>
      <c r="EI104" s="9" t="b">
        <f t="shared" si="92"/>
        <v>0</v>
      </c>
      <c r="EJ104" s="9" t="str">
        <f t="shared" si="93"/>
        <v/>
      </c>
      <c r="EK104" s="9">
        <f>IF($EI104,MATCH($EJ104,TblClassN,0),99)</f>
        <v>99</v>
      </c>
      <c r="EL104" s="9">
        <f t="shared" si="98"/>
        <v>99</v>
      </c>
      <c r="EM104" s="9">
        <f t="shared" si="94"/>
        <v>99</v>
      </c>
      <c r="EN104" s="9">
        <f t="shared" si="95"/>
        <v>99</v>
      </c>
      <c r="EO104" s="10">
        <f t="shared" si="96"/>
        <v>0</v>
      </c>
    </row>
    <row r="105" spans="1:145" ht="11.25" customHeight="1" x14ac:dyDescent="0.2">
      <c r="A105" s="1">
        <f t="shared" si="68"/>
        <v>102</v>
      </c>
      <c r="B105" s="1" t="s">
        <v>331</v>
      </c>
      <c r="E105" s="1">
        <f t="shared" si="84"/>
        <v>0</v>
      </c>
      <c r="F105" s="1">
        <v>1</v>
      </c>
      <c r="Z105" s="1" t="b">
        <f>FALSE</f>
        <v>0</v>
      </c>
      <c r="AA105" s="1" t="str">
        <f t="shared" si="88"/>
        <v/>
      </c>
      <c r="AB105" s="1" t="str">
        <f t="shared" si="89"/>
        <v/>
      </c>
      <c r="AC105" s="1">
        <f t="shared" si="85"/>
        <v>0</v>
      </c>
      <c r="AD105" s="1" t="str">
        <f t="shared" si="90"/>
        <v/>
      </c>
      <c r="AE105" s="1" t="str">
        <f t="shared" si="91"/>
        <v/>
      </c>
      <c r="AF105" s="1">
        <f t="shared" si="86"/>
        <v>0</v>
      </c>
      <c r="AG105" s="1">
        <f t="shared" si="97"/>
        <v>5</v>
      </c>
      <c r="AH105" s="1" t="str">
        <f t="shared" si="87"/>
        <v/>
      </c>
      <c r="EB105" s="1" t="str">
        <f>""</f>
        <v/>
      </c>
      <c r="EE105" s="8" t="s">
        <v>301</v>
      </c>
      <c r="EF105" s="9">
        <v>8</v>
      </c>
      <c r="EG105" s="9" t="s">
        <v>129</v>
      </c>
      <c r="EH105" s="9">
        <v>1</v>
      </c>
      <c r="EI105" s="9" t="b">
        <f t="shared" si="92"/>
        <v>0</v>
      </c>
      <c r="EJ105" s="9" t="str">
        <f t="shared" si="93"/>
        <v/>
      </c>
      <c r="EK105" s="9">
        <f>IF($EI105,MATCH($EJ105,TblClassN,0),99)</f>
        <v>99</v>
      </c>
      <c r="EL105" s="9">
        <f t="shared" si="98"/>
        <v>99</v>
      </c>
      <c r="EM105" s="9">
        <f t="shared" si="94"/>
        <v>99</v>
      </c>
      <c r="EN105" s="9">
        <f t="shared" si="95"/>
        <v>99</v>
      </c>
      <c r="EO105" s="10">
        <f t="shared" si="96"/>
        <v>0</v>
      </c>
    </row>
    <row r="106" spans="1:145" ht="11.25" customHeight="1" x14ac:dyDescent="0.2">
      <c r="A106" s="1">
        <f t="shared" si="68"/>
        <v>103</v>
      </c>
      <c r="B106" s="1" t="s">
        <v>332</v>
      </c>
      <c r="C106" s="1" t="s">
        <v>333</v>
      </c>
      <c r="D106" s="1" t="s">
        <v>333</v>
      </c>
      <c r="E106" s="1">
        <f t="shared" si="84"/>
        <v>0</v>
      </c>
      <c r="K106" s="1">
        <v>4</v>
      </c>
      <c r="L106" s="1">
        <v>8</v>
      </c>
      <c r="N106" s="1" t="b">
        <v>1</v>
      </c>
      <c r="O106" s="1" t="b">
        <v>1</v>
      </c>
      <c r="Q106" s="1" t="b">
        <v>1</v>
      </c>
      <c r="R106" s="1" t="b">
        <v>1</v>
      </c>
      <c r="S106" s="1" t="b">
        <v>1</v>
      </c>
      <c r="T106" s="1" t="b">
        <v>1</v>
      </c>
      <c r="V106" s="1">
        <v>1</v>
      </c>
      <c r="W106" s="1">
        <v>0.5</v>
      </c>
      <c r="X106" s="1">
        <v>0.5</v>
      </c>
      <c r="Y106" s="1">
        <v>0.34</v>
      </c>
      <c r="Z106" s="1" t="b">
        <f>FALSE</f>
        <v>0</v>
      </c>
      <c r="AA106" s="1" t="str">
        <f t="shared" si="88"/>
        <v/>
      </c>
      <c r="AB106" s="1" t="str">
        <f t="shared" si="89"/>
        <v/>
      </c>
      <c r="AC106" s="1">
        <f t="shared" si="85"/>
        <v>0</v>
      </c>
      <c r="AD106" s="1" t="str">
        <f t="shared" si="90"/>
        <v/>
      </c>
      <c r="AE106" s="1" t="str">
        <f t="shared" si="91"/>
        <v/>
      </c>
      <c r="AF106" s="1">
        <f t="shared" si="86"/>
        <v>0</v>
      </c>
      <c r="AG106" s="1">
        <f t="shared" si="97"/>
        <v>5</v>
      </c>
      <c r="AH106" s="1" t="str">
        <f t="shared" si="87"/>
        <v/>
      </c>
      <c r="AI106" s="1">
        <v>1</v>
      </c>
      <c r="AJ106" s="1">
        <f t="shared" ref="AJ106:AJ121" si="110">IF(HRXPH,1,0)</f>
        <v>0</v>
      </c>
      <c r="AK106" s="1">
        <v>1</v>
      </c>
      <c r="AL106" s="1">
        <v>1</v>
      </c>
      <c r="AM106" s="1">
        <v>1</v>
      </c>
      <c r="AN106" s="1">
        <f t="shared" ref="AN106:AN121" si="111">IF(IsLycanthrope,2,0)</f>
        <v>0</v>
      </c>
      <c r="AO106" s="1">
        <v>1</v>
      </c>
      <c r="AP106" s="1">
        <v>2</v>
      </c>
      <c r="AQ106" s="1">
        <v>2</v>
      </c>
      <c r="AR106" s="1">
        <v>2</v>
      </c>
      <c r="AS106" s="1">
        <v>2</v>
      </c>
      <c r="AT106" s="1">
        <v>2</v>
      </c>
      <c r="AU106" s="1">
        <v>2</v>
      </c>
      <c r="AV106" s="1">
        <v>2</v>
      </c>
      <c r="AW106" s="1">
        <v>1</v>
      </c>
      <c r="AX106" s="1">
        <v>1</v>
      </c>
      <c r="AY106" s="1">
        <v>1</v>
      </c>
      <c r="AZ106" s="1">
        <v>1</v>
      </c>
      <c r="BA106" s="1">
        <v>1</v>
      </c>
      <c r="BB106" s="1">
        <v>1</v>
      </c>
      <c r="BC106" s="1">
        <v>1</v>
      </c>
      <c r="BD106" s="1">
        <v>1</v>
      </c>
      <c r="BE106" s="1">
        <v>1</v>
      </c>
      <c r="BF106" s="1">
        <v>2</v>
      </c>
      <c r="BG106" s="1">
        <f t="shared" ref="BG106:BG121" si="112">IF(HRRVL,1,0)</f>
        <v>0</v>
      </c>
      <c r="BH106" s="1">
        <f t="shared" ref="BH106:BH121" si="113">IF(HROA,1,0)</f>
        <v>0</v>
      </c>
      <c r="BI106" s="1">
        <v>1</v>
      </c>
      <c r="BJ106" s="1">
        <v>1</v>
      </c>
      <c r="BK106" s="1">
        <v>1</v>
      </c>
      <c r="BL106" s="1">
        <v>1</v>
      </c>
      <c r="BM106" s="1">
        <v>1</v>
      </c>
      <c r="BN106" s="1">
        <v>1</v>
      </c>
      <c r="BO106" s="1">
        <v>1</v>
      </c>
      <c r="BP106" s="1">
        <v>1</v>
      </c>
      <c r="BQ106" s="1">
        <f>IF(HRRVL,1,0)</f>
        <v>0</v>
      </c>
      <c r="BR106" s="1">
        <v>1</v>
      </c>
      <c r="BS106" s="1">
        <v>1</v>
      </c>
      <c r="BT106" s="1">
        <f>IF(HRXPH,1,0)</f>
        <v>0</v>
      </c>
      <c r="BU106" s="1">
        <f>IF(HRRVL,1,0)</f>
        <v>0</v>
      </c>
      <c r="BV106" s="1">
        <v>1</v>
      </c>
      <c r="BW106" s="1">
        <v>1</v>
      </c>
      <c r="BX106" s="1">
        <v>1</v>
      </c>
      <c r="BY106" s="1">
        <v>1</v>
      </c>
      <c r="BZ106" s="1">
        <v>1</v>
      </c>
      <c r="CA106" s="1">
        <v>1</v>
      </c>
      <c r="CB106" s="1">
        <v>1</v>
      </c>
      <c r="CC106" s="1">
        <v>1</v>
      </c>
      <c r="CD106" s="1">
        <v>1</v>
      </c>
      <c r="CE106" s="1">
        <v>1</v>
      </c>
      <c r="CF106" s="1">
        <v>2</v>
      </c>
      <c r="CG106" s="1">
        <f t="shared" ref="CG106:CG121" si="114">IF(HRToB,1,0)</f>
        <v>0</v>
      </c>
      <c r="CH106" s="1">
        <v>2</v>
      </c>
      <c r="CI106" s="1">
        <v>1</v>
      </c>
      <c r="CJ106" s="1">
        <v>1</v>
      </c>
      <c r="CK106" s="1">
        <v>1</v>
      </c>
      <c r="CL106" s="1">
        <v>1</v>
      </c>
      <c r="CM106" s="1">
        <v>1</v>
      </c>
      <c r="CN106" s="1">
        <v>1</v>
      </c>
      <c r="CO106" s="1">
        <v>1</v>
      </c>
      <c r="CP106" s="1">
        <v>1</v>
      </c>
      <c r="CQ106" s="1">
        <v>1</v>
      </c>
      <c r="CR106" s="1">
        <v>1</v>
      </c>
      <c r="CS106" s="1">
        <v>1</v>
      </c>
      <c r="CT106" s="1">
        <v>1</v>
      </c>
      <c r="CU106" s="1">
        <v>1</v>
      </c>
      <c r="CV106" s="1">
        <f t="shared" ref="CV106:CV121" si="115">IF(HRXPH,1,0)</f>
        <v>0</v>
      </c>
      <c r="CW106" s="1">
        <v>2</v>
      </c>
      <c r="CX106" s="1">
        <v>1</v>
      </c>
      <c r="CY106" s="1">
        <v>1</v>
      </c>
      <c r="CZ106" s="1">
        <f t="shared" ref="CZ106:CZ121" si="116">IF(HRCS,1,0)</f>
        <v>0</v>
      </c>
      <c r="DA106" s="1">
        <v>1</v>
      </c>
      <c r="DB106" s="1">
        <v>1</v>
      </c>
      <c r="DC106" s="1">
        <v>1</v>
      </c>
      <c r="DD106" s="1">
        <v>2</v>
      </c>
      <c r="DE106" s="1">
        <v>2</v>
      </c>
      <c r="DF106" s="1">
        <v>1</v>
      </c>
      <c r="DG106" s="1">
        <v>1</v>
      </c>
      <c r="DH106" s="1">
        <v>1</v>
      </c>
      <c r="DI106" s="1">
        <f t="shared" ref="DI106:DI121" si="117">IF(HRXPH,1,0)</f>
        <v>0</v>
      </c>
      <c r="DJ106" s="1">
        <v>2</v>
      </c>
      <c r="DK106" s="1" t="s">
        <v>319</v>
      </c>
      <c r="DL106" s="1" t="s">
        <v>40</v>
      </c>
      <c r="DR106" s="1" t="b">
        <f>OR(RaceCi="Elf",RaceCi="Half-Elf")</f>
        <v>0</v>
      </c>
      <c r="DS106" s="1" t="b">
        <f>BaseAtk&gt;=6</f>
        <v>0</v>
      </c>
      <c r="DT106" s="1" t="b">
        <f>FtPointBlankShot</f>
        <v>0</v>
      </c>
      <c r="DU106" s="1" t="b">
        <f>FtPreciseShot</f>
        <v>0</v>
      </c>
      <c r="DV106" s="1" t="b">
        <f>OR(AND(NOT(ISERROR(FIND("bow",WeaponFocusFree1,1))),ISERROR(FIND("Cross",WeaponFocusFree1,1))),
        AND(NOT(ISERROR(FIND("bow",WeaponFocusFree2,1))),ISERROR(FIND("Cross",WeaponFocusFree2,1))),
        AND(NOT(ISERROR(FIND("bow",WeaponFocus1,1))),ISERROR(FIND("Cross",WeaponFocus1,1))),
        AND(NOT(ISERROR(FIND("bow",WeaponFocus2,1))),ISERROR(FIND("Cross",WeaponFocus2,1))),
        AND(NOT(ISERROR(FIND("bow",WeaponFocus3,1))),ISERROR(FIND("Cross",WeaponFocus3,1))))</f>
        <v>0</v>
      </c>
      <c r="DW106" s="1" t="b">
        <f ca="1">MaxArcaneSpellLevel&gt;=1</f>
        <v>0</v>
      </c>
      <c r="EA106" s="1" t="b">
        <f t="shared" ref="EA106:EA121" ca="1" si="118">AND(DM106:DZ106)</f>
        <v>0</v>
      </c>
      <c r="EB106" s="11" t="s">
        <v>334</v>
      </c>
      <c r="EC106" s="1" t="str">
        <f ca="1">IF(DR106,"","• You must be an elf or half-elf.
")&amp;IF(DS106,"","• A base attack bonus of +6 or higher.
")&amp;IF(DT106,"","• Point Blank Shot feat.
")&amp;IF(DU106,"","• Precise Shot feat.
")&amp;IF(DV106,"","• Weapon Focus in any bow (not crossbow).
")&amp;IF(DW106,"","• Ability to cast 1st-level arcane spells.")</f>
        <v>• You must be an elf or half-elf.
• A base attack bonus of +6 or higher.
• Point Blank Shot feat.
• Precise Shot feat.
• Weapon Focus in any bow (not crossbow).
• Ability to cast 1st-level arcane spells.</v>
      </c>
      <c r="ED106" s="11" t="s">
        <v>335</v>
      </c>
      <c r="EE106" s="8" t="s">
        <v>301</v>
      </c>
      <c r="EF106" s="9">
        <v>8</v>
      </c>
      <c r="EG106" s="9" t="s">
        <v>126</v>
      </c>
      <c r="EH106" s="9">
        <v>1</v>
      </c>
      <c r="EI106" s="9" t="b">
        <f t="shared" si="92"/>
        <v>0</v>
      </c>
      <c r="EJ106" s="9" t="str">
        <f t="shared" si="93"/>
        <v/>
      </c>
      <c r="EK106" s="9">
        <f>IF($EI106,MATCH($EJ106,TblClassN,0),99)</f>
        <v>99</v>
      </c>
      <c r="EL106" s="9">
        <f t="shared" si="98"/>
        <v>99</v>
      </c>
      <c r="EM106" s="9">
        <f t="shared" si="94"/>
        <v>99</v>
      </c>
      <c r="EN106" s="9">
        <f t="shared" si="95"/>
        <v>99</v>
      </c>
      <c r="EO106" s="10">
        <f t="shared" si="96"/>
        <v>0</v>
      </c>
    </row>
    <row r="107" spans="1:145" ht="11.25" customHeight="1" x14ac:dyDescent="0.2">
      <c r="A107" s="1">
        <f t="shared" si="68"/>
        <v>104</v>
      </c>
      <c r="B107" s="1" t="s">
        <v>336</v>
      </c>
      <c r="C107" s="1" t="s">
        <v>337</v>
      </c>
      <c r="D107" s="1" t="s">
        <v>337</v>
      </c>
      <c r="E107" s="1">
        <f t="shared" si="84"/>
        <v>0</v>
      </c>
      <c r="G107" s="1">
        <f>ArTLvl</f>
        <v>0</v>
      </c>
      <c r="K107" s="1">
        <v>4</v>
      </c>
      <c r="L107" s="1">
        <v>4</v>
      </c>
      <c r="V107" s="1">
        <v>0.5</v>
      </c>
      <c r="W107" s="1">
        <v>0.34</v>
      </c>
      <c r="X107" s="1">
        <v>0.5</v>
      </c>
      <c r="Y107" s="1">
        <v>0.5</v>
      </c>
      <c r="Z107" s="1" t="b">
        <f>FALSE</f>
        <v>0</v>
      </c>
      <c r="AA107" s="1" t="str">
        <f t="shared" si="88"/>
        <v/>
      </c>
      <c r="AB107" s="1" t="str">
        <f t="shared" si="89"/>
        <v/>
      </c>
      <c r="AC107" s="1">
        <f t="shared" si="85"/>
        <v>0</v>
      </c>
      <c r="AD107" s="1" t="str">
        <f t="shared" si="90"/>
        <v/>
      </c>
      <c r="AE107" s="1" t="str">
        <f t="shared" si="91"/>
        <v/>
      </c>
      <c r="AF107" s="1">
        <f t="shared" si="86"/>
        <v>0</v>
      </c>
      <c r="AG107" s="1">
        <f t="shared" si="97"/>
        <v>5</v>
      </c>
      <c r="AH107" s="1" t="str">
        <f t="shared" si="87"/>
        <v/>
      </c>
      <c r="AI107" s="1">
        <v>2</v>
      </c>
      <c r="AJ107" s="1">
        <f t="shared" si="110"/>
        <v>0</v>
      </c>
      <c r="AK107" s="1">
        <v>2</v>
      </c>
      <c r="AL107" s="1">
        <v>2</v>
      </c>
      <c r="AM107" s="1">
        <v>2</v>
      </c>
      <c r="AN107" s="1">
        <f t="shared" si="111"/>
        <v>0</v>
      </c>
      <c r="AO107" s="1">
        <v>2</v>
      </c>
      <c r="AP107" s="1">
        <v>2</v>
      </c>
      <c r="AQ107" s="1">
        <v>2</v>
      </c>
      <c r="AR107" s="1">
        <v>2</v>
      </c>
      <c r="AS107" s="1">
        <v>2</v>
      </c>
      <c r="AT107" s="1">
        <v>2</v>
      </c>
      <c r="AU107" s="1">
        <v>2</v>
      </c>
      <c r="AV107" s="1">
        <v>2</v>
      </c>
      <c r="AW107" s="1">
        <v>2</v>
      </c>
      <c r="AX107" s="1">
        <v>2</v>
      </c>
      <c r="AY107" s="1">
        <v>2</v>
      </c>
      <c r="AZ107" s="1">
        <v>2</v>
      </c>
      <c r="BA107" s="1">
        <v>2</v>
      </c>
      <c r="BB107" s="1">
        <v>1</v>
      </c>
      <c r="BC107" s="1">
        <v>2</v>
      </c>
      <c r="BD107" s="1">
        <v>1</v>
      </c>
      <c r="BE107" s="1">
        <v>1</v>
      </c>
      <c r="BF107" s="1">
        <v>2</v>
      </c>
      <c r="BG107" s="1">
        <f t="shared" si="112"/>
        <v>0</v>
      </c>
      <c r="BH107" s="1">
        <f t="shared" si="113"/>
        <v>0</v>
      </c>
      <c r="BI107" s="1">
        <v>1</v>
      </c>
      <c r="BJ107" s="1">
        <v>2</v>
      </c>
      <c r="BK107" s="1">
        <v>2</v>
      </c>
      <c r="BL107" s="1">
        <v>2</v>
      </c>
      <c r="BM107" s="1">
        <v>2</v>
      </c>
      <c r="BN107" s="1">
        <v>2</v>
      </c>
      <c r="BO107" s="1">
        <v>2</v>
      </c>
      <c r="BP107" s="1">
        <f>1+NOT(HRLivingGreyhawk)</f>
        <v>2</v>
      </c>
      <c r="BQ107" s="1">
        <f>IF(HRRVL,2,0)</f>
        <v>0</v>
      </c>
      <c r="BR107" s="1">
        <v>2</v>
      </c>
      <c r="BS107" s="1">
        <v>2</v>
      </c>
      <c r="BT107" s="1">
        <f>IF(HRXPH,2,0)</f>
        <v>0</v>
      </c>
      <c r="BU107" s="1">
        <f>IF(HRRVL,2,0)</f>
        <v>0</v>
      </c>
      <c r="BV107" s="1">
        <v>2</v>
      </c>
      <c r="BW107" s="1">
        <v>2</v>
      </c>
      <c r="BX107" s="1">
        <v>2</v>
      </c>
      <c r="BY107" s="1">
        <v>2</v>
      </c>
      <c r="BZ107" s="1">
        <v>2</v>
      </c>
      <c r="CA107" s="1">
        <v>2</v>
      </c>
      <c r="CB107" s="1">
        <v>2</v>
      </c>
      <c r="CC107" s="1">
        <v>2</v>
      </c>
      <c r="CD107" s="1">
        <v>2</v>
      </c>
      <c r="CE107" s="1">
        <v>2</v>
      </c>
      <c r="CF107" s="1">
        <v>2</v>
      </c>
      <c r="CG107" s="1">
        <f t="shared" si="114"/>
        <v>0</v>
      </c>
      <c r="CH107" s="1">
        <v>2</v>
      </c>
      <c r="CI107" s="1">
        <v>2</v>
      </c>
      <c r="CJ107" s="1">
        <v>1</v>
      </c>
      <c r="CK107" s="1">
        <v>1</v>
      </c>
      <c r="CL107" s="1">
        <v>1</v>
      </c>
      <c r="CM107" s="1">
        <v>1</v>
      </c>
      <c r="CN107" s="1">
        <v>1</v>
      </c>
      <c r="CO107" s="1">
        <v>1</v>
      </c>
      <c r="CP107" s="1">
        <v>2</v>
      </c>
      <c r="CQ107" s="1">
        <v>2</v>
      </c>
      <c r="CR107" s="1">
        <v>2</v>
      </c>
      <c r="CS107" s="1">
        <v>2</v>
      </c>
      <c r="CT107" s="1">
        <v>2</v>
      </c>
      <c r="CU107" s="1">
        <v>2</v>
      </c>
      <c r="CV107" s="1">
        <f t="shared" si="115"/>
        <v>0</v>
      </c>
      <c r="CW107" s="1">
        <v>1</v>
      </c>
      <c r="CX107" s="1">
        <v>2</v>
      </c>
      <c r="CY107" s="1">
        <v>2</v>
      </c>
      <c r="CZ107" s="1">
        <f t="shared" si="116"/>
        <v>0</v>
      </c>
      <c r="DA107" s="1">
        <v>2</v>
      </c>
      <c r="DB107" s="1">
        <v>2</v>
      </c>
      <c r="DC107" s="1">
        <v>2</v>
      </c>
      <c r="DD107" s="1">
        <v>2</v>
      </c>
      <c r="DE107" s="1">
        <v>1</v>
      </c>
      <c r="DF107" s="1">
        <v>2</v>
      </c>
      <c r="DG107" s="1">
        <v>2</v>
      </c>
      <c r="DH107" s="1">
        <v>1</v>
      </c>
      <c r="DI107" s="1">
        <f t="shared" si="117"/>
        <v>0</v>
      </c>
      <c r="DJ107" s="1">
        <v>2</v>
      </c>
      <c r="DK107" s="1" t="s">
        <v>319</v>
      </c>
      <c r="DL107" s="1" t="s">
        <v>40</v>
      </c>
      <c r="DR107" s="1" t="b">
        <f>AlignmentNonLawful</f>
        <v>0</v>
      </c>
      <c r="DS107" s="1" t="b">
        <f>SkDecipherScriptRanks&gt;=7</f>
        <v>0</v>
      </c>
      <c r="DT107" s="1" t="b">
        <f>SkDisableDeviceRanks&gt;=7</f>
        <v>0</v>
      </c>
      <c r="DU107" s="1" t="b">
        <f>SkEscapeArtistRanks&gt;=7</f>
        <v>0</v>
      </c>
      <c r="DV107" s="1" t="b">
        <f>SkKnowledgeArcanaRanks&gt;=4</f>
        <v>0</v>
      </c>
      <c r="DX107" s="1" t="b">
        <f ca="1">MaxArcaneSpellLevel&gt;=3</f>
        <v>0</v>
      </c>
      <c r="DY107" s="1" t="b">
        <f>(SneakAttack+SuddenStrike+PsionicSneakAttack)&gt;=2</f>
        <v>0</v>
      </c>
      <c r="EA107" s="1" t="b">
        <f t="shared" ca="1" si="118"/>
        <v>0</v>
      </c>
      <c r="EB107" s="11" t="s">
        <v>338</v>
      </c>
      <c r="EC107" s="1" t="str">
        <f ca="1">IF(DR107,"","• Any non-lawful alignment.
")&amp;IF(DS107,"","• 7 ranks in Decipher Script.
")&amp;IF(DT107,"","• 7 ranks in Disable Device.
")&amp;IF(DU107,"","• 7 ranks in Escape Artist.
")&amp;IF(DV107,"","• 4 ranks in Knowledge(Arcana).
")&amp;"• Ability to cast Mage Hand (not verified).
"&amp;IF(DX107,"","• Ability to cast at least one arcane spell of 3rd level.
")&amp;IF(DY107,"","• Sneak attack +2d6.")</f>
        <v>• Any non-lawful alignment.
• 7 ranks in Decipher Script.
• 7 ranks in Disable Device.
• 7 ranks in Escape Artist.
• 4 ranks in Knowledge(Arcana).
• Ability to cast Mage Hand (not verified).
• Ability to cast at least one arcane spell of 3rd level.
• Sneak attack +2d6.</v>
      </c>
      <c r="ED107" s="11" t="s">
        <v>335</v>
      </c>
      <c r="EE107" s="8" t="s">
        <v>301</v>
      </c>
      <c r="EF107" s="9">
        <v>8</v>
      </c>
      <c r="EG107" s="9" t="s">
        <v>153</v>
      </c>
      <c r="EH107" s="9">
        <v>1</v>
      </c>
      <c r="EI107" s="9" t="b">
        <f t="shared" si="92"/>
        <v>0</v>
      </c>
      <c r="EJ107" s="9" t="str">
        <f t="shared" si="93"/>
        <v/>
      </c>
      <c r="EK107" s="9">
        <f>IF($EI107,MATCH($EJ107,TblClassN,0),99)</f>
        <v>99</v>
      </c>
      <c r="EL107" s="9">
        <f t="shared" si="98"/>
        <v>99</v>
      </c>
      <c r="EM107" s="9">
        <f t="shared" si="94"/>
        <v>99</v>
      </c>
      <c r="EN107" s="9">
        <f t="shared" si="95"/>
        <v>99</v>
      </c>
      <c r="EO107" s="10">
        <f t="shared" si="96"/>
        <v>0</v>
      </c>
    </row>
    <row r="108" spans="1:145" ht="11.25" customHeight="1" x14ac:dyDescent="0.2">
      <c r="A108" s="1">
        <f t="shared" si="68"/>
        <v>105</v>
      </c>
      <c r="B108" s="1" t="s">
        <v>339</v>
      </c>
      <c r="C108" s="1" t="s">
        <v>340</v>
      </c>
      <c r="D108" s="1" t="s">
        <v>341</v>
      </c>
      <c r="E108" s="1">
        <f t="shared" si="84"/>
        <v>0</v>
      </c>
      <c r="G108" s="1">
        <f>ArmLvl</f>
        <v>0</v>
      </c>
      <c r="K108" s="1">
        <v>2</v>
      </c>
      <c r="L108" s="1">
        <v>4</v>
      </c>
      <c r="V108" s="1">
        <v>0.5</v>
      </c>
      <c r="W108" s="1">
        <v>0.34</v>
      </c>
      <c r="X108" s="1">
        <v>0.34</v>
      </c>
      <c r="Y108" s="1">
        <v>0.5</v>
      </c>
      <c r="Z108" s="1" t="b">
        <f>FALSE</f>
        <v>0</v>
      </c>
      <c r="AA108" s="1" t="str">
        <f t="shared" si="88"/>
        <v/>
      </c>
      <c r="AB108" s="1" t="str">
        <f t="shared" si="89"/>
        <v/>
      </c>
      <c r="AC108" s="1">
        <f t="shared" si="85"/>
        <v>0</v>
      </c>
      <c r="AD108" s="1" t="str">
        <f t="shared" si="90"/>
        <v/>
      </c>
      <c r="AE108" s="1" t="str">
        <f t="shared" si="91"/>
        <v/>
      </c>
      <c r="AF108" s="1">
        <f t="shared" si="86"/>
        <v>0</v>
      </c>
      <c r="AG108" s="1">
        <f t="shared" si="97"/>
        <v>5</v>
      </c>
      <c r="AH108" s="1" t="str">
        <f t="shared" si="87"/>
        <v/>
      </c>
      <c r="AI108" s="1">
        <v>1</v>
      </c>
      <c r="AJ108" s="1">
        <f t="shared" si="110"/>
        <v>0</v>
      </c>
      <c r="AK108" s="1">
        <v>1</v>
      </c>
      <c r="AL108" s="1">
        <v>1</v>
      </c>
      <c r="AM108" s="1">
        <v>1</v>
      </c>
      <c r="AN108" s="1">
        <f t="shared" si="111"/>
        <v>0</v>
      </c>
      <c r="AO108" s="1">
        <v>2</v>
      </c>
      <c r="AP108" s="1">
        <v>1</v>
      </c>
      <c r="AQ108" s="1">
        <f t="shared" ref="AQ108:AV108" si="119">1+(LOWER(AQ$2)="alchemy")</f>
        <v>1</v>
      </c>
      <c r="AR108" s="1">
        <f t="shared" si="119"/>
        <v>1</v>
      </c>
      <c r="AS108" s="1">
        <f t="shared" si="119"/>
        <v>1</v>
      </c>
      <c r="AT108" s="1">
        <f t="shared" si="119"/>
        <v>1</v>
      </c>
      <c r="AU108" s="1">
        <f t="shared" si="119"/>
        <v>1</v>
      </c>
      <c r="AV108" s="1">
        <f t="shared" si="119"/>
        <v>1</v>
      </c>
      <c r="AW108" s="1">
        <v>1</v>
      </c>
      <c r="AX108" s="1">
        <v>1</v>
      </c>
      <c r="AY108" s="1">
        <v>1</v>
      </c>
      <c r="AZ108" s="1">
        <v>1</v>
      </c>
      <c r="BA108" s="1">
        <v>1</v>
      </c>
      <c r="BB108" s="1">
        <v>1</v>
      </c>
      <c r="BC108" s="1">
        <v>1</v>
      </c>
      <c r="BD108" s="1">
        <v>1</v>
      </c>
      <c r="BE108" s="1">
        <v>1</v>
      </c>
      <c r="BF108" s="1">
        <v>1</v>
      </c>
      <c r="BG108" s="1">
        <f t="shared" si="112"/>
        <v>0</v>
      </c>
      <c r="BH108" s="1">
        <f t="shared" si="113"/>
        <v>0</v>
      </c>
      <c r="BI108" s="1">
        <v>1</v>
      </c>
      <c r="BJ108" s="1">
        <v>1</v>
      </c>
      <c r="BK108" s="1">
        <v>2</v>
      </c>
      <c r="BL108" s="1">
        <v>2</v>
      </c>
      <c r="BM108" s="1">
        <v>2</v>
      </c>
      <c r="BN108" s="1">
        <v>2</v>
      </c>
      <c r="BO108" s="1">
        <v>2</v>
      </c>
      <c r="BP108" s="1">
        <f>1+NOT(HRLivingGreyhawk)</f>
        <v>2</v>
      </c>
      <c r="BQ108" s="1">
        <f>IF(HRRVL,2,0)</f>
        <v>0</v>
      </c>
      <c r="BR108" s="1">
        <v>2</v>
      </c>
      <c r="BS108" s="1">
        <v>2</v>
      </c>
      <c r="BT108" s="1">
        <f>IF(HRXPH,2,0)</f>
        <v>0</v>
      </c>
      <c r="BU108" s="1">
        <f>IF(HRRVL,2,0)</f>
        <v>0</v>
      </c>
      <c r="BV108" s="1">
        <v>2</v>
      </c>
      <c r="BW108" s="1">
        <v>2</v>
      </c>
      <c r="BX108" s="1">
        <v>2</v>
      </c>
      <c r="BY108" s="1">
        <v>2</v>
      </c>
      <c r="BZ108" s="1">
        <v>2</v>
      </c>
      <c r="CA108" s="1">
        <v>2</v>
      </c>
      <c r="CB108" s="1">
        <v>2</v>
      </c>
      <c r="CC108" s="1">
        <v>2</v>
      </c>
      <c r="CD108" s="1">
        <v>2</v>
      </c>
      <c r="CE108" s="1">
        <v>2</v>
      </c>
      <c r="CF108" s="1">
        <v>1</v>
      </c>
      <c r="CG108" s="1">
        <f t="shared" si="114"/>
        <v>0</v>
      </c>
      <c r="CH108" s="1">
        <v>1</v>
      </c>
      <c r="CI108" s="1">
        <v>1</v>
      </c>
      <c r="CJ108" s="1">
        <v>1</v>
      </c>
      <c r="CK108" s="1">
        <v>1</v>
      </c>
      <c r="CL108" s="1">
        <v>1</v>
      </c>
      <c r="CM108" s="1">
        <v>1</v>
      </c>
      <c r="CN108" s="1">
        <v>1</v>
      </c>
      <c r="CO108" s="1">
        <v>1</v>
      </c>
      <c r="CP108" s="1">
        <v>2</v>
      </c>
      <c r="CQ108" s="1">
        <v>2</v>
      </c>
      <c r="CR108" s="1">
        <v>2</v>
      </c>
      <c r="CS108" s="1">
        <v>2</v>
      </c>
      <c r="CT108" s="1">
        <v>2</v>
      </c>
      <c r="CU108" s="1">
        <v>2</v>
      </c>
      <c r="CV108" s="1">
        <f t="shared" si="115"/>
        <v>0</v>
      </c>
      <c r="CW108" s="1">
        <v>1</v>
      </c>
      <c r="CX108" s="1">
        <v>2</v>
      </c>
      <c r="CY108" s="1">
        <v>1</v>
      </c>
      <c r="CZ108" s="1">
        <f t="shared" si="116"/>
        <v>0</v>
      </c>
      <c r="DA108" s="1">
        <v>1</v>
      </c>
      <c r="DB108" s="1">
        <v>1</v>
      </c>
      <c r="DC108" s="1">
        <v>2</v>
      </c>
      <c r="DD108" s="1">
        <v>1</v>
      </c>
      <c r="DE108" s="1">
        <v>1</v>
      </c>
      <c r="DF108" s="1">
        <v>1</v>
      </c>
      <c r="DG108" s="1">
        <v>1</v>
      </c>
      <c r="DH108" s="1">
        <v>1</v>
      </c>
      <c r="DI108" s="1">
        <f t="shared" si="117"/>
        <v>0</v>
      </c>
      <c r="DJ108" s="1">
        <v>1</v>
      </c>
      <c r="DK108" s="1" t="s">
        <v>319</v>
      </c>
      <c r="DL108" s="1" t="s">
        <v>40</v>
      </c>
      <c r="DR108" s="1" t="b">
        <f>SkKnowledgeArcanaRanks&gt;=15</f>
        <v>0</v>
      </c>
      <c r="DS108" s="1" t="b">
        <f>SkSpellcraftRanks&gt;=15</f>
        <v>0</v>
      </c>
      <c r="DT108" s="1" t="b">
        <f>NOT(ISNA(MATCH("Spellcraft",TblSkillFocus,0)))</f>
        <v>0</v>
      </c>
      <c r="DU108" s="1" t="b">
        <f>AND(FtSpellFocus1,FtSpellFocus2)</f>
        <v>0</v>
      </c>
      <c r="DV108" s="1" t="b">
        <f ca="1">MaxArcaneSpellLevel&gt;=7</f>
        <v>0</v>
      </c>
      <c r="EA108" s="1" t="b">
        <f t="shared" ca="1" si="118"/>
        <v>0</v>
      </c>
      <c r="EB108" s="11" t="s">
        <v>338</v>
      </c>
      <c r="EC108" s="1" t="str">
        <f ca="1">IF(DR108,"","• 15 ranks in Knowledge(arcana).
")&amp;IF(DS108,"","• 15 ranks in Spellcraft.
")&amp;IF(DT108,"","• Skill Focus(Spellcraft).
")&amp;IF(DU108,"","• Spell Focus in two schools of magic.
")&amp;IF(DV108,"","• Ability to cast 7th-level arcane spells.
")&amp;"• 5th-level or higher spells from at least 5 schools (not verified)."</f>
        <v>• 15 ranks in Knowledge(arcana).
• 15 ranks in Spellcraft.
• Skill Focus(Spellcraft).
• Spell Focus in two schools of magic.
• Ability to cast 7th-level arcane spells.
• 5th-level or higher spells from at least 5 schools (not verified).</v>
      </c>
      <c r="ED108" s="11" t="s">
        <v>335</v>
      </c>
      <c r="EE108" s="8" t="s">
        <v>301</v>
      </c>
      <c r="EF108" s="9">
        <v>8</v>
      </c>
      <c r="EG108" s="9" t="s">
        <v>153</v>
      </c>
      <c r="EH108" s="9">
        <v>-1</v>
      </c>
      <c r="EI108" s="9" t="b">
        <f t="shared" si="92"/>
        <v>0</v>
      </c>
      <c r="EJ108" s="9" t="str">
        <f t="shared" si="93"/>
        <v/>
      </c>
      <c r="EK108" s="9">
        <f>IF($EI108,MATCH($EJ108,TblClassN,0),99)</f>
        <v>99</v>
      </c>
      <c r="EL108" s="9">
        <f t="shared" si="98"/>
        <v>99</v>
      </c>
      <c r="EM108" s="9">
        <f t="shared" si="94"/>
        <v>99</v>
      </c>
      <c r="EN108" s="9">
        <f t="shared" si="95"/>
        <v>99</v>
      </c>
      <c r="EO108" s="10">
        <f t="shared" si="96"/>
        <v>0</v>
      </c>
    </row>
    <row r="109" spans="1:145" ht="11.25" customHeight="1" x14ac:dyDescent="0.2">
      <c r="A109" s="1">
        <f t="shared" si="68"/>
        <v>106</v>
      </c>
      <c r="B109" s="1" t="s">
        <v>342</v>
      </c>
      <c r="C109" s="1" t="s">
        <v>343</v>
      </c>
      <c r="D109" s="1" t="s">
        <v>343</v>
      </c>
      <c r="E109" s="1">
        <f t="shared" si="84"/>
        <v>0</v>
      </c>
      <c r="K109" s="1">
        <v>4</v>
      </c>
      <c r="L109" s="1">
        <v>6</v>
      </c>
      <c r="N109" s="1" t="b">
        <v>1</v>
      </c>
      <c r="V109" s="1">
        <v>0.75</v>
      </c>
      <c r="W109" s="1">
        <v>0.34</v>
      </c>
      <c r="X109" s="1">
        <v>0.5</v>
      </c>
      <c r="Y109" s="1">
        <v>0.34</v>
      </c>
      <c r="Z109" s="1" t="b">
        <f>FALSE</f>
        <v>0</v>
      </c>
      <c r="AA109" s="1" t="str">
        <f t="shared" si="88"/>
        <v/>
      </c>
      <c r="AB109" s="1" t="str">
        <f t="shared" si="89"/>
        <v/>
      </c>
      <c r="AC109" s="1">
        <f t="shared" si="85"/>
        <v>0</v>
      </c>
      <c r="AD109" s="1" t="str">
        <f t="shared" si="90"/>
        <v/>
      </c>
      <c r="AE109" s="1" t="str">
        <f t="shared" si="91"/>
        <v/>
      </c>
      <c r="AF109" s="1">
        <f t="shared" si="86"/>
        <v>0</v>
      </c>
      <c r="AG109" s="1">
        <f t="shared" si="97"/>
        <v>5</v>
      </c>
      <c r="AH109" s="1" t="str">
        <f t="shared" si="87"/>
        <v/>
      </c>
      <c r="AI109" s="1">
        <v>1</v>
      </c>
      <c r="AJ109" s="1">
        <f t="shared" si="110"/>
        <v>0</v>
      </c>
      <c r="AK109" s="1">
        <v>2</v>
      </c>
      <c r="AL109" s="1">
        <v>2</v>
      </c>
      <c r="AM109" s="1">
        <v>2</v>
      </c>
      <c r="AN109" s="1">
        <f t="shared" si="111"/>
        <v>0</v>
      </c>
      <c r="AO109" s="1">
        <v>1</v>
      </c>
      <c r="AP109" s="1">
        <v>2</v>
      </c>
      <c r="AQ109" s="1">
        <v>2</v>
      </c>
      <c r="AR109" s="1">
        <v>2</v>
      </c>
      <c r="AS109" s="1">
        <v>2</v>
      </c>
      <c r="AT109" s="1">
        <v>2</v>
      </c>
      <c r="AU109" s="1">
        <v>2</v>
      </c>
      <c r="AV109" s="1">
        <v>2</v>
      </c>
      <c r="AW109" s="1">
        <v>2</v>
      </c>
      <c r="AX109" s="1">
        <v>2</v>
      </c>
      <c r="AY109" s="1">
        <v>2</v>
      </c>
      <c r="AZ109" s="1">
        <v>2</v>
      </c>
      <c r="BA109" s="1">
        <v>2</v>
      </c>
      <c r="BB109" s="1">
        <v>2</v>
      </c>
      <c r="BC109" s="1">
        <v>2</v>
      </c>
      <c r="BD109" s="1">
        <v>1</v>
      </c>
      <c r="BE109" s="1">
        <v>1</v>
      </c>
      <c r="BF109" s="1">
        <v>2</v>
      </c>
      <c r="BG109" s="1">
        <f t="shared" si="112"/>
        <v>0</v>
      </c>
      <c r="BH109" s="1">
        <f t="shared" si="113"/>
        <v>0</v>
      </c>
      <c r="BI109" s="1">
        <v>2</v>
      </c>
      <c r="BJ109" s="1">
        <v>2</v>
      </c>
      <c r="BK109" s="1">
        <v>1</v>
      </c>
      <c r="BL109" s="1">
        <v>1</v>
      </c>
      <c r="BM109" s="1">
        <v>1</v>
      </c>
      <c r="BN109" s="1">
        <v>1</v>
      </c>
      <c r="BO109" s="1">
        <v>1</v>
      </c>
      <c r="BP109" s="1">
        <v>1</v>
      </c>
      <c r="BQ109" s="1">
        <f>IF(HRRVL,1,0)</f>
        <v>0</v>
      </c>
      <c r="BR109" s="1">
        <v>1</v>
      </c>
      <c r="BS109" s="1">
        <v>1</v>
      </c>
      <c r="BT109" s="1">
        <f>IF(HRXPH,1,0)</f>
        <v>0</v>
      </c>
      <c r="BU109" s="1">
        <f>IF(HRRVL,1,0)</f>
        <v>0</v>
      </c>
      <c r="BV109" s="1">
        <v>1</v>
      </c>
      <c r="BW109" s="1">
        <v>1</v>
      </c>
      <c r="BX109" s="1">
        <v>1</v>
      </c>
      <c r="BY109" s="1">
        <v>1</v>
      </c>
      <c r="BZ109" s="1">
        <v>1</v>
      </c>
      <c r="CA109" s="1">
        <v>1</v>
      </c>
      <c r="CB109" s="1">
        <v>1</v>
      </c>
      <c r="CC109" s="1">
        <v>1</v>
      </c>
      <c r="CD109" s="1">
        <v>1</v>
      </c>
      <c r="CE109" s="1">
        <v>1</v>
      </c>
      <c r="CF109" s="1">
        <v>2</v>
      </c>
      <c r="CG109" s="1">
        <f t="shared" si="114"/>
        <v>0</v>
      </c>
      <c r="CH109" s="1">
        <v>2</v>
      </c>
      <c r="CI109" s="1">
        <v>2</v>
      </c>
      <c r="CJ109" s="1">
        <v>1</v>
      </c>
      <c r="CK109" s="1">
        <v>1</v>
      </c>
      <c r="CL109" s="1">
        <v>1</v>
      </c>
      <c r="CM109" s="1">
        <v>1</v>
      </c>
      <c r="CN109" s="1">
        <v>1</v>
      </c>
      <c r="CO109" s="1">
        <v>1</v>
      </c>
      <c r="CP109" s="1">
        <v>1</v>
      </c>
      <c r="CQ109" s="1">
        <v>1</v>
      </c>
      <c r="CR109" s="1">
        <v>1</v>
      </c>
      <c r="CS109" s="1">
        <v>1</v>
      </c>
      <c r="CT109" s="1">
        <v>1</v>
      </c>
      <c r="CU109" s="1">
        <v>1</v>
      </c>
      <c r="CV109" s="1">
        <f t="shared" si="115"/>
        <v>0</v>
      </c>
      <c r="CW109" s="1">
        <v>1</v>
      </c>
      <c r="CX109" s="1">
        <v>2</v>
      </c>
      <c r="CY109" s="1">
        <v>2</v>
      </c>
      <c r="CZ109" s="1">
        <f t="shared" si="116"/>
        <v>0</v>
      </c>
      <c r="DA109" s="1">
        <v>2</v>
      </c>
      <c r="DB109" s="1">
        <v>1</v>
      </c>
      <c r="DC109" s="1">
        <v>1</v>
      </c>
      <c r="DD109" s="1">
        <v>2</v>
      </c>
      <c r="DE109" s="1">
        <v>1</v>
      </c>
      <c r="DF109" s="1">
        <v>2</v>
      </c>
      <c r="DG109" s="1">
        <v>2</v>
      </c>
      <c r="DH109" s="1">
        <v>2</v>
      </c>
      <c r="DI109" s="1">
        <f t="shared" si="117"/>
        <v>0</v>
      </c>
      <c r="DJ109" s="1">
        <v>2</v>
      </c>
      <c r="DK109" s="1" t="s">
        <v>319</v>
      </c>
      <c r="DL109" s="1" t="s">
        <v>150</v>
      </c>
      <c r="DR109" s="1" t="b">
        <f>AlignmentEvil</f>
        <v>0</v>
      </c>
      <c r="DS109" s="1" t="b">
        <f>SkMoveSilentlyRanks&gt;=8</f>
        <v>0</v>
      </c>
      <c r="DT109" s="1" t="b">
        <f>SkHideRanks&gt;=8</f>
        <v>0</v>
      </c>
      <c r="DU109" s="1" t="b">
        <f>SkDisguiseRanks&gt;=4</f>
        <v>0</v>
      </c>
      <c r="EA109" s="1" t="b">
        <f t="shared" si="118"/>
        <v>0</v>
      </c>
      <c r="EB109" s="11" t="s">
        <v>338</v>
      </c>
      <c r="EC109" s="1" t="str">
        <f>IF(DR109,"","• Your alignment must be evil.
")&amp;IF(DS109,"","• 8 ranks in Move Silently.
")&amp;IF(DT109,"","• 8 ranks in Hide.
")&amp;IF(DU109,"","• 4 ranks in Disguise.
")&amp;"• You must kill someone for no other reason than to join the assassins
   (not verified)."</f>
        <v>• Your alignment must be evil.
• 8 ranks in Move Silently.
• 8 ranks in Hide.
• 4 ranks in Disguise.
• You must kill someone for no other reason than to join the assassins
   (not verified).</v>
      </c>
      <c r="ED109" s="11" t="s">
        <v>335</v>
      </c>
      <c r="EE109" s="8" t="s">
        <v>301</v>
      </c>
      <c r="EF109" s="9">
        <v>8</v>
      </c>
      <c r="EG109" s="9" t="s">
        <v>134</v>
      </c>
      <c r="EH109" s="9">
        <v>1</v>
      </c>
      <c r="EI109" s="9" t="b">
        <f t="shared" si="92"/>
        <v>0</v>
      </c>
      <c r="EJ109" s="9" t="str">
        <f t="shared" si="93"/>
        <v/>
      </c>
      <c r="EK109" s="9">
        <f>IF($EI109,MATCH($EJ109,TblClassN,0),99)</f>
        <v>99</v>
      </c>
      <c r="EL109" s="9">
        <f t="shared" si="98"/>
        <v>99</v>
      </c>
      <c r="EM109" s="9">
        <f t="shared" si="94"/>
        <v>99</v>
      </c>
      <c r="EN109" s="9">
        <f t="shared" si="95"/>
        <v>99</v>
      </c>
      <c r="EO109" s="10">
        <f t="shared" si="96"/>
        <v>0</v>
      </c>
    </row>
    <row r="110" spans="1:145" ht="11.25" customHeight="1" x14ac:dyDescent="0.2">
      <c r="A110" s="1">
        <f t="shared" si="68"/>
        <v>107</v>
      </c>
      <c r="B110" s="1" t="s">
        <v>344</v>
      </c>
      <c r="C110" s="1" t="s">
        <v>345</v>
      </c>
      <c r="D110" s="1" t="s">
        <v>345</v>
      </c>
      <c r="E110" s="1">
        <f t="shared" si="84"/>
        <v>0</v>
      </c>
      <c r="K110" s="1">
        <v>2</v>
      </c>
      <c r="L110" s="1">
        <v>10</v>
      </c>
      <c r="M110" s="1">
        <f>IF(AND(BlkLvl&gt;=3,AlignmentEvil),BlkLvl-2,0)</f>
        <v>0</v>
      </c>
      <c r="N110" s="1" t="b">
        <v>1</v>
      </c>
      <c r="O110" s="1" t="b">
        <v>1</v>
      </c>
      <c r="P110" s="1" t="b">
        <v>1</v>
      </c>
      <c r="Q110" s="1" t="b">
        <v>1</v>
      </c>
      <c r="R110" s="1" t="b">
        <v>1</v>
      </c>
      <c r="S110" s="1" t="b">
        <v>1</v>
      </c>
      <c r="T110" s="1" t="b">
        <v>1</v>
      </c>
      <c r="V110" s="1">
        <v>1</v>
      </c>
      <c r="W110" s="1">
        <v>0.5</v>
      </c>
      <c r="X110" s="1">
        <v>0.34</v>
      </c>
      <c r="Y110" s="1">
        <v>0.34</v>
      </c>
      <c r="Z110" s="1" t="b">
        <f>FALSE</f>
        <v>0</v>
      </c>
      <c r="AA110" s="1" t="str">
        <f t="shared" si="88"/>
        <v/>
      </c>
      <c r="AB110" s="1" t="str">
        <f t="shared" si="89"/>
        <v/>
      </c>
      <c r="AC110" s="1">
        <f t="shared" si="85"/>
        <v>0</v>
      </c>
      <c r="AD110" s="1" t="str">
        <f t="shared" si="90"/>
        <v/>
      </c>
      <c r="AE110" s="1" t="str">
        <f t="shared" si="91"/>
        <v/>
      </c>
      <c r="AF110" s="1">
        <f t="shared" si="86"/>
        <v>0</v>
      </c>
      <c r="AG110" s="1">
        <f t="shared" si="97"/>
        <v>5</v>
      </c>
      <c r="AH110" s="1" t="str">
        <f t="shared" si="87"/>
        <v/>
      </c>
      <c r="AI110" s="1">
        <v>1</v>
      </c>
      <c r="AJ110" s="1">
        <f t="shared" si="110"/>
        <v>0</v>
      </c>
      <c r="AK110" s="1">
        <v>1</v>
      </c>
      <c r="AL110" s="1">
        <v>1</v>
      </c>
      <c r="AM110" s="1">
        <v>1</v>
      </c>
      <c r="AN110" s="1">
        <f t="shared" si="111"/>
        <v>0</v>
      </c>
      <c r="AO110" s="1">
        <v>2</v>
      </c>
      <c r="AP110" s="1">
        <v>2</v>
      </c>
      <c r="AQ110" s="1">
        <v>2</v>
      </c>
      <c r="AR110" s="1">
        <v>2</v>
      </c>
      <c r="AS110" s="1">
        <v>2</v>
      </c>
      <c r="AT110" s="1">
        <v>2</v>
      </c>
      <c r="AU110" s="1">
        <v>2</v>
      </c>
      <c r="AV110" s="1">
        <v>2</v>
      </c>
      <c r="AW110" s="1">
        <v>1</v>
      </c>
      <c r="AX110" s="1">
        <v>2</v>
      </c>
      <c r="AY110" s="1">
        <v>1</v>
      </c>
      <c r="AZ110" s="1">
        <v>1</v>
      </c>
      <c r="BA110" s="1">
        <v>1</v>
      </c>
      <c r="BB110" s="1">
        <v>1</v>
      </c>
      <c r="BC110" s="1">
        <v>1</v>
      </c>
      <c r="BD110" s="1">
        <v>2</v>
      </c>
      <c r="BE110" s="1">
        <v>2</v>
      </c>
      <c r="BF110" s="1">
        <v>2</v>
      </c>
      <c r="BG110" s="1">
        <f t="shared" si="112"/>
        <v>0</v>
      </c>
      <c r="BH110" s="1">
        <f t="shared" si="113"/>
        <v>0</v>
      </c>
      <c r="BI110" s="1">
        <v>2</v>
      </c>
      <c r="BJ110" s="1">
        <v>1</v>
      </c>
      <c r="BK110" s="1">
        <v>1</v>
      </c>
      <c r="BL110" s="1">
        <v>1</v>
      </c>
      <c r="BM110" s="1">
        <v>1</v>
      </c>
      <c r="BN110" s="1">
        <v>1</v>
      </c>
      <c r="BO110" s="1">
        <v>1</v>
      </c>
      <c r="BP110" s="1">
        <v>1</v>
      </c>
      <c r="BQ110" s="1">
        <f>IF(HRRVL,1,0)</f>
        <v>0</v>
      </c>
      <c r="BR110" s="1">
        <v>1</v>
      </c>
      <c r="BS110" s="1">
        <v>1</v>
      </c>
      <c r="BT110" s="1">
        <f>IF(HRXPH,1,0)</f>
        <v>0</v>
      </c>
      <c r="BU110" s="1">
        <f>IF(HRRVL,2,0)</f>
        <v>0</v>
      </c>
      <c r="BV110" s="1">
        <v>2</v>
      </c>
      <c r="BW110" s="1">
        <v>1</v>
      </c>
      <c r="BX110" s="1">
        <v>1</v>
      </c>
      <c r="BY110" s="1">
        <v>1</v>
      </c>
      <c r="BZ110" s="1">
        <v>1</v>
      </c>
      <c r="CA110" s="1">
        <v>1</v>
      </c>
      <c r="CB110" s="1">
        <v>1</v>
      </c>
      <c r="CC110" s="1">
        <v>1</v>
      </c>
      <c r="CD110" s="1">
        <v>1</v>
      </c>
      <c r="CE110" s="1">
        <v>1</v>
      </c>
      <c r="CF110" s="1">
        <v>1</v>
      </c>
      <c r="CG110" s="1">
        <f t="shared" si="114"/>
        <v>0</v>
      </c>
      <c r="CH110" s="1">
        <v>1</v>
      </c>
      <c r="CI110" s="1">
        <v>1</v>
      </c>
      <c r="CJ110" s="1">
        <v>1</v>
      </c>
      <c r="CK110" s="1">
        <v>1</v>
      </c>
      <c r="CL110" s="1">
        <v>1</v>
      </c>
      <c r="CM110" s="1">
        <v>1</v>
      </c>
      <c r="CN110" s="1">
        <v>1</v>
      </c>
      <c r="CO110" s="1">
        <v>1</v>
      </c>
      <c r="CP110" s="1">
        <v>2</v>
      </c>
      <c r="CQ110" s="1">
        <v>2</v>
      </c>
      <c r="CR110" s="1">
        <v>2</v>
      </c>
      <c r="CS110" s="1">
        <v>2</v>
      </c>
      <c r="CT110" s="1">
        <v>2</v>
      </c>
      <c r="CU110" s="1">
        <v>2</v>
      </c>
      <c r="CV110" s="1">
        <f t="shared" si="115"/>
        <v>0</v>
      </c>
      <c r="CW110" s="1">
        <v>2</v>
      </c>
      <c r="CX110" s="1">
        <v>1</v>
      </c>
      <c r="CY110" s="1">
        <v>1</v>
      </c>
      <c r="CZ110" s="1">
        <f t="shared" si="116"/>
        <v>0</v>
      </c>
      <c r="DA110" s="1">
        <v>1</v>
      </c>
      <c r="DB110" s="1">
        <v>1</v>
      </c>
      <c r="DC110" s="1">
        <v>1</v>
      </c>
      <c r="DD110" s="1">
        <v>1</v>
      </c>
      <c r="DE110" s="1">
        <v>1</v>
      </c>
      <c r="DF110" s="1">
        <v>1</v>
      </c>
      <c r="DG110" s="1">
        <v>1</v>
      </c>
      <c r="DH110" s="1">
        <v>1</v>
      </c>
      <c r="DI110" s="1">
        <f t="shared" si="117"/>
        <v>0</v>
      </c>
      <c r="DJ110" s="1">
        <v>1</v>
      </c>
      <c r="DK110" s="1" t="s">
        <v>319</v>
      </c>
      <c r="DL110" s="1" t="s">
        <v>150</v>
      </c>
      <c r="DR110" s="1" t="b">
        <f>AlignmentEvil</f>
        <v>0</v>
      </c>
      <c r="DS110" s="1" t="b">
        <f>BaseAtk&gt;=6</f>
        <v>0</v>
      </c>
      <c r="DT110" s="1" t="b">
        <f>SkKnowledgeReligionRanks&gt;=2</f>
        <v>0</v>
      </c>
      <c r="DU110" s="1" t="b">
        <f>SkHideRanks&gt;=5</f>
        <v>0</v>
      </c>
      <c r="DV110" s="1" t="b">
        <f>FtCleave</f>
        <v>0</v>
      </c>
      <c r="DW110" s="1" t="b">
        <f>FtImprovedSunder</f>
        <v>0</v>
      </c>
      <c r="DX110" s="1" t="b">
        <f>FtPowerAttackEquiv</f>
        <v>0</v>
      </c>
      <c r="EA110" s="1" t="b">
        <f t="shared" si="118"/>
        <v>0</v>
      </c>
      <c r="EB110" s="11" t="s">
        <v>338</v>
      </c>
      <c r="EC110" s="1" t="str">
        <f>IF(DR110,"","• Your alignment must be evil.
")&amp;IF(DS110,"","• A base attack bonus of +6 or higher.
")&amp;IF(DT110,"","• 2 ranks in Knowledge (religion).
")&amp;IF(DU110,"","• 5 ranks in Hide.
")&amp;IF(DV110,"","• Cleave feat.
")&amp;IF(DW110,"","• Improved Sunder feat.
")&amp;"• You must make a peaceful contact with an evil outsider (not verified)."</f>
        <v>• Your alignment must be evil.
• A base attack bonus of +6 or higher.
• 2 ranks in Knowledge (religion).
• 5 ranks in Hide.
• Cleave feat.
• Improved Sunder feat.
• You must make a peaceful contact with an evil outsider (not verified).</v>
      </c>
      <c r="ED110" s="11" t="s">
        <v>335</v>
      </c>
      <c r="EE110" s="8" t="s">
        <v>301</v>
      </c>
      <c r="EF110" s="9">
        <v>8</v>
      </c>
      <c r="EG110" s="9" t="s">
        <v>118</v>
      </c>
      <c r="EH110" s="9">
        <v>1</v>
      </c>
      <c r="EI110" s="9" t="b">
        <f t="shared" si="92"/>
        <v>0</v>
      </c>
      <c r="EJ110" s="9" t="str">
        <f t="shared" si="93"/>
        <v/>
      </c>
      <c r="EK110" s="9">
        <f>IF($EI110,MATCH($EJ110,TblClassN,0),99)</f>
        <v>99</v>
      </c>
      <c r="EL110" s="9">
        <f t="shared" si="98"/>
        <v>99</v>
      </c>
      <c r="EM110" s="9">
        <f t="shared" si="94"/>
        <v>99</v>
      </c>
      <c r="EN110" s="9">
        <f t="shared" si="95"/>
        <v>99</v>
      </c>
      <c r="EO110" s="10">
        <f t="shared" si="96"/>
        <v>0</v>
      </c>
    </row>
    <row r="111" spans="1:145" ht="11.25" customHeight="1" x14ac:dyDescent="0.2">
      <c r="A111" s="1">
        <f t="shared" si="68"/>
        <v>108</v>
      </c>
      <c r="B111" s="1" t="s">
        <v>346</v>
      </c>
      <c r="C111" s="1" t="s">
        <v>191</v>
      </c>
      <c r="D111" s="1" t="s">
        <v>191</v>
      </c>
      <c r="E111" s="1">
        <f t="shared" si="84"/>
        <v>0</v>
      </c>
      <c r="K111" s="1">
        <v>2</v>
      </c>
      <c r="L111" s="1">
        <v>12</v>
      </c>
      <c r="V111" s="1">
        <v>0.75</v>
      </c>
      <c r="W111" s="1">
        <v>0.5</v>
      </c>
      <c r="X111" s="1">
        <v>0.34</v>
      </c>
      <c r="Y111" s="1">
        <v>0.5</v>
      </c>
      <c r="Z111" s="1" t="b">
        <f>FALSE</f>
        <v>0</v>
      </c>
      <c r="AA111" s="1" t="str">
        <f t="shared" si="88"/>
        <v/>
      </c>
      <c r="AB111" s="1" t="str">
        <f t="shared" si="89"/>
        <v/>
      </c>
      <c r="AC111" s="1">
        <f t="shared" si="85"/>
        <v>0</v>
      </c>
      <c r="AD111" s="1" t="str">
        <f t="shared" si="90"/>
        <v/>
      </c>
      <c r="AE111" s="1" t="str">
        <f t="shared" si="91"/>
        <v/>
      </c>
      <c r="AF111" s="1">
        <f t="shared" si="86"/>
        <v>0</v>
      </c>
      <c r="AG111" s="1">
        <f t="shared" si="97"/>
        <v>5</v>
      </c>
      <c r="AH111" s="1" t="str">
        <f t="shared" si="87"/>
        <v/>
      </c>
      <c r="AI111" s="1">
        <v>1</v>
      </c>
      <c r="AJ111" s="1">
        <f t="shared" si="110"/>
        <v>0</v>
      </c>
      <c r="AK111" s="1">
        <v>1</v>
      </c>
      <c r="AL111" s="1">
        <v>1</v>
      </c>
      <c r="AM111" s="1">
        <v>1</v>
      </c>
      <c r="AN111" s="1">
        <f t="shared" si="111"/>
        <v>0</v>
      </c>
      <c r="AO111" s="1">
        <v>2</v>
      </c>
      <c r="AP111" s="1">
        <v>2</v>
      </c>
      <c r="AQ111" s="1">
        <v>2</v>
      </c>
      <c r="AR111" s="1">
        <v>2</v>
      </c>
      <c r="AS111" s="1">
        <v>2</v>
      </c>
      <c r="AT111" s="1">
        <v>2</v>
      </c>
      <c r="AU111" s="1">
        <v>2</v>
      </c>
      <c r="AV111" s="1">
        <v>2</v>
      </c>
      <c r="AW111" s="1">
        <v>1</v>
      </c>
      <c r="AX111" s="1">
        <v>2</v>
      </c>
      <c r="AY111" s="1">
        <v>1</v>
      </c>
      <c r="AZ111" s="1">
        <v>1</v>
      </c>
      <c r="BA111" s="1">
        <v>2</v>
      </c>
      <c r="BB111" s="1">
        <v>1</v>
      </c>
      <c r="BC111" s="1">
        <v>2</v>
      </c>
      <c r="BD111" s="1">
        <v>1</v>
      </c>
      <c r="BE111" s="1">
        <v>1</v>
      </c>
      <c r="BF111" s="1">
        <v>1</v>
      </c>
      <c r="BG111" s="1">
        <f t="shared" si="112"/>
        <v>0</v>
      </c>
      <c r="BH111" s="1">
        <f t="shared" si="113"/>
        <v>0</v>
      </c>
      <c r="BI111" s="1">
        <v>1</v>
      </c>
      <c r="BJ111" s="1">
        <v>1</v>
      </c>
      <c r="BK111" s="1">
        <v>2</v>
      </c>
      <c r="BL111" s="1">
        <v>2</v>
      </c>
      <c r="BM111" s="1">
        <v>2</v>
      </c>
      <c r="BN111" s="1">
        <v>2</v>
      </c>
      <c r="BO111" s="1">
        <v>2</v>
      </c>
      <c r="BP111" s="1">
        <f>1+NOT(HRLivingGreyhawk)</f>
        <v>2</v>
      </c>
      <c r="BQ111" s="1">
        <f>IF(HRRVL,2,0)</f>
        <v>0</v>
      </c>
      <c r="BR111" s="1">
        <v>2</v>
      </c>
      <c r="BS111" s="1">
        <v>2</v>
      </c>
      <c r="BT111" s="1">
        <f>IF(HRXPH,2,0)</f>
        <v>0</v>
      </c>
      <c r="BU111" s="1">
        <f>IF(HRRVL,2,0)</f>
        <v>0</v>
      </c>
      <c r="BV111" s="1">
        <v>2</v>
      </c>
      <c r="BW111" s="1">
        <v>2</v>
      </c>
      <c r="BX111" s="1">
        <v>2</v>
      </c>
      <c r="BY111" s="1">
        <v>2</v>
      </c>
      <c r="BZ111" s="1">
        <v>2</v>
      </c>
      <c r="CA111" s="1">
        <v>2</v>
      </c>
      <c r="CB111" s="1">
        <v>2</v>
      </c>
      <c r="CC111" s="1">
        <v>2</v>
      </c>
      <c r="CD111" s="1">
        <v>2</v>
      </c>
      <c r="CE111" s="1">
        <v>2</v>
      </c>
      <c r="CF111" s="1">
        <v>2</v>
      </c>
      <c r="CG111" s="1">
        <f t="shared" si="114"/>
        <v>0</v>
      </c>
      <c r="CH111" s="1">
        <v>1</v>
      </c>
      <c r="CI111" s="1">
        <v>1</v>
      </c>
      <c r="CJ111" s="1">
        <v>1</v>
      </c>
      <c r="CK111" s="1">
        <v>1</v>
      </c>
      <c r="CL111" s="1">
        <v>1</v>
      </c>
      <c r="CM111" s="1">
        <v>1</v>
      </c>
      <c r="CN111" s="1">
        <v>1</v>
      </c>
      <c r="CO111" s="1">
        <v>1</v>
      </c>
      <c r="CP111" s="1">
        <v>2</v>
      </c>
      <c r="CQ111" s="1">
        <v>2</v>
      </c>
      <c r="CR111" s="1">
        <v>2</v>
      </c>
      <c r="CS111" s="1">
        <v>2</v>
      </c>
      <c r="CT111" s="1">
        <v>2</v>
      </c>
      <c r="CU111" s="1">
        <v>2</v>
      </c>
      <c r="CV111" s="1">
        <f t="shared" si="115"/>
        <v>0</v>
      </c>
      <c r="CW111" s="1">
        <v>1</v>
      </c>
      <c r="CX111" s="1">
        <v>2</v>
      </c>
      <c r="CY111" s="1">
        <v>1</v>
      </c>
      <c r="CZ111" s="1">
        <f t="shared" si="116"/>
        <v>0</v>
      </c>
      <c r="DA111" s="1">
        <v>1</v>
      </c>
      <c r="DB111" s="1">
        <v>2</v>
      </c>
      <c r="DC111" s="1">
        <v>2</v>
      </c>
      <c r="DD111" s="1">
        <v>2</v>
      </c>
      <c r="DE111" s="1">
        <v>1</v>
      </c>
      <c r="DF111" s="1">
        <v>1</v>
      </c>
      <c r="DG111" s="1">
        <v>1</v>
      </c>
      <c r="DH111" s="1">
        <v>1</v>
      </c>
      <c r="DI111" s="1">
        <f t="shared" si="117"/>
        <v>0</v>
      </c>
      <c r="DJ111" s="1">
        <v>1</v>
      </c>
      <c r="DK111" s="1" t="s">
        <v>319</v>
      </c>
      <c r="DL111" s="1" t="s">
        <v>40</v>
      </c>
      <c r="DR111" s="1" t="b">
        <f>SkKnowledgeArcanaRanks&gt;=8</f>
        <v>0</v>
      </c>
      <c r="DS111" s="1" t="b">
        <f>NOT(ISNA(MATCH("Draconic",TblLangKnown,0)))</f>
        <v>0</v>
      </c>
      <c r="DT111" s="1" t="b">
        <f ca="1">MaxSpontaneousLevel&gt;=0</f>
        <v>0</v>
      </c>
      <c r="EA111" s="1" t="b">
        <f t="shared" ca="1" si="118"/>
        <v>0</v>
      </c>
      <c r="EB111" s="11" t="s">
        <v>334</v>
      </c>
      <c r="EC111" s="1" t="str">
        <f ca="1">IF(DR111,"","• 8 ranks in Knowledge(Arcana).
")&amp;IF(DS111,"","• Draconic Language.
")&amp;IF(DT111,"","• Ability to cast spells w/o preparation.")</f>
        <v>• 8 ranks in Knowledge(Arcana).
• Draconic Language.
• Ability to cast spells w/o preparation.</v>
      </c>
      <c r="ED111" s="11" t="s">
        <v>335</v>
      </c>
      <c r="EE111" s="8" t="s">
        <v>347</v>
      </c>
      <c r="EF111" s="9">
        <v>10</v>
      </c>
      <c r="EG111" s="9" t="s">
        <v>162</v>
      </c>
      <c r="EH111" s="9">
        <v>2</v>
      </c>
      <c r="EI111" s="9" t="b">
        <f t="shared" si="92"/>
        <v>0</v>
      </c>
      <c r="EJ111" s="9" t="str">
        <f t="shared" si="93"/>
        <v/>
      </c>
      <c r="EK111" s="9">
        <f>IF($EI111,MATCH($EJ111,TblClassN,0),99)</f>
        <v>99</v>
      </c>
      <c r="EL111" s="9">
        <f t="shared" si="98"/>
        <v>99</v>
      </c>
      <c r="EM111" s="9">
        <f t="shared" si="94"/>
        <v>99</v>
      </c>
      <c r="EN111" s="9">
        <f t="shared" si="95"/>
        <v>99</v>
      </c>
      <c r="EO111" s="10">
        <f t="shared" si="96"/>
        <v>0</v>
      </c>
    </row>
    <row r="112" spans="1:145" ht="11.25" customHeight="1" x14ac:dyDescent="0.2">
      <c r="A112" s="1">
        <f t="shared" si="68"/>
        <v>109</v>
      </c>
      <c r="B112" s="1" t="s">
        <v>348</v>
      </c>
      <c r="C112" s="1" t="s">
        <v>349</v>
      </c>
      <c r="D112" s="1" t="s">
        <v>349</v>
      </c>
      <c r="E112" s="1">
        <f t="shared" si="84"/>
        <v>0</v>
      </c>
      <c r="K112" s="1">
        <v>4</v>
      </c>
      <c r="L112" s="1">
        <v>10</v>
      </c>
      <c r="S112" s="1" t="b">
        <v>1</v>
      </c>
      <c r="T112" s="1" t="b">
        <v>1</v>
      </c>
      <c r="V112" s="1">
        <v>1</v>
      </c>
      <c r="W112" s="1">
        <v>0.34</v>
      </c>
      <c r="X112" s="1">
        <v>0.5</v>
      </c>
      <c r="Y112" s="1">
        <v>0.34</v>
      </c>
      <c r="Z112" s="1" t="b">
        <f>FALSE</f>
        <v>0</v>
      </c>
      <c r="AA112" s="1" t="str">
        <f t="shared" si="88"/>
        <v/>
      </c>
      <c r="AB112" s="1" t="str">
        <f t="shared" si="89"/>
        <v/>
      </c>
      <c r="AC112" s="1">
        <f t="shared" si="85"/>
        <v>0</v>
      </c>
      <c r="AD112" s="1" t="str">
        <f t="shared" si="90"/>
        <v/>
      </c>
      <c r="AE112" s="1" t="str">
        <f t="shared" si="91"/>
        <v/>
      </c>
      <c r="AF112" s="1">
        <f t="shared" si="86"/>
        <v>0</v>
      </c>
      <c r="AG112" s="1">
        <f t="shared" si="97"/>
        <v>5</v>
      </c>
      <c r="AH112" s="1" t="str">
        <f t="shared" si="87"/>
        <v/>
      </c>
      <c r="AI112" s="1">
        <v>1</v>
      </c>
      <c r="AJ112" s="1">
        <f t="shared" si="110"/>
        <v>0</v>
      </c>
      <c r="AK112" s="1">
        <v>2</v>
      </c>
      <c r="AL112" s="1">
        <v>2</v>
      </c>
      <c r="AM112" s="1">
        <v>1</v>
      </c>
      <c r="AN112" s="1">
        <f t="shared" si="111"/>
        <v>0</v>
      </c>
      <c r="AO112" s="1">
        <v>1</v>
      </c>
      <c r="AP112" s="1">
        <v>1</v>
      </c>
      <c r="AQ112" s="1">
        <v>1</v>
      </c>
      <c r="AR112" s="1">
        <v>1</v>
      </c>
      <c r="AS112" s="1">
        <v>1</v>
      </c>
      <c r="AT112" s="1">
        <v>1</v>
      </c>
      <c r="AU112" s="1">
        <v>1</v>
      </c>
      <c r="AV112" s="1">
        <v>1</v>
      </c>
      <c r="AW112" s="1">
        <v>1</v>
      </c>
      <c r="AX112" s="1">
        <v>1</v>
      </c>
      <c r="AY112" s="1">
        <v>1</v>
      </c>
      <c r="AZ112" s="1">
        <v>1</v>
      </c>
      <c r="BA112" s="1">
        <v>2</v>
      </c>
      <c r="BB112" s="1">
        <v>1</v>
      </c>
      <c r="BC112" s="1">
        <v>1</v>
      </c>
      <c r="BD112" s="1">
        <v>1</v>
      </c>
      <c r="BE112" s="1">
        <v>1</v>
      </c>
      <c r="BF112" s="1">
        <v>1</v>
      </c>
      <c r="BG112" s="1">
        <f t="shared" si="112"/>
        <v>0</v>
      </c>
      <c r="BH112" s="1">
        <f t="shared" si="113"/>
        <v>0</v>
      </c>
      <c r="BI112" s="1">
        <v>1</v>
      </c>
      <c r="BJ112" s="1">
        <v>2</v>
      </c>
      <c r="BK112" s="1">
        <v>1</v>
      </c>
      <c r="BL112" s="1">
        <v>1</v>
      </c>
      <c r="BM112" s="1">
        <v>1</v>
      </c>
      <c r="BN112" s="1">
        <v>1</v>
      </c>
      <c r="BO112" s="1">
        <v>1</v>
      </c>
      <c r="BP112" s="1">
        <v>1</v>
      </c>
      <c r="BQ112" s="1">
        <f>IF(HRRVL,1,0)</f>
        <v>0</v>
      </c>
      <c r="BR112" s="1">
        <v>1</v>
      </c>
      <c r="BS112" s="1">
        <v>1</v>
      </c>
      <c r="BT112" s="1">
        <f>IF(HRXPH,1,0)</f>
        <v>0</v>
      </c>
      <c r="BU112" s="1">
        <f>IF(HRRVL,1,0)</f>
        <v>0</v>
      </c>
      <c r="BV112" s="1">
        <v>1</v>
      </c>
      <c r="BW112" s="1">
        <v>1</v>
      </c>
      <c r="BX112" s="1">
        <v>1</v>
      </c>
      <c r="BY112" s="1">
        <v>1</v>
      </c>
      <c r="BZ112" s="1">
        <v>1</v>
      </c>
      <c r="CA112" s="1">
        <v>1</v>
      </c>
      <c r="CB112" s="1">
        <v>1</v>
      </c>
      <c r="CC112" s="1">
        <v>1</v>
      </c>
      <c r="CD112" s="1">
        <v>1</v>
      </c>
      <c r="CE112" s="1">
        <v>1</v>
      </c>
      <c r="CF112" s="1">
        <v>2</v>
      </c>
      <c r="CG112" s="1">
        <f t="shared" si="114"/>
        <v>0</v>
      </c>
      <c r="CH112" s="1">
        <v>1</v>
      </c>
      <c r="CI112" s="1">
        <v>1</v>
      </c>
      <c r="CJ112" s="1">
        <v>2</v>
      </c>
      <c r="CK112" s="1">
        <v>2</v>
      </c>
      <c r="CL112" s="1">
        <v>2</v>
      </c>
      <c r="CM112" s="1">
        <v>2</v>
      </c>
      <c r="CN112" s="1">
        <v>2</v>
      </c>
      <c r="CO112" s="1">
        <v>2</v>
      </c>
      <c r="CP112" s="1">
        <v>1</v>
      </c>
      <c r="CQ112" s="1">
        <v>1</v>
      </c>
      <c r="CR112" s="1">
        <v>1</v>
      </c>
      <c r="CS112" s="1">
        <v>1</v>
      </c>
      <c r="CT112" s="1">
        <v>1</v>
      </c>
      <c r="CU112" s="1">
        <v>1</v>
      </c>
      <c r="CV112" s="1">
        <f t="shared" si="115"/>
        <v>0</v>
      </c>
      <c r="CW112" s="1">
        <v>1</v>
      </c>
      <c r="CX112" s="1">
        <v>1</v>
      </c>
      <c r="CY112" s="1">
        <v>2</v>
      </c>
      <c r="CZ112" s="1">
        <f t="shared" si="116"/>
        <v>0</v>
      </c>
      <c r="DA112" s="1">
        <v>1</v>
      </c>
      <c r="DB112" s="1">
        <v>1</v>
      </c>
      <c r="DC112" s="1">
        <v>1</v>
      </c>
      <c r="DD112" s="1">
        <v>2</v>
      </c>
      <c r="DE112" s="1">
        <v>1</v>
      </c>
      <c r="DF112" s="1">
        <v>1</v>
      </c>
      <c r="DG112" s="1">
        <v>2</v>
      </c>
      <c r="DH112" s="1">
        <v>1</v>
      </c>
      <c r="DI112" s="1">
        <f t="shared" si="117"/>
        <v>0</v>
      </c>
      <c r="DJ112" s="1">
        <v>1</v>
      </c>
      <c r="DK112" s="1" t="s">
        <v>319</v>
      </c>
      <c r="DL112" s="1" t="s">
        <v>40</v>
      </c>
      <c r="DR112" s="1" t="b">
        <f>BaseAtk&gt;=6</f>
        <v>0</v>
      </c>
      <c r="DS112" s="1" t="b">
        <f>SkPerformRanks&gt;=3</f>
        <v>0</v>
      </c>
      <c r="DT112" s="1" t="b">
        <f>SkTumbleRanks&gt;=5</f>
        <v>0</v>
      </c>
      <c r="DU112" s="1" t="b">
        <f>FtDodgeEquiv</f>
        <v>0</v>
      </c>
      <c r="DV112" s="1" t="b">
        <f>FtMobility</f>
        <v>0</v>
      </c>
      <c r="DW112" s="1" t="b">
        <f>OR(FtWeaponFinesse,FtShadowBlade)</f>
        <v>0</v>
      </c>
      <c r="EA112" s="1" t="b">
        <f t="shared" si="118"/>
        <v>0</v>
      </c>
      <c r="EB112" s="11" t="s">
        <v>334</v>
      </c>
      <c r="EC112" s="1" t="str">
        <f>IF(DR112,"","• A base attack bonus of +6 or higher.
")&amp;IF(DS112,"","• 3 ranks in Perform.
")&amp;IF(DT112,"","• 5 ranks in Tumble.
")&amp;IF(DU112,"","• Dodge feat.
")&amp;IF(DV112,"","• Mobility feat.
")&amp;IF(DW112,"","• Weapon Finesse feat.")</f>
        <v>• A base attack bonus of +6 or higher.
• 3 ranks in Perform.
• 5 ranks in Tumble.
• Dodge feat.
• Mobility feat.
• Weapon Finesse feat.</v>
      </c>
      <c r="ED112" s="11" t="s">
        <v>335</v>
      </c>
      <c r="EE112" s="8" t="s">
        <v>350</v>
      </c>
      <c r="EF112" s="9">
        <v>1</v>
      </c>
      <c r="EG112" s="9" t="s">
        <v>162</v>
      </c>
      <c r="EH112" s="9">
        <v>2</v>
      </c>
      <c r="EI112" s="9" t="b">
        <f t="shared" si="92"/>
        <v>0</v>
      </c>
      <c r="EJ112" s="9" t="str">
        <f t="shared" si="93"/>
        <v/>
      </c>
      <c r="EK112" s="9">
        <f>IF($EI112,MATCH($EJ112,TblClassN,0),99)</f>
        <v>99</v>
      </c>
      <c r="EL112" s="9">
        <f t="shared" si="98"/>
        <v>99</v>
      </c>
      <c r="EM112" s="9">
        <f t="shared" si="94"/>
        <v>99</v>
      </c>
      <c r="EN112" s="9">
        <f t="shared" si="95"/>
        <v>99</v>
      </c>
      <c r="EO112" s="10">
        <f t="shared" si="96"/>
        <v>0</v>
      </c>
    </row>
    <row r="113" spans="1:145" ht="11.25" customHeight="1" x14ac:dyDescent="0.2">
      <c r="A113" s="1">
        <f t="shared" si="68"/>
        <v>110</v>
      </c>
      <c r="B113" s="1" t="s">
        <v>351</v>
      </c>
      <c r="C113" s="1" t="s">
        <v>352</v>
      </c>
      <c r="D113" s="1" t="s">
        <v>353</v>
      </c>
      <c r="E113" s="1">
        <f t="shared" si="84"/>
        <v>0</v>
      </c>
      <c r="K113" s="1">
        <v>2</v>
      </c>
      <c r="L113" s="1">
        <v>12</v>
      </c>
      <c r="N113" s="1" t="b">
        <v>1</v>
      </c>
      <c r="O113" s="1" t="b">
        <v>1</v>
      </c>
      <c r="P113" s="1" t="b">
        <v>1</v>
      </c>
      <c r="Q113" s="1" t="b">
        <v>1</v>
      </c>
      <c r="R113" s="1" t="b">
        <v>1</v>
      </c>
      <c r="S113" s="1" t="b">
        <v>1</v>
      </c>
      <c r="T113" s="1" t="b">
        <v>1</v>
      </c>
      <c r="V113" s="1">
        <v>1</v>
      </c>
      <c r="W113" s="1">
        <v>0.5</v>
      </c>
      <c r="X113" s="1">
        <v>0.34</v>
      </c>
      <c r="Y113" s="1">
        <v>0.5</v>
      </c>
      <c r="Z113" s="1" t="b">
        <f>FALSE</f>
        <v>0</v>
      </c>
      <c r="AA113" s="1" t="str">
        <f t="shared" si="88"/>
        <v/>
      </c>
      <c r="AB113" s="1" t="str">
        <f t="shared" si="89"/>
        <v/>
      </c>
      <c r="AC113" s="1">
        <f t="shared" si="85"/>
        <v>0</v>
      </c>
      <c r="AD113" s="1" t="str">
        <f t="shared" si="90"/>
        <v/>
      </c>
      <c r="AE113" s="1" t="str">
        <f t="shared" si="91"/>
        <v/>
      </c>
      <c r="AF113" s="1">
        <f t="shared" si="86"/>
        <v>0</v>
      </c>
      <c r="AG113" s="1">
        <f t="shared" si="97"/>
        <v>5</v>
      </c>
      <c r="AH113" s="1" t="str">
        <f t="shared" si="87"/>
        <v/>
      </c>
      <c r="AI113" s="1">
        <v>1</v>
      </c>
      <c r="AJ113" s="1">
        <f t="shared" si="110"/>
        <v>0</v>
      </c>
      <c r="AK113" s="1">
        <v>1</v>
      </c>
      <c r="AL113" s="1">
        <v>1</v>
      </c>
      <c r="AM113" s="1">
        <v>1</v>
      </c>
      <c r="AN113" s="1">
        <f t="shared" si="111"/>
        <v>0</v>
      </c>
      <c r="AO113" s="1">
        <v>1</v>
      </c>
      <c r="AP113" s="1">
        <v>2</v>
      </c>
      <c r="AQ113" s="1">
        <v>2</v>
      </c>
      <c r="AR113" s="1">
        <v>2</v>
      </c>
      <c r="AS113" s="1">
        <v>2</v>
      </c>
      <c r="AT113" s="1">
        <v>2</v>
      </c>
      <c r="AU113" s="1">
        <v>2</v>
      </c>
      <c r="AV113" s="1">
        <v>2</v>
      </c>
      <c r="AW113" s="1">
        <v>1</v>
      </c>
      <c r="AX113" s="1">
        <v>1</v>
      </c>
      <c r="AY113" s="1">
        <v>1</v>
      </c>
      <c r="AZ113" s="1">
        <v>1</v>
      </c>
      <c r="BA113" s="1">
        <v>1</v>
      </c>
      <c r="BB113" s="1">
        <v>1</v>
      </c>
      <c r="BC113" s="1">
        <v>1</v>
      </c>
      <c r="BD113" s="1">
        <v>1</v>
      </c>
      <c r="BE113" s="1">
        <v>1</v>
      </c>
      <c r="BF113" s="1">
        <v>1</v>
      </c>
      <c r="BG113" s="1">
        <f t="shared" si="112"/>
        <v>0</v>
      </c>
      <c r="BH113" s="1">
        <f t="shared" si="113"/>
        <v>0</v>
      </c>
      <c r="BI113" s="1">
        <v>1</v>
      </c>
      <c r="BJ113" s="1">
        <v>1</v>
      </c>
      <c r="BK113" s="1">
        <v>1</v>
      </c>
      <c r="BL113" s="1">
        <v>1</v>
      </c>
      <c r="BM113" s="1">
        <v>1</v>
      </c>
      <c r="BN113" s="1">
        <v>1</v>
      </c>
      <c r="BO113" s="1">
        <v>1</v>
      </c>
      <c r="BP113" s="1">
        <v>1</v>
      </c>
      <c r="BQ113" s="1">
        <f>IF(HRRVL,1,0)</f>
        <v>0</v>
      </c>
      <c r="BR113" s="1">
        <v>1</v>
      </c>
      <c r="BS113" s="1">
        <v>1</v>
      </c>
      <c r="BT113" s="1">
        <f>IF(HRXPH,1,0)</f>
        <v>0</v>
      </c>
      <c r="BU113" s="1">
        <f>IF(HRRVL,1,0)</f>
        <v>0</v>
      </c>
      <c r="BV113" s="1">
        <v>1</v>
      </c>
      <c r="BW113" s="1">
        <v>1</v>
      </c>
      <c r="BX113" s="1">
        <v>1</v>
      </c>
      <c r="BY113" s="1">
        <v>1</v>
      </c>
      <c r="BZ113" s="1">
        <v>1</v>
      </c>
      <c r="CA113" s="1">
        <v>1</v>
      </c>
      <c r="CB113" s="1">
        <v>1</v>
      </c>
      <c r="CC113" s="1">
        <v>1</v>
      </c>
      <c r="CD113" s="1">
        <v>1</v>
      </c>
      <c r="CE113" s="1">
        <v>1</v>
      </c>
      <c r="CF113" s="1">
        <v>2</v>
      </c>
      <c r="CG113" s="1">
        <f t="shared" si="114"/>
        <v>0</v>
      </c>
      <c r="CH113" s="1">
        <v>1</v>
      </c>
      <c r="CI113" s="1">
        <v>1</v>
      </c>
      <c r="CJ113" s="1">
        <v>1</v>
      </c>
      <c r="CK113" s="1">
        <v>1</v>
      </c>
      <c r="CL113" s="1">
        <v>1</v>
      </c>
      <c r="CM113" s="1">
        <v>1</v>
      </c>
      <c r="CN113" s="1">
        <v>1</v>
      </c>
      <c r="CO113" s="1">
        <v>1</v>
      </c>
      <c r="CP113" s="1">
        <v>1</v>
      </c>
      <c r="CQ113" s="1">
        <v>1</v>
      </c>
      <c r="CR113" s="1">
        <v>1</v>
      </c>
      <c r="CS113" s="1">
        <v>1</v>
      </c>
      <c r="CT113" s="1">
        <v>1</v>
      </c>
      <c r="CU113" s="1">
        <v>1</v>
      </c>
      <c r="CV113" s="1">
        <f t="shared" si="115"/>
        <v>0</v>
      </c>
      <c r="CW113" s="1">
        <v>1</v>
      </c>
      <c r="CX113" s="1">
        <v>1</v>
      </c>
      <c r="CY113" s="1">
        <v>2</v>
      </c>
      <c r="CZ113" s="1">
        <f t="shared" si="116"/>
        <v>0</v>
      </c>
      <c r="DA113" s="1">
        <v>1</v>
      </c>
      <c r="DB113" s="1">
        <v>1</v>
      </c>
      <c r="DC113" s="1">
        <v>1</v>
      </c>
      <c r="DD113" s="1">
        <v>2</v>
      </c>
      <c r="DE113" s="1">
        <v>1</v>
      </c>
      <c r="DF113" s="1">
        <v>1</v>
      </c>
      <c r="DG113" s="1">
        <v>1</v>
      </c>
      <c r="DH113" s="1">
        <v>1</v>
      </c>
      <c r="DI113" s="1">
        <f t="shared" si="117"/>
        <v>0</v>
      </c>
      <c r="DJ113" s="1">
        <v>1</v>
      </c>
      <c r="DK113" s="1" t="s">
        <v>319</v>
      </c>
      <c r="DL113" s="1" t="s">
        <v>40</v>
      </c>
      <c r="DR113" s="1" t="b">
        <f>RaceCi="Dwarf"</f>
        <v>1</v>
      </c>
      <c r="DS113" s="1" t="b">
        <f>AlignmentLawful</f>
        <v>1</v>
      </c>
      <c r="DT113" s="1" t="b">
        <f>BaseAtk&gt;=7</f>
        <v>0</v>
      </c>
      <c r="DU113" s="1" t="b">
        <f>FtDodgeEquiv</f>
        <v>0</v>
      </c>
      <c r="DV113" s="1" t="b">
        <f>OR(FtEndurance,FtKoboldEndurance)</f>
        <v>0</v>
      </c>
      <c r="DW113" s="1" t="b">
        <f>FtToughnessEquiv</f>
        <v>0</v>
      </c>
      <c r="EA113" s="1" t="b">
        <f t="shared" si="118"/>
        <v>0</v>
      </c>
      <c r="EB113" s="11" t="s">
        <v>334</v>
      </c>
      <c r="EC113" s="1" t="str">
        <f>IF(DR113,"","• You must be a dwarf.
")&amp;IF(DS113,"","• Your alignment must be lawful.
")&amp;IF(DT113,"","• A base attack bonus of +7 or higher.
")&amp;IF(DU113,"","• Dodge feat.
")&amp;IF(DV113,"","• Endurance feat.
")&amp;IF(DW113,"","• Toughness feat.")</f>
        <v>• A base attack bonus of +7 or higher.
• Dodge feat.
• Endurance feat.
• Toughness feat.</v>
      </c>
      <c r="ED113" s="11" t="s">
        <v>335</v>
      </c>
      <c r="EE113" s="8" t="s">
        <v>350</v>
      </c>
      <c r="EF113" s="9">
        <v>5</v>
      </c>
      <c r="EG113" s="9" t="s">
        <v>162</v>
      </c>
      <c r="EH113" s="9">
        <v>2</v>
      </c>
      <c r="EI113" s="9" t="b">
        <f t="shared" si="92"/>
        <v>0</v>
      </c>
      <c r="EJ113" s="9" t="str">
        <f t="shared" si="93"/>
        <v/>
      </c>
      <c r="EK113" s="9">
        <f>IF($EI113,MATCH($EJ113,TblClassN,0),99)</f>
        <v>99</v>
      </c>
      <c r="EL113" s="9">
        <f t="shared" si="98"/>
        <v>99</v>
      </c>
      <c r="EM113" s="9">
        <f t="shared" si="94"/>
        <v>99</v>
      </c>
      <c r="EN113" s="9">
        <f t="shared" si="95"/>
        <v>99</v>
      </c>
      <c r="EO113" s="10">
        <f t="shared" si="96"/>
        <v>0</v>
      </c>
    </row>
    <row r="114" spans="1:145" ht="11.25" customHeight="1" x14ac:dyDescent="0.2">
      <c r="A114" s="1">
        <f t="shared" si="68"/>
        <v>111</v>
      </c>
      <c r="B114" s="1" t="s">
        <v>354</v>
      </c>
      <c r="C114" s="1" t="s">
        <v>355</v>
      </c>
      <c r="D114" s="1" t="s">
        <v>355</v>
      </c>
      <c r="E114" s="1">
        <f t="shared" si="84"/>
        <v>0</v>
      </c>
      <c r="G114" s="1">
        <f>(ElKLvl&gt;1)*(ElKLvl-1)</f>
        <v>0</v>
      </c>
      <c r="K114" s="1">
        <v>2</v>
      </c>
      <c r="L114" s="1">
        <v>6</v>
      </c>
      <c r="V114" s="1">
        <v>1</v>
      </c>
      <c r="W114" s="1">
        <v>0.5</v>
      </c>
      <c r="X114" s="1">
        <v>0.34</v>
      </c>
      <c r="Y114" s="1">
        <v>0.34</v>
      </c>
      <c r="Z114" s="1" t="b">
        <f>FALSE</f>
        <v>0</v>
      </c>
      <c r="AA114" s="1" t="str">
        <f t="shared" si="88"/>
        <v/>
      </c>
      <c r="AB114" s="1" t="str">
        <f t="shared" si="89"/>
        <v/>
      </c>
      <c r="AC114" s="1">
        <f t="shared" si="85"/>
        <v>0</v>
      </c>
      <c r="AD114" s="1" t="str">
        <f t="shared" si="90"/>
        <v/>
      </c>
      <c r="AE114" s="1" t="str">
        <f t="shared" si="91"/>
        <v/>
      </c>
      <c r="AF114" s="1">
        <f t="shared" si="86"/>
        <v>0</v>
      </c>
      <c r="AG114" s="1">
        <f t="shared" si="97"/>
        <v>5</v>
      </c>
      <c r="AH114" s="1" t="str">
        <f t="shared" si="87"/>
        <v/>
      </c>
      <c r="AI114" s="1">
        <v>1</v>
      </c>
      <c r="AJ114" s="1">
        <f t="shared" si="110"/>
        <v>0</v>
      </c>
      <c r="AK114" s="1">
        <v>1</v>
      </c>
      <c r="AL114" s="1">
        <v>1</v>
      </c>
      <c r="AM114" s="1">
        <v>1</v>
      </c>
      <c r="AN114" s="1">
        <f t="shared" si="111"/>
        <v>0</v>
      </c>
      <c r="AO114" s="1">
        <v>2</v>
      </c>
      <c r="AP114" s="1">
        <v>2</v>
      </c>
      <c r="AQ114" s="1">
        <v>2</v>
      </c>
      <c r="AR114" s="1">
        <v>2</v>
      </c>
      <c r="AS114" s="1">
        <v>2</v>
      </c>
      <c r="AT114" s="1">
        <v>2</v>
      </c>
      <c r="AU114" s="1">
        <v>2</v>
      </c>
      <c r="AV114" s="1">
        <v>2</v>
      </c>
      <c r="AW114" s="1">
        <v>2</v>
      </c>
      <c r="AX114" s="1">
        <v>1</v>
      </c>
      <c r="AY114" s="1">
        <v>1</v>
      </c>
      <c r="AZ114" s="1">
        <v>1</v>
      </c>
      <c r="BA114" s="1">
        <v>1</v>
      </c>
      <c r="BB114" s="1">
        <v>1</v>
      </c>
      <c r="BC114" s="1">
        <v>1</v>
      </c>
      <c r="BD114" s="1">
        <v>1</v>
      </c>
      <c r="BE114" s="1">
        <v>1</v>
      </c>
      <c r="BF114" s="1">
        <v>1</v>
      </c>
      <c r="BG114" s="1">
        <f t="shared" si="112"/>
        <v>0</v>
      </c>
      <c r="BH114" s="1">
        <f t="shared" si="113"/>
        <v>0</v>
      </c>
      <c r="BI114" s="1">
        <v>1</v>
      </c>
      <c r="BJ114" s="1">
        <v>2</v>
      </c>
      <c r="BK114" s="1">
        <v>2</v>
      </c>
      <c r="BL114" s="1">
        <v>1</v>
      </c>
      <c r="BM114" s="1">
        <v>1</v>
      </c>
      <c r="BN114" s="1">
        <v>1</v>
      </c>
      <c r="BO114" s="1">
        <v>1</v>
      </c>
      <c r="BP114" s="1">
        <v>1</v>
      </c>
      <c r="BQ114" s="1">
        <f>IF(HRRVL,1,0)</f>
        <v>0</v>
      </c>
      <c r="BR114" s="1">
        <v>1</v>
      </c>
      <c r="BS114" s="1">
        <v>2</v>
      </c>
      <c r="BT114" s="1">
        <f>IF(HRXPH,1,0)</f>
        <v>0</v>
      </c>
      <c r="BU114" s="1">
        <f>IF(HRRVL,1,0)</f>
        <v>0</v>
      </c>
      <c r="BV114" s="1">
        <v>1</v>
      </c>
      <c r="BW114" s="1">
        <v>1</v>
      </c>
      <c r="BX114" s="1">
        <v>1</v>
      </c>
      <c r="BY114" s="1">
        <v>1</v>
      </c>
      <c r="BZ114" s="1">
        <v>1</v>
      </c>
      <c r="CA114" s="1">
        <v>1</v>
      </c>
      <c r="CB114" s="1">
        <v>1</v>
      </c>
      <c r="CC114" s="1">
        <v>1</v>
      </c>
      <c r="CD114" s="1">
        <v>1</v>
      </c>
      <c r="CE114" s="1">
        <v>1</v>
      </c>
      <c r="CF114" s="1">
        <v>1</v>
      </c>
      <c r="CG114" s="1">
        <f t="shared" si="114"/>
        <v>0</v>
      </c>
      <c r="CH114" s="1">
        <v>1</v>
      </c>
      <c r="CI114" s="1">
        <v>1</v>
      </c>
      <c r="CJ114" s="1">
        <v>1</v>
      </c>
      <c r="CK114" s="1">
        <v>1</v>
      </c>
      <c r="CL114" s="1">
        <v>1</v>
      </c>
      <c r="CM114" s="1">
        <v>1</v>
      </c>
      <c r="CN114" s="1">
        <v>1</v>
      </c>
      <c r="CO114" s="1">
        <v>1</v>
      </c>
      <c r="CP114" s="1">
        <v>1</v>
      </c>
      <c r="CQ114" s="1">
        <v>1</v>
      </c>
      <c r="CR114" s="1">
        <v>1</v>
      </c>
      <c r="CS114" s="1">
        <v>1</v>
      </c>
      <c r="CT114" s="1">
        <v>1</v>
      </c>
      <c r="CU114" s="1">
        <v>1</v>
      </c>
      <c r="CV114" s="1">
        <f t="shared" si="115"/>
        <v>0</v>
      </c>
      <c r="CW114" s="1">
        <v>2</v>
      </c>
      <c r="CX114" s="1">
        <v>1</v>
      </c>
      <c r="CY114" s="1">
        <v>2</v>
      </c>
      <c r="CZ114" s="1">
        <f t="shared" si="116"/>
        <v>0</v>
      </c>
      <c r="DA114" s="1">
        <v>1</v>
      </c>
      <c r="DB114" s="1">
        <v>1</v>
      </c>
      <c r="DC114" s="1">
        <v>2</v>
      </c>
      <c r="DD114" s="1">
        <v>1</v>
      </c>
      <c r="DE114" s="1">
        <v>1</v>
      </c>
      <c r="DF114" s="1">
        <v>2</v>
      </c>
      <c r="DG114" s="1">
        <v>1</v>
      </c>
      <c r="DH114" s="1">
        <v>1</v>
      </c>
      <c r="DI114" s="1">
        <f t="shared" si="117"/>
        <v>0</v>
      </c>
      <c r="DJ114" s="1">
        <v>1</v>
      </c>
      <c r="DK114" s="1" t="s">
        <v>319</v>
      </c>
      <c r="DL114" s="1" t="s">
        <v>40</v>
      </c>
      <c r="DR114" s="1" t="b">
        <f>MartialProf</f>
        <v>1</v>
      </c>
      <c r="DS114" s="1" t="b">
        <f ca="1">MaxArcaneSpellLevel&gt;=3</f>
        <v>0</v>
      </c>
      <c r="EA114" s="1" t="b">
        <f t="shared" ca="1" si="118"/>
        <v>0</v>
      </c>
      <c r="EB114" s="11" t="s">
        <v>334</v>
      </c>
      <c r="EC114" s="1" t="str">
        <f ca="1">IF(DR114,"","• Proficient in all martial weapons.
")&amp;IF(DS114,"","• Ability to cast 3rd-level arcane spells.")</f>
        <v>• Ability to cast 3rd-level arcane spells.</v>
      </c>
      <c r="ED114" s="11" t="s">
        <v>335</v>
      </c>
      <c r="EE114" s="8" t="s">
        <v>356</v>
      </c>
      <c r="EF114" s="9">
        <v>10</v>
      </c>
      <c r="EG114" s="9" t="s">
        <v>134</v>
      </c>
      <c r="EH114" s="9">
        <v>2</v>
      </c>
      <c r="EI114" s="9" t="b">
        <f t="shared" si="92"/>
        <v>0</v>
      </c>
      <c r="EJ114" s="9" t="str">
        <f t="shared" si="93"/>
        <v/>
      </c>
      <c r="EK114" s="9">
        <f>IF($EI114,MATCH($EJ114,TblClassN,0),99)</f>
        <v>99</v>
      </c>
      <c r="EL114" s="9">
        <f t="shared" si="98"/>
        <v>99</v>
      </c>
      <c r="EM114" s="9">
        <f t="shared" si="94"/>
        <v>99</v>
      </c>
      <c r="EN114" s="9">
        <f t="shared" si="95"/>
        <v>99</v>
      </c>
      <c r="EO114" s="10">
        <f t="shared" si="96"/>
        <v>0</v>
      </c>
    </row>
    <row r="115" spans="1:145" ht="11.25" customHeight="1" x14ac:dyDescent="0.2">
      <c r="A115" s="1">
        <f t="shared" si="68"/>
        <v>112</v>
      </c>
      <c r="B115" s="1" t="s">
        <v>357</v>
      </c>
      <c r="C115" s="1" t="s">
        <v>358</v>
      </c>
      <c r="D115" s="1" t="s">
        <v>358</v>
      </c>
      <c r="E115" s="1">
        <f t="shared" si="84"/>
        <v>0</v>
      </c>
      <c r="K115" s="1">
        <v>2</v>
      </c>
      <c r="L115" s="1">
        <v>8</v>
      </c>
      <c r="V115" s="1">
        <v>0.5</v>
      </c>
      <c r="W115" s="1">
        <v>0.5</v>
      </c>
      <c r="X115" s="1">
        <v>0.34</v>
      </c>
      <c r="Y115" s="1">
        <v>0.5</v>
      </c>
      <c r="Z115" s="1" t="b">
        <f>FALSE</f>
        <v>0</v>
      </c>
      <c r="AA115" s="1" t="str">
        <f t="shared" si="88"/>
        <v/>
      </c>
      <c r="AB115" s="1" t="str">
        <f t="shared" si="89"/>
        <v/>
      </c>
      <c r="AC115" s="1">
        <f t="shared" si="85"/>
        <v>0</v>
      </c>
      <c r="AD115" s="1" t="str">
        <f t="shared" si="90"/>
        <v/>
      </c>
      <c r="AE115" s="1" t="str">
        <f t="shared" si="91"/>
        <v/>
      </c>
      <c r="AF115" s="1">
        <f t="shared" si="86"/>
        <v>0</v>
      </c>
      <c r="AG115" s="1">
        <f t="shared" si="97"/>
        <v>5</v>
      </c>
      <c r="AH115" s="1" t="str">
        <f t="shared" si="87"/>
        <v/>
      </c>
      <c r="AI115" s="1">
        <v>1</v>
      </c>
      <c r="AJ115" s="1">
        <f t="shared" si="110"/>
        <v>0</v>
      </c>
      <c r="AK115" s="1">
        <v>1</v>
      </c>
      <c r="AL115" s="1">
        <v>1</v>
      </c>
      <c r="AM115" s="1">
        <v>1</v>
      </c>
      <c r="AN115" s="1">
        <f t="shared" si="111"/>
        <v>0</v>
      </c>
      <c r="AO115" s="1">
        <v>2</v>
      </c>
      <c r="AP115" s="1">
        <v>2</v>
      </c>
      <c r="AQ115" s="1">
        <v>2</v>
      </c>
      <c r="AR115" s="1">
        <v>2</v>
      </c>
      <c r="AS115" s="1">
        <v>2</v>
      </c>
      <c r="AT115" s="1">
        <v>2</v>
      </c>
      <c r="AU115" s="1">
        <v>2</v>
      </c>
      <c r="AV115" s="1">
        <v>2</v>
      </c>
      <c r="AW115" s="1">
        <v>1</v>
      </c>
      <c r="AX115" s="1">
        <v>2</v>
      </c>
      <c r="AY115" s="1">
        <v>1</v>
      </c>
      <c r="AZ115" s="1">
        <v>1</v>
      </c>
      <c r="BA115" s="1">
        <v>1</v>
      </c>
      <c r="BB115" s="1">
        <v>1</v>
      </c>
      <c r="BC115" s="1">
        <v>1</v>
      </c>
      <c r="BD115" s="1">
        <v>1</v>
      </c>
      <c r="BE115" s="1">
        <v>2</v>
      </c>
      <c r="BF115" s="1">
        <v>1</v>
      </c>
      <c r="BG115" s="1">
        <f t="shared" si="112"/>
        <v>0</v>
      </c>
      <c r="BH115" s="1">
        <f t="shared" si="113"/>
        <v>0</v>
      </c>
      <c r="BI115" s="1">
        <v>1</v>
      </c>
      <c r="BJ115" s="1">
        <v>1</v>
      </c>
      <c r="BK115" s="1">
        <v>2</v>
      </c>
      <c r="BL115" s="1">
        <v>1</v>
      </c>
      <c r="BM115" s="1">
        <v>1</v>
      </c>
      <c r="BN115" s="1">
        <v>1</v>
      </c>
      <c r="BO115" s="1">
        <v>1</v>
      </c>
      <c r="BP115" s="1">
        <v>1</v>
      </c>
      <c r="BQ115" s="1">
        <f>IF(HRRVL,1,0)</f>
        <v>0</v>
      </c>
      <c r="BR115" s="1">
        <v>1</v>
      </c>
      <c r="BS115" s="1">
        <v>1</v>
      </c>
      <c r="BT115" s="1">
        <f>IF(HRXPH,1,0)</f>
        <v>0</v>
      </c>
      <c r="BU115" s="1">
        <f>IF(HRRVL,2,0)</f>
        <v>0</v>
      </c>
      <c r="BV115" s="1">
        <v>2</v>
      </c>
      <c r="BW115" s="1">
        <v>1</v>
      </c>
      <c r="BX115" s="1">
        <v>1</v>
      </c>
      <c r="BY115" s="1">
        <v>1</v>
      </c>
      <c r="BZ115" s="1">
        <v>1</v>
      </c>
      <c r="CA115" s="1">
        <v>1</v>
      </c>
      <c r="CB115" s="1">
        <v>1</v>
      </c>
      <c r="CC115" s="1">
        <v>1</v>
      </c>
      <c r="CD115" s="1">
        <v>1</v>
      </c>
      <c r="CE115" s="1">
        <v>1</v>
      </c>
      <c r="CF115" s="1">
        <v>1</v>
      </c>
      <c r="CG115" s="1">
        <f t="shared" si="114"/>
        <v>0</v>
      </c>
      <c r="CH115" s="1">
        <v>1</v>
      </c>
      <c r="CI115" s="1">
        <v>1</v>
      </c>
      <c r="CJ115" s="1">
        <v>1</v>
      </c>
      <c r="CK115" s="1">
        <v>1</v>
      </c>
      <c r="CL115" s="1">
        <v>1</v>
      </c>
      <c r="CM115" s="1">
        <v>1</v>
      </c>
      <c r="CN115" s="1">
        <v>1</v>
      </c>
      <c r="CO115" s="1">
        <v>1</v>
      </c>
      <c r="CP115" s="1">
        <v>2</v>
      </c>
      <c r="CQ115" s="1">
        <v>2</v>
      </c>
      <c r="CR115" s="1">
        <v>2</v>
      </c>
      <c r="CS115" s="1">
        <v>2</v>
      </c>
      <c r="CT115" s="1">
        <v>2</v>
      </c>
      <c r="CU115" s="1">
        <v>2</v>
      </c>
      <c r="CV115" s="1">
        <f t="shared" si="115"/>
        <v>0</v>
      </c>
      <c r="CW115" s="1">
        <v>1</v>
      </c>
      <c r="CX115" s="1">
        <v>1</v>
      </c>
      <c r="CY115" s="1">
        <v>1</v>
      </c>
      <c r="CZ115" s="1">
        <f t="shared" si="116"/>
        <v>0</v>
      </c>
      <c r="DA115" s="1">
        <v>1</v>
      </c>
      <c r="DB115" s="1">
        <v>1</v>
      </c>
      <c r="DC115" s="1">
        <v>2</v>
      </c>
      <c r="DD115" s="1">
        <v>1</v>
      </c>
      <c r="DE115" s="1">
        <v>1</v>
      </c>
      <c r="DF115" s="1">
        <v>1</v>
      </c>
      <c r="DG115" s="1">
        <v>1</v>
      </c>
      <c r="DH115" s="1">
        <v>1</v>
      </c>
      <c r="DI115" s="1">
        <f t="shared" si="117"/>
        <v>0</v>
      </c>
      <c r="DJ115" s="1">
        <v>1</v>
      </c>
      <c r="DK115" s="1" t="s">
        <v>319</v>
      </c>
      <c r="DL115" s="1" t="s">
        <v>40</v>
      </c>
      <c r="DR115" s="1" t="b">
        <f>SkKnowledgeReligionRanks&gt;=15</f>
        <v>0</v>
      </c>
      <c r="DS115" s="1" t="b">
        <f>MetamagicSelected&gt;=1</f>
        <v>0</v>
      </c>
      <c r="DT115" s="1" t="b">
        <f ca="1">MaxDivineSpellLevel&gt;=7</f>
        <v>0</v>
      </c>
      <c r="EA115" s="1" t="b">
        <f t="shared" ca="1" si="118"/>
        <v>0</v>
      </c>
      <c r="EB115" s="11" t="s">
        <v>334</v>
      </c>
      <c r="EC115" s="1" t="str">
        <f ca="1">IF(DR115,"","• 15 ranks in Knowledge(religion).
")&amp;IF(DS115,"","• Any metamagic feat.
")&amp;IF(DT115,"","• Ability to cast 7th-level divine spells.")</f>
        <v>• 15 ranks in Knowledge(religion).
• Any metamagic feat.
• Ability to cast 7th-level divine spells.</v>
      </c>
      <c r="ED115" s="11" t="s">
        <v>335</v>
      </c>
      <c r="EE115" s="8" t="s">
        <v>359</v>
      </c>
      <c r="EF115" s="9">
        <v>10</v>
      </c>
      <c r="EG115" s="9" t="s">
        <v>162</v>
      </c>
      <c r="EH115" s="9">
        <v>2</v>
      </c>
      <c r="EI115" s="9" t="b">
        <f t="shared" si="92"/>
        <v>0</v>
      </c>
      <c r="EJ115" s="9" t="str">
        <f t="shared" si="93"/>
        <v/>
      </c>
      <c r="EK115" s="9">
        <f>IF($EI115,MATCH($EJ115,TblClassN,0),99)</f>
        <v>99</v>
      </c>
      <c r="EL115" s="9">
        <f t="shared" si="98"/>
        <v>99</v>
      </c>
      <c r="EM115" s="9">
        <f t="shared" si="94"/>
        <v>99</v>
      </c>
      <c r="EN115" s="9">
        <f t="shared" si="95"/>
        <v>99</v>
      </c>
      <c r="EO115" s="10">
        <f t="shared" si="96"/>
        <v>0</v>
      </c>
    </row>
    <row r="116" spans="1:145" ht="11.25" customHeight="1" x14ac:dyDescent="0.2">
      <c r="A116" s="1">
        <f t="shared" si="68"/>
        <v>113</v>
      </c>
      <c r="B116" s="1" t="s">
        <v>360</v>
      </c>
      <c r="C116" s="1" t="s">
        <v>361</v>
      </c>
      <c r="D116" s="1" t="s">
        <v>361</v>
      </c>
      <c r="E116" s="1">
        <f t="shared" si="84"/>
        <v>0</v>
      </c>
      <c r="K116" s="1">
        <v>4</v>
      </c>
      <c r="L116" s="1">
        <v>8</v>
      </c>
      <c r="V116" s="1">
        <v>1</v>
      </c>
      <c r="W116" s="1">
        <v>0.5</v>
      </c>
      <c r="X116" s="1">
        <v>0.34</v>
      </c>
      <c r="Y116" s="1">
        <v>0.34</v>
      </c>
      <c r="Z116" s="1" t="b">
        <f>FALSE</f>
        <v>0</v>
      </c>
      <c r="AA116" s="1" t="str">
        <f t="shared" si="88"/>
        <v/>
      </c>
      <c r="AB116" s="1" t="str">
        <f t="shared" si="89"/>
        <v/>
      </c>
      <c r="AC116" s="1">
        <f t="shared" si="85"/>
        <v>0</v>
      </c>
      <c r="AD116" s="1" t="str">
        <f t="shared" si="90"/>
        <v/>
      </c>
      <c r="AE116" s="1" t="str">
        <f t="shared" si="91"/>
        <v/>
      </c>
      <c r="AF116" s="1">
        <f t="shared" si="86"/>
        <v>0</v>
      </c>
      <c r="AG116" s="1">
        <f t="shared" si="97"/>
        <v>5</v>
      </c>
      <c r="AH116" s="1" t="str">
        <f t="shared" si="87"/>
        <v/>
      </c>
      <c r="AI116" s="1">
        <v>1</v>
      </c>
      <c r="AJ116" s="1">
        <f t="shared" si="110"/>
        <v>0</v>
      </c>
      <c r="AK116" s="1">
        <v>2</v>
      </c>
      <c r="AL116" s="1">
        <v>1</v>
      </c>
      <c r="AM116" s="1">
        <v>2</v>
      </c>
      <c r="AN116" s="1">
        <f t="shared" si="111"/>
        <v>0</v>
      </c>
      <c r="AO116" s="1">
        <v>1</v>
      </c>
      <c r="AP116" s="1">
        <v>1</v>
      </c>
      <c r="AQ116" s="1">
        <v>1</v>
      </c>
      <c r="AR116" s="1">
        <v>1</v>
      </c>
      <c r="AS116" s="1">
        <v>1</v>
      </c>
      <c r="AT116" s="1">
        <v>1</v>
      </c>
      <c r="AU116" s="1">
        <v>1</v>
      </c>
      <c r="AV116" s="1">
        <v>1</v>
      </c>
      <c r="AW116" s="1">
        <v>1</v>
      </c>
      <c r="AX116" s="1">
        <v>2</v>
      </c>
      <c r="AY116" s="1">
        <v>1</v>
      </c>
      <c r="AZ116" s="1">
        <v>1</v>
      </c>
      <c r="BA116" s="1">
        <v>1</v>
      </c>
      <c r="BB116" s="1">
        <v>1</v>
      </c>
      <c r="BC116" s="1">
        <v>1</v>
      </c>
      <c r="BD116" s="1">
        <v>2</v>
      </c>
      <c r="BE116" s="1">
        <v>1</v>
      </c>
      <c r="BF116" s="1">
        <v>2</v>
      </c>
      <c r="BG116" s="1">
        <f t="shared" si="112"/>
        <v>0</v>
      </c>
      <c r="BH116" s="1">
        <f t="shared" si="113"/>
        <v>0</v>
      </c>
      <c r="BI116" s="1">
        <v>1</v>
      </c>
      <c r="BJ116" s="1">
        <v>1</v>
      </c>
      <c r="BK116" s="1">
        <v>1</v>
      </c>
      <c r="BL116" s="1">
        <v>1</v>
      </c>
      <c r="BM116" s="1">
        <v>1</v>
      </c>
      <c r="BN116" s="1">
        <v>2</v>
      </c>
      <c r="BO116" s="1">
        <v>1</v>
      </c>
      <c r="BP116" s="1">
        <v>1</v>
      </c>
      <c r="BQ116" s="1">
        <f>IF(HRRVL,1,0)</f>
        <v>0</v>
      </c>
      <c r="BR116" s="1">
        <v>1</v>
      </c>
      <c r="BS116" s="1">
        <v>1</v>
      </c>
      <c r="BT116" s="1">
        <f>IF(HRXPH,1,0)</f>
        <v>0</v>
      </c>
      <c r="BU116" s="1">
        <f>IF(HRRVL,1,0)</f>
        <v>0</v>
      </c>
      <c r="BV116" s="1">
        <v>1</v>
      </c>
      <c r="BW116" s="1">
        <v>1</v>
      </c>
      <c r="BX116" s="1">
        <v>1</v>
      </c>
      <c r="BY116" s="1">
        <v>1</v>
      </c>
      <c r="BZ116" s="1">
        <v>1</v>
      </c>
      <c r="CA116" s="1">
        <v>1</v>
      </c>
      <c r="CB116" s="1">
        <v>1</v>
      </c>
      <c r="CC116" s="1">
        <v>1</v>
      </c>
      <c r="CD116" s="1">
        <v>1</v>
      </c>
      <c r="CE116" s="1">
        <v>1</v>
      </c>
      <c r="CF116" s="1">
        <v>2</v>
      </c>
      <c r="CG116" s="1">
        <f t="shared" si="114"/>
        <v>0</v>
      </c>
      <c r="CH116" s="1">
        <v>2</v>
      </c>
      <c r="CI116" s="1">
        <v>1</v>
      </c>
      <c r="CJ116" s="1">
        <v>1</v>
      </c>
      <c r="CK116" s="1">
        <v>1</v>
      </c>
      <c r="CL116" s="1">
        <v>1</v>
      </c>
      <c r="CM116" s="1">
        <v>1</v>
      </c>
      <c r="CN116" s="1">
        <v>1</v>
      </c>
      <c r="CO116" s="1">
        <v>1</v>
      </c>
      <c r="CP116" s="1">
        <v>2</v>
      </c>
      <c r="CQ116" s="1">
        <v>2</v>
      </c>
      <c r="CR116" s="1">
        <v>2</v>
      </c>
      <c r="CS116" s="1">
        <v>2</v>
      </c>
      <c r="CT116" s="1">
        <v>2</v>
      </c>
      <c r="CU116" s="1">
        <v>2</v>
      </c>
      <c r="CV116" s="1">
        <f t="shared" si="115"/>
        <v>0</v>
      </c>
      <c r="CW116" s="1">
        <v>2</v>
      </c>
      <c r="CX116" s="1">
        <v>1</v>
      </c>
      <c r="CY116" s="1">
        <v>1</v>
      </c>
      <c r="CZ116" s="1">
        <f t="shared" si="116"/>
        <v>0</v>
      </c>
      <c r="DA116" s="1">
        <v>1</v>
      </c>
      <c r="DB116" s="1">
        <v>2</v>
      </c>
      <c r="DC116" s="1">
        <v>1</v>
      </c>
      <c r="DD116" s="1">
        <v>2</v>
      </c>
      <c r="DE116" s="1">
        <v>2</v>
      </c>
      <c r="DF116" s="1">
        <v>1</v>
      </c>
      <c r="DG116" s="1">
        <v>1</v>
      </c>
      <c r="DH116" s="1">
        <v>1</v>
      </c>
      <c r="DI116" s="1">
        <f t="shared" si="117"/>
        <v>0</v>
      </c>
      <c r="DJ116" s="1">
        <v>1</v>
      </c>
      <c r="DK116" s="1" t="s">
        <v>319</v>
      </c>
      <c r="DL116" s="1" t="s">
        <v>40</v>
      </c>
      <c r="DR116" s="1" t="b">
        <f>SkKnowledgeGeographyRanks&gt;=8</f>
        <v>0</v>
      </c>
      <c r="DS116" s="1" t="b">
        <f>OR(FtEndurance,FtKoboldEndurance)</f>
        <v>0</v>
      </c>
      <c r="EA116" s="1" t="b">
        <f t="shared" si="118"/>
        <v>0</v>
      </c>
      <c r="EB116" s="11" t="s">
        <v>334</v>
      </c>
      <c r="EC116" s="1" t="str">
        <f>IF(DR116,"","• 8 ranks in Knowledge(geography).
")&amp;IF(DS116,"","• Endurance feat.")</f>
        <v>• 8 ranks in Knowledge(geography).
• Endurance feat.</v>
      </c>
      <c r="ED116" s="11" t="s">
        <v>335</v>
      </c>
      <c r="EE116" s="8" t="s">
        <v>362</v>
      </c>
      <c r="EF116" s="9">
        <v>3</v>
      </c>
      <c r="EG116" s="9" t="s">
        <v>129</v>
      </c>
      <c r="EH116" s="9">
        <v>2</v>
      </c>
      <c r="EI116" s="9" t="b">
        <f t="shared" ref="EI116:EI127" si="120">(INDEX(TblClasses,MATCH($EE116,TblTLAList,0),ClassInfoLevelColumn)&gt;=$EF116)</f>
        <v>0</v>
      </c>
      <c r="EJ116" s="9" t="str">
        <f t="shared" si="93"/>
        <v/>
      </c>
      <c r="EK116" s="9">
        <f>IF($EI116,MATCH($EJ116,TblClassN,0),99)</f>
        <v>99</v>
      </c>
      <c r="EL116" s="9">
        <f t="shared" si="98"/>
        <v>99</v>
      </c>
      <c r="EM116" s="9">
        <f t="shared" ref="EM116:EM129" si="121">IF($EI116,IF(HasVirtualClasses,MATCH($EJ116,TblClass3,0),99),99)</f>
        <v>99</v>
      </c>
      <c r="EN116" s="9">
        <f t="shared" si="95"/>
        <v>99</v>
      </c>
      <c r="EO116" s="10">
        <f t="shared" ref="EO116:EO129" si="122">IF(DoClassIntAdj,IF($EG116="Int",$EH116*($EN116&lt;=LvlMax),0),0)</f>
        <v>0</v>
      </c>
    </row>
    <row r="117" spans="1:145" ht="11.25" customHeight="1" x14ac:dyDescent="0.2">
      <c r="A117" s="1">
        <f t="shared" si="68"/>
        <v>114</v>
      </c>
      <c r="B117" s="1" t="s">
        <v>363</v>
      </c>
      <c r="C117" s="1" t="s">
        <v>364</v>
      </c>
      <c r="D117" s="1" t="s">
        <v>364</v>
      </c>
      <c r="E117" s="1">
        <f t="shared" si="84"/>
        <v>0</v>
      </c>
      <c r="G117" s="1">
        <f>LorLvl</f>
        <v>0</v>
      </c>
      <c r="K117" s="1">
        <v>4</v>
      </c>
      <c r="L117" s="1">
        <v>4</v>
      </c>
      <c r="V117" s="1">
        <v>0.5</v>
      </c>
      <c r="W117" s="1">
        <v>0.34</v>
      </c>
      <c r="X117" s="1">
        <v>0.34</v>
      </c>
      <c r="Y117" s="1">
        <v>0.5</v>
      </c>
      <c r="Z117" s="1" t="b">
        <f>FALSE</f>
        <v>0</v>
      </c>
      <c r="AA117" s="1" t="str">
        <f t="shared" si="88"/>
        <v/>
      </c>
      <c r="AB117" s="1" t="str">
        <f t="shared" si="89"/>
        <v/>
      </c>
      <c r="AC117" s="1">
        <f t="shared" si="85"/>
        <v>0</v>
      </c>
      <c r="AD117" s="1" t="str">
        <f t="shared" si="90"/>
        <v/>
      </c>
      <c r="AE117" s="1" t="str">
        <f t="shared" si="91"/>
        <v/>
      </c>
      <c r="AF117" s="1">
        <f t="shared" si="86"/>
        <v>0</v>
      </c>
      <c r="AG117" s="1">
        <f t="shared" si="97"/>
        <v>5</v>
      </c>
      <c r="AH117" s="1" t="str">
        <f t="shared" si="87"/>
        <v/>
      </c>
      <c r="AI117" s="1">
        <v>2</v>
      </c>
      <c r="AJ117" s="1">
        <f t="shared" si="110"/>
        <v>0</v>
      </c>
      <c r="AK117" s="1">
        <v>1</v>
      </c>
      <c r="AL117" s="1">
        <v>1</v>
      </c>
      <c r="AM117" s="1">
        <v>1</v>
      </c>
      <c r="AN117" s="1">
        <f t="shared" si="111"/>
        <v>0</v>
      </c>
      <c r="AO117" s="1">
        <v>2</v>
      </c>
      <c r="AP117" s="1">
        <v>1</v>
      </c>
      <c r="AQ117" s="1">
        <f t="shared" ref="AQ117:AV117" si="123">1+(LOWER(AQ$2)="alchemy")</f>
        <v>1</v>
      </c>
      <c r="AR117" s="1">
        <f t="shared" si="123"/>
        <v>1</v>
      </c>
      <c r="AS117" s="1">
        <f t="shared" si="123"/>
        <v>1</v>
      </c>
      <c r="AT117" s="1">
        <f t="shared" si="123"/>
        <v>1</v>
      </c>
      <c r="AU117" s="1">
        <f t="shared" si="123"/>
        <v>1</v>
      </c>
      <c r="AV117" s="1">
        <f t="shared" si="123"/>
        <v>1</v>
      </c>
      <c r="AW117" s="1">
        <v>2</v>
      </c>
      <c r="AX117" s="1">
        <v>1</v>
      </c>
      <c r="AY117" s="1">
        <v>1</v>
      </c>
      <c r="AZ117" s="1">
        <v>1</v>
      </c>
      <c r="BA117" s="1">
        <v>1</v>
      </c>
      <c r="BB117" s="1">
        <v>1</v>
      </c>
      <c r="BC117" s="1">
        <v>2</v>
      </c>
      <c r="BD117" s="1">
        <v>2</v>
      </c>
      <c r="BE117" s="1">
        <v>2</v>
      </c>
      <c r="BF117" s="1">
        <v>1</v>
      </c>
      <c r="BG117" s="1">
        <f t="shared" si="112"/>
        <v>0</v>
      </c>
      <c r="BH117" s="1">
        <f t="shared" si="113"/>
        <v>0</v>
      </c>
      <c r="BI117" s="1">
        <v>1</v>
      </c>
      <c r="BJ117" s="1">
        <v>1</v>
      </c>
      <c r="BK117" s="1">
        <v>2</v>
      </c>
      <c r="BL117" s="1">
        <v>2</v>
      </c>
      <c r="BM117" s="1">
        <v>2</v>
      </c>
      <c r="BN117" s="1">
        <v>2</v>
      </c>
      <c r="BO117" s="1">
        <v>2</v>
      </c>
      <c r="BP117" s="1">
        <f>1+NOT(HRLivingGreyhawk)</f>
        <v>2</v>
      </c>
      <c r="BQ117" s="1">
        <f>IF(HRRVL,2,0)</f>
        <v>0</v>
      </c>
      <c r="BR117" s="1">
        <v>2</v>
      </c>
      <c r="BS117" s="1">
        <v>2</v>
      </c>
      <c r="BT117" s="1">
        <f>IF(HRXPH,2,0)</f>
        <v>0</v>
      </c>
      <c r="BU117" s="1">
        <f>IF(HRRVL,2,0)</f>
        <v>0</v>
      </c>
      <c r="BV117" s="1">
        <v>2</v>
      </c>
      <c r="BW117" s="1">
        <v>2</v>
      </c>
      <c r="BX117" s="1">
        <v>2</v>
      </c>
      <c r="BY117" s="1">
        <v>2</v>
      </c>
      <c r="BZ117" s="1">
        <v>2</v>
      </c>
      <c r="CA117" s="1">
        <v>2</v>
      </c>
      <c r="CB117" s="1">
        <v>2</v>
      </c>
      <c r="CC117" s="1">
        <v>2</v>
      </c>
      <c r="CD117" s="1">
        <v>2</v>
      </c>
      <c r="CE117" s="1">
        <v>2</v>
      </c>
      <c r="CF117" s="1">
        <v>1</v>
      </c>
      <c r="CG117" s="1">
        <f t="shared" si="114"/>
        <v>0</v>
      </c>
      <c r="CH117" s="1">
        <v>1</v>
      </c>
      <c r="CI117" s="1">
        <v>1</v>
      </c>
      <c r="CJ117" s="1">
        <v>2</v>
      </c>
      <c r="CK117" s="1">
        <v>2</v>
      </c>
      <c r="CL117" s="1">
        <v>2</v>
      </c>
      <c r="CM117" s="1">
        <v>2</v>
      </c>
      <c r="CN117" s="1">
        <v>2</v>
      </c>
      <c r="CO117" s="1">
        <v>2</v>
      </c>
      <c r="CP117" s="1">
        <v>2</v>
      </c>
      <c r="CQ117" s="1">
        <v>2</v>
      </c>
      <c r="CR117" s="1">
        <v>2</v>
      </c>
      <c r="CS117" s="1">
        <v>2</v>
      </c>
      <c r="CT117" s="1">
        <v>2</v>
      </c>
      <c r="CU117" s="1">
        <v>2</v>
      </c>
      <c r="CV117" s="1">
        <f t="shared" si="115"/>
        <v>0</v>
      </c>
      <c r="CW117" s="1">
        <v>1</v>
      </c>
      <c r="CX117" s="1">
        <v>1</v>
      </c>
      <c r="CY117" s="1">
        <v>1</v>
      </c>
      <c r="CZ117" s="1">
        <f t="shared" si="116"/>
        <v>0</v>
      </c>
      <c r="DA117" s="1">
        <v>1</v>
      </c>
      <c r="DB117" s="1">
        <v>2</v>
      </c>
      <c r="DC117" s="1">
        <v>2</v>
      </c>
      <c r="DD117" s="1">
        <v>1</v>
      </c>
      <c r="DE117" s="1">
        <v>1</v>
      </c>
      <c r="DF117" s="1">
        <v>1</v>
      </c>
      <c r="DG117" s="1">
        <v>1</v>
      </c>
      <c r="DH117" s="1">
        <v>2</v>
      </c>
      <c r="DI117" s="1">
        <f t="shared" si="117"/>
        <v>0</v>
      </c>
      <c r="DJ117" s="1">
        <v>1</v>
      </c>
      <c r="DK117" s="1" t="s">
        <v>319</v>
      </c>
      <c r="DL117" s="1" t="s">
        <v>40</v>
      </c>
      <c r="DS117" s="1" t="b">
        <f>COUNTIF(TblSkKnowRanks,"&gt;=10")&gt;=2</f>
        <v>0</v>
      </c>
      <c r="DT117" s="1" t="b">
        <f>MagicFeats&gt;=3</f>
        <v>0</v>
      </c>
      <c r="DU117" s="1" t="b">
        <f>NOT(ISERROR(SEARCH("Knowledge",SkillFocusList,1)))</f>
        <v>0</v>
      </c>
      <c r="DV117" s="1" t="b">
        <f ca="1">MaxSpellLevel&gt;=3</f>
        <v>0</v>
      </c>
      <c r="EA117" s="1" t="b">
        <f t="shared" ca="1" si="118"/>
        <v>0</v>
      </c>
      <c r="EB117" s="11" t="s">
        <v>334</v>
      </c>
      <c r="EC117" s="1" t="str">
        <f>"• Ability to cast seven different divinations, one of which must be 3rd
   level (not verified).
"&amp;IF(DS117,"","• 10 ranks in each of any two Knowledge skills.
")&amp;IF(DT117,"","• Any three metamagic or item creation feats.
")&amp;IF(DU117,"","• Skill Focus (Knowledge [any]).")</f>
        <v>• Ability to cast seven different divinations, one of which must be 3rd
   level (not verified).
• 10 ranks in each of any two Knowledge skills.
• Any three metamagic or item creation feats.
• Skill Focus (Knowledge [any]).</v>
      </c>
      <c r="ED117" s="11" t="s">
        <v>335</v>
      </c>
      <c r="EE117" s="8" t="s">
        <v>365</v>
      </c>
      <c r="EF117" s="9">
        <v>10</v>
      </c>
      <c r="EG117" s="9" t="str">
        <f>IF(SWiLvl&gt;0,INDEX(SWiDraconicSurgePhys,SiftWingSurge1),"")</f>
        <v/>
      </c>
      <c r="EH117" s="9">
        <v>1</v>
      </c>
      <c r="EI117" s="9" t="b">
        <f t="shared" si="120"/>
        <v>0</v>
      </c>
      <c r="EJ117" s="9" t="str">
        <f t="shared" si="93"/>
        <v/>
      </c>
      <c r="EK117" s="9">
        <f>IF($EI117,MATCH($EJ117,TblClassN,0),99)</f>
        <v>99</v>
      </c>
      <c r="EL117" s="9">
        <f t="shared" ref="EL117:EL129" si="124">IF($EI117,IF(HRGestalt,MATCH($EJ117,TblGClassN,0),99),99)</f>
        <v>99</v>
      </c>
      <c r="EM117" s="9">
        <f t="shared" si="121"/>
        <v>99</v>
      </c>
      <c r="EN117" s="9">
        <f t="shared" si="95"/>
        <v>99</v>
      </c>
      <c r="EO117" s="10">
        <f t="shared" si="122"/>
        <v>0</v>
      </c>
    </row>
    <row r="118" spans="1:145" ht="11.25" customHeight="1" x14ac:dyDescent="0.2">
      <c r="A118" s="1">
        <f t="shared" si="68"/>
        <v>115</v>
      </c>
      <c r="B118" s="1" t="s">
        <v>366</v>
      </c>
      <c r="C118" s="1" t="s">
        <v>367</v>
      </c>
      <c r="D118" s="1" t="s">
        <v>367</v>
      </c>
      <c r="E118" s="1">
        <f t="shared" si="84"/>
        <v>0</v>
      </c>
      <c r="G118" s="1">
        <f>MyTLvl</f>
        <v>0</v>
      </c>
      <c r="H118" s="1">
        <f>MyTLvl</f>
        <v>0</v>
      </c>
      <c r="K118" s="1">
        <v>2</v>
      </c>
      <c r="L118" s="1">
        <v>4</v>
      </c>
      <c r="V118" s="1">
        <v>0.5</v>
      </c>
      <c r="W118" s="1">
        <v>0.34</v>
      </c>
      <c r="X118" s="1">
        <v>0.34</v>
      </c>
      <c r="Y118" s="1">
        <v>0.5</v>
      </c>
      <c r="Z118" s="1" t="b">
        <f>FALSE</f>
        <v>0</v>
      </c>
      <c r="AA118" s="1" t="str">
        <f t="shared" si="88"/>
        <v/>
      </c>
      <c r="AB118" s="1" t="str">
        <f t="shared" si="89"/>
        <v/>
      </c>
      <c r="AC118" s="1">
        <f t="shared" si="85"/>
        <v>0</v>
      </c>
      <c r="AD118" s="1" t="str">
        <f t="shared" si="90"/>
        <v/>
      </c>
      <c r="AE118" s="1" t="str">
        <f t="shared" si="91"/>
        <v/>
      </c>
      <c r="AF118" s="1">
        <f t="shared" si="86"/>
        <v>0</v>
      </c>
      <c r="AG118" s="1">
        <f t="shared" si="97"/>
        <v>5</v>
      </c>
      <c r="AH118" s="1" t="str">
        <f t="shared" si="87"/>
        <v/>
      </c>
      <c r="AI118" s="1">
        <v>1</v>
      </c>
      <c r="AJ118" s="1">
        <f t="shared" si="110"/>
        <v>0</v>
      </c>
      <c r="AK118" s="1">
        <v>1</v>
      </c>
      <c r="AL118" s="1">
        <v>1</v>
      </c>
      <c r="AM118" s="1">
        <v>1</v>
      </c>
      <c r="AN118" s="1">
        <f t="shared" si="111"/>
        <v>0</v>
      </c>
      <c r="AO118" s="1">
        <v>2</v>
      </c>
      <c r="AP118" s="1">
        <v>2</v>
      </c>
      <c r="AQ118" s="1">
        <v>2</v>
      </c>
      <c r="AR118" s="1">
        <v>2</v>
      </c>
      <c r="AS118" s="1">
        <v>2</v>
      </c>
      <c r="AT118" s="1">
        <v>2</v>
      </c>
      <c r="AU118" s="1">
        <v>2</v>
      </c>
      <c r="AV118" s="1">
        <v>2</v>
      </c>
      <c r="AW118" s="1">
        <v>2</v>
      </c>
      <c r="AX118" s="1">
        <v>1</v>
      </c>
      <c r="AY118" s="1">
        <v>1</v>
      </c>
      <c r="AZ118" s="1">
        <v>1</v>
      </c>
      <c r="BA118" s="1">
        <v>1</v>
      </c>
      <c r="BB118" s="1">
        <v>1</v>
      </c>
      <c r="BC118" s="1">
        <v>1</v>
      </c>
      <c r="BD118" s="1">
        <v>1</v>
      </c>
      <c r="BE118" s="1">
        <v>1</v>
      </c>
      <c r="BF118" s="1">
        <v>1</v>
      </c>
      <c r="BG118" s="1">
        <f t="shared" si="112"/>
        <v>0</v>
      </c>
      <c r="BH118" s="1">
        <f t="shared" si="113"/>
        <v>0</v>
      </c>
      <c r="BI118" s="1">
        <v>1</v>
      </c>
      <c r="BJ118" s="1">
        <v>1</v>
      </c>
      <c r="BK118" s="1">
        <v>2</v>
      </c>
      <c r="BL118" s="1">
        <v>1</v>
      </c>
      <c r="BM118" s="1">
        <v>1</v>
      </c>
      <c r="BN118" s="1">
        <v>1</v>
      </c>
      <c r="BO118" s="1">
        <v>1</v>
      </c>
      <c r="BP118" s="1">
        <v>1</v>
      </c>
      <c r="BQ118" s="1">
        <f>IF(HRRVL,1,0)</f>
        <v>0</v>
      </c>
      <c r="BR118" s="1">
        <v>1</v>
      </c>
      <c r="BS118" s="1">
        <v>1</v>
      </c>
      <c r="BT118" s="1">
        <f>IF(HRXPH,1,0)</f>
        <v>0</v>
      </c>
      <c r="BU118" s="1">
        <f>IF(HRRVL,2,0)</f>
        <v>0</v>
      </c>
      <c r="BV118" s="1">
        <v>2</v>
      </c>
      <c r="BW118" s="1">
        <v>1</v>
      </c>
      <c r="BX118" s="1">
        <v>1</v>
      </c>
      <c r="BY118" s="1">
        <v>1</v>
      </c>
      <c r="BZ118" s="1">
        <v>1</v>
      </c>
      <c r="CA118" s="1">
        <v>1</v>
      </c>
      <c r="CB118" s="1">
        <v>1</v>
      </c>
      <c r="CC118" s="1">
        <v>1</v>
      </c>
      <c r="CD118" s="1">
        <v>1</v>
      </c>
      <c r="CE118" s="1">
        <v>1</v>
      </c>
      <c r="CF118" s="1">
        <v>1</v>
      </c>
      <c r="CG118" s="1">
        <f t="shared" si="114"/>
        <v>0</v>
      </c>
      <c r="CH118" s="1">
        <v>1</v>
      </c>
      <c r="CI118" s="1">
        <v>1</v>
      </c>
      <c r="CJ118" s="1">
        <v>1</v>
      </c>
      <c r="CK118" s="1">
        <v>1</v>
      </c>
      <c r="CL118" s="1">
        <v>1</v>
      </c>
      <c r="CM118" s="1">
        <v>1</v>
      </c>
      <c r="CN118" s="1">
        <v>1</v>
      </c>
      <c r="CO118" s="1">
        <v>1</v>
      </c>
      <c r="CP118" s="1">
        <v>2</v>
      </c>
      <c r="CQ118" s="1">
        <v>2</v>
      </c>
      <c r="CR118" s="1">
        <v>2</v>
      </c>
      <c r="CS118" s="1">
        <v>2</v>
      </c>
      <c r="CT118" s="1">
        <v>2</v>
      </c>
      <c r="CU118" s="1">
        <v>2</v>
      </c>
      <c r="CV118" s="1">
        <f t="shared" si="115"/>
        <v>0</v>
      </c>
      <c r="CW118" s="1">
        <v>1</v>
      </c>
      <c r="CX118" s="1">
        <v>1</v>
      </c>
      <c r="CY118" s="1">
        <v>2</v>
      </c>
      <c r="CZ118" s="1">
        <f t="shared" si="116"/>
        <v>0</v>
      </c>
      <c r="DA118" s="1">
        <v>1</v>
      </c>
      <c r="DB118" s="1">
        <v>1</v>
      </c>
      <c r="DC118" s="1">
        <v>2</v>
      </c>
      <c r="DD118" s="1">
        <v>1</v>
      </c>
      <c r="DE118" s="1">
        <v>1</v>
      </c>
      <c r="DF118" s="1">
        <v>1</v>
      </c>
      <c r="DG118" s="1">
        <v>1</v>
      </c>
      <c r="DH118" s="1">
        <v>1</v>
      </c>
      <c r="DI118" s="1">
        <f t="shared" si="117"/>
        <v>0</v>
      </c>
      <c r="DJ118" s="1">
        <v>1</v>
      </c>
      <c r="DK118" s="1" t="s">
        <v>319</v>
      </c>
      <c r="DL118" s="1" t="s">
        <v>40</v>
      </c>
      <c r="DR118" s="1" t="b">
        <f>SkKnowledgeArcanaRanks&gt;=6</f>
        <v>0</v>
      </c>
      <c r="DS118" s="1" t="b">
        <f>SkKnowledgeReligionRanks&gt;=6</f>
        <v>0</v>
      </c>
      <c r="DT118" s="1" t="b">
        <f ca="1">MaxArcaneSpellLevel&gt;=2</f>
        <v>0</v>
      </c>
      <c r="DU118" s="1" t="b">
        <f ca="1">MaxDivineSpellLevel&gt;=2</f>
        <v>0</v>
      </c>
      <c r="EA118" s="1" t="b">
        <f t="shared" ca="1" si="118"/>
        <v>0</v>
      </c>
      <c r="EB118" s="11" t="s">
        <v>334</v>
      </c>
      <c r="EC118" s="1" t="str">
        <f ca="1">IF(DR118,"","• 6 ranks in Knowledge(arcana).
")&amp;IF(DS118,"","• 6 ranks in Knowledge(religion).
")&amp;IF(DT118,"","• Ability to cast 2nd-level arcane spells.
")&amp;IF(DU118,"","• Ability to cast 2nd-level divine spells.")</f>
        <v>• 6 ranks in Knowledge(arcana).
• 6 ranks in Knowledge(religion).
• Ability to cast 2nd-level arcane spells.
• Ability to cast 2nd-level divine spells.</v>
      </c>
      <c r="ED118" s="11" t="s">
        <v>335</v>
      </c>
      <c r="EE118" s="8" t="s">
        <v>365</v>
      </c>
      <c r="EF118" s="9">
        <v>10</v>
      </c>
      <c r="EG118" s="9" t="str">
        <f>IF(SWiLvl&gt;0,INDEX(SWiDraconicSurgeMent,SiftWingSurge2),"")</f>
        <v/>
      </c>
      <c r="EH118" s="9">
        <v>1</v>
      </c>
      <c r="EI118" s="9" t="b">
        <f t="shared" si="120"/>
        <v>0</v>
      </c>
      <c r="EJ118" s="9" t="str">
        <f t="shared" si="93"/>
        <v/>
      </c>
      <c r="EK118" s="9">
        <f>IF($EI118,MATCH($EJ118,TblClassN,0),99)</f>
        <v>99</v>
      </c>
      <c r="EL118" s="9">
        <f t="shared" si="124"/>
        <v>99</v>
      </c>
      <c r="EM118" s="9">
        <f t="shared" si="121"/>
        <v>99</v>
      </c>
      <c r="EN118" s="9">
        <f t="shared" si="95"/>
        <v>99</v>
      </c>
      <c r="EO118" s="10">
        <f t="shared" si="122"/>
        <v>0</v>
      </c>
    </row>
    <row r="119" spans="1:145" ht="11.25" customHeight="1" x14ac:dyDescent="0.2">
      <c r="A119" s="1">
        <f t="shared" si="68"/>
        <v>116</v>
      </c>
      <c r="B119" s="1" t="s">
        <v>368</v>
      </c>
      <c r="C119" s="1" t="s">
        <v>369</v>
      </c>
      <c r="D119" s="1" t="s">
        <v>370</v>
      </c>
      <c r="E119" s="1">
        <f t="shared" si="84"/>
        <v>0</v>
      </c>
      <c r="G119" s="1">
        <f>RWzLvl</f>
        <v>0</v>
      </c>
      <c r="K119" s="1">
        <v>2</v>
      </c>
      <c r="L119" s="1">
        <v>4</v>
      </c>
      <c r="V119" s="1">
        <v>0.5</v>
      </c>
      <c r="W119" s="1">
        <v>0.34</v>
      </c>
      <c r="X119" s="1">
        <v>0.34</v>
      </c>
      <c r="Y119" s="1">
        <v>0.5</v>
      </c>
      <c r="Z119" s="1" t="b">
        <f>FALSE</f>
        <v>0</v>
      </c>
      <c r="AA119" s="1" t="str">
        <f t="shared" si="88"/>
        <v/>
      </c>
      <c r="AB119" s="1" t="str">
        <f t="shared" si="89"/>
        <v/>
      </c>
      <c r="AC119" s="1">
        <f t="shared" si="85"/>
        <v>0</v>
      </c>
      <c r="AD119" s="1" t="str">
        <f t="shared" si="90"/>
        <v/>
      </c>
      <c r="AE119" s="1" t="str">
        <f t="shared" si="91"/>
        <v/>
      </c>
      <c r="AF119" s="1">
        <f t="shared" si="86"/>
        <v>0</v>
      </c>
      <c r="AG119" s="1">
        <f t="shared" si="97"/>
        <v>5</v>
      </c>
      <c r="AH119" s="1" t="str">
        <f t="shared" si="87"/>
        <v/>
      </c>
      <c r="AI119" s="1">
        <v>1</v>
      </c>
      <c r="AJ119" s="1">
        <f t="shared" si="110"/>
        <v>0</v>
      </c>
      <c r="AK119" s="1">
        <v>1</v>
      </c>
      <c r="AL119" s="1">
        <v>2</v>
      </c>
      <c r="AM119" s="1">
        <v>1</v>
      </c>
      <c r="AN119" s="1">
        <f t="shared" si="111"/>
        <v>0</v>
      </c>
      <c r="AO119" s="1">
        <v>2</v>
      </c>
      <c r="AP119" s="1">
        <v>2</v>
      </c>
      <c r="AQ119" s="1">
        <v>2</v>
      </c>
      <c r="AR119" s="1">
        <v>2</v>
      </c>
      <c r="AS119" s="1">
        <v>2</v>
      </c>
      <c r="AT119" s="1">
        <v>2</v>
      </c>
      <c r="AU119" s="1">
        <v>2</v>
      </c>
      <c r="AV119" s="1">
        <v>2</v>
      </c>
      <c r="AW119" s="1">
        <v>1</v>
      </c>
      <c r="AX119" s="1">
        <v>1</v>
      </c>
      <c r="AY119" s="1">
        <v>1</v>
      </c>
      <c r="AZ119" s="1">
        <v>1</v>
      </c>
      <c r="BA119" s="1">
        <v>1</v>
      </c>
      <c r="BB119" s="1">
        <v>1</v>
      </c>
      <c r="BC119" s="1">
        <v>1</v>
      </c>
      <c r="BD119" s="1">
        <v>1</v>
      </c>
      <c r="BE119" s="1">
        <v>1</v>
      </c>
      <c r="BF119" s="1">
        <v>1</v>
      </c>
      <c r="BG119" s="1">
        <f t="shared" si="112"/>
        <v>0</v>
      </c>
      <c r="BH119" s="1">
        <f t="shared" si="113"/>
        <v>0</v>
      </c>
      <c r="BI119" s="1">
        <v>2</v>
      </c>
      <c r="BJ119" s="1">
        <v>1</v>
      </c>
      <c r="BK119" s="1">
        <v>2</v>
      </c>
      <c r="BL119" s="1">
        <v>2</v>
      </c>
      <c r="BM119" s="1">
        <v>2</v>
      </c>
      <c r="BN119" s="1">
        <v>2</v>
      </c>
      <c r="BO119" s="1">
        <v>2</v>
      </c>
      <c r="BP119" s="1">
        <f>1+NOT(HRLivingGreyhawk)</f>
        <v>2</v>
      </c>
      <c r="BQ119" s="1">
        <f>IF(HRRVL,2,0)</f>
        <v>0</v>
      </c>
      <c r="BR119" s="1">
        <v>2</v>
      </c>
      <c r="BS119" s="1">
        <v>2</v>
      </c>
      <c r="BT119" s="1">
        <f>IF(HRXPH,2,0)</f>
        <v>0</v>
      </c>
      <c r="BU119" s="1">
        <f>IF(HRRVL,2,0)</f>
        <v>0</v>
      </c>
      <c r="BV119" s="1">
        <v>2</v>
      </c>
      <c r="BW119" s="1">
        <v>2</v>
      </c>
      <c r="BX119" s="1">
        <v>2</v>
      </c>
      <c r="BY119" s="1">
        <v>2</v>
      </c>
      <c r="BZ119" s="1">
        <v>2</v>
      </c>
      <c r="CA119" s="1">
        <v>2</v>
      </c>
      <c r="CB119" s="1">
        <v>2</v>
      </c>
      <c r="CC119" s="1">
        <v>2</v>
      </c>
      <c r="CD119" s="1">
        <v>2</v>
      </c>
      <c r="CE119" s="1">
        <v>2</v>
      </c>
      <c r="CF119" s="1">
        <v>1</v>
      </c>
      <c r="CG119" s="1">
        <f t="shared" si="114"/>
        <v>0</v>
      </c>
      <c r="CH119" s="1">
        <v>1</v>
      </c>
      <c r="CI119" s="1">
        <v>1</v>
      </c>
      <c r="CJ119" s="1">
        <v>1</v>
      </c>
      <c r="CK119" s="1">
        <v>1</v>
      </c>
      <c r="CL119" s="1">
        <v>1</v>
      </c>
      <c r="CM119" s="1">
        <v>1</v>
      </c>
      <c r="CN119" s="1">
        <v>1</v>
      </c>
      <c r="CO119" s="1">
        <v>1</v>
      </c>
      <c r="CP119" s="1">
        <v>2</v>
      </c>
      <c r="CQ119" s="1">
        <v>2</v>
      </c>
      <c r="CR119" s="1">
        <v>2</v>
      </c>
      <c r="CS119" s="1">
        <v>2</v>
      </c>
      <c r="CT119" s="1">
        <v>2</v>
      </c>
      <c r="CU119" s="1">
        <v>2</v>
      </c>
      <c r="CV119" s="1">
        <f t="shared" si="115"/>
        <v>0</v>
      </c>
      <c r="CW119" s="1">
        <v>1</v>
      </c>
      <c r="CX119" s="1">
        <v>1</v>
      </c>
      <c r="CY119" s="1">
        <v>1</v>
      </c>
      <c r="CZ119" s="1">
        <f t="shared" si="116"/>
        <v>0</v>
      </c>
      <c r="DA119" s="1">
        <v>1</v>
      </c>
      <c r="DB119" s="1">
        <v>1</v>
      </c>
      <c r="DC119" s="1">
        <v>2</v>
      </c>
      <c r="DD119" s="1">
        <v>1</v>
      </c>
      <c r="DE119" s="1">
        <v>1</v>
      </c>
      <c r="DF119" s="1">
        <v>1</v>
      </c>
      <c r="DG119" s="1">
        <v>1</v>
      </c>
      <c r="DH119" s="1">
        <v>1</v>
      </c>
      <c r="DI119" s="1">
        <f t="shared" si="117"/>
        <v>0</v>
      </c>
      <c r="DJ119" s="1">
        <v>1</v>
      </c>
      <c r="DK119" s="1" t="s">
        <v>319</v>
      </c>
      <c r="DL119" s="1" t="s">
        <v>150</v>
      </c>
      <c r="DR119" s="1" t="b">
        <f>AND(RaceCi="Human",Region="Thay")</f>
        <v>0</v>
      </c>
      <c r="DS119" s="1" t="b">
        <f>AlignmentNonGood</f>
        <v>0</v>
      </c>
      <c r="DT119" s="1" t="b">
        <f>SkSpellcraftRanks&gt;=8</f>
        <v>0</v>
      </c>
      <c r="DU119" s="1" t="b">
        <f>FtTattooFocus</f>
        <v>0</v>
      </c>
      <c r="DV119" s="1" t="b">
        <f>MetamagicSelected+ItemCreationSelected&gt;=3</f>
        <v>0</v>
      </c>
      <c r="DW119" s="1" t="b">
        <f ca="1">MaxArcaneSpellLevel&gt;=3</f>
        <v>0</v>
      </c>
      <c r="EA119" s="1" t="b">
        <f t="shared" ca="1" si="118"/>
        <v>0</v>
      </c>
      <c r="EB119" s="11" t="s">
        <v>334</v>
      </c>
      <c r="EC119" s="1" t="str">
        <f ca="1">IF(DR119,"","• Human from Thay.
")&amp;IF(DS119,"","• Any non-good alignment.
")&amp;IF(DT119,"","• 8 ranks in Spellcraft.
")&amp;IF(DU119,"","• Tattoo Focus feat.
")&amp;IF(DV119,"","• Any three metamagic and/or item creation feats.
")&amp;IF(DW119,"","• Ability to cast 3rd-level arcane spells.")</f>
        <v>• Human from Thay.
• Any non-good alignment.
• 8 ranks in Spellcraft.
• Tattoo Focus feat.
• Any three metamagic and/or item creation feats.
• Ability to cast 3rd-level arcane spells.</v>
      </c>
      <c r="ED119" s="11" t="s">
        <v>335</v>
      </c>
      <c r="EE119" s="8" t="s">
        <v>277</v>
      </c>
      <c r="EF119" s="9">
        <v>3</v>
      </c>
      <c r="EG119" s="9" t="s">
        <v>126</v>
      </c>
      <c r="EH119" s="9">
        <v>2</v>
      </c>
      <c r="EI119" s="9" t="b">
        <f t="shared" si="120"/>
        <v>0</v>
      </c>
      <c r="EJ119" s="9" t="str">
        <f t="shared" si="93"/>
        <v/>
      </c>
      <c r="EK119" s="9">
        <f>IF($EI119,MATCH($EJ119,TblClassN,0),99)</f>
        <v>99</v>
      </c>
      <c r="EL119" s="9">
        <f t="shared" si="124"/>
        <v>99</v>
      </c>
      <c r="EM119" s="9">
        <f t="shared" si="121"/>
        <v>99</v>
      </c>
      <c r="EN119" s="9">
        <f t="shared" si="95"/>
        <v>99</v>
      </c>
      <c r="EO119" s="10">
        <f t="shared" si="122"/>
        <v>0</v>
      </c>
    </row>
    <row r="120" spans="1:145" ht="11.25" customHeight="1" x14ac:dyDescent="0.2">
      <c r="A120" s="1">
        <f t="shared" si="68"/>
        <v>117</v>
      </c>
      <c r="B120" s="1" t="s">
        <v>371</v>
      </c>
      <c r="C120" s="1" t="s">
        <v>372</v>
      </c>
      <c r="D120" s="1" t="s">
        <v>372</v>
      </c>
      <c r="E120" s="1">
        <f t="shared" si="84"/>
        <v>0</v>
      </c>
      <c r="K120" s="1">
        <v>6</v>
      </c>
      <c r="L120" s="1">
        <v>8</v>
      </c>
      <c r="N120" s="1" t="b">
        <v>1</v>
      </c>
      <c r="V120" s="1">
        <v>0.75</v>
      </c>
      <c r="W120" s="1">
        <v>0.34</v>
      </c>
      <c r="X120" s="1">
        <v>0.5</v>
      </c>
      <c r="Y120" s="1">
        <v>0.34</v>
      </c>
      <c r="Z120" s="1" t="b">
        <f>FALSE</f>
        <v>0</v>
      </c>
      <c r="AA120" s="1" t="str">
        <f t="shared" si="88"/>
        <v/>
      </c>
      <c r="AB120" s="1" t="str">
        <f t="shared" si="89"/>
        <v/>
      </c>
      <c r="AC120" s="1">
        <f t="shared" si="85"/>
        <v>0</v>
      </c>
      <c r="AD120" s="1" t="str">
        <f t="shared" si="90"/>
        <v/>
      </c>
      <c r="AE120" s="1" t="str">
        <f t="shared" si="91"/>
        <v/>
      </c>
      <c r="AF120" s="1">
        <f t="shared" si="86"/>
        <v>0</v>
      </c>
      <c r="AG120" s="1">
        <f t="shared" si="97"/>
        <v>5</v>
      </c>
      <c r="AH120" s="1" t="str">
        <f t="shared" si="87"/>
        <v/>
      </c>
      <c r="AI120" s="1">
        <v>1</v>
      </c>
      <c r="AJ120" s="1">
        <f t="shared" si="110"/>
        <v>0</v>
      </c>
      <c r="AK120" s="1">
        <v>2</v>
      </c>
      <c r="AL120" s="1">
        <v>2</v>
      </c>
      <c r="AM120" s="1">
        <v>1</v>
      </c>
      <c r="AN120" s="1">
        <f t="shared" si="111"/>
        <v>0</v>
      </c>
      <c r="AO120" s="1">
        <v>1</v>
      </c>
      <c r="AP120" s="1">
        <v>1</v>
      </c>
      <c r="AQ120" s="1">
        <v>1</v>
      </c>
      <c r="AR120" s="1">
        <v>1</v>
      </c>
      <c r="AS120" s="1">
        <v>1</v>
      </c>
      <c r="AT120" s="1">
        <v>1</v>
      </c>
      <c r="AU120" s="1">
        <v>1</v>
      </c>
      <c r="AV120" s="1">
        <v>1</v>
      </c>
      <c r="AW120" s="1">
        <v>2</v>
      </c>
      <c r="AX120" s="1">
        <v>2</v>
      </c>
      <c r="AY120" s="1">
        <v>1</v>
      </c>
      <c r="AZ120" s="1">
        <v>2</v>
      </c>
      <c r="BA120" s="1">
        <v>2</v>
      </c>
      <c r="BB120" s="1">
        <v>1</v>
      </c>
      <c r="BC120" s="1">
        <v>1</v>
      </c>
      <c r="BD120" s="1">
        <v>1</v>
      </c>
      <c r="BE120" s="1">
        <v>1</v>
      </c>
      <c r="BF120" s="1">
        <v>2</v>
      </c>
      <c r="BG120" s="1">
        <f t="shared" si="112"/>
        <v>0</v>
      </c>
      <c r="BH120" s="1">
        <f t="shared" si="113"/>
        <v>0</v>
      </c>
      <c r="BI120" s="1">
        <v>1</v>
      </c>
      <c r="BJ120" s="1">
        <v>2</v>
      </c>
      <c r="BK120" s="1">
        <v>1</v>
      </c>
      <c r="BL120" s="1">
        <v>1</v>
      </c>
      <c r="BM120" s="1">
        <v>1</v>
      </c>
      <c r="BN120" s="1">
        <v>1</v>
      </c>
      <c r="BO120" s="1">
        <v>1</v>
      </c>
      <c r="BP120" s="1">
        <v>1</v>
      </c>
      <c r="BQ120" s="1">
        <f>IF(HRRVL,1,0)</f>
        <v>0</v>
      </c>
      <c r="BR120" s="1">
        <v>1</v>
      </c>
      <c r="BS120" s="1">
        <v>1</v>
      </c>
      <c r="BT120" s="1">
        <f>IF(HRXPH,1,0)</f>
        <v>0</v>
      </c>
      <c r="BU120" s="1">
        <f>IF(HRRVL,1,0)</f>
        <v>0</v>
      </c>
      <c r="BV120" s="1">
        <v>1</v>
      </c>
      <c r="BW120" s="1">
        <v>1</v>
      </c>
      <c r="BX120" s="1">
        <v>1</v>
      </c>
      <c r="BY120" s="1">
        <v>1</v>
      </c>
      <c r="BZ120" s="1">
        <v>1</v>
      </c>
      <c r="CA120" s="1">
        <v>1</v>
      </c>
      <c r="CB120" s="1">
        <v>1</v>
      </c>
      <c r="CC120" s="1">
        <v>1</v>
      </c>
      <c r="CD120" s="1">
        <v>1</v>
      </c>
      <c r="CE120" s="1">
        <v>1</v>
      </c>
      <c r="CF120" s="1">
        <v>2</v>
      </c>
      <c r="CG120" s="1">
        <f t="shared" si="114"/>
        <v>0</v>
      </c>
      <c r="CH120" s="1">
        <v>2</v>
      </c>
      <c r="CI120" s="1">
        <v>1</v>
      </c>
      <c r="CJ120" s="1">
        <v>2</v>
      </c>
      <c r="CK120" s="1">
        <v>2</v>
      </c>
      <c r="CL120" s="1">
        <v>2</v>
      </c>
      <c r="CM120" s="1">
        <v>2</v>
      </c>
      <c r="CN120" s="1">
        <v>2</v>
      </c>
      <c r="CO120" s="1">
        <v>2</v>
      </c>
      <c r="CP120" s="1">
        <v>2</v>
      </c>
      <c r="CQ120" s="1">
        <v>2</v>
      </c>
      <c r="CR120" s="1">
        <v>2</v>
      </c>
      <c r="CS120" s="1">
        <v>2</v>
      </c>
      <c r="CT120" s="1">
        <v>2</v>
      </c>
      <c r="CU120" s="1">
        <v>2</v>
      </c>
      <c r="CV120" s="1">
        <f t="shared" si="115"/>
        <v>0</v>
      </c>
      <c r="CW120" s="1">
        <v>1</v>
      </c>
      <c r="CX120" s="1">
        <v>2</v>
      </c>
      <c r="CY120" s="1">
        <v>1</v>
      </c>
      <c r="CZ120" s="1">
        <f t="shared" si="116"/>
        <v>0</v>
      </c>
      <c r="DA120" s="1">
        <v>2</v>
      </c>
      <c r="DB120" s="1">
        <v>1</v>
      </c>
      <c r="DC120" s="1">
        <v>1</v>
      </c>
      <c r="DD120" s="1">
        <v>2</v>
      </c>
      <c r="DE120" s="1">
        <v>1</v>
      </c>
      <c r="DF120" s="1">
        <v>1</v>
      </c>
      <c r="DG120" s="1">
        <v>2</v>
      </c>
      <c r="DH120" s="1">
        <v>1</v>
      </c>
      <c r="DI120" s="1">
        <f t="shared" si="117"/>
        <v>0</v>
      </c>
      <c r="DJ120" s="1">
        <v>2</v>
      </c>
      <c r="DK120" s="1" t="s">
        <v>319</v>
      </c>
      <c r="DL120" s="1" t="s">
        <v>40</v>
      </c>
      <c r="DR120" s="1" t="b">
        <f>SkMoveSilentlyRanks&gt;=8</f>
        <v>0</v>
      </c>
      <c r="DS120" s="1" t="b">
        <f>SkHideRanks&gt;=10</f>
        <v>0</v>
      </c>
      <c r="DT120" s="1" t="b">
        <f>IF(NOT(ISNA(MATCH("Dance",TblPerformSkills,0))),INDEX(TblPerformRanks,MATCH("Dance",TblPerformSkills,0),1)&gt;=5,FALSE)</f>
        <v>0</v>
      </c>
      <c r="DU120" s="1" t="b">
        <f>FtDodgeEquiv</f>
        <v>0</v>
      </c>
      <c r="DV120" s="1" t="b">
        <f>FtMobility</f>
        <v>0</v>
      </c>
      <c r="DW120" s="1" t="b">
        <f>OR(FtCombatReflexes,FtEvasiveReflexes)</f>
        <v>0</v>
      </c>
      <c r="EA120" s="1" t="b">
        <f t="shared" si="118"/>
        <v>0</v>
      </c>
      <c r="EB120" s="11" t="s">
        <v>334</v>
      </c>
      <c r="EC120" s="1" t="str">
        <f>IF(DR120,"","• 8 ranks in Move Silently.
")&amp;IF(DS120,"","• 10 ranks in Hide.
")&amp;IF(DT120,"","• 5 ranks in Perform(dance).
")&amp;IF(DU120,"","• Dodge feat.
")&amp;IF(DV120,"","• Mobility feat.
")&amp;IF(DW120,"","• Combat Reflexes feat.")</f>
        <v>• 8 ranks in Move Silently.
• 10 ranks in Hide.
• 5 ranks in Perform(dance).
• Dodge feat.
• Mobility feat.
• Combat Reflexes feat.</v>
      </c>
      <c r="ED120" s="11" t="s">
        <v>335</v>
      </c>
      <c r="EE120" s="8" t="s">
        <v>373</v>
      </c>
      <c r="EF120" s="9">
        <v>2</v>
      </c>
      <c r="EG120" s="9" t="s">
        <v>162</v>
      </c>
      <c r="EH120" s="9">
        <v>2</v>
      </c>
      <c r="EI120" s="9" t="b">
        <f t="shared" si="120"/>
        <v>0</v>
      </c>
      <c r="EJ120" s="9" t="str">
        <f t="shared" si="93"/>
        <v/>
      </c>
      <c r="EK120" s="9">
        <f>IF($EI120,MATCH($EJ120,TblClassN,0),99)</f>
        <v>99</v>
      </c>
      <c r="EL120" s="9">
        <f t="shared" si="124"/>
        <v>99</v>
      </c>
      <c r="EM120" s="9">
        <f t="shared" si="121"/>
        <v>99</v>
      </c>
      <c r="EN120" s="9">
        <f t="shared" si="95"/>
        <v>99</v>
      </c>
      <c r="EO120" s="10">
        <f t="shared" si="122"/>
        <v>0</v>
      </c>
    </row>
    <row r="121" spans="1:145" ht="11.25" customHeight="1" x14ac:dyDescent="0.2">
      <c r="A121" s="1">
        <f t="shared" si="68"/>
        <v>118</v>
      </c>
      <c r="B121" s="1" t="s">
        <v>374</v>
      </c>
      <c r="C121" s="1" t="s">
        <v>375</v>
      </c>
      <c r="D121" s="1" t="s">
        <v>375</v>
      </c>
      <c r="E121" s="1">
        <f t="shared" si="84"/>
        <v>0</v>
      </c>
      <c r="G121" s="1">
        <f>ThmLvl</f>
        <v>0</v>
      </c>
      <c r="K121" s="1">
        <v>2</v>
      </c>
      <c r="L121" s="1">
        <v>4</v>
      </c>
      <c r="V121" s="1">
        <v>0.5</v>
      </c>
      <c r="W121" s="1">
        <v>0.34</v>
      </c>
      <c r="X121" s="1">
        <v>0.34</v>
      </c>
      <c r="Y121" s="1">
        <v>0.5</v>
      </c>
      <c r="Z121" s="1" t="b">
        <f>FALSE</f>
        <v>0</v>
      </c>
      <c r="AA121" s="1" t="str">
        <f t="shared" si="88"/>
        <v/>
      </c>
      <c r="AB121" s="1" t="str">
        <f t="shared" si="89"/>
        <v/>
      </c>
      <c r="AC121" s="1">
        <f t="shared" si="85"/>
        <v>0</v>
      </c>
      <c r="AD121" s="1" t="str">
        <f t="shared" si="90"/>
        <v/>
      </c>
      <c r="AE121" s="1" t="str">
        <f t="shared" si="91"/>
        <v/>
      </c>
      <c r="AF121" s="1">
        <f t="shared" si="86"/>
        <v>0</v>
      </c>
      <c r="AG121" s="1">
        <f t="shared" si="97"/>
        <v>5</v>
      </c>
      <c r="AH121" s="1" t="str">
        <f t="shared" si="87"/>
        <v/>
      </c>
      <c r="AI121" s="1">
        <v>1</v>
      </c>
      <c r="AJ121" s="1">
        <f t="shared" si="110"/>
        <v>0</v>
      </c>
      <c r="AK121" s="1">
        <v>1</v>
      </c>
      <c r="AL121" s="1">
        <v>1</v>
      </c>
      <c r="AM121" s="1">
        <v>1</v>
      </c>
      <c r="AN121" s="1">
        <f t="shared" si="111"/>
        <v>0</v>
      </c>
      <c r="AO121" s="1">
        <v>2</v>
      </c>
      <c r="AP121" s="1">
        <v>2</v>
      </c>
      <c r="AQ121" s="1">
        <v>2</v>
      </c>
      <c r="AR121" s="1">
        <v>2</v>
      </c>
      <c r="AS121" s="1">
        <v>2</v>
      </c>
      <c r="AT121" s="1">
        <v>2</v>
      </c>
      <c r="AU121" s="1">
        <v>2</v>
      </c>
      <c r="AV121" s="1">
        <v>2</v>
      </c>
      <c r="AW121" s="1">
        <v>1</v>
      </c>
      <c r="AX121" s="1">
        <v>2</v>
      </c>
      <c r="AY121" s="1">
        <v>1</v>
      </c>
      <c r="AZ121" s="1">
        <v>1</v>
      </c>
      <c r="BA121" s="1">
        <v>1</v>
      </c>
      <c r="BB121" s="1">
        <v>1</v>
      </c>
      <c r="BC121" s="1">
        <v>1</v>
      </c>
      <c r="BD121" s="1">
        <v>1</v>
      </c>
      <c r="BE121" s="1">
        <v>1</v>
      </c>
      <c r="BF121" s="1">
        <v>1</v>
      </c>
      <c r="BG121" s="1">
        <f t="shared" si="112"/>
        <v>0</v>
      </c>
      <c r="BH121" s="1">
        <f t="shared" si="113"/>
        <v>0</v>
      </c>
      <c r="BI121" s="1">
        <v>1</v>
      </c>
      <c r="BJ121" s="1">
        <v>1</v>
      </c>
      <c r="BK121" s="1">
        <v>1</v>
      </c>
      <c r="BL121" s="1">
        <v>1</v>
      </c>
      <c r="BM121" s="1">
        <v>1</v>
      </c>
      <c r="BN121" s="1">
        <v>1</v>
      </c>
      <c r="BO121" s="1">
        <v>1</v>
      </c>
      <c r="BP121" s="1">
        <v>1</v>
      </c>
      <c r="BQ121" s="1">
        <f>IF(HRRVL,1,0)</f>
        <v>0</v>
      </c>
      <c r="BR121" s="1">
        <v>1</v>
      </c>
      <c r="BS121" s="1">
        <v>1</v>
      </c>
      <c r="BT121" s="1">
        <f>IF(HRXPH,1,0)</f>
        <v>0</v>
      </c>
      <c r="BU121" s="1">
        <f>IF(HRRVL,2,0)</f>
        <v>0</v>
      </c>
      <c r="BV121" s="1">
        <v>2</v>
      </c>
      <c r="BW121" s="1">
        <v>2</v>
      </c>
      <c r="BX121" s="1">
        <v>1</v>
      </c>
      <c r="BY121" s="1">
        <v>1</v>
      </c>
      <c r="BZ121" s="1">
        <v>1</v>
      </c>
      <c r="CA121" s="1">
        <v>1</v>
      </c>
      <c r="CB121" s="1">
        <v>1</v>
      </c>
      <c r="CC121" s="1">
        <v>1</v>
      </c>
      <c r="CD121" s="1">
        <v>1</v>
      </c>
      <c r="CE121" s="1">
        <v>1</v>
      </c>
      <c r="CF121" s="1">
        <v>1</v>
      </c>
      <c r="CG121" s="1">
        <f t="shared" si="114"/>
        <v>0</v>
      </c>
      <c r="CH121" s="1">
        <v>1</v>
      </c>
      <c r="CI121" s="1">
        <v>1</v>
      </c>
      <c r="CJ121" s="1">
        <v>1</v>
      </c>
      <c r="CK121" s="1">
        <v>1</v>
      </c>
      <c r="CL121" s="1">
        <v>1</v>
      </c>
      <c r="CM121" s="1">
        <v>1</v>
      </c>
      <c r="CN121" s="1">
        <v>1</v>
      </c>
      <c r="CO121" s="1">
        <v>1</v>
      </c>
      <c r="CP121" s="1">
        <v>2</v>
      </c>
      <c r="CQ121" s="1">
        <v>2</v>
      </c>
      <c r="CR121" s="1">
        <v>2</v>
      </c>
      <c r="CS121" s="1">
        <v>2</v>
      </c>
      <c r="CT121" s="1">
        <v>2</v>
      </c>
      <c r="CU121" s="1">
        <v>2</v>
      </c>
      <c r="CV121" s="1">
        <f t="shared" si="115"/>
        <v>0</v>
      </c>
      <c r="CW121" s="1">
        <v>1</v>
      </c>
      <c r="CX121" s="1">
        <v>1</v>
      </c>
      <c r="CY121" s="1">
        <v>2</v>
      </c>
      <c r="CZ121" s="1">
        <f t="shared" si="116"/>
        <v>0</v>
      </c>
      <c r="DA121" s="1">
        <v>1</v>
      </c>
      <c r="DB121" s="1">
        <v>2</v>
      </c>
      <c r="DC121" s="1">
        <v>2</v>
      </c>
      <c r="DD121" s="1">
        <v>1</v>
      </c>
      <c r="DE121" s="1">
        <v>1</v>
      </c>
      <c r="DF121" s="1">
        <v>1</v>
      </c>
      <c r="DG121" s="1">
        <v>1</v>
      </c>
      <c r="DH121" s="1">
        <v>1</v>
      </c>
      <c r="DI121" s="1">
        <f t="shared" si="117"/>
        <v>0</v>
      </c>
      <c r="DJ121" s="1">
        <v>1</v>
      </c>
      <c r="DK121" s="1" t="s">
        <v>319</v>
      </c>
      <c r="DL121" s="1" t="s">
        <v>150</v>
      </c>
      <c r="DR121" s="1" t="b">
        <f>NOT(ISNA(MATCH("Conjuration",TblSpellFocus,0)))</f>
        <v>0</v>
      </c>
      <c r="EA121" s="1" t="b">
        <f t="shared" si="118"/>
        <v>0</v>
      </c>
      <c r="EB121" s="11" t="s">
        <v>338</v>
      </c>
      <c r="EC121" s="1" t="str">
        <f>IF(DR121,"","• Spell Focus(Conjuration).
")&amp;"• Ability to cast lesser planar ally (not verified)."</f>
        <v>• Spell Focus(Conjuration).
• Ability to cast lesser planar ally (not verified).</v>
      </c>
      <c r="ED121" s="11" t="s">
        <v>335</v>
      </c>
      <c r="EE121" s="8" t="s">
        <v>373</v>
      </c>
      <c r="EF121" s="9">
        <v>6</v>
      </c>
      <c r="EG121" s="9" t="s">
        <v>162</v>
      </c>
      <c r="EH121" s="9">
        <v>3</v>
      </c>
      <c r="EI121" s="9" t="b">
        <f t="shared" si="120"/>
        <v>0</v>
      </c>
      <c r="EJ121" s="9" t="str">
        <f t="shared" si="93"/>
        <v/>
      </c>
      <c r="EK121" s="9">
        <f>IF($EI121,MATCH($EJ121,TblClassN,0),99)</f>
        <v>99</v>
      </c>
      <c r="EL121" s="9">
        <f t="shared" si="124"/>
        <v>99</v>
      </c>
      <c r="EM121" s="9">
        <f t="shared" si="121"/>
        <v>99</v>
      </c>
      <c r="EN121" s="9">
        <f t="shared" si="95"/>
        <v>99</v>
      </c>
      <c r="EO121" s="10">
        <f t="shared" si="122"/>
        <v>0</v>
      </c>
    </row>
    <row r="122" spans="1:145" ht="11.25" customHeight="1" x14ac:dyDescent="0.2">
      <c r="A122" s="1">
        <f t="shared" si="68"/>
        <v>119</v>
      </c>
      <c r="B122" s="1" t="s">
        <v>376</v>
      </c>
      <c r="E122" s="1">
        <f t="shared" si="84"/>
        <v>0</v>
      </c>
      <c r="F122" s="1">
        <v>1</v>
      </c>
      <c r="Z122" s="1" t="b">
        <f>FALSE</f>
        <v>0</v>
      </c>
      <c r="AA122" s="1" t="str">
        <f t="shared" si="88"/>
        <v/>
      </c>
      <c r="AB122" s="1" t="str">
        <f t="shared" si="89"/>
        <v/>
      </c>
      <c r="AC122" s="1">
        <f t="shared" si="85"/>
        <v>0</v>
      </c>
      <c r="AD122" s="1" t="str">
        <f t="shared" si="90"/>
        <v/>
      </c>
      <c r="AE122" s="1" t="str">
        <f t="shared" si="91"/>
        <v/>
      </c>
      <c r="AF122" s="1">
        <f t="shared" si="86"/>
        <v>0</v>
      </c>
      <c r="AG122" s="1">
        <f t="shared" si="97"/>
        <v>5</v>
      </c>
      <c r="AH122" s="1" t="str">
        <f t="shared" si="87"/>
        <v/>
      </c>
      <c r="EB122" s="11"/>
      <c r="ED122" s="11" t="s">
        <v>335</v>
      </c>
      <c r="EE122" s="8" t="s">
        <v>373</v>
      </c>
      <c r="EF122" s="9">
        <v>10</v>
      </c>
      <c r="EG122" s="9" t="s">
        <v>162</v>
      </c>
      <c r="EH122" s="9">
        <v>4</v>
      </c>
      <c r="EI122" s="9" t="b">
        <f t="shared" si="120"/>
        <v>0</v>
      </c>
      <c r="EJ122" s="9" t="str">
        <f t="shared" si="93"/>
        <v/>
      </c>
      <c r="EK122" s="9">
        <f>IF($EI122,MATCH($EJ122,TblClassN,0),99)</f>
        <v>99</v>
      </c>
      <c r="EL122" s="9">
        <f t="shared" si="124"/>
        <v>99</v>
      </c>
      <c r="EM122" s="9">
        <f t="shared" si="121"/>
        <v>99</v>
      </c>
      <c r="EN122" s="9">
        <f t="shared" si="95"/>
        <v>99</v>
      </c>
      <c r="EO122" s="10">
        <f t="shared" si="122"/>
        <v>0</v>
      </c>
    </row>
    <row r="123" spans="1:145" ht="11.25" customHeight="1" x14ac:dyDescent="0.2">
      <c r="A123" s="1">
        <f t="shared" si="68"/>
        <v>120</v>
      </c>
      <c r="B123" s="1" t="s">
        <v>377</v>
      </c>
      <c r="C123" s="1" t="s">
        <v>378</v>
      </c>
      <c r="D123" s="1" t="s">
        <v>378</v>
      </c>
      <c r="E123" s="1">
        <f t="shared" si="84"/>
        <v>0</v>
      </c>
      <c r="K123" s="1">
        <v>4</v>
      </c>
      <c r="L123" s="1">
        <v>12</v>
      </c>
      <c r="V123" s="1">
        <v>1</v>
      </c>
      <c r="W123" s="1">
        <v>0.5</v>
      </c>
      <c r="X123" s="1">
        <v>0.34</v>
      </c>
      <c r="Y123" s="1">
        <v>0.34</v>
      </c>
      <c r="Z123" s="1" t="b">
        <f>FALSE</f>
        <v>0</v>
      </c>
      <c r="AA123" s="1" t="str">
        <f t="shared" si="88"/>
        <v/>
      </c>
      <c r="AB123" s="1" t="str">
        <f t="shared" si="89"/>
        <v/>
      </c>
      <c r="AC123" s="1">
        <f t="shared" si="85"/>
        <v>0</v>
      </c>
      <c r="AD123" s="1" t="str">
        <f t="shared" si="90"/>
        <v/>
      </c>
      <c r="AE123" s="1" t="str">
        <f t="shared" si="91"/>
        <v/>
      </c>
      <c r="AF123" s="1">
        <f t="shared" si="86"/>
        <v>0</v>
      </c>
      <c r="AG123" s="1">
        <f t="shared" si="97"/>
        <v>5</v>
      </c>
      <c r="AH123" s="1" t="str">
        <f t="shared" si="87"/>
        <v/>
      </c>
      <c r="AI123" s="1">
        <v>1</v>
      </c>
      <c r="AJ123" s="1">
        <f t="shared" ref="AJ123:AJ158" si="125">IF(HRXPH,1,0)</f>
        <v>0</v>
      </c>
      <c r="AK123" s="1">
        <v>1</v>
      </c>
      <c r="AL123" s="1">
        <v>1</v>
      </c>
      <c r="AM123" s="1">
        <v>2</v>
      </c>
      <c r="AN123" s="1">
        <f t="shared" ref="AN123:AN158" si="126">IF(IsLycanthrope,2,0)</f>
        <v>0</v>
      </c>
      <c r="AO123" s="1">
        <v>1</v>
      </c>
      <c r="AP123" s="1">
        <v>1</v>
      </c>
      <c r="AQ123" s="1">
        <v>1</v>
      </c>
      <c r="AR123" s="1">
        <v>1</v>
      </c>
      <c r="AS123" s="1">
        <v>1</v>
      </c>
      <c r="AT123" s="1">
        <v>1</v>
      </c>
      <c r="AU123" s="1">
        <v>1</v>
      </c>
      <c r="AV123" s="1">
        <v>1</v>
      </c>
      <c r="AW123" s="1">
        <v>1</v>
      </c>
      <c r="AX123" s="1">
        <v>1</v>
      </c>
      <c r="AY123" s="1">
        <v>1</v>
      </c>
      <c r="AZ123" s="1">
        <v>1</v>
      </c>
      <c r="BA123" s="1">
        <v>1</v>
      </c>
      <c r="BB123" s="1">
        <v>1</v>
      </c>
      <c r="BC123" s="1">
        <v>1</v>
      </c>
      <c r="BD123" s="1">
        <v>2</v>
      </c>
      <c r="BE123" s="1">
        <v>1</v>
      </c>
      <c r="BF123" s="1">
        <v>1</v>
      </c>
      <c r="BG123" s="1">
        <f t="shared" ref="BG123:BG158" si="127">IF(HRRVL,1,0)</f>
        <v>0</v>
      </c>
      <c r="BH123" s="1">
        <f t="shared" ref="BH123:BH158" si="128">IF(HROA,1,0)</f>
        <v>0</v>
      </c>
      <c r="BI123" s="1">
        <v>2</v>
      </c>
      <c r="BJ123" s="1">
        <v>2</v>
      </c>
      <c r="BK123" s="1">
        <v>1</v>
      </c>
      <c r="BL123" s="1">
        <v>1</v>
      </c>
      <c r="BM123" s="1">
        <v>1</v>
      </c>
      <c r="BN123" s="1">
        <v>1</v>
      </c>
      <c r="BO123" s="1">
        <v>1</v>
      </c>
      <c r="BP123" s="1">
        <v>1</v>
      </c>
      <c r="BQ123" s="1">
        <f>IF(HRRVL,1,0)</f>
        <v>0</v>
      </c>
      <c r="BR123" s="1">
        <v>1</v>
      </c>
      <c r="BS123" s="1">
        <v>1</v>
      </c>
      <c r="BT123" s="1">
        <f t="shared" ref="BT123:BT137" si="129">IF(HRXPH,1,0)</f>
        <v>0</v>
      </c>
      <c r="BU123" s="1">
        <f t="shared" ref="BU123:BU135" si="130">IF(HRRVL,1,0)</f>
        <v>0</v>
      </c>
      <c r="BV123" s="1">
        <v>1</v>
      </c>
      <c r="BW123" s="1">
        <v>1</v>
      </c>
      <c r="BX123" s="1">
        <v>1</v>
      </c>
      <c r="BY123" s="1">
        <v>1</v>
      </c>
      <c r="BZ123" s="1">
        <v>1</v>
      </c>
      <c r="CA123" s="1">
        <v>1</v>
      </c>
      <c r="CB123" s="1">
        <v>1</v>
      </c>
      <c r="CC123" s="1">
        <v>1</v>
      </c>
      <c r="CD123" s="1">
        <v>1</v>
      </c>
      <c r="CE123" s="1">
        <v>1</v>
      </c>
      <c r="CF123" s="1">
        <v>2</v>
      </c>
      <c r="CG123" s="1">
        <f t="shared" ref="CG123:CG158" si="131">IF(HRToB,1,0)</f>
        <v>0</v>
      </c>
      <c r="CH123" s="1">
        <v>1</v>
      </c>
      <c r="CI123" s="1">
        <v>1</v>
      </c>
      <c r="CJ123" s="1">
        <v>1</v>
      </c>
      <c r="CK123" s="1">
        <v>1</v>
      </c>
      <c r="CL123" s="1">
        <v>1</v>
      </c>
      <c r="CM123" s="1">
        <v>1</v>
      </c>
      <c r="CN123" s="1">
        <v>1</v>
      </c>
      <c r="CO123" s="1">
        <v>1</v>
      </c>
      <c r="CP123" s="1">
        <v>1</v>
      </c>
      <c r="CQ123" s="1">
        <v>1</v>
      </c>
      <c r="CR123" s="1">
        <v>1</v>
      </c>
      <c r="CS123" s="1">
        <v>1</v>
      </c>
      <c r="CT123" s="1">
        <v>1</v>
      </c>
      <c r="CU123" s="1">
        <v>1</v>
      </c>
      <c r="CV123" s="1">
        <f t="shared" ref="CV123:CV158" si="132">IF(HRXPH,1,0)</f>
        <v>0</v>
      </c>
      <c r="CW123" s="1">
        <v>1</v>
      </c>
      <c r="CX123" s="1">
        <v>1</v>
      </c>
      <c r="CY123" s="1">
        <v>1</v>
      </c>
      <c r="CZ123" s="1">
        <f t="shared" ref="CZ123:CZ158" si="133">IF(HRCS,1,0)</f>
        <v>0</v>
      </c>
      <c r="DA123" s="1">
        <v>1</v>
      </c>
      <c r="DB123" s="1">
        <v>1</v>
      </c>
      <c r="DC123" s="1">
        <v>1</v>
      </c>
      <c r="DD123" s="1">
        <v>1</v>
      </c>
      <c r="DE123" s="1">
        <v>2</v>
      </c>
      <c r="DF123" s="1">
        <v>2</v>
      </c>
      <c r="DG123" s="1">
        <v>1</v>
      </c>
      <c r="DH123" s="1">
        <v>1</v>
      </c>
      <c r="DI123" s="1">
        <f t="shared" ref="DI123:DI158" si="134">IF(HRXPH,1,0)</f>
        <v>0</v>
      </c>
      <c r="DJ123" s="1">
        <v>1</v>
      </c>
      <c r="DK123" s="1" t="s">
        <v>124</v>
      </c>
      <c r="DL123" s="1" t="s">
        <v>40</v>
      </c>
      <c r="DR123" s="1" t="b">
        <f>BaseAtk&gt;=7</f>
        <v>0</v>
      </c>
      <c r="DS123" s="1" t="b">
        <f>FtPowerAttackEquiv</f>
        <v>0</v>
      </c>
      <c r="DT123" s="1" t="b">
        <f>RageAmount&gt;=1</f>
        <v>0</v>
      </c>
      <c r="EA123" s="1" t="b">
        <f t="shared" ref="EA123:EA142" si="135">AND(DM123:DZ123)</f>
        <v>0</v>
      </c>
      <c r="EB123" s="11" t="s">
        <v>334</v>
      </c>
      <c r="EC123" s="1" t="str">
        <f>IF(DR123,"","• A base attack bonus of +7 or higher.
")&amp;IF(DS123,"","• Power Attack feat.
")&amp;IF(DT123,"","• Rage or Frenzy ability.")</f>
        <v>• A base attack bonus of +7 or higher.
• Power Attack feat.
• Rage or Frenzy ability.</v>
      </c>
      <c r="ED123" s="11" t="s">
        <v>335</v>
      </c>
      <c r="EE123" s="8" t="s">
        <v>379</v>
      </c>
      <c r="EF123" s="9">
        <f>IF(WHkLvl=0,1,WHkLvl)</f>
        <v>1</v>
      </c>
      <c r="EG123" s="9" t="s">
        <v>134</v>
      </c>
      <c r="EH123" s="9">
        <f>2*WHkLvl</f>
        <v>0</v>
      </c>
      <c r="EI123" s="9" t="b">
        <f t="shared" si="120"/>
        <v>0</v>
      </c>
      <c r="EJ123" s="9" t="str">
        <f t="shared" si="93"/>
        <v/>
      </c>
      <c r="EK123" s="9">
        <f>IF($EI123,MATCH($EJ123,TblClassN,0),99)</f>
        <v>99</v>
      </c>
      <c r="EL123" s="9">
        <f t="shared" si="124"/>
        <v>99</v>
      </c>
      <c r="EM123" s="9">
        <f t="shared" si="121"/>
        <v>99</v>
      </c>
      <c r="EN123" s="9">
        <f t="shared" si="95"/>
        <v>99</v>
      </c>
      <c r="EO123" s="10">
        <f t="shared" si="122"/>
        <v>0</v>
      </c>
    </row>
    <row r="124" spans="1:145" ht="11.25" customHeight="1" x14ac:dyDescent="0.2">
      <c r="A124" s="1">
        <f t="shared" si="68"/>
        <v>121</v>
      </c>
      <c r="B124" s="1" t="s">
        <v>380</v>
      </c>
      <c r="C124" s="1" t="s">
        <v>381</v>
      </c>
      <c r="D124" s="1" t="s">
        <v>382</v>
      </c>
      <c r="E124" s="1">
        <f t="shared" si="84"/>
        <v>0</v>
      </c>
      <c r="K124" s="1">
        <v>2</v>
      </c>
      <c r="L124" s="1">
        <v>8</v>
      </c>
      <c r="N124" s="1" t="b">
        <v>1</v>
      </c>
      <c r="V124" s="1">
        <v>1</v>
      </c>
      <c r="W124" s="1">
        <v>0.34</v>
      </c>
      <c r="X124" s="1">
        <v>0.5</v>
      </c>
      <c r="Y124" s="1">
        <v>0.5</v>
      </c>
      <c r="Z124" s="1" t="b">
        <f>FALSE</f>
        <v>0</v>
      </c>
      <c r="AA124" s="1" t="str">
        <f t="shared" si="88"/>
        <v/>
      </c>
      <c r="AB124" s="1" t="str">
        <f t="shared" si="89"/>
        <v/>
      </c>
      <c r="AC124" s="1">
        <f t="shared" si="85"/>
        <v>0</v>
      </c>
      <c r="AD124" s="1" t="str">
        <f t="shared" si="90"/>
        <v/>
      </c>
      <c r="AE124" s="1" t="str">
        <f t="shared" si="91"/>
        <v/>
      </c>
      <c r="AF124" s="1">
        <f t="shared" si="86"/>
        <v>0</v>
      </c>
      <c r="AG124" s="1">
        <f t="shared" si="97"/>
        <v>5</v>
      </c>
      <c r="AH124" s="1" t="str">
        <f t="shared" si="87"/>
        <v/>
      </c>
      <c r="AI124" s="1">
        <v>1</v>
      </c>
      <c r="AJ124" s="1">
        <f t="shared" si="125"/>
        <v>0</v>
      </c>
      <c r="AK124" s="1">
        <v>2</v>
      </c>
      <c r="AL124" s="1">
        <v>1</v>
      </c>
      <c r="AM124" s="1">
        <v>1</v>
      </c>
      <c r="AN124" s="1">
        <f t="shared" si="126"/>
        <v>0</v>
      </c>
      <c r="AO124" s="1">
        <v>2</v>
      </c>
      <c r="AP124" s="1">
        <v>1</v>
      </c>
      <c r="AQ124" s="1">
        <v>1</v>
      </c>
      <c r="AR124" s="1">
        <v>1</v>
      </c>
      <c r="AS124" s="1">
        <v>1</v>
      </c>
      <c r="AT124" s="1">
        <v>1</v>
      </c>
      <c r="AU124" s="1">
        <v>1</v>
      </c>
      <c r="AV124" s="1">
        <v>1</v>
      </c>
      <c r="AW124" s="1">
        <v>1</v>
      </c>
      <c r="AX124" s="1">
        <v>1</v>
      </c>
      <c r="AY124" s="1">
        <v>1</v>
      </c>
      <c r="AZ124" s="1">
        <v>1</v>
      </c>
      <c r="BA124" s="1">
        <v>1</v>
      </c>
      <c r="BB124" s="1">
        <v>1</v>
      </c>
      <c r="BC124" s="1">
        <v>1</v>
      </c>
      <c r="BD124" s="1">
        <v>1</v>
      </c>
      <c r="BE124" s="1">
        <v>1</v>
      </c>
      <c r="BF124" s="1">
        <v>1</v>
      </c>
      <c r="BG124" s="1">
        <f t="shared" si="127"/>
        <v>0</v>
      </c>
      <c r="BH124" s="1">
        <f t="shared" si="128"/>
        <v>0</v>
      </c>
      <c r="BI124" s="1">
        <v>1</v>
      </c>
      <c r="BJ124" s="1">
        <v>2</v>
      </c>
      <c r="BK124" s="1">
        <v>2</v>
      </c>
      <c r="BL124" s="1">
        <v>1</v>
      </c>
      <c r="BM124" s="1">
        <v>1</v>
      </c>
      <c r="BN124" s="1">
        <v>1</v>
      </c>
      <c r="BO124" s="1">
        <v>1</v>
      </c>
      <c r="BP124" s="1">
        <v>1</v>
      </c>
      <c r="BQ124" s="1">
        <f>IF(HRRVL,1,0)</f>
        <v>0</v>
      </c>
      <c r="BR124" s="1">
        <v>1</v>
      </c>
      <c r="BS124" s="1">
        <v>1</v>
      </c>
      <c r="BT124" s="1">
        <f t="shared" si="129"/>
        <v>0</v>
      </c>
      <c r="BU124" s="1">
        <f t="shared" si="130"/>
        <v>0</v>
      </c>
      <c r="BV124" s="1">
        <v>1</v>
      </c>
      <c r="BW124" s="1">
        <v>1</v>
      </c>
      <c r="BX124" s="1">
        <v>1</v>
      </c>
      <c r="BY124" s="1">
        <v>1</v>
      </c>
      <c r="BZ124" s="1">
        <v>1</v>
      </c>
      <c r="CA124" s="1">
        <v>1</v>
      </c>
      <c r="CB124" s="1">
        <v>1</v>
      </c>
      <c r="CC124" s="1">
        <v>1</v>
      </c>
      <c r="CD124" s="1">
        <v>1</v>
      </c>
      <c r="CE124" s="1">
        <v>1</v>
      </c>
      <c r="CF124" s="1">
        <v>1</v>
      </c>
      <c r="CG124" s="1">
        <f t="shared" si="131"/>
        <v>0</v>
      </c>
      <c r="CH124" s="1">
        <v>1</v>
      </c>
      <c r="CI124" s="1">
        <v>1</v>
      </c>
      <c r="CJ124" s="1">
        <v>2</v>
      </c>
      <c r="CK124" s="1">
        <v>2</v>
      </c>
      <c r="CL124" s="1">
        <v>2</v>
      </c>
      <c r="CM124" s="1">
        <v>2</v>
      </c>
      <c r="CN124" s="1">
        <v>2</v>
      </c>
      <c r="CO124" s="1">
        <v>2</v>
      </c>
      <c r="CP124" s="1">
        <v>1</v>
      </c>
      <c r="CQ124" s="1">
        <v>1</v>
      </c>
      <c r="CR124" s="1">
        <v>1</v>
      </c>
      <c r="CS124" s="1">
        <v>1</v>
      </c>
      <c r="CT124" s="1">
        <v>1</v>
      </c>
      <c r="CU124" s="1">
        <v>1</v>
      </c>
      <c r="CV124" s="1">
        <f t="shared" si="132"/>
        <v>0</v>
      </c>
      <c r="CW124" s="1">
        <v>1</v>
      </c>
      <c r="CX124" s="1">
        <v>1</v>
      </c>
      <c r="CY124" s="1">
        <v>1</v>
      </c>
      <c r="CZ124" s="1">
        <f t="shared" si="133"/>
        <v>0</v>
      </c>
      <c r="DA124" s="1">
        <v>1</v>
      </c>
      <c r="DB124" s="1">
        <v>1</v>
      </c>
      <c r="DC124" s="1">
        <v>2</v>
      </c>
      <c r="DD124" s="1">
        <v>1</v>
      </c>
      <c r="DE124" s="1">
        <v>1</v>
      </c>
      <c r="DF124" s="1">
        <v>1</v>
      </c>
      <c r="DG124" s="1">
        <v>2</v>
      </c>
      <c r="DH124" s="1">
        <v>1</v>
      </c>
      <c r="DI124" s="1">
        <f t="shared" si="134"/>
        <v>0</v>
      </c>
      <c r="DJ124" s="1">
        <v>1</v>
      </c>
      <c r="DK124" s="1" t="s">
        <v>124</v>
      </c>
      <c r="DL124" s="1" t="s">
        <v>40</v>
      </c>
      <c r="DQ124" s="1" t="b">
        <f>OR(RaceCi="Elf",RaceCi="Half-elf")</f>
        <v>0</v>
      </c>
      <c r="DR124" s="1" t="b">
        <f>BaseAtk&gt;=5</f>
        <v>0</v>
      </c>
      <c r="DS124" s="1" t="b">
        <f>SkBalanceRanks&gt;=2</f>
        <v>0</v>
      </c>
      <c r="DT124" s="1" t="b">
        <f>SkConcentrationRanks&gt;=4</f>
        <v>0</v>
      </c>
      <c r="DU124" s="1" t="b">
        <f>AND(IF(NOT(ISNA(MATCH("Dance",TblPerformSkills,0))),INDEX(TblPerformRanks,MATCH("Dance",TblPerformSkills,0),1)&gt;=2,FALSE),IF(NOT(ISNA(MATCH("Sing",TblPerformSkills,0))),INDEX(TblPerformRanks,MATCH("Sing",TblPerformSkills,0),1)&gt;=2,FALSE))</f>
        <v>0</v>
      </c>
      <c r="DV124" s="1" t="b">
        <f>SkTumbleRanks&gt;=2</f>
        <v>0</v>
      </c>
      <c r="DW124" s="1" t="b">
        <f>AND(OR(FreeCombatCasting,FtCombatCasting),FtDodgeEquiv,OR(FreeCombatExpertise,FtCombatExpertise))</f>
        <v>0</v>
      </c>
      <c r="DX124" s="1" t="b">
        <f>OR(NOT(ISNA(MATCH("Longsword",TblWeaponFocusFeat,0))),
       AND(ClrLvl&gt;=1,NOT(ISNA(MATCH("War",Domains,0))),FavoredWeapon="Longsword"),
       NOT(ISNA(MATCH("Rapier",TblWeaponFocusFeat,0))),
       AND(ClrLvl&gt;=1,NOT(ISNA(MATCH("War",Domains,0))),FavoredWeapon="Rapier"))</f>
        <v>0</v>
      </c>
      <c r="DY124" s="1" t="b">
        <f ca="1">MaxArcaneSpellLevel&gt;=1</f>
        <v>0</v>
      </c>
      <c r="EA124" s="1" t="b">
        <f ca="1">AND(DM124:DZ124)</f>
        <v>0</v>
      </c>
      <c r="EB124" s="11" t="s">
        <v>334</v>
      </c>
      <c r="EC124" s="1" t="str">
        <f ca="1">IF(DQ124,"","• You must be either an Elf or Half-elf
")&amp;IF(DR124,"","• A base attack bonus of +5 or higher.
")&amp;IF(DS124,"","• 2 ranks in Balance.
")&amp;IF(DT124,"","• 4 ranks in Concentration.
")&amp;IF(DU124,"","• 2 ranks each in Perform(dance), Perform(sing).
")&amp;IF(DV124,"","• 2 ranks in Tumble.
")&amp;IF(DW124,"","• The following feats: Combat Casting, Dodge, Combat Expertise.
")&amp;IF(DX124,"","• Weapon Focus(Longsword or Rapier).
")&amp;IF(DY124,"","• Ability to cast 1st level arcane spells.")</f>
        <v>• You must be either an Elf or Half-elf
• A base attack bonus of +5 or higher.
• 2 ranks in Balance.
• 4 ranks in Concentration.
• 2 ranks each in Perform(dance), Perform(sing).
• 2 ranks in Tumble.
• The following feats: Combat Casting, Dodge, Combat Expertise.
• Weapon Focus(Longsword or Rapier).
• Ability to cast 1st level arcane spells.</v>
      </c>
      <c r="ED124" s="11" t="s">
        <v>335</v>
      </c>
      <c r="EE124" s="8" t="s">
        <v>383</v>
      </c>
      <c r="EF124" s="9">
        <v>10</v>
      </c>
      <c r="EG124" s="9" t="s">
        <v>134</v>
      </c>
      <c r="EH124" s="9">
        <v>2</v>
      </c>
      <c r="EI124" s="9" t="b">
        <f t="shared" si="120"/>
        <v>0</v>
      </c>
      <c r="EJ124" s="9" t="str">
        <f t="shared" si="93"/>
        <v/>
      </c>
      <c r="EK124" s="9">
        <f>IF($EI124,MATCH($EJ124,TblClassN,0),99)</f>
        <v>99</v>
      </c>
      <c r="EL124" s="9">
        <f t="shared" si="124"/>
        <v>99</v>
      </c>
      <c r="EM124" s="9">
        <f t="shared" si="121"/>
        <v>99</v>
      </c>
      <c r="EN124" s="9">
        <f t="shared" si="95"/>
        <v>99</v>
      </c>
      <c r="EO124" s="10">
        <f t="shared" si="122"/>
        <v>0</v>
      </c>
    </row>
    <row r="125" spans="1:145" ht="11.25" customHeight="1" x14ac:dyDescent="0.2">
      <c r="A125" s="1">
        <f t="shared" si="68"/>
        <v>122</v>
      </c>
      <c r="B125" s="1" t="s">
        <v>384</v>
      </c>
      <c r="C125" s="1" t="s">
        <v>385</v>
      </c>
      <c r="D125" s="1" t="s">
        <v>385</v>
      </c>
      <c r="E125" s="1">
        <f t="shared" si="84"/>
        <v>0</v>
      </c>
      <c r="K125" s="1">
        <v>2</v>
      </c>
      <c r="L125" s="1">
        <v>10</v>
      </c>
      <c r="N125" s="1" t="b">
        <v>1</v>
      </c>
      <c r="O125" s="1" t="b">
        <v>1</v>
      </c>
      <c r="P125" s="1" t="b">
        <v>1</v>
      </c>
      <c r="Q125" s="1" t="b">
        <v>1</v>
      </c>
      <c r="R125" s="1" t="b">
        <v>1</v>
      </c>
      <c r="S125" s="1" t="b">
        <v>1</v>
      </c>
      <c r="T125" s="1" t="b">
        <v>1</v>
      </c>
      <c r="V125" s="1">
        <v>1</v>
      </c>
      <c r="W125" s="1">
        <v>0.5</v>
      </c>
      <c r="X125" s="1">
        <v>0.34</v>
      </c>
      <c r="Y125" s="1">
        <v>0.5</v>
      </c>
      <c r="Z125" s="1" t="b">
        <f>FALSE</f>
        <v>0</v>
      </c>
      <c r="AA125" s="1" t="str">
        <f t="shared" si="88"/>
        <v/>
      </c>
      <c r="AB125" s="1" t="str">
        <f t="shared" si="89"/>
        <v/>
      </c>
      <c r="AC125" s="1">
        <f t="shared" si="85"/>
        <v>0</v>
      </c>
      <c r="AD125" s="1" t="str">
        <f t="shared" si="90"/>
        <v/>
      </c>
      <c r="AE125" s="1" t="str">
        <f t="shared" si="91"/>
        <v/>
      </c>
      <c r="AF125" s="1">
        <f t="shared" si="86"/>
        <v>0</v>
      </c>
      <c r="AG125" s="1">
        <f t="shared" si="97"/>
        <v>5</v>
      </c>
      <c r="AH125" s="1" t="str">
        <f t="shared" si="87"/>
        <v/>
      </c>
      <c r="AI125" s="1">
        <v>1</v>
      </c>
      <c r="AJ125" s="1">
        <f t="shared" si="125"/>
        <v>0</v>
      </c>
      <c r="AK125" s="1">
        <v>1</v>
      </c>
      <c r="AL125" s="1">
        <v>1</v>
      </c>
      <c r="AM125" s="1">
        <v>1</v>
      </c>
      <c r="AN125" s="1">
        <f t="shared" si="126"/>
        <v>0</v>
      </c>
      <c r="AO125" s="1">
        <v>1</v>
      </c>
      <c r="AP125" s="1">
        <v>1</v>
      </c>
      <c r="AQ125" s="1">
        <v>1</v>
      </c>
      <c r="AR125" s="1">
        <v>1</v>
      </c>
      <c r="AS125" s="1">
        <v>1</v>
      </c>
      <c r="AT125" s="1">
        <v>1</v>
      </c>
      <c r="AU125" s="1">
        <v>1</v>
      </c>
      <c r="AV125" s="1">
        <v>1</v>
      </c>
      <c r="AW125" s="1">
        <v>1</v>
      </c>
      <c r="AX125" s="1">
        <v>2</v>
      </c>
      <c r="AY125" s="1">
        <v>1</v>
      </c>
      <c r="AZ125" s="1">
        <v>1</v>
      </c>
      <c r="BA125" s="1">
        <v>1</v>
      </c>
      <c r="BB125" s="1">
        <v>1</v>
      </c>
      <c r="BC125" s="1">
        <v>1</v>
      </c>
      <c r="BD125" s="1">
        <v>2</v>
      </c>
      <c r="BE125" s="1">
        <v>1</v>
      </c>
      <c r="BF125" s="1">
        <v>1</v>
      </c>
      <c r="BG125" s="1">
        <f t="shared" si="127"/>
        <v>0</v>
      </c>
      <c r="BH125" s="1">
        <f t="shared" si="128"/>
        <v>0</v>
      </c>
      <c r="BI125" s="1">
        <v>2</v>
      </c>
      <c r="BJ125" s="1">
        <v>1</v>
      </c>
      <c r="BK125" s="1">
        <v>1</v>
      </c>
      <c r="BL125" s="1">
        <v>1</v>
      </c>
      <c r="BM125" s="1">
        <v>1</v>
      </c>
      <c r="BN125" s="1">
        <v>1</v>
      </c>
      <c r="BO125" s="1">
        <v>1</v>
      </c>
      <c r="BP125" s="1">
        <v>1</v>
      </c>
      <c r="BQ125" s="1">
        <f>IF(HRRVL,1,0)</f>
        <v>0</v>
      </c>
      <c r="BR125" s="1">
        <v>1</v>
      </c>
      <c r="BS125" s="1">
        <v>2</v>
      </c>
      <c r="BT125" s="1">
        <f t="shared" si="129"/>
        <v>0</v>
      </c>
      <c r="BU125" s="1">
        <f t="shared" si="130"/>
        <v>0</v>
      </c>
      <c r="BV125" s="1">
        <v>1</v>
      </c>
      <c r="BW125" s="1">
        <v>1</v>
      </c>
      <c r="BX125" s="1">
        <v>1</v>
      </c>
      <c r="BY125" s="1">
        <v>1</v>
      </c>
      <c r="BZ125" s="1">
        <v>1</v>
      </c>
      <c r="CA125" s="1">
        <v>1</v>
      </c>
      <c r="CB125" s="1">
        <v>1</v>
      </c>
      <c r="CC125" s="1">
        <v>1</v>
      </c>
      <c r="CD125" s="1">
        <v>1</v>
      </c>
      <c r="CE125" s="1">
        <v>1</v>
      </c>
      <c r="CF125" s="1">
        <v>1</v>
      </c>
      <c r="CG125" s="1">
        <f t="shared" si="131"/>
        <v>0</v>
      </c>
      <c r="CH125" s="1">
        <v>1</v>
      </c>
      <c r="CI125" s="1">
        <v>1</v>
      </c>
      <c r="CJ125" s="1">
        <v>1</v>
      </c>
      <c r="CK125" s="1">
        <v>1</v>
      </c>
      <c r="CL125" s="1">
        <v>1</v>
      </c>
      <c r="CM125" s="1">
        <v>1</v>
      </c>
      <c r="CN125" s="1">
        <v>1</v>
      </c>
      <c r="CO125" s="1">
        <v>1</v>
      </c>
      <c r="CP125" s="1">
        <v>2</v>
      </c>
      <c r="CQ125" s="1">
        <v>2</v>
      </c>
      <c r="CR125" s="1">
        <v>2</v>
      </c>
      <c r="CS125" s="1">
        <v>2</v>
      </c>
      <c r="CT125" s="1">
        <v>2</v>
      </c>
      <c r="CU125" s="1">
        <v>2</v>
      </c>
      <c r="CV125" s="1">
        <f t="shared" si="132"/>
        <v>0</v>
      </c>
      <c r="CW125" s="1">
        <v>2</v>
      </c>
      <c r="CX125" s="1">
        <v>1</v>
      </c>
      <c r="CY125" s="1">
        <v>1</v>
      </c>
      <c r="CZ125" s="1">
        <f t="shared" si="133"/>
        <v>0</v>
      </c>
      <c r="DA125" s="1">
        <v>1</v>
      </c>
      <c r="DB125" s="1">
        <v>1</v>
      </c>
      <c r="DC125" s="1">
        <v>1</v>
      </c>
      <c r="DD125" s="1">
        <v>1</v>
      </c>
      <c r="DE125" s="1">
        <v>1</v>
      </c>
      <c r="DF125" s="1">
        <v>1</v>
      </c>
      <c r="DG125" s="1">
        <v>1</v>
      </c>
      <c r="DH125" s="1">
        <v>1</v>
      </c>
      <c r="DI125" s="1">
        <f t="shared" si="134"/>
        <v>0</v>
      </c>
      <c r="DJ125" s="1">
        <v>1</v>
      </c>
      <c r="DK125" s="1" t="s">
        <v>124</v>
      </c>
      <c r="DL125" s="1" t="s">
        <v>40</v>
      </c>
      <c r="DQ125" s="1" t="b">
        <f>AlignmentLawful</f>
        <v>1</v>
      </c>
      <c r="DR125" s="1" t="b">
        <f>BaseAtk&gt;=8</f>
        <v>0</v>
      </c>
      <c r="DS125" s="1" t="b">
        <f>FtSpiritedCharge</f>
        <v>0</v>
      </c>
      <c r="DT125" s="1" t="b">
        <f>NOT(ISNA(MATCH("Lance",TblWeaponFocusFeat,0)))</f>
        <v>0</v>
      </c>
      <c r="DU125" s="1" t="b">
        <f>FtMountedCombat</f>
        <v>0</v>
      </c>
      <c r="DV125" s="1" t="b">
        <f>FtRideByAttack</f>
        <v>0</v>
      </c>
      <c r="DW125" s="1" t="b">
        <f>SkHandleAnimalRanks&gt;=4</f>
        <v>0</v>
      </c>
      <c r="DX125" s="1" t="b">
        <f>SkKnowledgeNobilityRanks&gt;=4</f>
        <v>0</v>
      </c>
      <c r="DY125" s="1" t="b">
        <f>SkRideRanks&gt;=6</f>
        <v>0</v>
      </c>
      <c r="EA125" s="1" t="b">
        <f t="shared" si="135"/>
        <v>0</v>
      </c>
      <c r="EB125" s="11" t="s">
        <v>334</v>
      </c>
      <c r="EC125" s="1" t="str">
        <f>IF(DQ125,"","• Your alignment must be lawful.
")&amp;IF(DR125,"","• A base attack bonus of +8 or higher.
")&amp;IF(DS125,"","• Spirited Charge feat.
")&amp;IF(DT125,"","• Weapon Focus(Lance) feat.
")&amp;IF(DU125,"","• Mounted Combat feat.
")&amp;IF(DV125,"","• Ride By Attack feat.
")&amp;IF(DW125,"","• 4 ranks in Handle Animal.
")&amp;IF(DX125,"","• 4 ranks in Knowledge(Nobility and Royalty).
")&amp;IF(DY125,"","• 6 ranks in Ride.")</f>
        <v>• A base attack bonus of +8 or higher.
• Spirited Charge feat.
• Weapon Focus(Lance) feat.
• Mounted Combat feat.
• Ride By Attack feat.
• 4 ranks in Handle Animal.
• 4 ranks in Knowledge(Nobility and Royalty).
• 6 ranks in Ride.</v>
      </c>
      <c r="ED125" s="11" t="s">
        <v>335</v>
      </c>
      <c r="EE125" s="8" t="s">
        <v>386</v>
      </c>
      <c r="EF125" s="9">
        <f>IF(ISNA($EF$145),99,CHOOSE($EF$145,1,4,7,10))</f>
        <v>99</v>
      </c>
      <c r="EG125" s="9" t="str">
        <f>IF($EI$125,LEFT(INDEX(TblBlackMagicOilStatBump,BlackMagicOilStatBump),3),"")</f>
        <v/>
      </c>
      <c r="EH125" s="9">
        <v>1</v>
      </c>
      <c r="EI125" s="9" t="b">
        <f t="shared" si="120"/>
        <v>0</v>
      </c>
      <c r="EJ125" s="9" t="str">
        <f t="shared" si="93"/>
        <v/>
      </c>
      <c r="EK125" s="9">
        <f>IF($EI125,MATCH($EJ125,TblClassN,0),99)</f>
        <v>99</v>
      </c>
      <c r="EL125" s="9">
        <f t="shared" si="124"/>
        <v>99</v>
      </c>
      <c r="EM125" s="9">
        <f t="shared" si="121"/>
        <v>99</v>
      </c>
      <c r="EN125" s="9">
        <f t="shared" si="95"/>
        <v>99</v>
      </c>
      <c r="EO125" s="10">
        <f t="shared" si="122"/>
        <v>0</v>
      </c>
    </row>
    <row r="126" spans="1:145" ht="11.25" customHeight="1" x14ac:dyDescent="0.2">
      <c r="A126" s="1">
        <f t="shared" si="68"/>
        <v>123</v>
      </c>
      <c r="B126" s="1" t="s">
        <v>387</v>
      </c>
      <c r="C126" s="1" t="s">
        <v>388</v>
      </c>
      <c r="D126" s="1" t="s">
        <v>388</v>
      </c>
      <c r="E126" s="1">
        <f t="shared" si="84"/>
        <v>0</v>
      </c>
      <c r="K126" s="1">
        <v>4</v>
      </c>
      <c r="L126" s="1">
        <v>8</v>
      </c>
      <c r="V126" s="1">
        <v>1</v>
      </c>
      <c r="W126" s="1">
        <v>0.34</v>
      </c>
      <c r="X126" s="1">
        <v>0.5</v>
      </c>
      <c r="Y126" s="1">
        <v>0.34</v>
      </c>
      <c r="Z126" s="1" t="b">
        <f>FALSE</f>
        <v>0</v>
      </c>
      <c r="AA126" s="1" t="str">
        <f t="shared" si="88"/>
        <v/>
      </c>
      <c r="AB126" s="1" t="str">
        <f t="shared" si="89"/>
        <v/>
      </c>
      <c r="AC126" s="1">
        <f t="shared" si="85"/>
        <v>0</v>
      </c>
      <c r="AD126" s="1" t="str">
        <f t="shared" si="90"/>
        <v/>
      </c>
      <c r="AE126" s="1" t="str">
        <f t="shared" si="91"/>
        <v/>
      </c>
      <c r="AF126" s="1">
        <f t="shared" si="86"/>
        <v>0</v>
      </c>
      <c r="AG126" s="1">
        <f t="shared" si="97"/>
        <v>5</v>
      </c>
      <c r="AH126" s="1" t="str">
        <f t="shared" si="87"/>
        <v/>
      </c>
      <c r="AI126" s="1">
        <v>1</v>
      </c>
      <c r="AJ126" s="1">
        <f t="shared" si="125"/>
        <v>0</v>
      </c>
      <c r="AK126" s="1">
        <v>1</v>
      </c>
      <c r="AL126" s="1">
        <v>1</v>
      </c>
      <c r="AM126" s="1">
        <v>2</v>
      </c>
      <c r="AN126" s="1">
        <f t="shared" si="126"/>
        <v>0</v>
      </c>
      <c r="AO126" s="1">
        <v>2</v>
      </c>
      <c r="AP126" s="1">
        <v>2</v>
      </c>
      <c r="AQ126" s="1">
        <v>2</v>
      </c>
      <c r="AR126" s="1">
        <v>2</v>
      </c>
      <c r="AS126" s="1">
        <v>2</v>
      </c>
      <c r="AT126" s="1">
        <v>2</v>
      </c>
      <c r="AU126" s="1">
        <v>2</v>
      </c>
      <c r="AV126" s="1">
        <v>2</v>
      </c>
      <c r="AW126" s="1">
        <v>1</v>
      </c>
      <c r="AX126" s="1">
        <v>1</v>
      </c>
      <c r="AY126" s="1">
        <v>2</v>
      </c>
      <c r="AZ126" s="1">
        <v>1</v>
      </c>
      <c r="BA126" s="1">
        <v>1</v>
      </c>
      <c r="BB126" s="1">
        <v>1</v>
      </c>
      <c r="BC126" s="1">
        <v>1</v>
      </c>
      <c r="BD126" s="1">
        <v>1</v>
      </c>
      <c r="BE126" s="1">
        <v>1</v>
      </c>
      <c r="BF126" s="1">
        <v>2</v>
      </c>
      <c r="BG126" s="1">
        <f t="shared" si="127"/>
        <v>0</v>
      </c>
      <c r="BH126" s="1">
        <f t="shared" si="128"/>
        <v>0</v>
      </c>
      <c r="BI126" s="1">
        <v>1</v>
      </c>
      <c r="BJ126" s="1">
        <v>1</v>
      </c>
      <c r="BK126" s="1">
        <v>1</v>
      </c>
      <c r="BL126" s="1">
        <v>1</v>
      </c>
      <c r="BM126" s="1">
        <v>2</v>
      </c>
      <c r="BN126" s="1">
        <v>1</v>
      </c>
      <c r="BO126" s="1">
        <v>1</v>
      </c>
      <c r="BP126" s="1">
        <v>1</v>
      </c>
      <c r="BQ126" s="1">
        <f>IF(HRRVL,1,0)</f>
        <v>0</v>
      </c>
      <c r="BR126" s="1">
        <v>1</v>
      </c>
      <c r="BS126" s="1">
        <v>1</v>
      </c>
      <c r="BT126" s="1">
        <f t="shared" si="129"/>
        <v>0</v>
      </c>
      <c r="BU126" s="1">
        <f t="shared" si="130"/>
        <v>0</v>
      </c>
      <c r="BV126" s="1">
        <v>1</v>
      </c>
      <c r="BW126" s="1">
        <v>1</v>
      </c>
      <c r="BX126" s="1">
        <v>1</v>
      </c>
      <c r="BY126" s="1">
        <v>1</v>
      </c>
      <c r="BZ126" s="1">
        <v>1</v>
      </c>
      <c r="CA126" s="1">
        <v>1</v>
      </c>
      <c r="CB126" s="1">
        <v>1</v>
      </c>
      <c r="CC126" s="1">
        <v>1</v>
      </c>
      <c r="CD126" s="1">
        <v>1</v>
      </c>
      <c r="CE126" s="1">
        <v>1</v>
      </c>
      <c r="CF126" s="1">
        <v>2</v>
      </c>
      <c r="CG126" s="1">
        <f t="shared" si="131"/>
        <v>0</v>
      </c>
      <c r="CH126" s="1">
        <v>2</v>
      </c>
      <c r="CI126" s="1">
        <v>1</v>
      </c>
      <c r="CJ126" s="1">
        <v>1</v>
      </c>
      <c r="CK126" s="1">
        <v>1</v>
      </c>
      <c r="CL126" s="1">
        <v>1</v>
      </c>
      <c r="CM126" s="1">
        <v>1</v>
      </c>
      <c r="CN126" s="1">
        <v>1</v>
      </c>
      <c r="CO126" s="1">
        <v>1</v>
      </c>
      <c r="CP126" s="1">
        <v>2</v>
      </c>
      <c r="CQ126" s="1">
        <v>2</v>
      </c>
      <c r="CR126" s="1">
        <v>2</v>
      </c>
      <c r="CS126" s="1">
        <v>2</v>
      </c>
      <c r="CT126" s="1">
        <v>2</v>
      </c>
      <c r="CU126" s="1">
        <v>2</v>
      </c>
      <c r="CV126" s="1">
        <f t="shared" si="132"/>
        <v>0</v>
      </c>
      <c r="CW126" s="1">
        <v>1</v>
      </c>
      <c r="CX126" s="1">
        <v>1</v>
      </c>
      <c r="CY126" s="1">
        <v>1</v>
      </c>
      <c r="CZ126" s="1">
        <f t="shared" si="133"/>
        <v>0</v>
      </c>
      <c r="DA126" s="1">
        <v>1</v>
      </c>
      <c r="DB126" s="1">
        <v>1</v>
      </c>
      <c r="DC126" s="1">
        <v>1</v>
      </c>
      <c r="DD126" s="1">
        <v>2</v>
      </c>
      <c r="DE126" s="1">
        <v>2</v>
      </c>
      <c r="DF126" s="1">
        <v>2</v>
      </c>
      <c r="DG126" s="1">
        <v>1</v>
      </c>
      <c r="DH126" s="1">
        <v>1</v>
      </c>
      <c r="DI126" s="1">
        <f t="shared" si="134"/>
        <v>0</v>
      </c>
      <c r="DJ126" s="1">
        <v>2</v>
      </c>
      <c r="DK126" s="1" t="s">
        <v>124</v>
      </c>
      <c r="DL126" s="1" t="s">
        <v>40</v>
      </c>
      <c r="DR126" s="1" t="b">
        <f>BaseAtk&gt;=5</f>
        <v>0</v>
      </c>
      <c r="DS126" s="1" t="b">
        <f>IF(NOT(ISNA(MATCH("Trapmaking",TblCraftSkills,0))),INDEX(TblCraftRanks,MATCH("Trapmaking",TblCraftSkills,0),1)&gt;=5,FALSE)</f>
        <v>0</v>
      </c>
      <c r="DT126" s="1" t="b">
        <f>SkKnowledgeDungeoneeringRanks&gt;=2</f>
        <v>0</v>
      </c>
      <c r="DU126" s="1" t="b">
        <f>SkMoveSilentlyRanks&gt;=2</f>
        <v>0</v>
      </c>
      <c r="DV126" s="1" t="b">
        <f>SkSurvivalRanks&gt;=2</f>
        <v>0</v>
      </c>
      <c r="DW126" s="1" t="b">
        <f>OR(FreeBlindFight,FtBlindFight)</f>
        <v>0</v>
      </c>
      <c r="DX126" s="1" t="b">
        <f>OR(FtTrack,FreeTrack)</f>
        <v>0</v>
      </c>
      <c r="EA126" s="1" t="b">
        <f t="shared" si="135"/>
        <v>0</v>
      </c>
      <c r="EB126" s="11" t="s">
        <v>334</v>
      </c>
      <c r="EC126" s="1" t="str">
        <f>IF(DR126,"","• A base attack bonus of +5 or higher.
")&amp;IF(DS126,"","• 5 ranks in Craft(trapmaking).
")&amp;IF(DT126,"","• 2 ranks in Knowledge(dungeoneering).
")&amp;IF(DU126,"","• 2 ranks in Move Silently.
")&amp;IF(DV126,"","• 2 ranks in Survival.
")&amp;IF(DW126,"","• Blind-Fight feat.
")&amp;IF(DX126,"","• Track feat.")</f>
        <v>• A base attack bonus of +5 or higher.
• 5 ranks in Craft(trapmaking).
• 2 ranks in Knowledge(dungeoneering).
• 2 ranks in Move Silently.
• 2 ranks in Survival.
• Blind-Fight feat.
• Track feat.</v>
      </c>
      <c r="ED126" s="11" t="s">
        <v>335</v>
      </c>
      <c r="EE126" s="8" t="s">
        <v>386</v>
      </c>
      <c r="EF126" s="9">
        <f>IF(ISNA($EF$146),99,CHOOSE($EF$146,3,6,9))</f>
        <v>99</v>
      </c>
      <c r="EG126" s="9" t="str">
        <f>IF($EI$126,LEFT(INDEX(TblBlackMagicElixirStatBump,BlackMagicElixirStatBump),3),"")</f>
        <v/>
      </c>
      <c r="EH126" s="9">
        <v>1</v>
      </c>
      <c r="EI126" s="9" t="b">
        <f t="shared" si="120"/>
        <v>0</v>
      </c>
      <c r="EJ126" s="9" t="str">
        <f t="shared" si="93"/>
        <v/>
      </c>
      <c r="EK126" s="9">
        <f>IF($EI126,MATCH($EJ126,TblClassN,0),99)</f>
        <v>99</v>
      </c>
      <c r="EL126" s="9">
        <f t="shared" si="124"/>
        <v>99</v>
      </c>
      <c r="EM126" s="9">
        <f t="shared" si="121"/>
        <v>99</v>
      </c>
      <c r="EN126" s="9">
        <f t="shared" si="95"/>
        <v>99</v>
      </c>
      <c r="EO126" s="10">
        <f t="shared" si="122"/>
        <v>0</v>
      </c>
    </row>
    <row r="127" spans="1:145" ht="11.25" customHeight="1" x14ac:dyDescent="0.2">
      <c r="A127" s="1">
        <f t="shared" si="68"/>
        <v>124</v>
      </c>
      <c r="B127" s="1" t="s">
        <v>389</v>
      </c>
      <c r="C127" s="1" t="s">
        <v>390</v>
      </c>
      <c r="D127" s="1" t="s">
        <v>390</v>
      </c>
      <c r="E127" s="1">
        <f t="shared" si="84"/>
        <v>0</v>
      </c>
      <c r="K127" s="1">
        <v>4</v>
      </c>
      <c r="L127" s="1">
        <v>8</v>
      </c>
      <c r="V127" s="1">
        <v>1</v>
      </c>
      <c r="W127" s="1">
        <v>0.5</v>
      </c>
      <c r="X127" s="1">
        <v>0.5</v>
      </c>
      <c r="Y127" s="1">
        <v>0.34</v>
      </c>
      <c r="Z127" s="1" t="b">
        <f>FALSE</f>
        <v>0</v>
      </c>
      <c r="AA127" s="1" t="str">
        <f t="shared" si="88"/>
        <v/>
      </c>
      <c r="AB127" s="1" t="str">
        <f t="shared" si="89"/>
        <v/>
      </c>
      <c r="AC127" s="1">
        <f t="shared" si="85"/>
        <v>0</v>
      </c>
      <c r="AD127" s="1" t="str">
        <f t="shared" si="90"/>
        <v/>
      </c>
      <c r="AE127" s="1" t="str">
        <f t="shared" si="91"/>
        <v/>
      </c>
      <c r="AF127" s="1">
        <f t="shared" si="86"/>
        <v>0</v>
      </c>
      <c r="AG127" s="1">
        <f t="shared" si="97"/>
        <v>5</v>
      </c>
      <c r="AH127" s="1" t="str">
        <f t="shared" si="87"/>
        <v/>
      </c>
      <c r="AI127" s="1">
        <v>1</v>
      </c>
      <c r="AJ127" s="1">
        <f t="shared" si="125"/>
        <v>0</v>
      </c>
      <c r="AK127" s="1">
        <v>1</v>
      </c>
      <c r="AL127" s="1">
        <v>1</v>
      </c>
      <c r="AM127" s="1">
        <v>2</v>
      </c>
      <c r="AN127" s="1">
        <f t="shared" si="126"/>
        <v>0</v>
      </c>
      <c r="AO127" s="1">
        <v>1</v>
      </c>
      <c r="AP127" s="1">
        <v>2</v>
      </c>
      <c r="AQ127" s="1">
        <v>2</v>
      </c>
      <c r="AR127" s="1">
        <v>2</v>
      </c>
      <c r="AS127" s="1">
        <v>2</v>
      </c>
      <c r="AT127" s="1">
        <v>2</v>
      </c>
      <c r="AU127" s="1">
        <v>2</v>
      </c>
      <c r="AV127" s="1">
        <v>2</v>
      </c>
      <c r="AW127" s="1">
        <v>1</v>
      </c>
      <c r="AX127" s="1">
        <v>1</v>
      </c>
      <c r="AY127" s="1">
        <v>1</v>
      </c>
      <c r="AZ127" s="1">
        <v>1</v>
      </c>
      <c r="BA127" s="1">
        <v>1</v>
      </c>
      <c r="BB127" s="1">
        <v>1</v>
      </c>
      <c r="BC127" s="1">
        <v>1</v>
      </c>
      <c r="BD127" s="1">
        <v>1</v>
      </c>
      <c r="BE127" s="1">
        <v>2</v>
      </c>
      <c r="BF127" s="1">
        <v>2</v>
      </c>
      <c r="BG127" s="1">
        <f t="shared" si="127"/>
        <v>0</v>
      </c>
      <c r="BH127" s="1">
        <f t="shared" si="128"/>
        <v>0</v>
      </c>
      <c r="BI127" s="1">
        <v>1</v>
      </c>
      <c r="BJ127" s="1">
        <v>2</v>
      </c>
      <c r="BK127" s="1">
        <v>1</v>
      </c>
      <c r="BL127" s="1">
        <v>1</v>
      </c>
      <c r="BM127" s="1">
        <v>1</v>
      </c>
      <c r="BN127" s="1">
        <v>1</v>
      </c>
      <c r="BO127" s="1">
        <v>1</v>
      </c>
      <c r="BP127" s="1">
        <v>1</v>
      </c>
      <c r="BQ127" s="1">
        <f>IF(HRRVL,2,0)</f>
        <v>0</v>
      </c>
      <c r="BR127" s="1">
        <v>2</v>
      </c>
      <c r="BS127" s="1">
        <v>1</v>
      </c>
      <c r="BT127" s="1">
        <f t="shared" si="129"/>
        <v>0</v>
      </c>
      <c r="BU127" s="1">
        <f t="shared" si="130"/>
        <v>0</v>
      </c>
      <c r="BV127" s="1">
        <v>1</v>
      </c>
      <c r="BW127" s="1">
        <v>1</v>
      </c>
      <c r="BX127" s="1">
        <v>1</v>
      </c>
      <c r="BY127" s="1">
        <v>1</v>
      </c>
      <c r="BZ127" s="1">
        <v>1</v>
      </c>
      <c r="CA127" s="1">
        <v>1</v>
      </c>
      <c r="CB127" s="1">
        <v>1</v>
      </c>
      <c r="CC127" s="1">
        <v>1</v>
      </c>
      <c r="CD127" s="1">
        <v>1</v>
      </c>
      <c r="CE127" s="1">
        <v>1</v>
      </c>
      <c r="CF127" s="1">
        <v>2</v>
      </c>
      <c r="CG127" s="1">
        <f t="shared" si="131"/>
        <v>0</v>
      </c>
      <c r="CH127" s="1">
        <v>2</v>
      </c>
      <c r="CI127" s="1">
        <v>1</v>
      </c>
      <c r="CJ127" s="1">
        <v>1</v>
      </c>
      <c r="CK127" s="1">
        <v>1</v>
      </c>
      <c r="CL127" s="1">
        <v>1</v>
      </c>
      <c r="CM127" s="1">
        <v>1</v>
      </c>
      <c r="CN127" s="1">
        <v>1</v>
      </c>
      <c r="CO127" s="1">
        <v>1</v>
      </c>
      <c r="CP127" s="1">
        <v>2</v>
      </c>
      <c r="CQ127" s="1">
        <v>2</v>
      </c>
      <c r="CR127" s="1">
        <v>2</v>
      </c>
      <c r="CS127" s="1">
        <v>2</v>
      </c>
      <c r="CT127" s="1">
        <v>2</v>
      </c>
      <c r="CU127" s="1">
        <v>2</v>
      </c>
      <c r="CV127" s="1">
        <f t="shared" si="132"/>
        <v>0</v>
      </c>
      <c r="CW127" s="1">
        <v>2</v>
      </c>
      <c r="CX127" s="1">
        <v>2</v>
      </c>
      <c r="CY127" s="1">
        <v>1</v>
      </c>
      <c r="CZ127" s="1">
        <f t="shared" si="133"/>
        <v>0</v>
      </c>
      <c r="DA127" s="1">
        <v>1</v>
      </c>
      <c r="DB127" s="1">
        <v>1</v>
      </c>
      <c r="DC127" s="1">
        <v>1</v>
      </c>
      <c r="DD127" s="1">
        <v>2</v>
      </c>
      <c r="DE127" s="1">
        <v>2</v>
      </c>
      <c r="DF127" s="1">
        <v>2</v>
      </c>
      <c r="DG127" s="1">
        <v>1</v>
      </c>
      <c r="DH127" s="1">
        <v>1</v>
      </c>
      <c r="DI127" s="1">
        <f t="shared" si="134"/>
        <v>0</v>
      </c>
      <c r="DJ127" s="1">
        <v>2</v>
      </c>
      <c r="DK127" s="1" t="s">
        <v>124</v>
      </c>
      <c r="DL127" s="1" t="s">
        <v>40</v>
      </c>
      <c r="DP127" s="1" t="b">
        <f>OR(RaceCi="Elf",RaceCi="Half-elf")</f>
        <v>0</v>
      </c>
      <c r="DQ127" s="1" t="b">
        <f>BaseAtk&gt;=5</f>
        <v>0</v>
      </c>
      <c r="DR127" s="1" t="b">
        <f>SkHideRanks&gt;=5</f>
        <v>0</v>
      </c>
      <c r="DS127" s="1" t="b">
        <f>SkListenRanks&gt;=5</f>
        <v>0</v>
      </c>
      <c r="DT127" s="1" t="b">
        <f>SkMoveSilentlyRanks&gt;=5</f>
        <v>0</v>
      </c>
      <c r="DU127" s="1" t="b">
        <f>NOT(ISNA(MATCH("Orc",TblLangKnown,0)))</f>
        <v>0</v>
      </c>
      <c r="DV127" s="1" t="b">
        <f>SkSpotRanks&gt;=5</f>
        <v>0</v>
      </c>
      <c r="DW127" s="1" t="b">
        <f>SkSurvivalRanks&gt;=5</f>
        <v>0</v>
      </c>
      <c r="DX127" s="1" t="b">
        <f>FtDodgeEquiv</f>
        <v>0</v>
      </c>
      <c r="DY127" s="1" t="b">
        <f>OR(FreeTrack,FtTrack)</f>
        <v>0</v>
      </c>
      <c r="EA127" s="1" t="b">
        <f t="shared" si="135"/>
        <v>0</v>
      </c>
      <c r="EB127" s="11" t="s">
        <v>334</v>
      </c>
      <c r="EC127" s="1" t="str">
        <f>IF(DP127,"","• Elf or half-elf
")&amp;IF(DQ127,"","• A base attack bonus of +5 or higher.
")&amp;IF(DR127,"","• 5 ranks in Hide.
")&amp;IF(DS127,"","• 5 ranks in Listen.
")&amp;IF(DT127,"","• 5 ranks in Move Silently.
")&amp;IF(DU127,"","• Ability to speak Orc.
")&amp;IF(DV127,"","• 5 ranks in Spot.
")&amp;IF(DW127,"","• 5 ranks in Survival.
")&amp;IF(DX127,"","• Dodge feat.
")&amp;IF(DY127,"","• Track feat.")</f>
        <v>• Elf or half-elf
• A base attack bonus of +5 or higher.
• 5 ranks in Hide.
• 5 ranks in Listen.
• 5 ranks in Move Silently.
• Ability to speak Orc.
• 5 ranks in Spot.
• 5 ranks in Survival.
• Dodge feat.
• Track feat.</v>
      </c>
      <c r="ED127" s="11" t="s">
        <v>335</v>
      </c>
      <c r="EE127" s="12" t="s">
        <v>391</v>
      </c>
      <c r="EF127" s="13">
        <v>6</v>
      </c>
      <c r="EG127" s="13" t="str">
        <f>IF(OR(ShifterTrait1Idx=5,ShifterTrait1Idx=7,ShifterTrait1Idx=8),"Str",IF(OR(ShifterTrait1Idx=3,ShifterTrait1Idx=6,ShifterTrait1Idx=9),"Dex",IF(OR(ShifterTrait1Idx=2,ShifterTrait1Idx=10,ShifterTrait1Idx=11),"Con","")))</f>
        <v/>
      </c>
      <c r="EH127" s="13">
        <v>2</v>
      </c>
      <c r="EI127" s="13" t="b">
        <f t="shared" si="120"/>
        <v>0</v>
      </c>
      <c r="EJ127" s="9" t="str">
        <f t="shared" si="93"/>
        <v/>
      </c>
      <c r="EK127" s="9">
        <f>IF($EI127,MATCH($EJ127,TblClassN,0),99)</f>
        <v>99</v>
      </c>
      <c r="EL127" s="9">
        <f t="shared" si="124"/>
        <v>99</v>
      </c>
      <c r="EM127" s="9">
        <f t="shared" si="121"/>
        <v>99</v>
      </c>
      <c r="EN127" s="9">
        <f t="shared" si="95"/>
        <v>99</v>
      </c>
      <c r="EO127" s="10">
        <f t="shared" si="122"/>
        <v>0</v>
      </c>
    </row>
    <row r="128" spans="1:145" ht="11.25" customHeight="1" x14ac:dyDescent="0.2">
      <c r="A128" s="1">
        <f t="shared" si="68"/>
        <v>125</v>
      </c>
      <c r="B128" s="1" t="s">
        <v>392</v>
      </c>
      <c r="C128" s="1" t="s">
        <v>393</v>
      </c>
      <c r="D128" s="1" t="s">
        <v>394</v>
      </c>
      <c r="E128" s="1">
        <f t="shared" si="84"/>
        <v>0</v>
      </c>
      <c r="K128" s="1">
        <v>4</v>
      </c>
      <c r="L128" s="1">
        <v>10</v>
      </c>
      <c r="V128" s="1">
        <v>1</v>
      </c>
      <c r="W128" s="1">
        <v>0.34</v>
      </c>
      <c r="X128" s="1">
        <v>0.5</v>
      </c>
      <c r="Y128" s="1">
        <v>0.5</v>
      </c>
      <c r="Z128" s="1" t="b">
        <f>FALSE</f>
        <v>0</v>
      </c>
      <c r="AA128" s="1" t="str">
        <f t="shared" si="88"/>
        <v/>
      </c>
      <c r="AB128" s="1" t="str">
        <f t="shared" si="89"/>
        <v/>
      </c>
      <c r="AC128" s="1">
        <f t="shared" si="85"/>
        <v>0</v>
      </c>
      <c r="AD128" s="1" t="str">
        <f t="shared" si="90"/>
        <v/>
      </c>
      <c r="AE128" s="1" t="str">
        <f t="shared" si="91"/>
        <v/>
      </c>
      <c r="AF128" s="1">
        <f t="shared" si="86"/>
        <v>0</v>
      </c>
      <c r="AG128" s="1">
        <f t="shared" si="97"/>
        <v>5</v>
      </c>
      <c r="AH128" s="1" t="str">
        <f t="shared" si="87"/>
        <v/>
      </c>
      <c r="AI128" s="1">
        <v>1</v>
      </c>
      <c r="AJ128" s="1">
        <f t="shared" si="125"/>
        <v>0</v>
      </c>
      <c r="AK128" s="1">
        <v>2</v>
      </c>
      <c r="AL128" s="1">
        <v>1</v>
      </c>
      <c r="AM128" s="1">
        <v>1</v>
      </c>
      <c r="AN128" s="1">
        <f t="shared" si="126"/>
        <v>0</v>
      </c>
      <c r="AO128" s="1">
        <v>1</v>
      </c>
      <c r="AP128" s="1">
        <v>2</v>
      </c>
      <c r="AQ128" s="1">
        <v>2</v>
      </c>
      <c r="AR128" s="1">
        <v>2</v>
      </c>
      <c r="AS128" s="1">
        <v>2</v>
      </c>
      <c r="AT128" s="1">
        <v>2</v>
      </c>
      <c r="AU128" s="1">
        <v>2</v>
      </c>
      <c r="AV128" s="1">
        <v>2</v>
      </c>
      <c r="AW128" s="1">
        <v>1</v>
      </c>
      <c r="AX128" s="1">
        <v>1</v>
      </c>
      <c r="AY128" s="1">
        <v>1</v>
      </c>
      <c r="AZ128" s="1">
        <v>1</v>
      </c>
      <c r="BA128" s="1">
        <v>2</v>
      </c>
      <c r="BB128" s="1">
        <v>1</v>
      </c>
      <c r="BC128" s="1">
        <v>1</v>
      </c>
      <c r="BD128" s="1">
        <v>1</v>
      </c>
      <c r="BE128" s="1">
        <v>1</v>
      </c>
      <c r="BF128" s="1">
        <v>1</v>
      </c>
      <c r="BG128" s="1">
        <f t="shared" si="127"/>
        <v>0</v>
      </c>
      <c r="BH128" s="1">
        <f t="shared" si="128"/>
        <v>0</v>
      </c>
      <c r="BI128" s="1">
        <v>1</v>
      </c>
      <c r="BJ128" s="1">
        <v>2</v>
      </c>
      <c r="BK128" s="1">
        <v>1</v>
      </c>
      <c r="BL128" s="1">
        <v>1</v>
      </c>
      <c r="BM128" s="1">
        <v>1</v>
      </c>
      <c r="BN128" s="1">
        <v>1</v>
      </c>
      <c r="BO128" s="1">
        <v>1</v>
      </c>
      <c r="BP128" s="1">
        <v>1</v>
      </c>
      <c r="BQ128" s="1">
        <f t="shared" ref="BQ128:BQ137" si="136">IF(HRRVL,1,0)</f>
        <v>0</v>
      </c>
      <c r="BR128" s="1">
        <v>1</v>
      </c>
      <c r="BS128" s="1">
        <v>1</v>
      </c>
      <c r="BT128" s="1">
        <f t="shared" si="129"/>
        <v>0</v>
      </c>
      <c r="BU128" s="1">
        <f t="shared" si="130"/>
        <v>0</v>
      </c>
      <c r="BV128" s="1">
        <v>1</v>
      </c>
      <c r="BW128" s="1">
        <v>1</v>
      </c>
      <c r="BX128" s="1">
        <v>1</v>
      </c>
      <c r="BY128" s="1">
        <v>1</v>
      </c>
      <c r="BZ128" s="1">
        <v>1</v>
      </c>
      <c r="CA128" s="1">
        <v>1</v>
      </c>
      <c r="CB128" s="1">
        <v>1</v>
      </c>
      <c r="CC128" s="1">
        <v>1</v>
      </c>
      <c r="CD128" s="1">
        <v>1</v>
      </c>
      <c r="CE128" s="1">
        <v>1</v>
      </c>
      <c r="CF128" s="1">
        <v>2</v>
      </c>
      <c r="CG128" s="1">
        <f t="shared" si="131"/>
        <v>0</v>
      </c>
      <c r="CH128" s="1">
        <v>1</v>
      </c>
      <c r="CI128" s="1">
        <v>1</v>
      </c>
      <c r="CJ128" s="1">
        <v>2</v>
      </c>
      <c r="CK128" s="1">
        <v>2</v>
      </c>
      <c r="CL128" s="1">
        <v>2</v>
      </c>
      <c r="CM128" s="1">
        <v>2</v>
      </c>
      <c r="CN128" s="1">
        <v>2</v>
      </c>
      <c r="CO128" s="1">
        <v>2</v>
      </c>
      <c r="CP128" s="1">
        <v>2</v>
      </c>
      <c r="CQ128" s="1">
        <v>2</v>
      </c>
      <c r="CR128" s="1">
        <v>2</v>
      </c>
      <c r="CS128" s="1">
        <v>2</v>
      </c>
      <c r="CT128" s="1">
        <v>2</v>
      </c>
      <c r="CU128" s="1">
        <v>2</v>
      </c>
      <c r="CV128" s="1">
        <f t="shared" si="132"/>
        <v>0</v>
      </c>
      <c r="CW128" s="1">
        <v>1</v>
      </c>
      <c r="CX128" s="1">
        <v>1</v>
      </c>
      <c r="CY128" s="1">
        <v>1</v>
      </c>
      <c r="CZ128" s="1">
        <f t="shared" si="133"/>
        <v>0</v>
      </c>
      <c r="DA128" s="1">
        <v>1</v>
      </c>
      <c r="DB128" s="1">
        <v>1</v>
      </c>
      <c r="DC128" s="1">
        <v>1</v>
      </c>
      <c r="DD128" s="1">
        <v>1</v>
      </c>
      <c r="DE128" s="1">
        <v>1</v>
      </c>
      <c r="DF128" s="1">
        <v>2</v>
      </c>
      <c r="DG128" s="1">
        <v>2</v>
      </c>
      <c r="DH128" s="1">
        <v>1</v>
      </c>
      <c r="DI128" s="1">
        <f t="shared" si="134"/>
        <v>0</v>
      </c>
      <c r="DJ128" s="1">
        <v>1</v>
      </c>
      <c r="DK128" s="1" t="s">
        <v>124</v>
      </c>
      <c r="DL128" s="1" t="s">
        <v>40</v>
      </c>
      <c r="DR128" s="1" t="b">
        <f>BaseAtk&gt;=5</f>
        <v>0</v>
      </c>
      <c r="DS128" s="1" t="b">
        <f>IF(NOT(ISNA(MATCH("Dance",TblPerformSkills,0))),INDEX(TblPerformRanks,MATCH("Dance",TblPerformSkills,0),1)&gt;=3,FALSE)</f>
        <v>0</v>
      </c>
      <c r="DT128" s="1" t="b">
        <f>SkTumbleRanks&gt;=3</f>
        <v>0</v>
      </c>
      <c r="DU128" s="1" t="b">
        <f>OR(FreeCombatExpertise,FtCombatExpertise)</f>
        <v>0</v>
      </c>
      <c r="DV128" s="1" t="b">
        <f>FtDodgeEquiv</f>
        <v>0</v>
      </c>
      <c r="DW128" s="1" t="b">
        <f>FtMobility</f>
        <v>0</v>
      </c>
      <c r="DX128" s="1" t="b">
        <f>OR(AND(FreeWeaponFocus,IF(NOT(ISNA(VLOOKUP(WeaponFocusFree1,TblWeaponInfo,11))),NOT(ISERR(SEARCH("S",VLOOKUP(WeaponFocusFree1,TblWeaponInfo,11)))),FALSE)),AND(FreeWeaponFocus,IF(NOT(ISNA(VLOOKUP(WeaponFocusFree2,TblWeaponInfo,11))),NOT(ISERR(SEARCH("S",VLOOKUP(WeaponFocusFree2,TblWeaponInfo,11)))),FALSE)),IF(NOT(ISNA(VLOOKUP(WeaponFocus1,TblWeaponInfo,11))),NOT(ISERR(SEARCH("S",VLOOKUP(WeaponFocus1,TblWeaponInfo,11)))),FALSE),IF(NOT(ISNA(VLOOKUP(WeaponFocus2,TblWeaponInfo,11))),NOT(ISERR(SEARCH("S",VLOOKUP(WeaponFocus2,TblWeaponInfo,11)))),FALSE),IF(NOT(ISNA(VLOOKUP(WeaponFocus3,TblWeaponInfo,11))),NOT(ISERR(SEARCH("S",VLOOKUP(WeaponFocus3,TblWeaponInfo,11)))),FALSE))</f>
        <v>0</v>
      </c>
      <c r="EA128" s="1" t="b">
        <f t="shared" si="135"/>
        <v>0</v>
      </c>
      <c r="EB128" s="11" t="s">
        <v>334</v>
      </c>
      <c r="EC128" s="1" t="str">
        <f>IF(DR128,"","• A base attack bonus of +5 or higher.
")&amp;IF(DS128,"","• 3 ranks in Perform(dance).
")&amp;IF(DT128,"","• 3 ranks in Tumble.
")&amp;IF(DU128,"","• Combat Expertise feat.
")&amp;IF(DV128,"","• Dodge feat.
")&amp;IF(DW128,"","• Mobility feat.
")&amp;IF(DX128,"","• Weapon Focus (Any slashing melee weapon.")</f>
        <v>• A base attack bonus of +5 or higher.
• 3 ranks in Perform(dance).
• 3 ranks in Tumble.
• Combat Expertise feat.
• Dodge feat.
• Mobility feat.
• Weapon Focus (Any slashing melee weapon.</v>
      </c>
      <c r="ED128" s="11" t="s">
        <v>335</v>
      </c>
      <c r="EE128" s="12" t="s">
        <v>62</v>
      </c>
      <c r="EF128" s="13">
        <v>2</v>
      </c>
      <c r="EG128" s="13" t="s">
        <v>129</v>
      </c>
      <c r="EH128" s="13">
        <f>IF(RslKoFtr2,2,0)</f>
        <v>0</v>
      </c>
      <c r="EI128" s="13" t="b">
        <f>AND((INDEX(TblClasses,MATCH($EE128,TblTLAList,0),ClassInfoLevelColumn)&gt;=$EF128),RslKoFtr2)</f>
        <v>0</v>
      </c>
      <c r="EJ128" s="9" t="str">
        <f t="shared" si="93"/>
        <v/>
      </c>
      <c r="EK128" s="9">
        <f>IF($EI128,MATCH($EJ128,TblClassN,0),99)</f>
        <v>99</v>
      </c>
      <c r="EL128" s="9">
        <f t="shared" si="124"/>
        <v>99</v>
      </c>
      <c r="EM128" s="9">
        <f t="shared" si="121"/>
        <v>99</v>
      </c>
      <c r="EN128" s="9">
        <f t="shared" si="95"/>
        <v>99</v>
      </c>
      <c r="EO128" s="10">
        <f t="shared" si="122"/>
        <v>0</v>
      </c>
    </row>
    <row r="129" spans="1:145" ht="11.25" customHeight="1" x14ac:dyDescent="0.2">
      <c r="A129" s="1">
        <f t="shared" si="68"/>
        <v>126</v>
      </c>
      <c r="B129" s="1" t="s">
        <v>395</v>
      </c>
      <c r="C129" s="1" t="s">
        <v>396</v>
      </c>
      <c r="D129" s="1" t="s">
        <v>286</v>
      </c>
      <c r="E129" s="1">
        <f t="shared" si="84"/>
        <v>0</v>
      </c>
      <c r="K129" s="1">
        <v>4</v>
      </c>
      <c r="L129" s="1">
        <v>8</v>
      </c>
      <c r="V129" s="1">
        <v>0.75</v>
      </c>
      <c r="W129" s="1">
        <v>0.5</v>
      </c>
      <c r="X129" s="1">
        <v>0.5</v>
      </c>
      <c r="Y129" s="1">
        <v>0.34</v>
      </c>
      <c r="Z129" s="1" t="b">
        <f>FALSE</f>
        <v>0</v>
      </c>
      <c r="AA129" s="1" t="str">
        <f t="shared" si="88"/>
        <v/>
      </c>
      <c r="AB129" s="1" t="str">
        <f t="shared" si="89"/>
        <v/>
      </c>
      <c r="AC129" s="1">
        <f t="shared" si="85"/>
        <v>0</v>
      </c>
      <c r="AD129" s="1" t="str">
        <f t="shared" si="90"/>
        <v/>
      </c>
      <c r="AE129" s="1" t="str">
        <f t="shared" si="91"/>
        <v/>
      </c>
      <c r="AF129" s="1">
        <f t="shared" si="86"/>
        <v>0</v>
      </c>
      <c r="AG129" s="1">
        <f t="shared" si="97"/>
        <v>5</v>
      </c>
      <c r="AH129" s="1" t="str">
        <f t="shared" si="87"/>
        <v/>
      </c>
      <c r="AI129" s="1">
        <v>1</v>
      </c>
      <c r="AJ129" s="1">
        <f t="shared" si="125"/>
        <v>0</v>
      </c>
      <c r="AK129" s="1">
        <v>2</v>
      </c>
      <c r="AL129" s="1">
        <v>2</v>
      </c>
      <c r="AM129" s="1">
        <v>2</v>
      </c>
      <c r="AN129" s="1">
        <f t="shared" si="126"/>
        <v>0</v>
      </c>
      <c r="AO129" s="1">
        <v>1</v>
      </c>
      <c r="AP129" s="1">
        <v>2</v>
      </c>
      <c r="AQ129" s="1">
        <v>2</v>
      </c>
      <c r="AR129" s="1">
        <v>2</v>
      </c>
      <c r="AS129" s="1">
        <v>2</v>
      </c>
      <c r="AT129" s="1">
        <v>2</v>
      </c>
      <c r="AU129" s="1">
        <v>2</v>
      </c>
      <c r="AV129" s="1">
        <v>2</v>
      </c>
      <c r="AW129" s="1">
        <v>1</v>
      </c>
      <c r="AX129" s="1">
        <v>1</v>
      </c>
      <c r="AY129" s="1">
        <v>1</v>
      </c>
      <c r="AZ129" s="1">
        <v>1</v>
      </c>
      <c r="BA129" s="1">
        <v>2</v>
      </c>
      <c r="BB129" s="1">
        <v>1</v>
      </c>
      <c r="BC129" s="1">
        <v>1</v>
      </c>
      <c r="BD129" s="1">
        <v>1</v>
      </c>
      <c r="BE129" s="1">
        <v>1</v>
      </c>
      <c r="BF129" s="1">
        <v>2</v>
      </c>
      <c r="BG129" s="1">
        <f t="shared" si="127"/>
        <v>0</v>
      </c>
      <c r="BH129" s="1">
        <f t="shared" si="128"/>
        <v>0</v>
      </c>
      <c r="BI129" s="1">
        <v>1</v>
      </c>
      <c r="BJ129" s="1">
        <v>2</v>
      </c>
      <c r="BK129" s="1">
        <v>1</v>
      </c>
      <c r="BL129" s="1">
        <v>1</v>
      </c>
      <c r="BM129" s="1">
        <v>1</v>
      </c>
      <c r="BN129" s="1">
        <v>1</v>
      </c>
      <c r="BO129" s="1">
        <v>1</v>
      </c>
      <c r="BP129" s="1">
        <v>1</v>
      </c>
      <c r="BQ129" s="1">
        <f t="shared" si="136"/>
        <v>0</v>
      </c>
      <c r="BR129" s="1">
        <v>1</v>
      </c>
      <c r="BS129" s="1">
        <v>1</v>
      </c>
      <c r="BT129" s="1">
        <f t="shared" si="129"/>
        <v>0</v>
      </c>
      <c r="BU129" s="1">
        <f t="shared" si="130"/>
        <v>0</v>
      </c>
      <c r="BV129" s="1">
        <v>1</v>
      </c>
      <c r="BW129" s="1">
        <v>1</v>
      </c>
      <c r="BX129" s="1">
        <v>1</v>
      </c>
      <c r="BY129" s="1">
        <v>1</v>
      </c>
      <c r="BZ129" s="1">
        <v>1</v>
      </c>
      <c r="CA129" s="1">
        <v>1</v>
      </c>
      <c r="CB129" s="1">
        <v>1</v>
      </c>
      <c r="CC129" s="1">
        <v>1</v>
      </c>
      <c r="CD129" s="1">
        <v>1</v>
      </c>
      <c r="CE129" s="1">
        <v>1</v>
      </c>
      <c r="CF129" s="1">
        <v>2</v>
      </c>
      <c r="CG129" s="1">
        <f t="shared" si="131"/>
        <v>0</v>
      </c>
      <c r="CH129" s="1">
        <v>2</v>
      </c>
      <c r="CI129" s="1">
        <v>1</v>
      </c>
      <c r="CJ129" s="1">
        <v>2</v>
      </c>
      <c r="CK129" s="1">
        <v>2</v>
      </c>
      <c r="CL129" s="1">
        <v>2</v>
      </c>
      <c r="CM129" s="1">
        <v>2</v>
      </c>
      <c r="CN129" s="1">
        <v>2</v>
      </c>
      <c r="CO129" s="1">
        <v>2</v>
      </c>
      <c r="CP129" s="1">
        <v>2</v>
      </c>
      <c r="CQ129" s="1">
        <v>2</v>
      </c>
      <c r="CR129" s="1">
        <v>2</v>
      </c>
      <c r="CS129" s="1">
        <v>2</v>
      </c>
      <c r="CT129" s="1">
        <v>2</v>
      </c>
      <c r="CU129" s="1">
        <v>2</v>
      </c>
      <c r="CV129" s="1">
        <f t="shared" si="132"/>
        <v>0</v>
      </c>
      <c r="CW129" s="1">
        <v>1</v>
      </c>
      <c r="CX129" s="1">
        <v>1</v>
      </c>
      <c r="CY129" s="1">
        <v>1</v>
      </c>
      <c r="CZ129" s="1">
        <f t="shared" si="133"/>
        <v>0</v>
      </c>
      <c r="DA129" s="1">
        <v>1</v>
      </c>
      <c r="DB129" s="1">
        <v>1</v>
      </c>
      <c r="DC129" s="1">
        <v>1</v>
      </c>
      <c r="DD129" s="1">
        <v>1</v>
      </c>
      <c r="DE129" s="1">
        <v>1</v>
      </c>
      <c r="DF129" s="1">
        <v>2</v>
      </c>
      <c r="DG129" s="1">
        <v>2</v>
      </c>
      <c r="DH129" s="1">
        <v>1</v>
      </c>
      <c r="DI129" s="1">
        <f t="shared" si="134"/>
        <v>0</v>
      </c>
      <c r="DJ129" s="1">
        <v>1</v>
      </c>
      <c r="DK129" s="1" t="s">
        <v>124</v>
      </c>
      <c r="DL129" s="1" t="s">
        <v>101</v>
      </c>
      <c r="DS129" s="1" t="b">
        <f>OR(FreeImprovedUnarmedStrike,FtImprovedUnarmed)</f>
        <v>0</v>
      </c>
      <c r="DT129" s="1" t="b">
        <f>OR(FreeGreatFortitude,FtGreatFortitude)</f>
        <v>0</v>
      </c>
      <c r="DU129" s="1" t="b">
        <f>FtDodgeEquiv</f>
        <v>0</v>
      </c>
      <c r="DV129" s="1" t="b">
        <f>SkTumbleRanks&gt;=8</f>
        <v>0</v>
      </c>
      <c r="DW129" s="1" t="b">
        <f>hasEvasion</f>
        <v>0</v>
      </c>
      <c r="EA129" s="1" t="b">
        <f t="shared" si="135"/>
        <v>0</v>
      </c>
      <c r="EB129" s="11" t="s">
        <v>338</v>
      </c>
      <c r="EC129" s="1" t="str">
        <f>IF(DS129,"","• Improved Unarmed Strike.
")&amp;IF(DT129,"","• Great Fortitude feat.
")&amp;IF(DU129,"","• Dodge feat.
")&amp;IF(DV129,"","• 8 ranks in Tumble.
")&amp;IF(DW129,"","• Evasion Ability.
")&amp;"• Must be chosen, and survive night of revelry (not verified)."</f>
        <v>• Improved Unarmed Strike.
• Great Fortitude feat.
• Dodge feat.
• 8 ranks in Tumble.
• Evasion Ability.
• Must be chosen, and survive night of revelry (not verified).</v>
      </c>
      <c r="ED129" s="11" t="s">
        <v>335</v>
      </c>
      <c r="EE129" s="12" t="s">
        <v>62</v>
      </c>
      <c r="EF129" s="13">
        <v>4</v>
      </c>
      <c r="EG129" s="13" t="s">
        <v>134</v>
      </c>
      <c r="EH129" s="13">
        <f>IF(RslKoFtr4,2,0)</f>
        <v>0</v>
      </c>
      <c r="EI129" s="13" t="b">
        <f>AND((INDEX(TblClasses,MATCH($EE129,TblTLAList,0),ClassInfoLevelColumn)&gt;=$EF129),RslKoFtr4)</f>
        <v>0</v>
      </c>
      <c r="EJ129" s="9" t="str">
        <f t="shared" si="93"/>
        <v/>
      </c>
      <c r="EK129" s="9">
        <f>IF($EI129,MATCH($EJ129,TblClassN,0),99)</f>
        <v>99</v>
      </c>
      <c r="EL129" s="9">
        <f t="shared" si="124"/>
        <v>99</v>
      </c>
      <c r="EM129" s="9">
        <f t="shared" si="121"/>
        <v>99</v>
      </c>
      <c r="EN129" s="9">
        <f t="shared" si="95"/>
        <v>99</v>
      </c>
      <c r="EO129" s="10">
        <f t="shared" si="122"/>
        <v>0</v>
      </c>
    </row>
    <row r="130" spans="1:145" ht="11.25" customHeight="1" x14ac:dyDescent="0.2">
      <c r="A130" s="1">
        <f t="shared" si="68"/>
        <v>127</v>
      </c>
      <c r="B130" s="1" t="s">
        <v>397</v>
      </c>
      <c r="C130" s="1" t="s">
        <v>398</v>
      </c>
      <c r="D130" s="1" t="s">
        <v>398</v>
      </c>
      <c r="E130" s="1">
        <f t="shared" si="84"/>
        <v>0</v>
      </c>
      <c r="K130" s="1">
        <v>2</v>
      </c>
      <c r="L130" s="1">
        <v>10</v>
      </c>
      <c r="V130" s="1">
        <v>1</v>
      </c>
      <c r="W130" s="1">
        <v>0.5</v>
      </c>
      <c r="X130" s="1">
        <v>0.34</v>
      </c>
      <c r="Y130" s="1">
        <v>0.34</v>
      </c>
      <c r="Z130" s="1" t="b">
        <f>FALSE</f>
        <v>0</v>
      </c>
      <c r="AA130" s="1" t="str">
        <f t="shared" si="88"/>
        <v/>
      </c>
      <c r="AB130" s="1" t="str">
        <f t="shared" si="89"/>
        <v/>
      </c>
      <c r="AC130" s="1">
        <f t="shared" si="85"/>
        <v>0</v>
      </c>
      <c r="AD130" s="1" t="str">
        <f t="shared" si="90"/>
        <v/>
      </c>
      <c r="AE130" s="1" t="str">
        <f t="shared" si="91"/>
        <v/>
      </c>
      <c r="AF130" s="1">
        <f t="shared" si="86"/>
        <v>0</v>
      </c>
      <c r="AG130" s="1">
        <f t="shared" si="97"/>
        <v>5</v>
      </c>
      <c r="AH130" s="1" t="str">
        <f t="shared" si="87"/>
        <v/>
      </c>
      <c r="AI130" s="1">
        <v>1</v>
      </c>
      <c r="AJ130" s="1">
        <f t="shared" si="125"/>
        <v>0</v>
      </c>
      <c r="AK130" s="1">
        <v>1</v>
      </c>
      <c r="AL130" s="1">
        <v>1</v>
      </c>
      <c r="AM130" s="1">
        <v>1</v>
      </c>
      <c r="AN130" s="1">
        <f t="shared" si="126"/>
        <v>0</v>
      </c>
      <c r="AO130" s="1">
        <v>1</v>
      </c>
      <c r="AP130" s="1">
        <v>2</v>
      </c>
      <c r="AQ130" s="1">
        <v>2</v>
      </c>
      <c r="AR130" s="1">
        <v>2</v>
      </c>
      <c r="AS130" s="1">
        <v>2</v>
      </c>
      <c r="AT130" s="1">
        <v>2</v>
      </c>
      <c r="AU130" s="1">
        <v>2</v>
      </c>
      <c r="AV130" s="1">
        <v>2</v>
      </c>
      <c r="AW130" s="1">
        <v>1</v>
      </c>
      <c r="AX130" s="1">
        <v>1</v>
      </c>
      <c r="AY130" s="1">
        <v>1</v>
      </c>
      <c r="AZ130" s="1">
        <v>1</v>
      </c>
      <c r="BA130" s="1">
        <v>1</v>
      </c>
      <c r="BB130" s="1">
        <v>1</v>
      </c>
      <c r="BC130" s="1">
        <v>1</v>
      </c>
      <c r="BD130" s="1">
        <v>1</v>
      </c>
      <c r="BE130" s="1">
        <v>1</v>
      </c>
      <c r="BF130" s="1">
        <v>1</v>
      </c>
      <c r="BG130" s="1">
        <f t="shared" si="127"/>
        <v>0</v>
      </c>
      <c r="BH130" s="1">
        <f t="shared" si="128"/>
        <v>0</v>
      </c>
      <c r="BI130" s="1">
        <v>2</v>
      </c>
      <c r="BJ130" s="1">
        <v>1</v>
      </c>
      <c r="BK130" s="1">
        <v>1</v>
      </c>
      <c r="BL130" s="1">
        <v>1</v>
      </c>
      <c r="BM130" s="1">
        <v>1</v>
      </c>
      <c r="BN130" s="1">
        <v>1</v>
      </c>
      <c r="BO130" s="1">
        <v>1</v>
      </c>
      <c r="BP130" s="1">
        <v>1</v>
      </c>
      <c r="BQ130" s="1">
        <f t="shared" si="136"/>
        <v>0</v>
      </c>
      <c r="BR130" s="1">
        <v>1</v>
      </c>
      <c r="BS130" s="1">
        <v>1</v>
      </c>
      <c r="BT130" s="1">
        <f t="shared" si="129"/>
        <v>0</v>
      </c>
      <c r="BU130" s="1">
        <f t="shared" si="130"/>
        <v>0</v>
      </c>
      <c r="BV130" s="1">
        <v>1</v>
      </c>
      <c r="BW130" s="1">
        <v>1</v>
      </c>
      <c r="BX130" s="1">
        <v>1</v>
      </c>
      <c r="BY130" s="1">
        <v>1</v>
      </c>
      <c r="BZ130" s="1">
        <v>1</v>
      </c>
      <c r="CA130" s="1">
        <v>1</v>
      </c>
      <c r="CB130" s="1">
        <v>1</v>
      </c>
      <c r="CC130" s="1">
        <v>1</v>
      </c>
      <c r="CD130" s="1">
        <v>1</v>
      </c>
      <c r="CE130" s="1">
        <v>1</v>
      </c>
      <c r="CF130" s="1">
        <v>1</v>
      </c>
      <c r="CG130" s="1">
        <f t="shared" si="131"/>
        <v>0</v>
      </c>
      <c r="CH130" s="1">
        <v>1</v>
      </c>
      <c r="CI130" s="1">
        <v>1</v>
      </c>
      <c r="CJ130" s="1">
        <v>1</v>
      </c>
      <c r="CK130" s="1">
        <v>1</v>
      </c>
      <c r="CL130" s="1">
        <v>1</v>
      </c>
      <c r="CM130" s="1">
        <v>1</v>
      </c>
      <c r="CN130" s="1">
        <v>1</v>
      </c>
      <c r="CO130" s="1">
        <v>1</v>
      </c>
      <c r="CP130" s="1">
        <v>2</v>
      </c>
      <c r="CQ130" s="1">
        <v>2</v>
      </c>
      <c r="CR130" s="1">
        <v>2</v>
      </c>
      <c r="CS130" s="1">
        <v>2</v>
      </c>
      <c r="CT130" s="1">
        <v>2</v>
      </c>
      <c r="CU130" s="1">
        <v>2</v>
      </c>
      <c r="CV130" s="1">
        <f t="shared" si="132"/>
        <v>0</v>
      </c>
      <c r="CW130" s="1">
        <v>1</v>
      </c>
      <c r="CX130" s="1">
        <v>1</v>
      </c>
      <c r="CY130" s="1">
        <v>1</v>
      </c>
      <c r="CZ130" s="1">
        <f t="shared" si="133"/>
        <v>0</v>
      </c>
      <c r="DA130" s="1">
        <v>1</v>
      </c>
      <c r="DB130" s="1">
        <v>1</v>
      </c>
      <c r="DC130" s="1">
        <v>1</v>
      </c>
      <c r="DD130" s="1">
        <v>1</v>
      </c>
      <c r="DE130" s="1">
        <v>1</v>
      </c>
      <c r="DF130" s="1">
        <v>1</v>
      </c>
      <c r="DG130" s="1">
        <v>1</v>
      </c>
      <c r="DH130" s="1">
        <v>1</v>
      </c>
      <c r="DI130" s="1">
        <f t="shared" si="134"/>
        <v>0</v>
      </c>
      <c r="DJ130" s="1">
        <v>1</v>
      </c>
      <c r="DK130" s="1" t="s">
        <v>124</v>
      </c>
      <c r="DL130" s="1" t="s">
        <v>40</v>
      </c>
      <c r="DR130" s="1" t="b">
        <f>BaseAtk&gt;=6</f>
        <v>0</v>
      </c>
      <c r="DS130" s="1" t="b">
        <f>IF(NOT(ISNA(MATCH("Weaponsmithing",TblCraftSkills,0))),INDEX(TblCraftRanks,MATCH("Weaponsmithing",TblCraftSkills,0),1)&gt;=3,FALSE)</f>
        <v>0</v>
      </c>
      <c r="DU130" s="1" t="b">
        <f>OR(AND(WeaponFocusFree1&lt;&gt;"",NOT(ISNA(MATCH(WeaponFocusFree1,TblExoticList,0)))),
        AND(WeaponFocusFree2&lt;&gt;"",NOT(ISNA(MATCH(WeaponFocusFree2,TblExoticList,0)))),
        AND(FtWeaponFocus1,NOT(ISNA(MATCH(WeaponFocus1,TblExoticList,0)))),
        AND(FtWeaponFocus2,NOT(ISNA(MATCH(WeaponFocus2,TblExoticList,0)))),
        AND(FtWeaponFocus3,NOT(ISNA(MATCH(WeaponFocus3,TblExoticList,0)))))</f>
        <v>0</v>
      </c>
      <c r="EA130" s="1" t="b">
        <f t="shared" si="135"/>
        <v>0</v>
      </c>
      <c r="EB130" s="11" t="s">
        <v>334</v>
      </c>
      <c r="EC130" s="1" t="str">
        <f>IF(DR130,"","• A base attack bonus of +6 or higher.
")&amp;IF(DS130,"","• 3 ranks in Craft(weaponsmithing).
")&amp;IF(DU130,"","• Weapon Focus with an Exotic Weapon.")</f>
        <v>• A base attack bonus of +6 or higher.
• 3 ranks in Craft(weaponsmithing).
• Weapon Focus with an Exotic Weapon.</v>
      </c>
      <c r="ED130" s="11" t="s">
        <v>335</v>
      </c>
      <c r="EE130" s="14"/>
      <c r="EF130" s="15"/>
      <c r="EG130" s="15"/>
      <c r="EH130" s="15"/>
      <c r="EI130" s="15"/>
      <c r="EJ130" s="15"/>
      <c r="EK130" s="15"/>
      <c r="EL130" s="15"/>
      <c r="EM130" s="15"/>
      <c r="EN130" s="15"/>
      <c r="EO130" s="16"/>
    </row>
    <row r="131" spans="1:145" ht="11.25" customHeight="1" x14ac:dyDescent="0.2">
      <c r="A131" s="1">
        <f t="shared" si="68"/>
        <v>128</v>
      </c>
      <c r="B131" s="1" t="s">
        <v>399</v>
      </c>
      <c r="C131" s="1" t="s">
        <v>400</v>
      </c>
      <c r="D131" s="1" t="s">
        <v>400</v>
      </c>
      <c r="E131" s="1">
        <f t="shared" si="84"/>
        <v>0</v>
      </c>
      <c r="K131" s="1">
        <v>2</v>
      </c>
      <c r="L131" s="1">
        <v>12</v>
      </c>
      <c r="V131" s="1">
        <v>1</v>
      </c>
      <c r="W131" s="1">
        <v>0.5</v>
      </c>
      <c r="X131" s="1">
        <v>0.34</v>
      </c>
      <c r="Y131" s="1">
        <v>0.34</v>
      </c>
      <c r="Z131" s="1" t="b">
        <f>FALSE</f>
        <v>0</v>
      </c>
      <c r="AA131" s="1" t="str">
        <f t="shared" si="88"/>
        <v/>
      </c>
      <c r="AB131" s="1" t="str">
        <f t="shared" si="89"/>
        <v/>
      </c>
      <c r="AC131" s="1">
        <f t="shared" si="85"/>
        <v>0</v>
      </c>
      <c r="AD131" s="1" t="str">
        <f t="shared" si="90"/>
        <v/>
      </c>
      <c r="AE131" s="1" t="str">
        <f t="shared" si="91"/>
        <v/>
      </c>
      <c r="AF131" s="1">
        <f t="shared" si="86"/>
        <v>0</v>
      </c>
      <c r="AG131" s="1">
        <f t="shared" si="97"/>
        <v>5</v>
      </c>
      <c r="AH131" s="1" t="str">
        <f t="shared" si="87"/>
        <v/>
      </c>
      <c r="AI131" s="1">
        <v>1</v>
      </c>
      <c r="AJ131" s="1">
        <f t="shared" si="125"/>
        <v>0</v>
      </c>
      <c r="AK131" s="1">
        <v>1</v>
      </c>
      <c r="AL131" s="1">
        <v>1</v>
      </c>
      <c r="AM131" s="1">
        <v>2</v>
      </c>
      <c r="AN131" s="1">
        <f t="shared" si="126"/>
        <v>0</v>
      </c>
      <c r="AO131" s="1">
        <v>1</v>
      </c>
      <c r="AP131" s="1">
        <v>1</v>
      </c>
      <c r="AQ131" s="1">
        <v>1</v>
      </c>
      <c r="AR131" s="1">
        <v>1</v>
      </c>
      <c r="AS131" s="1">
        <v>1</v>
      </c>
      <c r="AT131" s="1">
        <v>1</v>
      </c>
      <c r="AU131" s="1">
        <v>1</v>
      </c>
      <c r="AV131" s="1">
        <v>1</v>
      </c>
      <c r="AW131" s="1">
        <v>1</v>
      </c>
      <c r="AX131" s="1">
        <v>1</v>
      </c>
      <c r="AY131" s="1">
        <v>1</v>
      </c>
      <c r="AZ131" s="1">
        <v>1</v>
      </c>
      <c r="BA131" s="1">
        <v>1</v>
      </c>
      <c r="BB131" s="1">
        <v>1</v>
      </c>
      <c r="BC131" s="1">
        <v>1</v>
      </c>
      <c r="BD131" s="1">
        <v>1</v>
      </c>
      <c r="BE131" s="1">
        <v>1</v>
      </c>
      <c r="BF131" s="1">
        <v>1</v>
      </c>
      <c r="BG131" s="1">
        <f t="shared" si="127"/>
        <v>0</v>
      </c>
      <c r="BH131" s="1">
        <f t="shared" si="128"/>
        <v>0</v>
      </c>
      <c r="BI131" s="1">
        <v>2</v>
      </c>
      <c r="BJ131" s="1">
        <v>2</v>
      </c>
      <c r="BK131" s="1">
        <v>1</v>
      </c>
      <c r="BL131" s="1">
        <v>1</v>
      </c>
      <c r="BM131" s="1">
        <v>1</v>
      </c>
      <c r="BN131" s="1">
        <v>1</v>
      </c>
      <c r="BO131" s="1">
        <v>1</v>
      </c>
      <c r="BP131" s="1">
        <v>1</v>
      </c>
      <c r="BQ131" s="1">
        <f t="shared" si="136"/>
        <v>0</v>
      </c>
      <c r="BR131" s="1">
        <v>1</v>
      </c>
      <c r="BS131" s="1">
        <v>1</v>
      </c>
      <c r="BT131" s="1">
        <f t="shared" si="129"/>
        <v>0</v>
      </c>
      <c r="BU131" s="1">
        <f t="shared" si="130"/>
        <v>0</v>
      </c>
      <c r="BV131" s="1">
        <v>1</v>
      </c>
      <c r="BW131" s="1">
        <v>1</v>
      </c>
      <c r="BX131" s="1">
        <v>1</v>
      </c>
      <c r="BY131" s="1">
        <v>1</v>
      </c>
      <c r="BZ131" s="1">
        <v>1</v>
      </c>
      <c r="CA131" s="1">
        <v>1</v>
      </c>
      <c r="CB131" s="1">
        <v>1</v>
      </c>
      <c r="CC131" s="1">
        <v>1</v>
      </c>
      <c r="CD131" s="1">
        <v>1</v>
      </c>
      <c r="CE131" s="1">
        <v>1</v>
      </c>
      <c r="CF131" s="1">
        <v>1</v>
      </c>
      <c r="CG131" s="1">
        <f t="shared" si="131"/>
        <v>0</v>
      </c>
      <c r="CH131" s="1">
        <v>1</v>
      </c>
      <c r="CI131" s="1">
        <v>1</v>
      </c>
      <c r="CJ131" s="1">
        <v>1</v>
      </c>
      <c r="CK131" s="1">
        <v>1</v>
      </c>
      <c r="CL131" s="1">
        <v>1</v>
      </c>
      <c r="CM131" s="1">
        <v>1</v>
      </c>
      <c r="CN131" s="1">
        <v>1</v>
      </c>
      <c r="CO131" s="1">
        <v>1</v>
      </c>
      <c r="CP131" s="1">
        <v>1</v>
      </c>
      <c r="CQ131" s="1">
        <v>1</v>
      </c>
      <c r="CR131" s="1">
        <v>1</v>
      </c>
      <c r="CS131" s="1">
        <v>1</v>
      </c>
      <c r="CT131" s="1">
        <v>1</v>
      </c>
      <c r="CU131" s="1">
        <v>1</v>
      </c>
      <c r="CV131" s="1">
        <f t="shared" si="132"/>
        <v>0</v>
      </c>
      <c r="CW131" s="1">
        <v>2</v>
      </c>
      <c r="CX131" s="1">
        <v>1</v>
      </c>
      <c r="CY131" s="1">
        <v>1</v>
      </c>
      <c r="CZ131" s="1">
        <f t="shared" si="133"/>
        <v>0</v>
      </c>
      <c r="DA131" s="1">
        <v>1</v>
      </c>
      <c r="DB131" s="1">
        <v>1</v>
      </c>
      <c r="DC131" s="1">
        <v>1</v>
      </c>
      <c r="DD131" s="1">
        <v>1</v>
      </c>
      <c r="DE131" s="1">
        <v>2</v>
      </c>
      <c r="DF131" s="1">
        <v>2</v>
      </c>
      <c r="DG131" s="1">
        <v>1</v>
      </c>
      <c r="DH131" s="1">
        <v>1</v>
      </c>
      <c r="DI131" s="1">
        <f t="shared" si="134"/>
        <v>0</v>
      </c>
      <c r="DJ131" s="1">
        <v>1</v>
      </c>
      <c r="DK131" s="1" t="s">
        <v>124</v>
      </c>
      <c r="DL131" s="1" t="s">
        <v>150</v>
      </c>
      <c r="DR131" s="1" t="b">
        <f>OR(RaceCi="Orc",RaceCi="Half-Orc")</f>
        <v>0</v>
      </c>
      <c r="DS131" s="1" t="b">
        <f>OR(AND(AlignmentChaotic,AlignmentEvil),AND(AlignmentChaotic,AlignmentNeutral),AND(AlignmentNeutral,AlignmentEvil))</f>
        <v>0</v>
      </c>
      <c r="DT131" s="1" t="b">
        <f>BaseAtk&gt;=6</f>
        <v>0</v>
      </c>
      <c r="DU131" s="1" t="b">
        <f>NOT(ISNA(MATCH("Axe, Orc Double",TblProfList,0)))</f>
        <v>0</v>
      </c>
      <c r="DV131" s="1" t="b">
        <f>OR(NOT(ISNA(MATCH("Axe, Orc Double",TblWeaponFocusFeat,0))),
        AND(ClrLvl&gt;=1,NOT(ISNA(MATCH("War",Domains,0))),FavoredWeapon="Axe, Orc Double"))</f>
        <v>0</v>
      </c>
      <c r="EA131" s="1" t="b">
        <f t="shared" si="135"/>
        <v>0</v>
      </c>
      <c r="EB131" s="11" t="s">
        <v>338</v>
      </c>
      <c r="EC131" s="1" t="str">
        <f>IF(DR131,"","• Orc or half-orc.
")&amp;IF(DS131,"","• Chaotic Evil, Chaotic Neutral or Neutral Evil.
")&amp;IF(DT131,"","• A base attack bonus of +6 or higher.
")&amp;IF(DU131,"","• Exotic Weapon Proficiency(orc double axe).
")&amp;IF(DV131,"","• Weapon Focus(orc double axe).
")&amp;"• Must worship Gruumsh and put own own right eye (not verified)."</f>
        <v>• Orc or half-orc.
• Chaotic Evil, Chaotic Neutral or Neutral Evil.
• A base attack bonus of +6 or higher.
• Exotic Weapon Proficiency(orc double axe).
• Weapon Focus(orc double axe).
• Must worship Gruumsh and put own own right eye (not verified).</v>
      </c>
      <c r="ED131" s="11" t="s">
        <v>335</v>
      </c>
      <c r="EE131" s="14"/>
      <c r="EF131" s="15"/>
      <c r="EG131" s="15"/>
      <c r="EH131" s="15"/>
      <c r="EI131" s="15"/>
      <c r="EJ131" s="15"/>
      <c r="EK131" s="15"/>
      <c r="EL131" s="15"/>
      <c r="EM131" s="15"/>
      <c r="EN131" s="15"/>
      <c r="EO131" s="16"/>
    </row>
    <row r="132" spans="1:145" ht="11.25" customHeight="1" x14ac:dyDescent="0.2">
      <c r="A132" s="1">
        <f t="shared" si="68"/>
        <v>129</v>
      </c>
      <c r="B132" s="1" t="s">
        <v>401</v>
      </c>
      <c r="C132" s="1" t="s">
        <v>402</v>
      </c>
      <c r="D132" s="1" t="s">
        <v>403</v>
      </c>
      <c r="E132" s="1">
        <f t="shared" si="84"/>
        <v>0</v>
      </c>
      <c r="K132" s="1">
        <v>2</v>
      </c>
      <c r="L132" s="1">
        <v>12</v>
      </c>
      <c r="V132" s="1">
        <v>1</v>
      </c>
      <c r="W132" s="1">
        <v>0.5</v>
      </c>
      <c r="X132" s="1">
        <v>0.34</v>
      </c>
      <c r="Y132" s="1">
        <v>0.34</v>
      </c>
      <c r="Z132" s="1" t="b">
        <f>FALSE</f>
        <v>0</v>
      </c>
      <c r="AA132" s="1" t="str">
        <f t="shared" si="88"/>
        <v/>
      </c>
      <c r="AB132" s="1" t="str">
        <f t="shared" si="89"/>
        <v/>
      </c>
      <c r="AC132" s="1">
        <f t="shared" si="85"/>
        <v>0</v>
      </c>
      <c r="AD132" s="1" t="str">
        <f t="shared" si="90"/>
        <v/>
      </c>
      <c r="AE132" s="1" t="str">
        <f t="shared" si="91"/>
        <v/>
      </c>
      <c r="AF132" s="1">
        <f t="shared" si="86"/>
        <v>0</v>
      </c>
      <c r="AG132" s="1">
        <f t="shared" si="97"/>
        <v>5</v>
      </c>
      <c r="AH132" s="1" t="str">
        <f t="shared" si="87"/>
        <v/>
      </c>
      <c r="AI132" s="1">
        <v>1</v>
      </c>
      <c r="AJ132" s="1">
        <f t="shared" si="125"/>
        <v>0</v>
      </c>
      <c r="AK132" s="1">
        <v>1</v>
      </c>
      <c r="AL132" s="1">
        <v>1</v>
      </c>
      <c r="AM132" s="1">
        <v>2</v>
      </c>
      <c r="AN132" s="1">
        <f t="shared" si="126"/>
        <v>0</v>
      </c>
      <c r="AO132" s="1">
        <v>1</v>
      </c>
      <c r="AP132" s="1">
        <v>1</v>
      </c>
      <c r="AQ132" s="1">
        <v>1</v>
      </c>
      <c r="AR132" s="1">
        <v>1</v>
      </c>
      <c r="AS132" s="1">
        <v>1</v>
      </c>
      <c r="AT132" s="1">
        <v>1</v>
      </c>
      <c r="AU132" s="1">
        <v>1</v>
      </c>
      <c r="AV132" s="1">
        <v>1</v>
      </c>
      <c r="AW132" s="1">
        <v>1</v>
      </c>
      <c r="AX132" s="1">
        <v>1</v>
      </c>
      <c r="AY132" s="1">
        <v>1</v>
      </c>
      <c r="AZ132" s="1">
        <v>1</v>
      </c>
      <c r="BA132" s="1">
        <v>1</v>
      </c>
      <c r="BB132" s="1">
        <v>1</v>
      </c>
      <c r="BC132" s="1">
        <v>1</v>
      </c>
      <c r="BD132" s="1">
        <v>1</v>
      </c>
      <c r="BE132" s="1">
        <v>1</v>
      </c>
      <c r="BF132" s="1">
        <v>1</v>
      </c>
      <c r="BG132" s="1">
        <f t="shared" si="127"/>
        <v>0</v>
      </c>
      <c r="BH132" s="1">
        <f t="shared" si="128"/>
        <v>0</v>
      </c>
      <c r="BI132" s="1">
        <v>2</v>
      </c>
      <c r="BJ132" s="1">
        <v>2</v>
      </c>
      <c r="BK132" s="1">
        <v>1</v>
      </c>
      <c r="BL132" s="1">
        <v>1</v>
      </c>
      <c r="BM132" s="1">
        <v>1</v>
      </c>
      <c r="BN132" s="1">
        <v>1</v>
      </c>
      <c r="BO132" s="1">
        <v>1</v>
      </c>
      <c r="BP132" s="1">
        <v>1</v>
      </c>
      <c r="BQ132" s="1">
        <f t="shared" si="136"/>
        <v>0</v>
      </c>
      <c r="BR132" s="1">
        <v>1</v>
      </c>
      <c r="BS132" s="1">
        <v>1</v>
      </c>
      <c r="BT132" s="1">
        <f t="shared" si="129"/>
        <v>0</v>
      </c>
      <c r="BU132" s="1">
        <f t="shared" si="130"/>
        <v>0</v>
      </c>
      <c r="BV132" s="1">
        <v>1</v>
      </c>
      <c r="BW132" s="1">
        <v>1</v>
      </c>
      <c r="BX132" s="1">
        <v>1</v>
      </c>
      <c r="BY132" s="1">
        <v>1</v>
      </c>
      <c r="BZ132" s="1">
        <v>1</v>
      </c>
      <c r="CA132" s="1">
        <v>1</v>
      </c>
      <c r="CB132" s="1">
        <v>1</v>
      </c>
      <c r="CC132" s="1">
        <v>1</v>
      </c>
      <c r="CD132" s="1">
        <v>1</v>
      </c>
      <c r="CE132" s="1">
        <v>1</v>
      </c>
      <c r="CF132" s="1">
        <v>1</v>
      </c>
      <c r="CG132" s="1">
        <f t="shared" si="131"/>
        <v>0</v>
      </c>
      <c r="CH132" s="1">
        <v>1</v>
      </c>
      <c r="CI132" s="1">
        <v>1</v>
      </c>
      <c r="CJ132" s="1">
        <v>1</v>
      </c>
      <c r="CK132" s="1">
        <v>1</v>
      </c>
      <c r="CL132" s="1">
        <v>1</v>
      </c>
      <c r="CM132" s="1">
        <v>1</v>
      </c>
      <c r="CN132" s="1">
        <v>1</v>
      </c>
      <c r="CO132" s="1">
        <v>1</v>
      </c>
      <c r="CP132" s="1">
        <v>1</v>
      </c>
      <c r="CQ132" s="1">
        <v>1</v>
      </c>
      <c r="CR132" s="1">
        <v>1</v>
      </c>
      <c r="CS132" s="1">
        <v>1</v>
      </c>
      <c r="CT132" s="1">
        <v>1</v>
      </c>
      <c r="CU132" s="1">
        <v>1</v>
      </c>
      <c r="CV132" s="1">
        <f t="shared" si="132"/>
        <v>0</v>
      </c>
      <c r="CW132" s="1">
        <v>2</v>
      </c>
      <c r="CX132" s="1">
        <v>1</v>
      </c>
      <c r="CY132" s="1">
        <v>1</v>
      </c>
      <c r="CZ132" s="1">
        <f t="shared" si="133"/>
        <v>0</v>
      </c>
      <c r="DA132" s="1">
        <v>1</v>
      </c>
      <c r="DB132" s="1">
        <v>1</v>
      </c>
      <c r="DC132" s="1">
        <v>1</v>
      </c>
      <c r="DD132" s="1">
        <v>1</v>
      </c>
      <c r="DE132" s="1">
        <v>1</v>
      </c>
      <c r="DF132" s="1">
        <v>2</v>
      </c>
      <c r="DG132" s="1">
        <v>1</v>
      </c>
      <c r="DH132" s="1">
        <v>1</v>
      </c>
      <c r="DI132" s="1">
        <f t="shared" si="134"/>
        <v>0</v>
      </c>
      <c r="DJ132" s="1">
        <v>1</v>
      </c>
      <c r="DK132" s="1" t="s">
        <v>124</v>
      </c>
      <c r="DL132" s="1" t="s">
        <v>170</v>
      </c>
      <c r="DR132" s="1" t="b">
        <f>AlignmentNonLawful</f>
        <v>0</v>
      </c>
      <c r="DS132" s="1" t="b">
        <f>BaseAtk&gt;=6</f>
        <v>0</v>
      </c>
      <c r="DT132" s="1" t="b">
        <f>FtCleave</f>
        <v>0</v>
      </c>
      <c r="DU132" s="1" t="b">
        <f>FtDestructiveRage</f>
        <v>0</v>
      </c>
      <c r="DV132" s="1" t="b">
        <f>FtIntimidatingRage</f>
        <v>0</v>
      </c>
      <c r="DW132" s="1" t="b">
        <f>FtPowerAttackEquiv</f>
        <v>0</v>
      </c>
      <c r="EA132" s="1" t="b">
        <f t="shared" si="135"/>
        <v>0</v>
      </c>
      <c r="EB132" s="11" t="s">
        <v>334</v>
      </c>
      <c r="EC132" s="1" t="str">
        <f>IF(DR132,"","• Any non-lawful alignment.
")&amp;IF(DS132,"","• A base attack bonus of +6 or higher.
")&amp;IF(DT132,"","• Cleave feat.
")&amp;IF(DU132,"","• Destructive Rage feat.
")&amp;IF(DV132,"","• Intimidating Rage feat.
")&amp;IF(DW132,"","• Power Attack feat.")</f>
        <v>• Any non-lawful alignment.
• A base attack bonus of +6 or higher.
• Cleave feat.
• Destructive Rage feat.
• Intimidating Rage feat.
• Power Attack feat.</v>
      </c>
      <c r="ED132" s="11" t="s">
        <v>335</v>
      </c>
      <c r="EE132" s="14"/>
      <c r="EF132" s="15"/>
      <c r="EG132" s="15"/>
      <c r="EH132" s="15"/>
      <c r="EI132" s="15"/>
      <c r="EJ132" s="15"/>
      <c r="EK132" s="15"/>
      <c r="EL132" s="15"/>
      <c r="EM132" s="15"/>
      <c r="EN132" s="15"/>
      <c r="EO132" s="16"/>
    </row>
    <row r="133" spans="1:145" ht="11.25" customHeight="1" x14ac:dyDescent="0.2">
      <c r="A133" s="1">
        <f t="shared" si="68"/>
        <v>130</v>
      </c>
      <c r="B133" s="1" t="s">
        <v>404</v>
      </c>
      <c r="C133" s="1" t="s">
        <v>405</v>
      </c>
      <c r="D133" s="1" t="s">
        <v>405</v>
      </c>
      <c r="E133" s="1">
        <f t="shared" si="84"/>
        <v>0</v>
      </c>
      <c r="K133" s="1">
        <v>2</v>
      </c>
      <c r="L133" s="1">
        <v>10</v>
      </c>
      <c r="N133" s="1" t="b">
        <v>1</v>
      </c>
      <c r="O133" s="1" t="b">
        <v>1</v>
      </c>
      <c r="Q133" s="1" t="b">
        <v>1</v>
      </c>
      <c r="R133" s="1" t="b">
        <v>1</v>
      </c>
      <c r="S133" s="1" t="b">
        <v>1</v>
      </c>
      <c r="T133" s="1" t="b">
        <v>1</v>
      </c>
      <c r="V133" s="1">
        <v>1</v>
      </c>
      <c r="W133" s="1">
        <v>0.5</v>
      </c>
      <c r="X133" s="1">
        <v>0.34</v>
      </c>
      <c r="Y133" s="1">
        <v>0.34</v>
      </c>
      <c r="Z133" s="1" t="b">
        <f>FALSE</f>
        <v>0</v>
      </c>
      <c r="AA133" s="1" t="str">
        <f t="shared" si="88"/>
        <v/>
      </c>
      <c r="AB133" s="1" t="str">
        <f t="shared" si="89"/>
        <v/>
      </c>
      <c r="AC133" s="1">
        <f t="shared" si="85"/>
        <v>0</v>
      </c>
      <c r="AD133" s="1" t="str">
        <f t="shared" si="90"/>
        <v/>
      </c>
      <c r="AE133" s="1" t="str">
        <f t="shared" si="91"/>
        <v/>
      </c>
      <c r="AF133" s="1">
        <f t="shared" si="86"/>
        <v>0</v>
      </c>
      <c r="AG133" s="1">
        <f t="shared" si="97"/>
        <v>5</v>
      </c>
      <c r="AH133" s="1" t="str">
        <f t="shared" si="87"/>
        <v/>
      </c>
      <c r="AI133" s="1">
        <v>1</v>
      </c>
      <c r="AJ133" s="1">
        <f t="shared" si="125"/>
        <v>0</v>
      </c>
      <c r="AK133" s="1">
        <v>1</v>
      </c>
      <c r="AL133" s="1">
        <v>1</v>
      </c>
      <c r="AM133" s="1">
        <v>2</v>
      </c>
      <c r="AN133" s="1">
        <f t="shared" si="126"/>
        <v>0</v>
      </c>
      <c r="AO133" s="1">
        <v>1</v>
      </c>
      <c r="AP133" s="1">
        <v>2</v>
      </c>
      <c r="AQ133" s="1">
        <v>2</v>
      </c>
      <c r="AR133" s="1">
        <v>2</v>
      </c>
      <c r="AS133" s="1">
        <v>2</v>
      </c>
      <c r="AT133" s="1">
        <v>2</v>
      </c>
      <c r="AU133" s="1">
        <v>2</v>
      </c>
      <c r="AV133" s="1">
        <v>2</v>
      </c>
      <c r="AW133" s="1">
        <v>1</v>
      </c>
      <c r="AX133" s="1">
        <v>1</v>
      </c>
      <c r="AY133" s="1">
        <v>1</v>
      </c>
      <c r="AZ133" s="1">
        <v>1</v>
      </c>
      <c r="BA133" s="1">
        <v>2</v>
      </c>
      <c r="BB133" s="1">
        <v>1</v>
      </c>
      <c r="BC133" s="1">
        <v>1</v>
      </c>
      <c r="BD133" s="1">
        <v>1</v>
      </c>
      <c r="BE133" s="1">
        <v>1</v>
      </c>
      <c r="BF133" s="1">
        <v>2</v>
      </c>
      <c r="BG133" s="1">
        <f t="shared" si="127"/>
        <v>0</v>
      </c>
      <c r="BH133" s="1">
        <f t="shared" si="128"/>
        <v>0</v>
      </c>
      <c r="BI133" s="1">
        <v>2</v>
      </c>
      <c r="BJ133" s="1">
        <v>2</v>
      </c>
      <c r="BK133" s="1">
        <v>1</v>
      </c>
      <c r="BL133" s="1">
        <v>1</v>
      </c>
      <c r="BM133" s="1">
        <v>1</v>
      </c>
      <c r="BN133" s="1">
        <v>1</v>
      </c>
      <c r="BO133" s="1">
        <v>1</v>
      </c>
      <c r="BP133" s="1">
        <v>1</v>
      </c>
      <c r="BQ133" s="1">
        <f t="shared" si="136"/>
        <v>0</v>
      </c>
      <c r="BR133" s="1">
        <v>1</v>
      </c>
      <c r="BS133" s="1">
        <v>1</v>
      </c>
      <c r="BT133" s="1">
        <f t="shared" si="129"/>
        <v>0</v>
      </c>
      <c r="BU133" s="1">
        <f t="shared" si="130"/>
        <v>0</v>
      </c>
      <c r="BV133" s="1">
        <v>1</v>
      </c>
      <c r="BW133" s="1">
        <v>1</v>
      </c>
      <c r="BX133" s="1">
        <v>1</v>
      </c>
      <c r="BY133" s="1">
        <v>1</v>
      </c>
      <c r="BZ133" s="1">
        <v>1</v>
      </c>
      <c r="CA133" s="1">
        <v>1</v>
      </c>
      <c r="CB133" s="1">
        <v>1</v>
      </c>
      <c r="CC133" s="1">
        <v>1</v>
      </c>
      <c r="CD133" s="1">
        <v>1</v>
      </c>
      <c r="CE133" s="1">
        <v>1</v>
      </c>
      <c r="CF133" s="1">
        <v>1</v>
      </c>
      <c r="CG133" s="1">
        <f t="shared" si="131"/>
        <v>0</v>
      </c>
      <c r="CH133" s="1">
        <v>2</v>
      </c>
      <c r="CI133" s="1">
        <v>1</v>
      </c>
      <c r="CJ133" s="1">
        <v>1</v>
      </c>
      <c r="CK133" s="1">
        <v>1</v>
      </c>
      <c r="CL133" s="1">
        <v>1</v>
      </c>
      <c r="CM133" s="1">
        <v>1</v>
      </c>
      <c r="CN133" s="1">
        <v>1</v>
      </c>
      <c r="CO133" s="1">
        <v>1</v>
      </c>
      <c r="CP133" s="1">
        <v>1</v>
      </c>
      <c r="CQ133" s="1">
        <v>1</v>
      </c>
      <c r="CR133" s="1">
        <v>1</v>
      </c>
      <c r="CS133" s="1">
        <v>1</v>
      </c>
      <c r="CT133" s="1">
        <v>1</v>
      </c>
      <c r="CU133" s="1">
        <v>1</v>
      </c>
      <c r="CV133" s="1">
        <f t="shared" si="132"/>
        <v>0</v>
      </c>
      <c r="CW133" s="1">
        <v>1</v>
      </c>
      <c r="CX133" s="1">
        <v>1</v>
      </c>
      <c r="CY133" s="1">
        <v>1</v>
      </c>
      <c r="CZ133" s="1">
        <f t="shared" si="133"/>
        <v>0</v>
      </c>
      <c r="DA133" s="1">
        <v>1</v>
      </c>
      <c r="DB133" s="1">
        <v>1</v>
      </c>
      <c r="DC133" s="1">
        <v>1</v>
      </c>
      <c r="DD133" s="1">
        <v>1</v>
      </c>
      <c r="DE133" s="1">
        <v>1</v>
      </c>
      <c r="DF133" s="1">
        <v>1</v>
      </c>
      <c r="DG133" s="1">
        <v>2</v>
      </c>
      <c r="DH133" s="1">
        <v>1</v>
      </c>
      <c r="DI133" s="1">
        <f t="shared" si="134"/>
        <v>0</v>
      </c>
      <c r="DJ133" s="1">
        <v>2</v>
      </c>
      <c r="DK133" s="1" t="s">
        <v>124</v>
      </c>
      <c r="DL133" s="1" t="s">
        <v>40</v>
      </c>
      <c r="DR133" s="1" t="b">
        <f>RaceCi="Gnome"</f>
        <v>0</v>
      </c>
      <c r="DS133" s="1" t="b">
        <f>BaseAtk&gt;=5</f>
        <v>0</v>
      </c>
      <c r="DT133" s="1" t="b">
        <f>SkEscapeArtistRanks&gt;=3</f>
        <v>0</v>
      </c>
      <c r="DU133" s="1" t="b">
        <f>NOT(ISNA(MATCH("Giant",TblLangKnown,0)))</f>
        <v>0</v>
      </c>
      <c r="DV133" s="1" t="b">
        <f>SkTumbleRanks&gt;=3</f>
        <v>0</v>
      </c>
      <c r="DW133" s="1" t="b">
        <f>FtDodgeEquiv</f>
        <v>0</v>
      </c>
      <c r="DX133" s="1" t="b">
        <f>FtMobility</f>
        <v>0</v>
      </c>
      <c r="DY133" s="1" t="b">
        <f>FtSpringAttack</f>
        <v>0</v>
      </c>
      <c r="EA133" s="1" t="b">
        <f t="shared" si="135"/>
        <v>0</v>
      </c>
      <c r="EB133" s="11" t="s">
        <v>334</v>
      </c>
      <c r="EC133" s="1" t="str">
        <f>IF(DR133,"","• You must be a Gnome.
")&amp;IF(DS133,"","• A base attack bonus of +5 or higher.
")&amp;IF(DT133,"","• 3 ranks in Escape Artist.
")&amp;IF(DU133,"","• Ability to speak Giant.
")&amp;IF(DV133,"","• 3 ranks in Tumble.
")&amp;IF(DW133,"","• Dodge feat.
")&amp;IF(DX133,"","• Mobility feat.
")&amp;IF(DY133,"","• Spring Attack feat.")</f>
        <v>• You must be a Gnome.
• A base attack bonus of +5 or higher.
• 3 ranks in Escape Artist.
• Ability to speak Giant.
• 3 ranks in Tumble.
• Dodge feat.
• Mobility feat.
• Spring Attack feat.</v>
      </c>
      <c r="ED133" s="11" t="s">
        <v>335</v>
      </c>
      <c r="EE133" s="14"/>
      <c r="EF133" s="15"/>
      <c r="EG133" s="15"/>
      <c r="EH133" s="15"/>
      <c r="EI133" s="15"/>
      <c r="EJ133" s="15"/>
      <c r="EK133" s="15"/>
      <c r="EL133" s="15"/>
      <c r="EM133" s="15"/>
      <c r="EN133" s="15"/>
      <c r="EO133" s="16"/>
    </row>
    <row r="134" spans="1:145" ht="11.25" customHeight="1" thickBot="1" x14ac:dyDescent="0.25">
      <c r="A134" s="1">
        <f t="shared" ref="A134:A197" si="137">A133+1</f>
        <v>131</v>
      </c>
      <c r="B134" s="1" t="s">
        <v>406</v>
      </c>
      <c r="C134" s="1" t="s">
        <v>407</v>
      </c>
      <c r="D134" s="1" t="s">
        <v>408</v>
      </c>
      <c r="E134" s="1">
        <f t="shared" si="84"/>
        <v>0</v>
      </c>
      <c r="K134" s="1">
        <v>4</v>
      </c>
      <c r="L134" s="1">
        <v>8</v>
      </c>
      <c r="V134" s="1">
        <v>1</v>
      </c>
      <c r="W134" s="1">
        <v>0.34</v>
      </c>
      <c r="X134" s="1">
        <v>0.5</v>
      </c>
      <c r="Y134" s="1">
        <v>0.34</v>
      </c>
      <c r="Z134" s="1" t="b">
        <f>FALSE</f>
        <v>0</v>
      </c>
      <c r="AA134" s="1" t="str">
        <f t="shared" si="88"/>
        <v/>
      </c>
      <c r="AB134" s="1" t="str">
        <f t="shared" si="89"/>
        <v/>
      </c>
      <c r="AC134" s="1">
        <f t="shared" si="85"/>
        <v>0</v>
      </c>
      <c r="AD134" s="1" t="str">
        <f t="shared" si="90"/>
        <v/>
      </c>
      <c r="AE134" s="1" t="str">
        <f t="shared" si="91"/>
        <v/>
      </c>
      <c r="AF134" s="1">
        <f t="shared" si="86"/>
        <v>0</v>
      </c>
      <c r="AG134" s="1">
        <f t="shared" si="97"/>
        <v>5</v>
      </c>
      <c r="AH134" s="1" t="str">
        <f t="shared" si="87"/>
        <v/>
      </c>
      <c r="AI134" s="1">
        <v>1</v>
      </c>
      <c r="AJ134" s="1">
        <f t="shared" si="125"/>
        <v>0</v>
      </c>
      <c r="AK134" s="1">
        <v>1</v>
      </c>
      <c r="AL134" s="1">
        <v>1</v>
      </c>
      <c r="AM134" s="1">
        <v>1</v>
      </c>
      <c r="AN134" s="1">
        <f t="shared" si="126"/>
        <v>0</v>
      </c>
      <c r="AO134" s="1">
        <v>1</v>
      </c>
      <c r="AP134" s="1">
        <v>1</v>
      </c>
      <c r="AQ134" s="1">
        <v>1</v>
      </c>
      <c r="AR134" s="1">
        <v>1</v>
      </c>
      <c r="AS134" s="1">
        <v>1</v>
      </c>
      <c r="AT134" s="1">
        <v>1</v>
      </c>
      <c r="AU134" s="1">
        <v>1</v>
      </c>
      <c r="AV134" s="1">
        <v>1</v>
      </c>
      <c r="AW134" s="1">
        <v>1</v>
      </c>
      <c r="AX134" s="1">
        <v>1</v>
      </c>
      <c r="AY134" s="1">
        <v>1</v>
      </c>
      <c r="AZ134" s="1">
        <v>1</v>
      </c>
      <c r="BA134" s="1">
        <v>1</v>
      </c>
      <c r="BB134" s="1">
        <v>1</v>
      </c>
      <c r="BC134" s="1">
        <v>1</v>
      </c>
      <c r="BD134" s="1">
        <v>2</v>
      </c>
      <c r="BE134" s="1">
        <v>1</v>
      </c>
      <c r="BF134" s="1">
        <v>1</v>
      </c>
      <c r="BG134" s="1">
        <f t="shared" si="127"/>
        <v>0</v>
      </c>
      <c r="BH134" s="1">
        <f t="shared" si="128"/>
        <v>0</v>
      </c>
      <c r="BI134" s="1">
        <v>1</v>
      </c>
      <c r="BJ134" s="1">
        <v>1</v>
      </c>
      <c r="BK134" s="1">
        <v>1</v>
      </c>
      <c r="BL134" s="1">
        <v>1</v>
      </c>
      <c r="BM134" s="1">
        <v>1</v>
      </c>
      <c r="BN134" s="1">
        <v>1</v>
      </c>
      <c r="BO134" s="1">
        <v>1</v>
      </c>
      <c r="BP134" s="1">
        <v>1</v>
      </c>
      <c r="BQ134" s="1">
        <f t="shared" si="136"/>
        <v>0</v>
      </c>
      <c r="BR134" s="1">
        <v>1</v>
      </c>
      <c r="BS134" s="1">
        <v>1</v>
      </c>
      <c r="BT134" s="1">
        <f t="shared" si="129"/>
        <v>0</v>
      </c>
      <c r="BU134" s="1">
        <f t="shared" si="130"/>
        <v>0</v>
      </c>
      <c r="BV134" s="1">
        <v>1</v>
      </c>
      <c r="BW134" s="1">
        <v>1</v>
      </c>
      <c r="BX134" s="1">
        <v>1</v>
      </c>
      <c r="BY134" s="1">
        <v>1</v>
      </c>
      <c r="BZ134" s="1">
        <v>1</v>
      </c>
      <c r="CA134" s="1">
        <v>1</v>
      </c>
      <c r="CB134" s="1">
        <v>1</v>
      </c>
      <c r="CC134" s="1">
        <v>1</v>
      </c>
      <c r="CD134" s="1">
        <v>1</v>
      </c>
      <c r="CE134" s="1">
        <v>1</v>
      </c>
      <c r="CF134" s="1">
        <v>2</v>
      </c>
      <c r="CG134" s="1">
        <f t="shared" si="131"/>
        <v>0</v>
      </c>
      <c r="CH134" s="1">
        <v>1</v>
      </c>
      <c r="CI134" s="1">
        <v>1</v>
      </c>
      <c r="CJ134" s="1">
        <v>1</v>
      </c>
      <c r="CK134" s="1">
        <v>1</v>
      </c>
      <c r="CL134" s="1">
        <v>1</v>
      </c>
      <c r="CM134" s="1">
        <v>1</v>
      </c>
      <c r="CN134" s="1">
        <v>1</v>
      </c>
      <c r="CO134" s="1">
        <v>1</v>
      </c>
      <c r="CP134" s="1">
        <v>1</v>
      </c>
      <c r="CQ134" s="1">
        <v>1</v>
      </c>
      <c r="CR134" s="1">
        <v>1</v>
      </c>
      <c r="CS134" s="1">
        <v>1</v>
      </c>
      <c r="CT134" s="1">
        <v>1</v>
      </c>
      <c r="CU134" s="1">
        <v>1</v>
      </c>
      <c r="CV134" s="1">
        <f t="shared" si="132"/>
        <v>0</v>
      </c>
      <c r="CW134" s="1">
        <v>2</v>
      </c>
      <c r="CX134" s="1">
        <v>1</v>
      </c>
      <c r="CY134" s="1">
        <v>1</v>
      </c>
      <c r="CZ134" s="1">
        <f t="shared" si="133"/>
        <v>0</v>
      </c>
      <c r="DA134" s="1">
        <v>1</v>
      </c>
      <c r="DB134" s="1">
        <v>1</v>
      </c>
      <c r="DC134" s="1">
        <v>1</v>
      </c>
      <c r="DD134" s="1">
        <v>2</v>
      </c>
      <c r="DE134" s="1">
        <v>2</v>
      </c>
      <c r="DF134" s="1">
        <v>1</v>
      </c>
      <c r="DG134" s="1">
        <v>1</v>
      </c>
      <c r="DH134" s="1">
        <v>1</v>
      </c>
      <c r="DI134" s="1">
        <f t="shared" si="134"/>
        <v>0</v>
      </c>
      <c r="DJ134" s="1">
        <v>1</v>
      </c>
      <c r="DK134" s="1" t="s">
        <v>124</v>
      </c>
      <c r="DL134" s="1" t="s">
        <v>40</v>
      </c>
      <c r="DR134" s="1" t="b">
        <f>BaseAtk&gt;=5</f>
        <v>0</v>
      </c>
      <c r="DS134" s="1" t="b">
        <f>RaceCi="Halfling"</f>
        <v>0</v>
      </c>
      <c r="DT134" s="1" t="b">
        <f>SkListenRanks&gt;=3</f>
        <v>0</v>
      </c>
      <c r="DU134" s="1" t="b">
        <f>SkRideRanks&gt;=6</f>
        <v>0</v>
      </c>
      <c r="DV134" s="1" t="b">
        <f>SkSpotRanks&gt;=3</f>
        <v>0</v>
      </c>
      <c r="DW134" s="1" t="b">
        <f>FtMountedCombat</f>
        <v>0</v>
      </c>
      <c r="DX134" s="1" t="b">
        <f>FtMountedArchery</f>
        <v>0</v>
      </c>
      <c r="EA134" s="1" t="b">
        <f t="shared" si="135"/>
        <v>0</v>
      </c>
      <c r="EB134" s="11" t="s">
        <v>334</v>
      </c>
      <c r="EC134" s="1" t="str">
        <f>IF(DR134,"","• A base attack bonus of +5 or higher.
")&amp;IF(DS134,"","• You must be a halfling.
")&amp;IF(DT134,"","• 3 ranks in Listen.
")&amp;IF(DU134,"","• 6 ranks in Ride.
")&amp;IF(DV134,"","• 3 ranks in Spot.
")&amp;IF(DW134,"","• Mounted Combat feat.
")&amp;IF(DX134,"","• Mounted Archery feat.")</f>
        <v>• A base attack bonus of +5 or higher.
• You must be a halfling.
• 3 ranks in Listen.
• 6 ranks in Ride.
• 3 ranks in Spot.
• Mounted Combat feat.
• Mounted Archery feat.</v>
      </c>
      <c r="ED134" s="11" t="s">
        <v>335</v>
      </c>
      <c r="EE134" s="17"/>
      <c r="EF134" s="18"/>
      <c r="EG134" s="18"/>
      <c r="EH134" s="18"/>
      <c r="EI134" s="18"/>
      <c r="EJ134" s="18"/>
      <c r="EK134" s="18"/>
      <c r="EL134" s="18"/>
      <c r="EM134" s="18"/>
      <c r="EN134" s="18"/>
      <c r="EO134" s="19"/>
    </row>
    <row r="135" spans="1:145" ht="11.25" customHeight="1" x14ac:dyDescent="0.2">
      <c r="A135" s="1">
        <f t="shared" si="137"/>
        <v>132</v>
      </c>
      <c r="B135" s="1" t="s">
        <v>409</v>
      </c>
      <c r="C135" s="1" t="s">
        <v>410</v>
      </c>
      <c r="D135" s="1" t="s">
        <v>410</v>
      </c>
      <c r="E135" s="1">
        <f t="shared" si="84"/>
        <v>0</v>
      </c>
      <c r="K135" s="1">
        <v>2</v>
      </c>
      <c r="L135" s="1">
        <v>10</v>
      </c>
      <c r="V135" s="1">
        <v>1</v>
      </c>
      <c r="W135" s="1">
        <v>0.34</v>
      </c>
      <c r="X135" s="1">
        <v>0.5</v>
      </c>
      <c r="Y135" s="1">
        <v>0.34</v>
      </c>
      <c r="Z135" s="1" t="b">
        <f>FALSE</f>
        <v>0</v>
      </c>
      <c r="AA135" s="1" t="str">
        <f t="shared" si="88"/>
        <v/>
      </c>
      <c r="AB135" s="1" t="str">
        <f t="shared" si="89"/>
        <v/>
      </c>
      <c r="AC135" s="1">
        <f t="shared" si="85"/>
        <v>0</v>
      </c>
      <c r="AD135" s="1" t="str">
        <f t="shared" si="90"/>
        <v/>
      </c>
      <c r="AE135" s="1" t="str">
        <f t="shared" si="91"/>
        <v/>
      </c>
      <c r="AF135" s="1">
        <f t="shared" si="86"/>
        <v>0</v>
      </c>
      <c r="AG135" s="1">
        <f t="shared" si="97"/>
        <v>5</v>
      </c>
      <c r="AH135" s="1" t="str">
        <f t="shared" si="87"/>
        <v/>
      </c>
      <c r="AI135" s="1">
        <v>1</v>
      </c>
      <c r="AJ135" s="1">
        <f t="shared" si="125"/>
        <v>0</v>
      </c>
      <c r="AK135" s="1">
        <v>1</v>
      </c>
      <c r="AL135" s="1">
        <v>1</v>
      </c>
      <c r="AM135" s="1">
        <v>2</v>
      </c>
      <c r="AN135" s="1">
        <f t="shared" si="126"/>
        <v>0</v>
      </c>
      <c r="AO135" s="1">
        <v>1</v>
      </c>
      <c r="AP135" s="1">
        <v>1</v>
      </c>
      <c r="AQ135" s="1">
        <v>1</v>
      </c>
      <c r="AR135" s="1">
        <v>1</v>
      </c>
      <c r="AS135" s="1">
        <v>1</v>
      </c>
      <c r="AT135" s="1">
        <v>1</v>
      </c>
      <c r="AU135" s="1">
        <v>1</v>
      </c>
      <c r="AV135" s="1">
        <v>1</v>
      </c>
      <c r="AW135" s="1">
        <v>1</v>
      </c>
      <c r="AX135" s="1">
        <v>1</v>
      </c>
      <c r="AY135" s="1">
        <v>1</v>
      </c>
      <c r="AZ135" s="1">
        <v>1</v>
      </c>
      <c r="BA135" s="1">
        <v>1</v>
      </c>
      <c r="BB135" s="1">
        <v>1</v>
      </c>
      <c r="BC135" s="1">
        <v>1</v>
      </c>
      <c r="BD135" s="1">
        <v>1</v>
      </c>
      <c r="BE135" s="1">
        <v>1</v>
      </c>
      <c r="BF135" s="1">
        <v>1</v>
      </c>
      <c r="BG135" s="1">
        <f t="shared" si="127"/>
        <v>0</v>
      </c>
      <c r="BH135" s="1">
        <f t="shared" si="128"/>
        <v>0</v>
      </c>
      <c r="BI135" s="1">
        <v>2</v>
      </c>
      <c r="BJ135" s="1">
        <v>2</v>
      </c>
      <c r="BK135" s="1">
        <v>1</v>
      </c>
      <c r="BL135" s="1">
        <v>1</v>
      </c>
      <c r="BM135" s="1">
        <v>1</v>
      </c>
      <c r="BN135" s="1">
        <v>1</v>
      </c>
      <c r="BO135" s="1">
        <v>1</v>
      </c>
      <c r="BP135" s="1">
        <v>1</v>
      </c>
      <c r="BQ135" s="1">
        <f t="shared" si="136"/>
        <v>0</v>
      </c>
      <c r="BR135" s="1">
        <v>1</v>
      </c>
      <c r="BS135" s="1">
        <v>1</v>
      </c>
      <c r="BT135" s="1">
        <f t="shared" si="129"/>
        <v>0</v>
      </c>
      <c r="BU135" s="1">
        <f t="shared" si="130"/>
        <v>0</v>
      </c>
      <c r="BV135" s="1">
        <v>1</v>
      </c>
      <c r="BW135" s="1">
        <v>1</v>
      </c>
      <c r="BX135" s="1">
        <v>1</v>
      </c>
      <c r="BY135" s="1">
        <v>1</v>
      </c>
      <c r="BZ135" s="1">
        <v>1</v>
      </c>
      <c r="CA135" s="1">
        <v>1</v>
      </c>
      <c r="CB135" s="1">
        <v>1</v>
      </c>
      <c r="CC135" s="1">
        <v>1</v>
      </c>
      <c r="CD135" s="1">
        <v>1</v>
      </c>
      <c r="CE135" s="1">
        <v>1</v>
      </c>
      <c r="CF135" s="1">
        <v>1</v>
      </c>
      <c r="CG135" s="1">
        <f t="shared" si="131"/>
        <v>0</v>
      </c>
      <c r="CH135" s="1">
        <v>1</v>
      </c>
      <c r="CI135" s="1">
        <v>1</v>
      </c>
      <c r="CJ135" s="1">
        <v>1</v>
      </c>
      <c r="CK135" s="1">
        <v>1</v>
      </c>
      <c r="CL135" s="1">
        <v>1</v>
      </c>
      <c r="CM135" s="1">
        <v>1</v>
      </c>
      <c r="CN135" s="1">
        <v>1</v>
      </c>
      <c r="CO135" s="1">
        <v>1</v>
      </c>
      <c r="CP135" s="1">
        <v>1</v>
      </c>
      <c r="CQ135" s="1">
        <v>1</v>
      </c>
      <c r="CR135" s="1">
        <v>1</v>
      </c>
      <c r="CS135" s="1">
        <v>1</v>
      </c>
      <c r="CT135" s="1">
        <v>1</v>
      </c>
      <c r="CU135" s="1">
        <v>1</v>
      </c>
      <c r="CV135" s="1">
        <f t="shared" si="132"/>
        <v>0</v>
      </c>
      <c r="CW135" s="1">
        <v>1</v>
      </c>
      <c r="CX135" s="1">
        <v>1</v>
      </c>
      <c r="CY135" s="1">
        <v>1</v>
      </c>
      <c r="CZ135" s="1">
        <f t="shared" si="133"/>
        <v>0</v>
      </c>
      <c r="DA135" s="1">
        <v>1</v>
      </c>
      <c r="DB135" s="1">
        <v>1</v>
      </c>
      <c r="DC135" s="1">
        <v>1</v>
      </c>
      <c r="DD135" s="1">
        <v>1</v>
      </c>
      <c r="DE135" s="1">
        <v>1</v>
      </c>
      <c r="DF135" s="1">
        <v>2</v>
      </c>
      <c r="DG135" s="1">
        <v>1</v>
      </c>
      <c r="DH135" s="1">
        <v>1</v>
      </c>
      <c r="DI135" s="1">
        <f t="shared" si="134"/>
        <v>0</v>
      </c>
      <c r="DJ135" s="1">
        <v>1</v>
      </c>
      <c r="DK135" s="1" t="s">
        <v>124</v>
      </c>
      <c r="DL135" s="1" t="s">
        <v>170</v>
      </c>
      <c r="DR135" s="1" t="b">
        <f>BaseAtk&gt;=5</f>
        <v>0</v>
      </c>
      <c r="DS135" s="1" t="b">
        <f>FtPointBlankShot</f>
        <v>0</v>
      </c>
      <c r="DT135" s="1" t="b">
        <f>FtPowerAttackEquiv</f>
        <v>0</v>
      </c>
      <c r="DV135" s="1" t="b">
        <f>SizeNumber&gt;=6</f>
        <v>0</v>
      </c>
      <c r="EA135" s="1" t="b">
        <f t="shared" si="135"/>
        <v>0</v>
      </c>
      <c r="EB135" s="11" t="s">
        <v>338</v>
      </c>
      <c r="EC135" s="1" t="str">
        <f>IF(DR135,"","• A base attack bonus of +5 or higher.
")&amp;IF(DS135,"","• Point Blank Shot feat.
")&amp;IF(DT135,"","• Power Attack feat.
")&amp;"• Weapon Focus(any thrown weapon) feat (not verified).
"&amp;IF(DV135,"","• Size Large or larger.")</f>
        <v>• A base attack bonus of +5 or higher.
• Point Blank Shot feat.
• Power Attack feat.
• Weapon Focus(any thrown weapon) feat (not verified).
• Size Large or larger.</v>
      </c>
      <c r="ED135" s="11" t="s">
        <v>335</v>
      </c>
    </row>
    <row r="136" spans="1:145" ht="11.25" customHeight="1" x14ac:dyDescent="0.2">
      <c r="A136" s="1">
        <f t="shared" si="137"/>
        <v>133</v>
      </c>
      <c r="B136" s="1" t="s">
        <v>411</v>
      </c>
      <c r="C136" s="1" t="s">
        <v>412</v>
      </c>
      <c r="D136" s="1" t="s">
        <v>412</v>
      </c>
      <c r="E136" s="1">
        <f t="shared" si="84"/>
        <v>0</v>
      </c>
      <c r="K136" s="1">
        <v>2</v>
      </c>
      <c r="L136" s="1">
        <v>8</v>
      </c>
      <c r="V136" s="1">
        <v>1</v>
      </c>
      <c r="W136" s="1">
        <v>0.5</v>
      </c>
      <c r="X136" s="1">
        <v>0.34</v>
      </c>
      <c r="Y136" s="1">
        <v>0.34</v>
      </c>
      <c r="Z136" s="1" t="b">
        <f>FALSE</f>
        <v>0</v>
      </c>
      <c r="AA136" s="1" t="str">
        <f t="shared" si="88"/>
        <v/>
      </c>
      <c r="AB136" s="1" t="str">
        <f t="shared" si="89"/>
        <v/>
      </c>
      <c r="AC136" s="1">
        <f t="shared" si="85"/>
        <v>0</v>
      </c>
      <c r="AD136" s="1" t="str">
        <f t="shared" si="90"/>
        <v/>
      </c>
      <c r="AE136" s="1" t="str">
        <f t="shared" si="91"/>
        <v/>
      </c>
      <c r="AF136" s="1">
        <f t="shared" si="86"/>
        <v>0</v>
      </c>
      <c r="AG136" s="1">
        <f t="shared" si="97"/>
        <v>5</v>
      </c>
      <c r="AH136" s="1" t="str">
        <f t="shared" si="87"/>
        <v/>
      </c>
      <c r="AI136" s="1">
        <v>1</v>
      </c>
      <c r="AJ136" s="1">
        <f t="shared" si="125"/>
        <v>0</v>
      </c>
      <c r="AK136" s="1">
        <v>1</v>
      </c>
      <c r="AL136" s="1">
        <v>1</v>
      </c>
      <c r="AM136" s="1">
        <v>1</v>
      </c>
      <c r="AN136" s="1">
        <f t="shared" si="126"/>
        <v>0</v>
      </c>
      <c r="AO136" s="1">
        <v>2</v>
      </c>
      <c r="AP136" s="1">
        <v>1</v>
      </c>
      <c r="AQ136" s="1">
        <v>1</v>
      </c>
      <c r="AR136" s="1">
        <v>1</v>
      </c>
      <c r="AS136" s="1">
        <v>1</v>
      </c>
      <c r="AT136" s="1">
        <v>1</v>
      </c>
      <c r="AU136" s="1">
        <v>1</v>
      </c>
      <c r="AV136" s="1">
        <v>1</v>
      </c>
      <c r="AW136" s="1">
        <v>1</v>
      </c>
      <c r="AX136" s="1">
        <v>1</v>
      </c>
      <c r="AY136" s="1">
        <v>1</v>
      </c>
      <c r="AZ136" s="1">
        <v>1</v>
      </c>
      <c r="BA136" s="1">
        <v>1</v>
      </c>
      <c r="BB136" s="1">
        <v>1</v>
      </c>
      <c r="BC136" s="1">
        <v>1</v>
      </c>
      <c r="BD136" s="1">
        <v>1</v>
      </c>
      <c r="BE136" s="1">
        <v>2</v>
      </c>
      <c r="BF136" s="1">
        <v>1</v>
      </c>
      <c r="BG136" s="1">
        <f t="shared" si="127"/>
        <v>0</v>
      </c>
      <c r="BH136" s="1">
        <f t="shared" si="128"/>
        <v>0</v>
      </c>
      <c r="BI136" s="1">
        <v>1</v>
      </c>
      <c r="BJ136" s="1">
        <v>1</v>
      </c>
      <c r="BK136" s="1">
        <v>1</v>
      </c>
      <c r="BL136" s="1">
        <v>1</v>
      </c>
      <c r="BM136" s="1">
        <v>1</v>
      </c>
      <c r="BN136" s="1">
        <v>1</v>
      </c>
      <c r="BO136" s="1">
        <v>1</v>
      </c>
      <c r="BP136" s="1">
        <v>1</v>
      </c>
      <c r="BQ136" s="1">
        <f t="shared" si="136"/>
        <v>0</v>
      </c>
      <c r="BR136" s="1">
        <v>1</v>
      </c>
      <c r="BS136" s="1">
        <v>1</v>
      </c>
      <c r="BT136" s="1">
        <f t="shared" si="129"/>
        <v>0</v>
      </c>
      <c r="BU136" s="1">
        <f>IF(HRRVL,2,0)</f>
        <v>0</v>
      </c>
      <c r="BV136" s="1">
        <v>2</v>
      </c>
      <c r="BW136" s="1">
        <v>1</v>
      </c>
      <c r="BX136" s="1">
        <v>1</v>
      </c>
      <c r="BY136" s="1">
        <v>1</v>
      </c>
      <c r="BZ136" s="1">
        <v>1</v>
      </c>
      <c r="CA136" s="1">
        <v>1</v>
      </c>
      <c r="CB136" s="1">
        <v>1</v>
      </c>
      <c r="CC136" s="1">
        <v>1</v>
      </c>
      <c r="CD136" s="1">
        <v>1</v>
      </c>
      <c r="CE136" s="1">
        <v>1</v>
      </c>
      <c r="CF136" s="1">
        <v>1</v>
      </c>
      <c r="CG136" s="1">
        <f t="shared" si="131"/>
        <v>0</v>
      </c>
      <c r="CH136" s="1">
        <v>1</v>
      </c>
      <c r="CI136" s="1">
        <v>1</v>
      </c>
      <c r="CJ136" s="1">
        <v>1</v>
      </c>
      <c r="CK136" s="1">
        <v>1</v>
      </c>
      <c r="CL136" s="1">
        <v>1</v>
      </c>
      <c r="CM136" s="1">
        <v>1</v>
      </c>
      <c r="CN136" s="1">
        <v>1</v>
      </c>
      <c r="CO136" s="1">
        <v>1</v>
      </c>
      <c r="CP136" s="1">
        <v>2</v>
      </c>
      <c r="CQ136" s="1">
        <v>2</v>
      </c>
      <c r="CR136" s="1">
        <v>2</v>
      </c>
      <c r="CS136" s="1">
        <v>2</v>
      </c>
      <c r="CT136" s="1">
        <v>2</v>
      </c>
      <c r="CU136" s="1">
        <v>2</v>
      </c>
      <c r="CV136" s="1">
        <f t="shared" si="132"/>
        <v>0</v>
      </c>
      <c r="CW136" s="1">
        <v>2</v>
      </c>
      <c r="CX136" s="1">
        <v>2</v>
      </c>
      <c r="CY136" s="1">
        <v>1</v>
      </c>
      <c r="CZ136" s="1">
        <f t="shared" si="133"/>
        <v>0</v>
      </c>
      <c r="DA136" s="1">
        <v>1</v>
      </c>
      <c r="DB136" s="1">
        <v>1</v>
      </c>
      <c r="DC136" s="1">
        <v>1</v>
      </c>
      <c r="DD136" s="1">
        <v>1</v>
      </c>
      <c r="DE136" s="1">
        <v>1</v>
      </c>
      <c r="DF136" s="1">
        <v>1</v>
      </c>
      <c r="DG136" s="1">
        <v>1</v>
      </c>
      <c r="DH136" s="1">
        <v>1</v>
      </c>
      <c r="DI136" s="1">
        <f t="shared" si="134"/>
        <v>0</v>
      </c>
      <c r="DJ136" s="1">
        <v>1</v>
      </c>
      <c r="DK136" s="1" t="s">
        <v>124</v>
      </c>
      <c r="DL136" s="1" t="s">
        <v>40</v>
      </c>
      <c r="DR136" s="1" t="b">
        <f>AlignmentNonEvil</f>
        <v>1</v>
      </c>
      <c r="DS136" s="1" t="b">
        <f>BaseAtk&gt;=5</f>
        <v>0</v>
      </c>
      <c r="DT136" s="1" t="b">
        <f>SkKnowledgeReligionRanks&gt;=5</f>
        <v>0</v>
      </c>
      <c r="DU136" s="1" t="b">
        <f>AND(TurnLvl&gt;=1,TurnRebuke="Turn")</f>
        <v>0</v>
      </c>
      <c r="EA136" s="1" t="b">
        <f t="shared" si="135"/>
        <v>0</v>
      </c>
      <c r="EB136" s="11" t="s">
        <v>338</v>
      </c>
      <c r="EC136" s="1" t="str">
        <f>IF(DR136,"","• Any non-evil Alignment.
")&amp;IF(DS136,"","• A base attack bonus of +5 or higher.
")&amp;IF(DT136,"","• 5 ranks in Knowledge(Religion).
")&amp;IF(DU136,"","• Ability to turn undead.
")&amp;"• Must have lost one level, or an ability score drained(perm) by
   undead (not verified)."</f>
        <v>• A base attack bonus of +5 or higher.
• 5 ranks in Knowledge(Religion).
• Ability to turn undead.
• Must have lost one level, or an ability score drained(perm) by
   undead (not verified).</v>
      </c>
      <c r="ED136" s="11" t="s">
        <v>335</v>
      </c>
    </row>
    <row r="137" spans="1:145" ht="11.25" customHeight="1" x14ac:dyDescent="0.2">
      <c r="A137" s="1">
        <f t="shared" si="137"/>
        <v>134</v>
      </c>
      <c r="B137" s="1" t="s">
        <v>413</v>
      </c>
      <c r="C137" s="1" t="s">
        <v>414</v>
      </c>
      <c r="D137" s="1" t="s">
        <v>414</v>
      </c>
      <c r="E137" s="1">
        <f t="shared" si="84"/>
        <v>0</v>
      </c>
      <c r="K137" s="1">
        <v>4</v>
      </c>
      <c r="L137" s="1">
        <v>6</v>
      </c>
      <c r="V137" s="1">
        <v>1</v>
      </c>
      <c r="W137" s="1">
        <v>0.34</v>
      </c>
      <c r="X137" s="1">
        <v>0.5</v>
      </c>
      <c r="Y137" s="1">
        <v>0.34</v>
      </c>
      <c r="Z137" s="1" t="b">
        <f>FALSE</f>
        <v>0</v>
      </c>
      <c r="AA137" s="1" t="str">
        <f t="shared" si="88"/>
        <v/>
      </c>
      <c r="AB137" s="1" t="str">
        <f t="shared" si="89"/>
        <v/>
      </c>
      <c r="AC137" s="1">
        <f t="shared" si="85"/>
        <v>0</v>
      </c>
      <c r="AD137" s="1" t="str">
        <f t="shared" si="90"/>
        <v/>
      </c>
      <c r="AE137" s="1" t="str">
        <f t="shared" si="91"/>
        <v/>
      </c>
      <c r="AF137" s="1">
        <f t="shared" si="86"/>
        <v>0</v>
      </c>
      <c r="AG137" s="1">
        <f t="shared" si="97"/>
        <v>5</v>
      </c>
      <c r="AH137" s="1" t="str">
        <f t="shared" si="87"/>
        <v/>
      </c>
      <c r="AI137" s="1">
        <v>1</v>
      </c>
      <c r="AJ137" s="1">
        <f t="shared" si="125"/>
        <v>0</v>
      </c>
      <c r="AK137" s="1">
        <v>2</v>
      </c>
      <c r="AL137" s="1">
        <v>2</v>
      </c>
      <c r="AM137" s="1">
        <v>2</v>
      </c>
      <c r="AN137" s="1">
        <f t="shared" si="126"/>
        <v>0</v>
      </c>
      <c r="AO137" s="1">
        <v>1</v>
      </c>
      <c r="AP137" s="1">
        <v>2</v>
      </c>
      <c r="AQ137" s="1">
        <v>2</v>
      </c>
      <c r="AR137" s="1">
        <v>2</v>
      </c>
      <c r="AS137" s="1">
        <v>2</v>
      </c>
      <c r="AT137" s="1">
        <v>2</v>
      </c>
      <c r="AU137" s="1">
        <v>2</v>
      </c>
      <c r="AV137" s="1">
        <v>2</v>
      </c>
      <c r="AW137" s="1">
        <v>1</v>
      </c>
      <c r="AX137" s="1">
        <v>1</v>
      </c>
      <c r="AY137" s="1">
        <v>1</v>
      </c>
      <c r="AZ137" s="1">
        <v>1</v>
      </c>
      <c r="BA137" s="1">
        <v>2</v>
      </c>
      <c r="BB137" s="1">
        <v>1</v>
      </c>
      <c r="BC137" s="1">
        <v>1</v>
      </c>
      <c r="BD137" s="1">
        <v>1</v>
      </c>
      <c r="BE137" s="1">
        <v>1</v>
      </c>
      <c r="BF137" s="1">
        <v>2</v>
      </c>
      <c r="BG137" s="1">
        <f t="shared" si="127"/>
        <v>0</v>
      </c>
      <c r="BH137" s="1">
        <f t="shared" si="128"/>
        <v>0</v>
      </c>
      <c r="BI137" s="1">
        <v>1</v>
      </c>
      <c r="BJ137" s="1">
        <v>2</v>
      </c>
      <c r="BK137" s="1">
        <v>1</v>
      </c>
      <c r="BL137" s="1">
        <v>1</v>
      </c>
      <c r="BM137" s="1">
        <v>1</v>
      </c>
      <c r="BN137" s="1">
        <v>1</v>
      </c>
      <c r="BO137" s="1">
        <v>1</v>
      </c>
      <c r="BP137" s="1">
        <v>1</v>
      </c>
      <c r="BQ137" s="1">
        <f t="shared" si="136"/>
        <v>0</v>
      </c>
      <c r="BR137" s="1">
        <v>1</v>
      </c>
      <c r="BS137" s="1">
        <v>1</v>
      </c>
      <c r="BT137" s="1">
        <f t="shared" si="129"/>
        <v>0</v>
      </c>
      <c r="BU137" s="1">
        <f>IF(HRRVL,1,0)</f>
        <v>0</v>
      </c>
      <c r="BV137" s="1">
        <v>1</v>
      </c>
      <c r="BW137" s="1">
        <v>1</v>
      </c>
      <c r="BX137" s="1">
        <v>1</v>
      </c>
      <c r="BY137" s="1">
        <v>1</v>
      </c>
      <c r="BZ137" s="1">
        <v>1</v>
      </c>
      <c r="CA137" s="1">
        <v>1</v>
      </c>
      <c r="CB137" s="1">
        <v>1</v>
      </c>
      <c r="CC137" s="1">
        <v>1</v>
      </c>
      <c r="CD137" s="1">
        <v>1</v>
      </c>
      <c r="CE137" s="1">
        <v>1</v>
      </c>
      <c r="CF137" s="1">
        <v>2</v>
      </c>
      <c r="CG137" s="1">
        <f t="shared" si="131"/>
        <v>0</v>
      </c>
      <c r="CH137" s="1">
        <v>2</v>
      </c>
      <c r="CI137" s="1">
        <v>1</v>
      </c>
      <c r="CJ137" s="1">
        <v>2</v>
      </c>
      <c r="CK137" s="1">
        <v>2</v>
      </c>
      <c r="CL137" s="1">
        <v>2</v>
      </c>
      <c r="CM137" s="1">
        <v>2</v>
      </c>
      <c r="CN137" s="1">
        <v>2</v>
      </c>
      <c r="CO137" s="1">
        <v>2</v>
      </c>
      <c r="CP137" s="1">
        <v>2</v>
      </c>
      <c r="CQ137" s="1">
        <v>2</v>
      </c>
      <c r="CR137" s="1">
        <v>2</v>
      </c>
      <c r="CS137" s="1">
        <v>2</v>
      </c>
      <c r="CT137" s="1">
        <v>2</v>
      </c>
      <c r="CU137" s="1">
        <v>2</v>
      </c>
      <c r="CV137" s="1">
        <f t="shared" si="132"/>
        <v>0</v>
      </c>
      <c r="CW137" s="1">
        <v>1</v>
      </c>
      <c r="CX137" s="1">
        <v>1</v>
      </c>
      <c r="CY137" s="1">
        <v>2</v>
      </c>
      <c r="CZ137" s="1">
        <f t="shared" si="133"/>
        <v>0</v>
      </c>
      <c r="DA137" s="1">
        <v>1</v>
      </c>
      <c r="DB137" s="1">
        <v>1</v>
      </c>
      <c r="DC137" s="1">
        <v>1</v>
      </c>
      <c r="DD137" s="1">
        <v>2</v>
      </c>
      <c r="DE137" s="1">
        <v>1</v>
      </c>
      <c r="DF137" s="1">
        <v>1</v>
      </c>
      <c r="DG137" s="1">
        <v>2</v>
      </c>
      <c r="DH137" s="1">
        <v>1</v>
      </c>
      <c r="DI137" s="1">
        <f t="shared" si="134"/>
        <v>0</v>
      </c>
      <c r="DJ137" s="1">
        <v>1</v>
      </c>
      <c r="DK137" s="1" t="s">
        <v>124</v>
      </c>
      <c r="DL137" s="1" t="s">
        <v>40</v>
      </c>
      <c r="DR137" s="1" t="b">
        <f>SkBluffRanks&gt;=8</f>
        <v>0</v>
      </c>
      <c r="DS137" s="1" t="b">
        <f>SkSenseMotiveRanks&gt;=6</f>
        <v>0</v>
      </c>
      <c r="DT137" s="1" t="b">
        <f>FtFarShot</f>
        <v>0</v>
      </c>
      <c r="DU137" s="1" t="b">
        <f>FtPointBlankShot</f>
        <v>0</v>
      </c>
      <c r="DV137" s="1" t="b">
        <f>OR(NOT(ISNA(MATCH("Dagger",TblWeaponFocusFeat,0))),NOT(ISNA(MATCH("Kukri",TblWeaponFocusFeat,0))),NOT(ISNA(MATCH("Dagger, Punching",TblWeaponFocusFeat,0))))</f>
        <v>0</v>
      </c>
      <c r="EA137" s="1" t="b">
        <f t="shared" si="135"/>
        <v>0</v>
      </c>
      <c r="EB137" s="11" t="s">
        <v>334</v>
      </c>
      <c r="EC137" s="1" t="str">
        <f>IF(DR137,"","• 8 ranks in Bluff.
")&amp;IF(DS137,"","• 6 ranks in Sense Motive.
")&amp;IF(DT137,"","• Far Shot feat.
")&amp;IF(DU137,"","• Point Blank Shot feat.
")&amp;IF(DV137,"","• Weapon Focus(dagger, kukri or punching dagger) feat.")</f>
        <v>• 8 ranks in Bluff.
• 6 ranks in Sense Motive.
• Far Shot feat.
• Point Blank Shot feat.
• Weapon Focus(dagger, kukri or punching dagger) feat.</v>
      </c>
      <c r="ED137" s="11" t="s">
        <v>335</v>
      </c>
    </row>
    <row r="138" spans="1:145" ht="11.25" customHeight="1" x14ac:dyDescent="0.2">
      <c r="A138" s="1">
        <f t="shared" si="137"/>
        <v>135</v>
      </c>
      <c r="B138" s="1" t="s">
        <v>415</v>
      </c>
      <c r="C138" s="1" t="s">
        <v>416</v>
      </c>
      <c r="D138" s="1" t="s">
        <v>416</v>
      </c>
      <c r="E138" s="1">
        <f t="shared" si="84"/>
        <v>0</v>
      </c>
      <c r="K138" s="1">
        <v>4</v>
      </c>
      <c r="L138" s="1">
        <v>10</v>
      </c>
      <c r="V138" s="1">
        <v>1</v>
      </c>
      <c r="W138" s="1">
        <v>0.34</v>
      </c>
      <c r="X138" s="1">
        <v>0.34</v>
      </c>
      <c r="Y138" s="1">
        <v>0.5</v>
      </c>
      <c r="Z138" s="1" t="b">
        <f>FALSE</f>
        <v>0</v>
      </c>
      <c r="AA138" s="1" t="str">
        <f t="shared" si="88"/>
        <v/>
      </c>
      <c r="AB138" s="1" t="str">
        <f t="shared" si="89"/>
        <v/>
      </c>
      <c r="AC138" s="1">
        <f t="shared" si="85"/>
        <v>0</v>
      </c>
      <c r="AD138" s="1" t="str">
        <f t="shared" si="90"/>
        <v/>
      </c>
      <c r="AE138" s="1" t="str">
        <f t="shared" si="91"/>
        <v/>
      </c>
      <c r="AF138" s="1">
        <f t="shared" si="86"/>
        <v>0</v>
      </c>
      <c r="AG138" s="1">
        <f t="shared" si="97"/>
        <v>5</v>
      </c>
      <c r="AH138" s="1" t="str">
        <f t="shared" si="87"/>
        <v/>
      </c>
      <c r="AI138" s="1">
        <v>1</v>
      </c>
      <c r="AJ138" s="1">
        <f t="shared" si="125"/>
        <v>0</v>
      </c>
      <c r="AK138" s="1">
        <v>1</v>
      </c>
      <c r="AL138" s="1">
        <v>2</v>
      </c>
      <c r="AM138" s="1">
        <v>2</v>
      </c>
      <c r="AN138" s="1">
        <f t="shared" si="126"/>
        <v>0</v>
      </c>
      <c r="AO138" s="1">
        <v>1</v>
      </c>
      <c r="AP138" s="1">
        <v>1</v>
      </c>
      <c r="AQ138" s="1">
        <v>1</v>
      </c>
      <c r="AR138" s="1">
        <v>1</v>
      </c>
      <c r="AS138" s="1">
        <v>1</v>
      </c>
      <c r="AT138" s="1">
        <v>1</v>
      </c>
      <c r="AU138" s="1">
        <v>1</v>
      </c>
      <c r="AV138" s="1">
        <v>1</v>
      </c>
      <c r="AW138" s="1">
        <v>1</v>
      </c>
      <c r="AX138" s="1">
        <v>1</v>
      </c>
      <c r="AY138" s="1">
        <v>1</v>
      </c>
      <c r="AZ138" s="1">
        <v>2</v>
      </c>
      <c r="BA138" s="1">
        <v>1</v>
      </c>
      <c r="BB138" s="1">
        <v>1</v>
      </c>
      <c r="BC138" s="1">
        <v>2</v>
      </c>
      <c r="BD138" s="1">
        <v>1</v>
      </c>
      <c r="BE138" s="1">
        <v>2</v>
      </c>
      <c r="BF138" s="1">
        <v>2</v>
      </c>
      <c r="BG138" s="1">
        <f t="shared" si="127"/>
        <v>0</v>
      </c>
      <c r="BH138" s="1">
        <f t="shared" si="128"/>
        <v>0</v>
      </c>
      <c r="BI138" s="1">
        <v>2</v>
      </c>
      <c r="BJ138" s="1">
        <v>2</v>
      </c>
      <c r="BK138" s="1">
        <v>2</v>
      </c>
      <c r="BL138" s="1">
        <v>2</v>
      </c>
      <c r="BM138" s="1">
        <v>2</v>
      </c>
      <c r="BN138" s="1">
        <v>2</v>
      </c>
      <c r="BO138" s="1">
        <v>2</v>
      </c>
      <c r="BP138" s="1">
        <f>1+NOT(HRLivingGreyhawk)</f>
        <v>2</v>
      </c>
      <c r="BQ138" s="1">
        <f>IF(HRRVL,2,0)</f>
        <v>0</v>
      </c>
      <c r="BR138" s="1">
        <v>2</v>
      </c>
      <c r="BS138" s="1">
        <v>2</v>
      </c>
      <c r="BT138" s="1">
        <f>IF(HRXPH,2,0)</f>
        <v>0</v>
      </c>
      <c r="BU138" s="1">
        <f>IF(HRRVL,2,0)</f>
        <v>0</v>
      </c>
      <c r="BV138" s="1">
        <v>2</v>
      </c>
      <c r="BW138" s="1">
        <v>2</v>
      </c>
      <c r="BX138" s="1">
        <v>2</v>
      </c>
      <c r="BY138" s="1">
        <v>2</v>
      </c>
      <c r="BZ138" s="1">
        <v>2</v>
      </c>
      <c r="CA138" s="1">
        <v>2</v>
      </c>
      <c r="CB138" s="1">
        <v>2</v>
      </c>
      <c r="CC138" s="1">
        <v>2</v>
      </c>
      <c r="CD138" s="1">
        <v>2</v>
      </c>
      <c r="CE138" s="1">
        <v>2</v>
      </c>
      <c r="CF138" s="1">
        <v>2</v>
      </c>
      <c r="CG138" s="1">
        <f t="shared" si="131"/>
        <v>0</v>
      </c>
      <c r="CH138" s="1">
        <v>2</v>
      </c>
      <c r="CI138" s="1">
        <v>2</v>
      </c>
      <c r="CJ138" s="1">
        <v>1</v>
      </c>
      <c r="CK138" s="1">
        <v>1</v>
      </c>
      <c r="CL138" s="1">
        <v>1</v>
      </c>
      <c r="CM138" s="1">
        <v>1</v>
      </c>
      <c r="CN138" s="1">
        <v>1</v>
      </c>
      <c r="CO138" s="1">
        <v>1</v>
      </c>
      <c r="CP138" s="1">
        <v>1</v>
      </c>
      <c r="CQ138" s="1">
        <v>1</v>
      </c>
      <c r="CR138" s="1">
        <v>1</v>
      </c>
      <c r="CS138" s="1">
        <v>1</v>
      </c>
      <c r="CT138" s="1">
        <v>1</v>
      </c>
      <c r="CU138" s="1">
        <v>1</v>
      </c>
      <c r="CV138" s="1">
        <f t="shared" si="132"/>
        <v>0</v>
      </c>
      <c r="CW138" s="1">
        <v>2</v>
      </c>
      <c r="CX138" s="1">
        <v>2</v>
      </c>
      <c r="CY138" s="1">
        <v>2</v>
      </c>
      <c r="CZ138" s="1">
        <f t="shared" si="133"/>
        <v>0</v>
      </c>
      <c r="DA138" s="1">
        <v>1</v>
      </c>
      <c r="DB138" s="1">
        <v>1</v>
      </c>
      <c r="DC138" s="1">
        <v>1</v>
      </c>
      <c r="DD138" s="1">
        <v>2</v>
      </c>
      <c r="DE138" s="1">
        <v>2</v>
      </c>
      <c r="DF138" s="1">
        <v>2</v>
      </c>
      <c r="DG138" s="1">
        <v>1</v>
      </c>
      <c r="DH138" s="1">
        <v>1</v>
      </c>
      <c r="DI138" s="1">
        <f t="shared" si="134"/>
        <v>0</v>
      </c>
      <c r="DJ138" s="1">
        <v>2</v>
      </c>
      <c r="DK138" s="1" t="s">
        <v>124</v>
      </c>
      <c r="DL138" s="1" t="s">
        <v>40</v>
      </c>
      <c r="DR138" s="1" t="b">
        <f>AlignmentLawful</f>
        <v>1</v>
      </c>
      <c r="DS138" s="1" t="b">
        <f>BaseAtk&gt;=6</f>
        <v>0</v>
      </c>
      <c r="DT138" s="1" t="b">
        <f>SkGatherInformationRanks&gt;=5</f>
        <v>0</v>
      </c>
      <c r="DU138" s="1" t="b">
        <f>SkSearchRanks&gt;=5</f>
        <v>0</v>
      </c>
      <c r="DV138" s="1" t="b">
        <f>SkSurvivalRanks&gt;=5</f>
        <v>0</v>
      </c>
      <c r="DW138" s="1" t="b">
        <f>NOT(ISNA(MATCH("Gather Information*",TblSkillFocus,0)))</f>
        <v>0</v>
      </c>
      <c r="DX138" s="1" t="b">
        <f>OR(FreeTrack,FtTrack)</f>
        <v>0</v>
      </c>
      <c r="EA138" s="1" t="b">
        <f t="shared" si="135"/>
        <v>0</v>
      </c>
      <c r="EB138" s="11" t="s">
        <v>334</v>
      </c>
      <c r="EC138" s="1" t="str">
        <f>IF(DR138,"","• Any Lawful alignment.
")&amp;IF(DS138,"","• A base attack bonus of +6 or higher.
")&amp;IF(DT138,"","• 5 ranks in Gather Information.
")&amp;IF(DU138,"","• 5 ranks in Search.
")&amp;IF(DV138,"","• 5 ranks in Survival.
")&amp;IF(DW138,"","• Skill Focus(gather information) feat.
")&amp;IF(DX138,"","• Track feat.")</f>
        <v>• A base attack bonus of +6 or higher.
• 5 ranks in Gather Information.
• 5 ranks in Search.
• 5 ranks in Survival.
• Skill Focus(gather information) feat.
• Track feat.</v>
      </c>
      <c r="ED138" s="11" t="s">
        <v>335</v>
      </c>
    </row>
    <row r="139" spans="1:145" ht="11.25" customHeight="1" thickBot="1" x14ac:dyDescent="0.25">
      <c r="A139" s="1">
        <f t="shared" si="137"/>
        <v>136</v>
      </c>
      <c r="B139" s="1" t="s">
        <v>417</v>
      </c>
      <c r="C139" s="1" t="s">
        <v>418</v>
      </c>
      <c r="D139" s="1" t="s">
        <v>418</v>
      </c>
      <c r="E139" s="1">
        <f t="shared" si="84"/>
        <v>0</v>
      </c>
      <c r="K139" s="1">
        <v>4</v>
      </c>
      <c r="L139" s="1">
        <v>10</v>
      </c>
      <c r="V139" s="1">
        <v>0.75</v>
      </c>
      <c r="W139" s="1">
        <v>0.34</v>
      </c>
      <c r="X139" s="1">
        <v>0.34</v>
      </c>
      <c r="Y139" s="1">
        <v>0.5</v>
      </c>
      <c r="Z139" s="1" t="b">
        <f>FALSE</f>
        <v>0</v>
      </c>
      <c r="AA139" s="1" t="str">
        <f t="shared" si="88"/>
        <v/>
      </c>
      <c r="AB139" s="1" t="str">
        <f t="shared" si="89"/>
        <v/>
      </c>
      <c r="AC139" s="1">
        <f t="shared" si="85"/>
        <v>0</v>
      </c>
      <c r="AD139" s="1" t="str">
        <f t="shared" si="90"/>
        <v/>
      </c>
      <c r="AE139" s="1" t="str">
        <f t="shared" si="91"/>
        <v/>
      </c>
      <c r="AF139" s="1">
        <f t="shared" si="86"/>
        <v>0</v>
      </c>
      <c r="AG139" s="1">
        <f t="shared" si="97"/>
        <v>5</v>
      </c>
      <c r="AH139" s="1" t="str">
        <f t="shared" si="87"/>
        <v/>
      </c>
      <c r="AI139" s="1">
        <v>1</v>
      </c>
      <c r="AJ139" s="1">
        <f t="shared" si="125"/>
        <v>0</v>
      </c>
      <c r="AK139" s="1">
        <v>2</v>
      </c>
      <c r="AL139" s="1">
        <v>1</v>
      </c>
      <c r="AM139" s="1">
        <v>2</v>
      </c>
      <c r="AN139" s="1">
        <f t="shared" si="126"/>
        <v>0</v>
      </c>
      <c r="AO139" s="1">
        <v>2</v>
      </c>
      <c r="AP139" s="1">
        <v>2</v>
      </c>
      <c r="AQ139" s="1">
        <v>2</v>
      </c>
      <c r="AR139" s="1">
        <v>2</v>
      </c>
      <c r="AS139" s="1">
        <v>2</v>
      </c>
      <c r="AT139" s="1">
        <v>2</v>
      </c>
      <c r="AU139" s="1">
        <v>2</v>
      </c>
      <c r="AV139" s="1">
        <v>2</v>
      </c>
      <c r="AW139" s="1">
        <v>1</v>
      </c>
      <c r="AX139" s="1">
        <v>2</v>
      </c>
      <c r="AY139" s="1">
        <v>1</v>
      </c>
      <c r="AZ139" s="1">
        <v>1</v>
      </c>
      <c r="BA139" s="1">
        <v>1</v>
      </c>
      <c r="BB139" s="1">
        <v>1</v>
      </c>
      <c r="BC139" s="1">
        <v>1</v>
      </c>
      <c r="BD139" s="1">
        <v>1</v>
      </c>
      <c r="BE139" s="1">
        <v>1</v>
      </c>
      <c r="BF139" s="1">
        <v>1</v>
      </c>
      <c r="BG139" s="1">
        <f t="shared" si="127"/>
        <v>0</v>
      </c>
      <c r="BH139" s="1">
        <f t="shared" si="128"/>
        <v>0</v>
      </c>
      <c r="BI139" s="1">
        <v>2</v>
      </c>
      <c r="BJ139" s="1">
        <v>2</v>
      </c>
      <c r="BK139" s="1">
        <v>1</v>
      </c>
      <c r="BL139" s="1">
        <v>1</v>
      </c>
      <c r="BM139" s="1">
        <v>1</v>
      </c>
      <c r="BN139" s="1">
        <v>1</v>
      </c>
      <c r="BO139" s="1">
        <v>1</v>
      </c>
      <c r="BP139" s="1">
        <f>1+NOT(HRLivingGreyhawk)</f>
        <v>2</v>
      </c>
      <c r="BQ139" s="1">
        <f t="shared" ref="BQ139:BQ144" si="138">IF(HRRVL,1,0)</f>
        <v>0</v>
      </c>
      <c r="BR139" s="1">
        <v>1</v>
      </c>
      <c r="BS139" s="1">
        <v>2</v>
      </c>
      <c r="BT139" s="1">
        <f t="shared" ref="BT139:BT152" si="139">IF(HRXPH,1,0)</f>
        <v>0</v>
      </c>
      <c r="BU139" s="1">
        <f>IF(HRRVL,1,0)</f>
        <v>0</v>
      </c>
      <c r="BV139" s="1">
        <v>1</v>
      </c>
      <c r="BW139" s="1">
        <v>1</v>
      </c>
      <c r="BX139" s="1">
        <v>1</v>
      </c>
      <c r="BY139" s="1">
        <v>1</v>
      </c>
      <c r="BZ139" s="1">
        <v>1</v>
      </c>
      <c r="CA139" s="1">
        <v>1</v>
      </c>
      <c r="CB139" s="1">
        <v>1</v>
      </c>
      <c r="CC139" s="1">
        <v>1</v>
      </c>
      <c r="CD139" s="1">
        <v>1</v>
      </c>
      <c r="CE139" s="1">
        <v>1</v>
      </c>
      <c r="CF139" s="1">
        <v>1</v>
      </c>
      <c r="CG139" s="1">
        <f t="shared" si="131"/>
        <v>0</v>
      </c>
      <c r="CH139" s="1">
        <v>1</v>
      </c>
      <c r="CI139" s="1">
        <v>1</v>
      </c>
      <c r="CJ139" s="1">
        <v>1</v>
      </c>
      <c r="CK139" s="1">
        <v>1</v>
      </c>
      <c r="CL139" s="1">
        <v>1</v>
      </c>
      <c r="CM139" s="1">
        <v>1</v>
      </c>
      <c r="CN139" s="1">
        <v>1</v>
      </c>
      <c r="CO139" s="1">
        <v>1</v>
      </c>
      <c r="CP139" s="1">
        <v>1</v>
      </c>
      <c r="CQ139" s="1">
        <v>1</v>
      </c>
      <c r="CR139" s="1">
        <v>1</v>
      </c>
      <c r="CS139" s="1">
        <v>1</v>
      </c>
      <c r="CT139" s="1">
        <v>1</v>
      </c>
      <c r="CU139" s="1">
        <v>1</v>
      </c>
      <c r="CV139" s="1">
        <f t="shared" si="132"/>
        <v>0</v>
      </c>
      <c r="CW139" s="1">
        <v>2</v>
      </c>
      <c r="CX139" s="1">
        <v>1</v>
      </c>
      <c r="CY139" s="1">
        <v>2</v>
      </c>
      <c r="CZ139" s="1">
        <f t="shared" si="133"/>
        <v>0</v>
      </c>
      <c r="DA139" s="1">
        <v>1</v>
      </c>
      <c r="DB139" s="1">
        <v>1</v>
      </c>
      <c r="DC139" s="1">
        <v>1</v>
      </c>
      <c r="DD139" s="1">
        <v>1</v>
      </c>
      <c r="DE139" s="1">
        <v>1</v>
      </c>
      <c r="DF139" s="1">
        <v>1</v>
      </c>
      <c r="DG139" s="1">
        <v>1</v>
      </c>
      <c r="DH139" s="1">
        <v>1</v>
      </c>
      <c r="DI139" s="1">
        <f t="shared" si="134"/>
        <v>0</v>
      </c>
      <c r="DJ139" s="1">
        <v>1</v>
      </c>
      <c r="DK139" s="1" t="s">
        <v>124</v>
      </c>
      <c r="DL139" s="1" t="s">
        <v>170</v>
      </c>
      <c r="DR139" s="1" t="b">
        <f>AlignmentLawful</f>
        <v>1</v>
      </c>
      <c r="DS139" s="1" t="b">
        <f>BaseAtk&gt;=5</f>
        <v>0</v>
      </c>
      <c r="DT139" s="1" t="b">
        <f>SkConcentrationRanks&gt;=5</f>
        <v>0</v>
      </c>
      <c r="DU139" s="1" t="b">
        <f>SkDiplomacyRanks&gt;=5</f>
        <v>0</v>
      </c>
      <c r="DV139" s="1" t="b">
        <f>SkRideRanks&gt;=5</f>
        <v>0</v>
      </c>
      <c r="DW139" s="1" t="b">
        <f>OR(FreeCombatExpertise,FtCombatExpertise)</f>
        <v>0</v>
      </c>
      <c r="DX139" s="1" t="b">
        <f>OR(FreeWeaponFocus,FtWeaponFocus1)</f>
        <v>0</v>
      </c>
      <c r="EA139" s="1" t="b">
        <f t="shared" si="135"/>
        <v>0</v>
      </c>
      <c r="EB139" s="11" t="s">
        <v>334</v>
      </c>
      <c r="EC139" s="1" t="str">
        <f>IF(DR139,"","• Any Lawful alignment.
")&amp;IF(DS139,"","• A base attack bonus of +5 or higher.
")&amp;IF(DT139,"","• 5 ranks in Concentration.
")&amp;IF(DU139,"","• 5 ranks in Diplomacy.
")&amp;IF(DV139,"","• 5 ranks in Ride.
")&amp;IF(DW139,"","• Combat Expertise feat.
")&amp;IF(DX139,"","• Weapon Focus feat.")</f>
        <v>• A base attack bonus of +5 or higher.
• 5 ranks in Concentration.
• 5 ranks in Diplomacy.
• 5 ranks in Ride.
• Combat Expertise feat.
• Weapon Focus feat.</v>
      </c>
      <c r="ED139" s="11" t="s">
        <v>335</v>
      </c>
      <c r="EE139" s="11" t="s">
        <v>335</v>
      </c>
    </row>
    <row r="140" spans="1:145" ht="11.25" customHeight="1" x14ac:dyDescent="0.2">
      <c r="A140" s="1">
        <f t="shared" si="137"/>
        <v>137</v>
      </c>
      <c r="B140" s="1" t="s">
        <v>419</v>
      </c>
      <c r="C140" s="1" t="s">
        <v>420</v>
      </c>
      <c r="D140" s="1" t="s">
        <v>420</v>
      </c>
      <c r="E140" s="1">
        <f t="shared" si="84"/>
        <v>0</v>
      </c>
      <c r="K140" s="1">
        <v>2</v>
      </c>
      <c r="L140" s="1">
        <v>10</v>
      </c>
      <c r="V140" s="1">
        <v>1</v>
      </c>
      <c r="W140" s="1">
        <v>0.5</v>
      </c>
      <c r="X140" s="1">
        <v>0.34</v>
      </c>
      <c r="Y140" s="1">
        <v>0.34</v>
      </c>
      <c r="Z140" s="1" t="b">
        <f>FALSE</f>
        <v>0</v>
      </c>
      <c r="AA140" s="1" t="str">
        <f t="shared" si="88"/>
        <v/>
      </c>
      <c r="AB140" s="1" t="str">
        <f t="shared" si="89"/>
        <v/>
      </c>
      <c r="AC140" s="1">
        <f t="shared" si="85"/>
        <v>0</v>
      </c>
      <c r="AD140" s="1" t="str">
        <f t="shared" si="90"/>
        <v/>
      </c>
      <c r="AE140" s="1" t="str">
        <f t="shared" si="91"/>
        <v/>
      </c>
      <c r="AF140" s="1">
        <f t="shared" si="86"/>
        <v>0</v>
      </c>
      <c r="AG140" s="1">
        <f t="shared" si="97"/>
        <v>5</v>
      </c>
      <c r="AH140" s="1" t="str">
        <f t="shared" si="87"/>
        <v/>
      </c>
      <c r="AI140" s="1">
        <v>1</v>
      </c>
      <c r="AJ140" s="1">
        <f t="shared" si="125"/>
        <v>0</v>
      </c>
      <c r="AK140" s="1">
        <v>1</v>
      </c>
      <c r="AL140" s="1">
        <v>1</v>
      </c>
      <c r="AM140" s="1">
        <v>1</v>
      </c>
      <c r="AN140" s="1">
        <f t="shared" si="126"/>
        <v>0</v>
      </c>
      <c r="AO140" s="1">
        <v>2</v>
      </c>
      <c r="AP140" s="1">
        <v>2</v>
      </c>
      <c r="AQ140" s="1">
        <v>2</v>
      </c>
      <c r="AR140" s="1">
        <v>2</v>
      </c>
      <c r="AS140" s="1">
        <v>2</v>
      </c>
      <c r="AT140" s="1">
        <v>2</v>
      </c>
      <c r="AU140" s="1">
        <v>2</v>
      </c>
      <c r="AV140" s="1">
        <v>2</v>
      </c>
      <c r="AW140" s="1">
        <v>1</v>
      </c>
      <c r="AX140" s="1">
        <v>2</v>
      </c>
      <c r="AY140" s="1">
        <v>1</v>
      </c>
      <c r="AZ140" s="1">
        <v>1</v>
      </c>
      <c r="BA140" s="1">
        <v>1</v>
      </c>
      <c r="BB140" s="1">
        <v>1</v>
      </c>
      <c r="BC140" s="1">
        <v>1</v>
      </c>
      <c r="BD140" s="1">
        <v>1</v>
      </c>
      <c r="BE140" s="1">
        <v>1</v>
      </c>
      <c r="BF140" s="1">
        <v>1</v>
      </c>
      <c r="BG140" s="1">
        <f t="shared" si="127"/>
        <v>0</v>
      </c>
      <c r="BH140" s="1">
        <f t="shared" si="128"/>
        <v>0</v>
      </c>
      <c r="BI140" s="1">
        <v>2</v>
      </c>
      <c r="BJ140" s="1">
        <v>1</v>
      </c>
      <c r="BK140" s="1">
        <v>1</v>
      </c>
      <c r="BL140" s="1">
        <v>1</v>
      </c>
      <c r="BM140" s="1">
        <v>1</v>
      </c>
      <c r="BN140" s="1">
        <v>1</v>
      </c>
      <c r="BO140" s="1">
        <v>1</v>
      </c>
      <c r="BP140" s="1">
        <v>1</v>
      </c>
      <c r="BQ140" s="1">
        <f t="shared" si="138"/>
        <v>0</v>
      </c>
      <c r="BR140" s="1">
        <v>1</v>
      </c>
      <c r="BS140" s="1">
        <v>1</v>
      </c>
      <c r="BT140" s="1">
        <f t="shared" si="139"/>
        <v>0</v>
      </c>
      <c r="BU140" s="1">
        <f>IF(HRRVL,2,0)</f>
        <v>0</v>
      </c>
      <c r="BV140" s="1">
        <v>2</v>
      </c>
      <c r="BW140" s="1">
        <v>2</v>
      </c>
      <c r="BX140" s="1">
        <v>1</v>
      </c>
      <c r="BY140" s="1">
        <v>1</v>
      </c>
      <c r="BZ140" s="1">
        <v>1</v>
      </c>
      <c r="CA140" s="1">
        <v>1</v>
      </c>
      <c r="CB140" s="1">
        <v>1</v>
      </c>
      <c r="CC140" s="1">
        <v>1</v>
      </c>
      <c r="CD140" s="1">
        <v>1</v>
      </c>
      <c r="CE140" s="1">
        <v>1</v>
      </c>
      <c r="CF140" s="1">
        <v>1</v>
      </c>
      <c r="CG140" s="1">
        <f t="shared" si="131"/>
        <v>0</v>
      </c>
      <c r="CH140" s="1">
        <v>1</v>
      </c>
      <c r="CI140" s="1">
        <v>1</v>
      </c>
      <c r="CJ140" s="1">
        <v>1</v>
      </c>
      <c r="CK140" s="1">
        <v>1</v>
      </c>
      <c r="CL140" s="1">
        <v>1</v>
      </c>
      <c r="CM140" s="1">
        <v>1</v>
      </c>
      <c r="CN140" s="1">
        <v>1</v>
      </c>
      <c r="CO140" s="1">
        <v>1</v>
      </c>
      <c r="CP140" s="1">
        <v>2</v>
      </c>
      <c r="CQ140" s="1">
        <v>2</v>
      </c>
      <c r="CR140" s="1">
        <v>2</v>
      </c>
      <c r="CS140" s="1">
        <v>2</v>
      </c>
      <c r="CT140" s="1">
        <v>2</v>
      </c>
      <c r="CU140" s="1">
        <v>2</v>
      </c>
      <c r="CV140" s="1">
        <f t="shared" si="132"/>
        <v>0</v>
      </c>
      <c r="CW140" s="1">
        <v>1</v>
      </c>
      <c r="CX140" s="1">
        <v>1</v>
      </c>
      <c r="CY140" s="1">
        <v>2</v>
      </c>
      <c r="CZ140" s="1">
        <f t="shared" si="133"/>
        <v>0</v>
      </c>
      <c r="DA140" s="1">
        <v>1</v>
      </c>
      <c r="DB140" s="1">
        <v>1</v>
      </c>
      <c r="DC140" s="1">
        <v>1</v>
      </c>
      <c r="DD140" s="1">
        <v>1</v>
      </c>
      <c r="DE140" s="1">
        <v>1</v>
      </c>
      <c r="DF140" s="1">
        <v>1</v>
      </c>
      <c r="DG140" s="1">
        <v>1</v>
      </c>
      <c r="DH140" s="1">
        <v>1</v>
      </c>
      <c r="DI140" s="1">
        <f t="shared" si="134"/>
        <v>0</v>
      </c>
      <c r="DJ140" s="1">
        <v>1</v>
      </c>
      <c r="DK140" s="1" t="s">
        <v>124</v>
      </c>
      <c r="DL140" s="1" t="s">
        <v>40</v>
      </c>
      <c r="DR140" s="1" t="b">
        <f>AND(AlignmentLawful,AlignmentGood)</f>
        <v>1</v>
      </c>
      <c r="DS140" s="1" t="b">
        <f>BaseAtk&gt;=8</f>
        <v>0</v>
      </c>
      <c r="DT140" s="1" t="b">
        <f>SkKnowledgeReligionRanks&gt;=10</f>
        <v>0</v>
      </c>
      <c r="DU140" s="1" t="b">
        <f>SkKnowledgePlanesRanks&gt;=5</f>
        <v>0</v>
      </c>
      <c r="EA140" s="1" t="b">
        <f t="shared" si="135"/>
        <v>0</v>
      </c>
      <c r="EB140" s="11" t="s">
        <v>338</v>
      </c>
      <c r="EC140" s="1" t="str">
        <f>IF(DR140,"","• Lawful Good Alignment.
")&amp;IF(DS140,"","• A base attack bonus of +8 or higher.
")&amp;IF(DT140,"","• 10 ranks in Knowledge(Religion).
")&amp;IF(DU140,"","• 5 ranks in Knowledge(The Planes).
")&amp;"• Ability to cast divine spells, including Protection from Evil
   (not verified)."</f>
        <v>• A base attack bonus of +8 or higher.
• 10 ranks in Knowledge(Religion).
• 5 ranks in Knowledge(The Planes).
• Ability to cast divine spells, including Protection from Evil
   (not verified).</v>
      </c>
      <c r="ED140" s="11" t="s">
        <v>335</v>
      </c>
      <c r="EE140" s="1" t="s">
        <v>421</v>
      </c>
      <c r="EF140" s="1">
        <f>COUNTA($EE$19:$EE$134)</f>
        <v>111</v>
      </c>
      <c r="EN140" s="20" t="s">
        <v>134</v>
      </c>
      <c r="EO140" s="21">
        <f>IF(DoClassAbilityAdj,SUMPRODUCT((($EG$20:INDEX(TblClassAbilitiesAdj, ClassAbilitiesAdjRowsCnt,3))=$EN140)*(($EN$20:INDEX(TblClassAbilitiesAdj, ClassAbilitiesAdjRowsCnt,10))&lt;=LvlCS)*($EH$20:INDEX(TblClassAbilitiesAdj, ClassAbilitiesAdjRowsCnt,4))),0)</f>
        <v>0</v>
      </c>
    </row>
    <row r="141" spans="1:145" ht="11.25" customHeight="1" x14ac:dyDescent="0.2">
      <c r="A141" s="1">
        <f t="shared" si="137"/>
        <v>138</v>
      </c>
      <c r="B141" s="1" t="s">
        <v>422</v>
      </c>
      <c r="C141" s="1" t="s">
        <v>423</v>
      </c>
      <c r="D141" s="1" t="s">
        <v>423</v>
      </c>
      <c r="E141" s="1">
        <f t="shared" si="84"/>
        <v>0</v>
      </c>
      <c r="K141" s="1">
        <v>2</v>
      </c>
      <c r="L141" s="1">
        <v>10</v>
      </c>
      <c r="R141" s="1" t="b">
        <v>1</v>
      </c>
      <c r="V141" s="1">
        <v>1</v>
      </c>
      <c r="W141" s="1">
        <v>0.34</v>
      </c>
      <c r="X141" s="1">
        <v>0.34</v>
      </c>
      <c r="Y141" s="1">
        <v>0.5</v>
      </c>
      <c r="Z141" s="1" t="b">
        <f>FALSE</f>
        <v>0</v>
      </c>
      <c r="AA141" s="1" t="str">
        <f t="shared" si="88"/>
        <v/>
      </c>
      <c r="AB141" s="1" t="str">
        <f t="shared" si="89"/>
        <v/>
      </c>
      <c r="AC141" s="1">
        <f t="shared" si="85"/>
        <v>0</v>
      </c>
      <c r="AD141" s="1" t="str">
        <f t="shared" si="90"/>
        <v/>
      </c>
      <c r="AE141" s="1" t="str">
        <f t="shared" si="91"/>
        <v/>
      </c>
      <c r="AF141" s="1">
        <f t="shared" si="86"/>
        <v>0</v>
      </c>
      <c r="AG141" s="1">
        <f t="shared" si="97"/>
        <v>5</v>
      </c>
      <c r="AH141" s="1" t="str">
        <f t="shared" si="87"/>
        <v/>
      </c>
      <c r="AI141" s="1">
        <v>1</v>
      </c>
      <c r="AJ141" s="1">
        <f t="shared" si="125"/>
        <v>0</v>
      </c>
      <c r="AK141" s="1">
        <v>1</v>
      </c>
      <c r="AL141" s="1">
        <v>1</v>
      </c>
      <c r="AM141" s="1">
        <v>1</v>
      </c>
      <c r="AN141" s="1">
        <f t="shared" si="126"/>
        <v>0</v>
      </c>
      <c r="AO141" s="1">
        <v>1</v>
      </c>
      <c r="AP141" s="1">
        <v>1</v>
      </c>
      <c r="AQ141" s="1">
        <v>1</v>
      </c>
      <c r="AR141" s="1">
        <v>1</v>
      </c>
      <c r="AS141" s="1">
        <v>1</v>
      </c>
      <c r="AT141" s="1">
        <v>1</v>
      </c>
      <c r="AU141" s="1">
        <v>1</v>
      </c>
      <c r="AV141" s="1">
        <v>1</v>
      </c>
      <c r="AW141" s="1">
        <v>1</v>
      </c>
      <c r="AX141" s="1">
        <v>2</v>
      </c>
      <c r="AY141" s="1">
        <v>1</v>
      </c>
      <c r="AZ141" s="1">
        <v>1</v>
      </c>
      <c r="BA141" s="1">
        <v>1</v>
      </c>
      <c r="BB141" s="1">
        <v>1</v>
      </c>
      <c r="BC141" s="1">
        <v>1</v>
      </c>
      <c r="BD141" s="1">
        <v>1</v>
      </c>
      <c r="BE141" s="1">
        <v>1</v>
      </c>
      <c r="BF141" s="1">
        <v>1</v>
      </c>
      <c r="BG141" s="1">
        <f t="shared" si="127"/>
        <v>0</v>
      </c>
      <c r="BH141" s="1">
        <f t="shared" si="128"/>
        <v>0</v>
      </c>
      <c r="BI141" s="1">
        <v>2</v>
      </c>
      <c r="BJ141" s="1">
        <v>1</v>
      </c>
      <c r="BK141" s="1">
        <v>1</v>
      </c>
      <c r="BL141" s="1">
        <v>1</v>
      </c>
      <c r="BM141" s="1">
        <v>1</v>
      </c>
      <c r="BN141" s="1">
        <v>1</v>
      </c>
      <c r="BO141" s="1">
        <v>1</v>
      </c>
      <c r="BP141" s="1">
        <v>1</v>
      </c>
      <c r="BQ141" s="1">
        <f t="shared" si="138"/>
        <v>0</v>
      </c>
      <c r="BR141" s="1">
        <v>1</v>
      </c>
      <c r="BS141" s="1">
        <v>2</v>
      </c>
      <c r="BT141" s="1">
        <f t="shared" si="139"/>
        <v>0</v>
      </c>
      <c r="BU141" s="1">
        <f t="shared" ref="BU141:BU146" si="140">IF(HRRVL,1,0)</f>
        <v>0</v>
      </c>
      <c r="BV141" s="1">
        <v>1</v>
      </c>
      <c r="BW141" s="1">
        <v>1</v>
      </c>
      <c r="BX141" s="1">
        <v>1</v>
      </c>
      <c r="BY141" s="1">
        <v>1</v>
      </c>
      <c r="BZ141" s="1">
        <v>1</v>
      </c>
      <c r="CA141" s="1">
        <v>1</v>
      </c>
      <c r="CB141" s="1">
        <v>1</v>
      </c>
      <c r="CC141" s="1">
        <v>1</v>
      </c>
      <c r="CD141" s="1">
        <v>1</v>
      </c>
      <c r="CE141" s="1">
        <v>1</v>
      </c>
      <c r="CF141" s="1">
        <v>1</v>
      </c>
      <c r="CG141" s="1">
        <f t="shared" si="131"/>
        <v>0</v>
      </c>
      <c r="CH141" s="1">
        <v>1</v>
      </c>
      <c r="CI141" s="1">
        <v>1</v>
      </c>
      <c r="CJ141" s="1">
        <v>1</v>
      </c>
      <c r="CK141" s="1">
        <v>1</v>
      </c>
      <c r="CL141" s="1">
        <v>1</v>
      </c>
      <c r="CM141" s="1">
        <v>1</v>
      </c>
      <c r="CN141" s="1">
        <v>1</v>
      </c>
      <c r="CO141" s="1">
        <v>1</v>
      </c>
      <c r="CP141" s="1">
        <v>1</v>
      </c>
      <c r="CQ141" s="1">
        <v>1</v>
      </c>
      <c r="CR141" s="1">
        <v>1</v>
      </c>
      <c r="CS141" s="1">
        <v>1</v>
      </c>
      <c r="CT141" s="1">
        <v>1</v>
      </c>
      <c r="CU141" s="1">
        <v>1</v>
      </c>
      <c r="CV141" s="1">
        <f t="shared" si="132"/>
        <v>0</v>
      </c>
      <c r="CW141" s="1">
        <v>2</v>
      </c>
      <c r="CX141" s="1">
        <v>1</v>
      </c>
      <c r="CY141" s="1">
        <v>1</v>
      </c>
      <c r="CZ141" s="1">
        <f t="shared" si="133"/>
        <v>0</v>
      </c>
      <c r="DA141" s="1">
        <v>1</v>
      </c>
      <c r="DB141" s="1">
        <v>1</v>
      </c>
      <c r="DC141" s="1">
        <v>1</v>
      </c>
      <c r="DD141" s="1">
        <v>2</v>
      </c>
      <c r="DE141" s="1">
        <v>1</v>
      </c>
      <c r="DF141" s="1">
        <v>1</v>
      </c>
      <c r="DG141" s="1">
        <v>1</v>
      </c>
      <c r="DH141" s="1">
        <v>1</v>
      </c>
      <c r="DI141" s="1">
        <f t="shared" si="134"/>
        <v>0</v>
      </c>
      <c r="DJ141" s="1">
        <v>1</v>
      </c>
      <c r="DK141" s="1" t="s">
        <v>124</v>
      </c>
      <c r="DL141" s="1" t="s">
        <v>40</v>
      </c>
      <c r="DR141" s="1" t="b">
        <f>BaseAtk&gt;=5</f>
        <v>0</v>
      </c>
      <c r="DS141" s="1" t="b">
        <f>SkDiplomacyRanks&gt;=6</f>
        <v>0</v>
      </c>
      <c r="DT141" s="1" t="b">
        <f>SkKnowledgeNobilityRanks&gt;=4</f>
        <v>0</v>
      </c>
      <c r="DU141" s="1" t="b">
        <f>SkRideRanks&gt;=6</f>
        <v>0</v>
      </c>
      <c r="DV141" s="1" t="b">
        <f>AND(FtPowerAttackEquiv,FtCleave,FtGreatCleave)</f>
        <v>0</v>
      </c>
      <c r="DW141" s="1" t="b">
        <f>FtMountedCombat</f>
        <v>0</v>
      </c>
      <c r="DX141" s="1" t="b">
        <f>OR(FtArmorHeavy,HvyArmorProf)</f>
        <v>1</v>
      </c>
      <c r="DY141" s="1" t="b">
        <f>AND(AlignmentLawful,AlignmentNonEvil)</f>
        <v>1</v>
      </c>
      <c r="EA141" s="1" t="b">
        <f t="shared" si="135"/>
        <v>0</v>
      </c>
      <c r="EB141" s="11" t="s">
        <v>334</v>
      </c>
      <c r="EC141" s="1" t="str">
        <f>IF(DR141,"","• A base attack bonus of +5 or higher.
")&amp;IF(DS141,"","• 6 ranks in Diplomacy.
")&amp;IF(DT141,"","• 4 ranks in Knowledge(Nobility and Royalty).
")&amp;IF(DU141,"","• 6 ranks in Ride.
")&amp;IF(DV141,"","• Great Cleave, Cleave and Power Attack feats.
")&amp;IF(DW141,"","• Mounted Combat feat.
")&amp;IF(DX141,"","• Proficient with Heavy Armor.
")&amp;IF(DY141,"","• Your alignment must be lawful neutral or lawful good.")</f>
        <v xml:space="preserve">• A base attack bonus of +5 or higher.
• 6 ranks in Diplomacy.
• 4 ranks in Knowledge(Nobility and Royalty).
• 6 ranks in Ride.
• Great Cleave, Cleave and Power Attack feats.
• Mounted Combat feat.
</v>
      </c>
      <c r="ED141" s="11" t="s">
        <v>335</v>
      </c>
      <c r="EE141" s="1" t="s">
        <v>424</v>
      </c>
      <c r="EF141" s="1" t="b">
        <f>OR($EI$20:INDEX(TblClassAbilitiesAdj,ClassAbilitiesAdjRowsCnt,5))</f>
        <v>0</v>
      </c>
      <c r="EN141" s="8" t="s">
        <v>126</v>
      </c>
      <c r="EO141" s="10">
        <f>IF(DoClassAbilityAdj,SUMPRODUCT((($EG$20:INDEX(TblClassAbilitiesAdj, ClassAbilitiesAdjRowsCnt,3))=$EN141)*(($EN$20:INDEX(TblClassAbilitiesAdj, ClassAbilitiesAdjRowsCnt,10))&lt;=LvlCS)*($EH$20:INDEX(TblClassAbilitiesAdj, ClassAbilitiesAdjRowsCnt,4))),0)</f>
        <v>0</v>
      </c>
    </row>
    <row r="142" spans="1:145" ht="11.25" customHeight="1" x14ac:dyDescent="0.2">
      <c r="A142" s="1">
        <f t="shared" si="137"/>
        <v>139</v>
      </c>
      <c r="B142" s="1" t="s">
        <v>425</v>
      </c>
      <c r="C142" s="1" t="s">
        <v>426</v>
      </c>
      <c r="D142" s="1" t="s">
        <v>426</v>
      </c>
      <c r="E142" s="1">
        <f t="shared" si="84"/>
        <v>0</v>
      </c>
      <c r="K142" s="1">
        <v>4</v>
      </c>
      <c r="L142" s="1">
        <v>8</v>
      </c>
      <c r="V142" s="1">
        <v>1</v>
      </c>
      <c r="W142" s="1">
        <v>0.34</v>
      </c>
      <c r="X142" s="1">
        <v>0.5</v>
      </c>
      <c r="Y142" s="1">
        <v>0.34</v>
      </c>
      <c r="Z142" s="1" t="b">
        <f>FALSE</f>
        <v>0</v>
      </c>
      <c r="AA142" s="1" t="str">
        <f t="shared" si="88"/>
        <v/>
      </c>
      <c r="AB142" s="1" t="str">
        <f t="shared" si="89"/>
        <v/>
      </c>
      <c r="AC142" s="1">
        <f t="shared" si="85"/>
        <v>0</v>
      </c>
      <c r="AD142" s="1" t="str">
        <f t="shared" si="90"/>
        <v/>
      </c>
      <c r="AE142" s="1" t="str">
        <f t="shared" si="91"/>
        <v/>
      </c>
      <c r="AF142" s="1">
        <f t="shared" si="86"/>
        <v>0</v>
      </c>
      <c r="AG142" s="1">
        <f t="shared" si="97"/>
        <v>5</v>
      </c>
      <c r="AH142" s="1" t="str">
        <f t="shared" si="87"/>
        <v/>
      </c>
      <c r="AI142" s="1">
        <v>1</v>
      </c>
      <c r="AJ142" s="1">
        <f t="shared" si="125"/>
        <v>0</v>
      </c>
      <c r="AK142" s="1">
        <v>1</v>
      </c>
      <c r="AL142" s="1">
        <v>2</v>
      </c>
      <c r="AM142" s="1">
        <v>2</v>
      </c>
      <c r="AN142" s="1">
        <f t="shared" si="126"/>
        <v>0</v>
      </c>
      <c r="AO142" s="1">
        <v>2</v>
      </c>
      <c r="AP142" s="1">
        <v>2</v>
      </c>
      <c r="AQ142" s="1">
        <v>2</v>
      </c>
      <c r="AR142" s="1">
        <v>2</v>
      </c>
      <c r="AS142" s="1">
        <v>2</v>
      </c>
      <c r="AT142" s="1">
        <v>2</v>
      </c>
      <c r="AU142" s="1">
        <v>2</v>
      </c>
      <c r="AV142" s="1">
        <v>2</v>
      </c>
      <c r="AW142" s="1">
        <v>1</v>
      </c>
      <c r="AX142" s="1">
        <v>1</v>
      </c>
      <c r="AY142" s="1">
        <v>1</v>
      </c>
      <c r="AZ142" s="1">
        <v>1</v>
      </c>
      <c r="BA142" s="1">
        <v>1</v>
      </c>
      <c r="BB142" s="1">
        <v>1</v>
      </c>
      <c r="BC142" s="1">
        <v>1</v>
      </c>
      <c r="BD142" s="1">
        <v>1</v>
      </c>
      <c r="BE142" s="1">
        <v>1</v>
      </c>
      <c r="BF142" s="1">
        <v>1</v>
      </c>
      <c r="BG142" s="1">
        <f t="shared" si="127"/>
        <v>0</v>
      </c>
      <c r="BH142" s="1">
        <f t="shared" si="128"/>
        <v>0</v>
      </c>
      <c r="BI142" s="1">
        <v>1</v>
      </c>
      <c r="BJ142" s="1">
        <v>2</v>
      </c>
      <c r="BK142" s="1">
        <v>1</v>
      </c>
      <c r="BL142" s="1">
        <v>1</v>
      </c>
      <c r="BM142" s="1">
        <v>1</v>
      </c>
      <c r="BN142" s="1">
        <v>1</v>
      </c>
      <c r="BO142" s="1">
        <v>1</v>
      </c>
      <c r="BP142" s="1">
        <v>1</v>
      </c>
      <c r="BQ142" s="1">
        <f t="shared" si="138"/>
        <v>0</v>
      </c>
      <c r="BR142" s="1">
        <v>1</v>
      </c>
      <c r="BS142" s="1">
        <v>1</v>
      </c>
      <c r="BT142" s="1">
        <f t="shared" si="139"/>
        <v>0</v>
      </c>
      <c r="BU142" s="1">
        <f t="shared" si="140"/>
        <v>0</v>
      </c>
      <c r="BV142" s="1">
        <v>1</v>
      </c>
      <c r="BW142" s="1">
        <v>1</v>
      </c>
      <c r="BX142" s="1">
        <v>1</v>
      </c>
      <c r="BY142" s="1">
        <v>1</v>
      </c>
      <c r="BZ142" s="1">
        <v>1</v>
      </c>
      <c r="CA142" s="1">
        <v>1</v>
      </c>
      <c r="CB142" s="1">
        <v>1</v>
      </c>
      <c r="CC142" s="1">
        <v>1</v>
      </c>
      <c r="CD142" s="1">
        <v>1</v>
      </c>
      <c r="CE142" s="1">
        <v>1</v>
      </c>
      <c r="CF142" s="1">
        <v>1</v>
      </c>
      <c r="CG142" s="1">
        <f t="shared" si="131"/>
        <v>0</v>
      </c>
      <c r="CH142" s="1">
        <v>1</v>
      </c>
      <c r="CI142" s="1">
        <v>1</v>
      </c>
      <c r="CJ142" s="1">
        <v>2</v>
      </c>
      <c r="CK142" s="1">
        <v>2</v>
      </c>
      <c r="CL142" s="1">
        <v>2</v>
      </c>
      <c r="CM142" s="1">
        <v>2</v>
      </c>
      <c r="CN142" s="1">
        <v>2</v>
      </c>
      <c r="CO142" s="1">
        <v>2</v>
      </c>
      <c r="CP142" s="1">
        <v>2</v>
      </c>
      <c r="CQ142" s="1">
        <v>2</v>
      </c>
      <c r="CR142" s="1">
        <v>2</v>
      </c>
      <c r="CS142" s="1">
        <v>2</v>
      </c>
      <c r="CT142" s="1">
        <v>2</v>
      </c>
      <c r="CU142" s="1">
        <v>2</v>
      </c>
      <c r="CV142" s="1">
        <f t="shared" si="132"/>
        <v>0</v>
      </c>
      <c r="CW142" s="1">
        <v>1</v>
      </c>
      <c r="CX142" s="1">
        <v>1</v>
      </c>
      <c r="CY142" s="1">
        <v>1</v>
      </c>
      <c r="CZ142" s="1">
        <f t="shared" si="133"/>
        <v>0</v>
      </c>
      <c r="DA142" s="1">
        <v>2</v>
      </c>
      <c r="DB142" s="1">
        <v>1</v>
      </c>
      <c r="DC142" s="1">
        <v>1</v>
      </c>
      <c r="DD142" s="1">
        <v>2</v>
      </c>
      <c r="DE142" s="1">
        <v>1</v>
      </c>
      <c r="DF142" s="1">
        <v>1</v>
      </c>
      <c r="DG142" s="1">
        <v>2</v>
      </c>
      <c r="DH142" s="1">
        <v>1</v>
      </c>
      <c r="DI142" s="1">
        <f t="shared" si="134"/>
        <v>0</v>
      </c>
      <c r="DJ142" s="1">
        <v>2</v>
      </c>
      <c r="DK142" s="1" t="s">
        <v>124</v>
      </c>
      <c r="DL142" s="1" t="s">
        <v>40</v>
      </c>
      <c r="DR142" s="1" t="b">
        <f>BaseAtk&gt;=5</f>
        <v>0</v>
      </c>
      <c r="DS142" s="1" t="b">
        <f>SkSleightOfHandRanks&gt;=4</f>
        <v>0</v>
      </c>
      <c r="DT142" s="1" t="b">
        <f>FtPointBlankShot</f>
        <v>0</v>
      </c>
      <c r="DU142" s="1" t="b">
        <f>FtPreciseShot</f>
        <v>0</v>
      </c>
      <c r="DV142" s="1" t="b">
        <f>OR(FreeWeaponFocus,FtWeaponFocus1)</f>
        <v>0</v>
      </c>
      <c r="EA142" s="1" t="b">
        <f t="shared" si="135"/>
        <v>0</v>
      </c>
      <c r="EB142" s="11" t="s">
        <v>334</v>
      </c>
      <c r="EC142" s="1" t="str">
        <f>IF(DR142,"","• A base attack bonus of +5 or higher.
")&amp;IF(DS142,"","• 4 ranks in Sleight of Hand.
")&amp;IF(DT142,"","• Point Blank Shot feat.
")&amp;IF(DU142,"","• Precise Shot feat.
")&amp;IF(DV142,"","• Weapon Focus feat.")</f>
        <v>• A base attack bonus of +5 or higher.
• 4 ranks in Sleight of Hand.
• Point Blank Shot feat.
• Precise Shot feat.
• Weapon Focus feat.</v>
      </c>
      <c r="ED142" s="11" t="s">
        <v>335</v>
      </c>
      <c r="EE142" s="1" t="s">
        <v>427</v>
      </c>
      <c r="EF142" s="1" t="b">
        <f>ClassIntAdj&gt;0</f>
        <v>0</v>
      </c>
      <c r="EN142" s="8" t="s">
        <v>129</v>
      </c>
      <c r="EO142" s="10">
        <f>IF(DoClassAbilityAdj,SUMPRODUCT((($EG$20:INDEX(TblClassAbilitiesAdj, ClassAbilitiesAdjRowsCnt,3))=$EN142)*(($EN$20:INDEX(TblClassAbilitiesAdj, ClassAbilitiesAdjRowsCnt,10))&lt;=LvlCS)*($EH$20:INDEX(TblClassAbilitiesAdj, ClassAbilitiesAdjRowsCnt,4))),0)</f>
        <v>0</v>
      </c>
    </row>
    <row r="143" spans="1:145" ht="11.25" customHeight="1" x14ac:dyDescent="0.2">
      <c r="A143" s="1">
        <f t="shared" si="137"/>
        <v>140</v>
      </c>
      <c r="B143" s="1" t="s">
        <v>428</v>
      </c>
      <c r="C143" s="1" t="s">
        <v>429</v>
      </c>
      <c r="D143" s="1" t="s">
        <v>429</v>
      </c>
      <c r="E143" s="1">
        <f t="shared" si="84"/>
        <v>0</v>
      </c>
      <c r="K143" s="1">
        <v>2</v>
      </c>
      <c r="L143" s="1">
        <v>4</v>
      </c>
      <c r="V143" s="1">
        <v>1</v>
      </c>
      <c r="W143" s="1">
        <v>0.34</v>
      </c>
      <c r="X143" s="1">
        <v>0.34</v>
      </c>
      <c r="Y143" s="1">
        <v>0.5</v>
      </c>
      <c r="Z143" s="1" t="b">
        <f>FALSE</f>
        <v>0</v>
      </c>
      <c r="AA143" s="1" t="str">
        <f t="shared" si="88"/>
        <v/>
      </c>
      <c r="AB143" s="1" t="str">
        <f t="shared" si="89"/>
        <v/>
      </c>
      <c r="AC143" s="1">
        <f t="shared" si="85"/>
        <v>0</v>
      </c>
      <c r="AD143" s="1" t="str">
        <f t="shared" si="90"/>
        <v/>
      </c>
      <c r="AE143" s="1" t="str">
        <f t="shared" si="91"/>
        <v/>
      </c>
      <c r="AF143" s="1">
        <f t="shared" si="86"/>
        <v>0</v>
      </c>
      <c r="AG143" s="1">
        <f t="shared" si="97"/>
        <v>5</v>
      </c>
      <c r="AH143" s="1" t="str">
        <f t="shared" si="87"/>
        <v/>
      </c>
      <c r="AI143" s="1">
        <v>1</v>
      </c>
      <c r="AJ143" s="1">
        <f t="shared" si="125"/>
        <v>0</v>
      </c>
      <c r="AK143" s="1">
        <v>1</v>
      </c>
      <c r="AL143" s="1">
        <v>1</v>
      </c>
      <c r="AM143" s="1">
        <v>1</v>
      </c>
      <c r="AN143" s="1">
        <f t="shared" si="126"/>
        <v>0</v>
      </c>
      <c r="AO143" s="1">
        <v>2</v>
      </c>
      <c r="AP143" s="1">
        <v>2</v>
      </c>
      <c r="AQ143" s="1">
        <v>2</v>
      </c>
      <c r="AR143" s="1">
        <v>2</v>
      </c>
      <c r="AS143" s="1">
        <v>2</v>
      </c>
      <c r="AT143" s="1">
        <v>2</v>
      </c>
      <c r="AU143" s="1">
        <v>2</v>
      </c>
      <c r="AV143" s="1">
        <v>2</v>
      </c>
      <c r="AW143" s="1">
        <v>1</v>
      </c>
      <c r="AX143" s="1">
        <v>1</v>
      </c>
      <c r="AY143" s="1">
        <v>1</v>
      </c>
      <c r="AZ143" s="1">
        <v>1</v>
      </c>
      <c r="BA143" s="1">
        <v>1</v>
      </c>
      <c r="BB143" s="1">
        <v>1</v>
      </c>
      <c r="BC143" s="1">
        <v>1</v>
      </c>
      <c r="BD143" s="1">
        <v>1</v>
      </c>
      <c r="BE143" s="1">
        <v>1</v>
      </c>
      <c r="BF143" s="1">
        <v>1</v>
      </c>
      <c r="BG143" s="1">
        <f t="shared" si="127"/>
        <v>0</v>
      </c>
      <c r="BH143" s="1">
        <f t="shared" si="128"/>
        <v>0</v>
      </c>
      <c r="BI143" s="1">
        <v>2</v>
      </c>
      <c r="BJ143" s="1">
        <v>1</v>
      </c>
      <c r="BK143" s="1">
        <v>2</v>
      </c>
      <c r="BL143" s="1">
        <v>1</v>
      </c>
      <c r="BM143" s="1">
        <v>1</v>
      </c>
      <c r="BN143" s="1">
        <v>1</v>
      </c>
      <c r="BO143" s="1">
        <v>1</v>
      </c>
      <c r="BP143" s="1">
        <v>1</v>
      </c>
      <c r="BQ143" s="1">
        <f t="shared" si="138"/>
        <v>0</v>
      </c>
      <c r="BR143" s="1">
        <v>1</v>
      </c>
      <c r="BS143" s="1">
        <v>1</v>
      </c>
      <c r="BT143" s="1">
        <f t="shared" si="139"/>
        <v>0</v>
      </c>
      <c r="BU143" s="1">
        <f t="shared" si="140"/>
        <v>0</v>
      </c>
      <c r="BV143" s="1">
        <v>1</v>
      </c>
      <c r="BW143" s="1">
        <v>1</v>
      </c>
      <c r="BX143" s="1">
        <v>1</v>
      </c>
      <c r="BY143" s="1">
        <v>1</v>
      </c>
      <c r="BZ143" s="1">
        <v>1</v>
      </c>
      <c r="CA143" s="1">
        <v>1</v>
      </c>
      <c r="CB143" s="1">
        <v>1</v>
      </c>
      <c r="CC143" s="1">
        <v>1</v>
      </c>
      <c r="CD143" s="1">
        <v>1</v>
      </c>
      <c r="CE143" s="1">
        <v>1</v>
      </c>
      <c r="CF143" s="1">
        <v>1</v>
      </c>
      <c r="CG143" s="1">
        <f t="shared" si="131"/>
        <v>0</v>
      </c>
      <c r="CH143" s="1">
        <v>1</v>
      </c>
      <c r="CI143" s="1">
        <v>1</v>
      </c>
      <c r="CJ143" s="1">
        <v>1</v>
      </c>
      <c r="CK143" s="1">
        <v>1</v>
      </c>
      <c r="CL143" s="1">
        <v>1</v>
      </c>
      <c r="CM143" s="1">
        <v>1</v>
      </c>
      <c r="CN143" s="1">
        <v>1</v>
      </c>
      <c r="CO143" s="1">
        <v>1</v>
      </c>
      <c r="CP143" s="1">
        <v>2</v>
      </c>
      <c r="CQ143" s="1">
        <v>2</v>
      </c>
      <c r="CR143" s="1">
        <v>2</v>
      </c>
      <c r="CS143" s="1">
        <v>2</v>
      </c>
      <c r="CT143" s="1">
        <v>2</v>
      </c>
      <c r="CU143" s="1">
        <v>2</v>
      </c>
      <c r="CV143" s="1">
        <f t="shared" si="132"/>
        <v>0</v>
      </c>
      <c r="CW143" s="1">
        <v>1</v>
      </c>
      <c r="CX143" s="1">
        <v>1</v>
      </c>
      <c r="CY143" s="1">
        <v>1</v>
      </c>
      <c r="CZ143" s="1">
        <f t="shared" si="133"/>
        <v>0</v>
      </c>
      <c r="DA143" s="1">
        <v>1</v>
      </c>
      <c r="DB143" s="1">
        <v>1</v>
      </c>
      <c r="DC143" s="1">
        <v>2</v>
      </c>
      <c r="DD143" s="1">
        <v>1</v>
      </c>
      <c r="DE143" s="1">
        <v>1</v>
      </c>
      <c r="DF143" s="1">
        <v>1</v>
      </c>
      <c r="DG143" s="1">
        <v>1</v>
      </c>
      <c r="DH143" s="1">
        <v>1</v>
      </c>
      <c r="DI143" s="1">
        <f t="shared" si="134"/>
        <v>0</v>
      </c>
      <c r="DJ143" s="1">
        <v>1</v>
      </c>
      <c r="DK143" s="1" t="s">
        <v>124</v>
      </c>
      <c r="DL143" s="1" t="s">
        <v>40</v>
      </c>
      <c r="DR143" s="1" t="b">
        <f>SkConcentrationRanks&gt;=8</f>
        <v>0</v>
      </c>
      <c r="EA143" s="1" t="b">
        <f>DR143</f>
        <v>0</v>
      </c>
      <c r="EB143" s="11" t="s">
        <v>338</v>
      </c>
      <c r="EC143" s="1" t="str">
        <f>IF(DR143,"","• 8 ranks in Concentration.
")&amp;IF(DS143,"","• Ability to use telekinesis(not verified).")</f>
        <v>• 8 ranks in Concentration.
• Ability to use telekinesis(not verified).</v>
      </c>
      <c r="ED143" s="11" t="s">
        <v>335</v>
      </c>
      <c r="EN143" s="8" t="s">
        <v>153</v>
      </c>
      <c r="EO143" s="10">
        <f>IF(DoClassAbilityAdj,SUMPRODUCT((($EG$20:INDEX(TblClassAbilitiesAdj, ClassAbilitiesAdjRowsCnt,3))=$EN143)*(($EN$20:INDEX(TblClassAbilitiesAdj, ClassAbilitiesAdjRowsCnt,10))&lt;=LvlCS)*($EH$20:INDEX(TblClassAbilitiesAdj, ClassAbilitiesAdjRowsCnt,4))),0)</f>
        <v>0</v>
      </c>
    </row>
    <row r="144" spans="1:145" ht="11.25" customHeight="1" x14ac:dyDescent="0.2">
      <c r="A144" s="1">
        <f t="shared" si="137"/>
        <v>141</v>
      </c>
      <c r="B144" s="1" t="s">
        <v>430</v>
      </c>
      <c r="C144" s="1" t="s">
        <v>431</v>
      </c>
      <c r="D144" s="1" t="s">
        <v>431</v>
      </c>
      <c r="E144" s="1">
        <f t="shared" si="84"/>
        <v>0</v>
      </c>
      <c r="K144" s="1">
        <v>2</v>
      </c>
      <c r="L144" s="1">
        <v>8</v>
      </c>
      <c r="V144" s="1">
        <v>1</v>
      </c>
      <c r="W144" s="1">
        <v>0.34</v>
      </c>
      <c r="X144" s="1">
        <v>0.34</v>
      </c>
      <c r="Y144" s="1">
        <v>0.5</v>
      </c>
      <c r="Z144" s="1" t="b">
        <f>FALSE</f>
        <v>0</v>
      </c>
      <c r="AA144" s="1" t="str">
        <f t="shared" si="88"/>
        <v/>
      </c>
      <c r="AB144" s="1" t="str">
        <f t="shared" si="89"/>
        <v/>
      </c>
      <c r="AC144" s="1">
        <f t="shared" si="85"/>
        <v>0</v>
      </c>
      <c r="AD144" s="1" t="str">
        <f t="shared" si="90"/>
        <v/>
      </c>
      <c r="AE144" s="1" t="str">
        <f t="shared" si="91"/>
        <v/>
      </c>
      <c r="AF144" s="1">
        <f t="shared" si="86"/>
        <v>0</v>
      </c>
      <c r="AG144" s="1">
        <f t="shared" si="97"/>
        <v>5</v>
      </c>
      <c r="AH144" s="1" t="str">
        <f t="shared" si="87"/>
        <v/>
      </c>
      <c r="AI144" s="1">
        <v>1</v>
      </c>
      <c r="AJ144" s="1">
        <f t="shared" si="125"/>
        <v>0</v>
      </c>
      <c r="AK144" s="1">
        <v>1</v>
      </c>
      <c r="AL144" s="1">
        <v>2</v>
      </c>
      <c r="AM144" s="1">
        <v>1</v>
      </c>
      <c r="AN144" s="1">
        <f t="shared" si="126"/>
        <v>0</v>
      </c>
      <c r="AO144" s="1">
        <v>2</v>
      </c>
      <c r="AP144" s="1">
        <v>2</v>
      </c>
      <c r="AQ144" s="1">
        <v>2</v>
      </c>
      <c r="AR144" s="1">
        <v>2</v>
      </c>
      <c r="AS144" s="1">
        <v>2</v>
      </c>
      <c r="AT144" s="1">
        <v>2</v>
      </c>
      <c r="AU144" s="1">
        <v>2</v>
      </c>
      <c r="AV144" s="1">
        <v>2</v>
      </c>
      <c r="AW144" s="1">
        <v>1</v>
      </c>
      <c r="AX144" s="1">
        <v>1</v>
      </c>
      <c r="AY144" s="1">
        <v>1</v>
      </c>
      <c r="AZ144" s="1">
        <v>1</v>
      </c>
      <c r="BA144" s="1">
        <v>1</v>
      </c>
      <c r="BB144" s="1">
        <v>1</v>
      </c>
      <c r="BC144" s="1">
        <v>1</v>
      </c>
      <c r="BD144" s="1">
        <v>1</v>
      </c>
      <c r="BE144" s="1">
        <v>1</v>
      </c>
      <c r="BF144" s="1">
        <v>1</v>
      </c>
      <c r="BG144" s="1">
        <f t="shared" si="127"/>
        <v>0</v>
      </c>
      <c r="BH144" s="1">
        <f t="shared" si="128"/>
        <v>0</v>
      </c>
      <c r="BI144" s="1">
        <v>2</v>
      </c>
      <c r="BJ144" s="1">
        <v>1</v>
      </c>
      <c r="BK144" s="1">
        <v>1</v>
      </c>
      <c r="BL144" s="1">
        <v>1</v>
      </c>
      <c r="BM144" s="1">
        <v>1</v>
      </c>
      <c r="BN144" s="1">
        <v>1</v>
      </c>
      <c r="BO144" s="1">
        <v>1</v>
      </c>
      <c r="BP144" s="1">
        <v>1</v>
      </c>
      <c r="BQ144" s="1">
        <f t="shared" si="138"/>
        <v>0</v>
      </c>
      <c r="BR144" s="1">
        <v>1</v>
      </c>
      <c r="BS144" s="1">
        <v>1</v>
      </c>
      <c r="BT144" s="1">
        <f t="shared" si="139"/>
        <v>0</v>
      </c>
      <c r="BU144" s="1">
        <f t="shared" si="140"/>
        <v>0</v>
      </c>
      <c r="BV144" s="1">
        <v>1</v>
      </c>
      <c r="BW144" s="1">
        <v>1</v>
      </c>
      <c r="BX144" s="1">
        <v>1</v>
      </c>
      <c r="BY144" s="1">
        <v>1</v>
      </c>
      <c r="BZ144" s="1">
        <v>1</v>
      </c>
      <c r="CA144" s="1">
        <v>1</v>
      </c>
      <c r="CB144" s="1">
        <v>1</v>
      </c>
      <c r="CC144" s="1">
        <v>1</v>
      </c>
      <c r="CD144" s="1">
        <v>1</v>
      </c>
      <c r="CE144" s="1">
        <v>1</v>
      </c>
      <c r="CF144" s="1">
        <v>1</v>
      </c>
      <c r="CG144" s="1">
        <f t="shared" si="131"/>
        <v>0</v>
      </c>
      <c r="CH144" s="1">
        <v>1</v>
      </c>
      <c r="CI144" s="1">
        <v>1</v>
      </c>
      <c r="CJ144" s="1">
        <v>1</v>
      </c>
      <c r="CK144" s="1">
        <v>1</v>
      </c>
      <c r="CL144" s="1">
        <v>1</v>
      </c>
      <c r="CM144" s="1">
        <v>1</v>
      </c>
      <c r="CN144" s="1">
        <v>1</v>
      </c>
      <c r="CO144" s="1">
        <v>1</v>
      </c>
      <c r="CP144" s="1">
        <v>2</v>
      </c>
      <c r="CQ144" s="1">
        <v>2</v>
      </c>
      <c r="CR144" s="1">
        <v>2</v>
      </c>
      <c r="CS144" s="1">
        <v>2</v>
      </c>
      <c r="CT144" s="1">
        <v>2</v>
      </c>
      <c r="CU144" s="1">
        <v>2</v>
      </c>
      <c r="CV144" s="1">
        <f t="shared" si="132"/>
        <v>0</v>
      </c>
      <c r="CW144" s="1">
        <v>1</v>
      </c>
      <c r="CX144" s="1">
        <v>1</v>
      </c>
      <c r="CY144" s="1">
        <v>2</v>
      </c>
      <c r="CZ144" s="1">
        <f t="shared" si="133"/>
        <v>0</v>
      </c>
      <c r="DA144" s="1">
        <v>1</v>
      </c>
      <c r="DB144" s="1">
        <v>1</v>
      </c>
      <c r="DC144" s="1">
        <v>1</v>
      </c>
      <c r="DD144" s="1">
        <v>1</v>
      </c>
      <c r="DE144" s="1">
        <v>1</v>
      </c>
      <c r="DF144" s="1">
        <v>1</v>
      </c>
      <c r="DG144" s="1">
        <v>1</v>
      </c>
      <c r="DH144" s="1">
        <v>1</v>
      </c>
      <c r="DI144" s="1">
        <f t="shared" si="134"/>
        <v>0</v>
      </c>
      <c r="DJ144" s="1">
        <v>1</v>
      </c>
      <c r="DK144" s="1" t="s">
        <v>124</v>
      </c>
      <c r="DL144" s="1" t="s">
        <v>40</v>
      </c>
      <c r="DR144" s="1" t="b">
        <f>BaseAtk&gt;=3</f>
        <v>0</v>
      </c>
      <c r="DS144" s="1" t="b">
        <f>SkConcentrationRanks&gt;=8</f>
        <v>0</v>
      </c>
      <c r="EA144" s="1" t="b">
        <f>AND(DR144:DS144)</f>
        <v>0</v>
      </c>
      <c r="EB144" s="11" t="s">
        <v>338</v>
      </c>
      <c r="EC144" s="1" t="str">
        <f>IF(DR144,"","• A base attack bonus of +3 or higher.
")&amp;IF(DS144,"","• 8 ranks in Concentration.
")&amp;"• Ability to use detect thoughts(not verified)."</f>
        <v>• A base attack bonus of +3 or higher.
• 8 ranks in Concentration.
• Ability to use detect thoughts(not verified).</v>
      </c>
      <c r="ED144" s="11" t="s">
        <v>335</v>
      </c>
      <c r="EE144" s="22" t="s">
        <v>120</v>
      </c>
      <c r="EF144" s="1" t="e">
        <f>MATCH(5,TblAnointSelf,0)</f>
        <v>#N/A</v>
      </c>
      <c r="EN144" s="8" t="s">
        <v>118</v>
      </c>
      <c r="EO144" s="10">
        <f>IF(DoClassAbilityAdj,SUMPRODUCT((($EG$20:INDEX(TblClassAbilitiesAdj, ClassAbilitiesAdjRowsCnt,3))=$EN144)*(($EN$20:INDEX(TblClassAbilitiesAdj, ClassAbilitiesAdjRowsCnt,10))&lt;=LvlCS)*($EH$20:INDEX(TblClassAbilitiesAdj, ClassAbilitiesAdjRowsCnt,4))),0)</f>
        <v>0</v>
      </c>
    </row>
    <row r="145" spans="1:145" ht="11.25" customHeight="1" thickBot="1" x14ac:dyDescent="0.25">
      <c r="A145" s="1">
        <f t="shared" si="137"/>
        <v>142</v>
      </c>
      <c r="B145" s="1" t="s">
        <v>432</v>
      </c>
      <c r="C145" s="1" t="s">
        <v>433</v>
      </c>
      <c r="D145" s="1" t="s">
        <v>433</v>
      </c>
      <c r="E145" s="1">
        <f t="shared" si="84"/>
        <v>0</v>
      </c>
      <c r="G145" s="1">
        <f>INT(NWrLvl/2)</f>
        <v>0</v>
      </c>
      <c r="K145" s="1">
        <v>2</v>
      </c>
      <c r="L145" s="1">
        <v>10</v>
      </c>
      <c r="V145" s="1">
        <v>1</v>
      </c>
      <c r="W145" s="1">
        <v>0.5</v>
      </c>
      <c r="X145" s="1">
        <v>0.34</v>
      </c>
      <c r="Y145" s="1">
        <v>0.34</v>
      </c>
      <c r="Z145" s="1" t="b">
        <f>FALSE</f>
        <v>0</v>
      </c>
      <c r="AA145" s="1" t="str">
        <f t="shared" si="88"/>
        <v/>
      </c>
      <c r="AB145" s="1" t="str">
        <f t="shared" si="89"/>
        <v/>
      </c>
      <c r="AC145" s="1">
        <f t="shared" si="85"/>
        <v>0</v>
      </c>
      <c r="AD145" s="1" t="str">
        <f t="shared" si="90"/>
        <v/>
      </c>
      <c r="AE145" s="1" t="str">
        <f t="shared" si="91"/>
        <v/>
      </c>
      <c r="AF145" s="1">
        <f t="shared" si="86"/>
        <v>0</v>
      </c>
      <c r="AG145" s="1">
        <f t="shared" si="97"/>
        <v>5</v>
      </c>
      <c r="AH145" s="1" t="str">
        <f t="shared" si="87"/>
        <v/>
      </c>
      <c r="AI145" s="1">
        <v>1</v>
      </c>
      <c r="AJ145" s="1">
        <f t="shared" si="125"/>
        <v>0</v>
      </c>
      <c r="AK145" s="1">
        <v>1</v>
      </c>
      <c r="AL145" s="1">
        <v>1</v>
      </c>
      <c r="AM145" s="1">
        <v>1</v>
      </c>
      <c r="AN145" s="1">
        <f t="shared" si="126"/>
        <v>0</v>
      </c>
      <c r="AO145" s="1">
        <v>1</v>
      </c>
      <c r="AP145" s="1">
        <v>1</v>
      </c>
      <c r="AQ145" s="1">
        <v>1</v>
      </c>
      <c r="AR145" s="1">
        <v>1</v>
      </c>
      <c r="AS145" s="1">
        <v>1</v>
      </c>
      <c r="AT145" s="1">
        <v>1</v>
      </c>
      <c r="AU145" s="1">
        <v>1</v>
      </c>
      <c r="AV145" s="1">
        <v>1</v>
      </c>
      <c r="AW145" s="1">
        <v>1</v>
      </c>
      <c r="AX145" s="1">
        <v>2</v>
      </c>
      <c r="AY145" s="1">
        <v>1</v>
      </c>
      <c r="AZ145" s="1">
        <v>1</v>
      </c>
      <c r="BA145" s="1">
        <v>1</v>
      </c>
      <c r="BB145" s="1">
        <v>1</v>
      </c>
      <c r="BC145" s="1">
        <v>1</v>
      </c>
      <c r="BD145" s="1">
        <v>2</v>
      </c>
      <c r="BE145" s="1">
        <v>1</v>
      </c>
      <c r="BF145" s="1">
        <v>1</v>
      </c>
      <c r="BG145" s="1">
        <f t="shared" si="127"/>
        <v>0</v>
      </c>
      <c r="BH145" s="1">
        <f t="shared" si="128"/>
        <v>0</v>
      </c>
      <c r="BI145" s="1">
        <v>2</v>
      </c>
      <c r="BJ145" s="1">
        <v>2</v>
      </c>
      <c r="BK145" s="1">
        <v>1</v>
      </c>
      <c r="BL145" s="1">
        <v>1</v>
      </c>
      <c r="BM145" s="1">
        <v>1</v>
      </c>
      <c r="BN145" s="1">
        <v>1</v>
      </c>
      <c r="BO145" s="1">
        <v>1</v>
      </c>
      <c r="BP145" s="1">
        <v>1</v>
      </c>
      <c r="BQ145" s="1">
        <f>IF(HRRVL,2,0)</f>
        <v>0</v>
      </c>
      <c r="BR145" s="1">
        <v>2</v>
      </c>
      <c r="BS145" s="1">
        <v>1</v>
      </c>
      <c r="BT145" s="1">
        <f t="shared" si="139"/>
        <v>0</v>
      </c>
      <c r="BU145" s="1">
        <f t="shared" si="140"/>
        <v>0</v>
      </c>
      <c r="BV145" s="1">
        <v>1</v>
      </c>
      <c r="BW145" s="1">
        <v>1</v>
      </c>
      <c r="BX145" s="1">
        <v>1</v>
      </c>
      <c r="BY145" s="1">
        <v>1</v>
      </c>
      <c r="BZ145" s="1">
        <v>1</v>
      </c>
      <c r="CA145" s="1">
        <v>1</v>
      </c>
      <c r="CB145" s="1">
        <v>1</v>
      </c>
      <c r="CC145" s="1">
        <v>1</v>
      </c>
      <c r="CD145" s="1">
        <v>1</v>
      </c>
      <c r="CE145" s="1">
        <v>1</v>
      </c>
      <c r="CF145" s="1">
        <v>2</v>
      </c>
      <c r="CG145" s="1">
        <f t="shared" si="131"/>
        <v>0</v>
      </c>
      <c r="CH145" s="1">
        <v>1</v>
      </c>
      <c r="CI145" s="1">
        <v>1</v>
      </c>
      <c r="CJ145" s="1">
        <v>1</v>
      </c>
      <c r="CK145" s="1">
        <v>1</v>
      </c>
      <c r="CL145" s="1">
        <v>1</v>
      </c>
      <c r="CM145" s="1">
        <v>1</v>
      </c>
      <c r="CN145" s="1">
        <v>1</v>
      </c>
      <c r="CO145" s="1">
        <v>1</v>
      </c>
      <c r="CP145" s="1">
        <v>1</v>
      </c>
      <c r="CQ145" s="1">
        <v>1</v>
      </c>
      <c r="CR145" s="1">
        <v>1</v>
      </c>
      <c r="CS145" s="1">
        <v>1</v>
      </c>
      <c r="CT145" s="1">
        <v>1</v>
      </c>
      <c r="CU145" s="1">
        <v>1</v>
      </c>
      <c r="CV145" s="1">
        <f t="shared" si="132"/>
        <v>0</v>
      </c>
      <c r="CW145" s="1">
        <v>1</v>
      </c>
      <c r="CX145" s="1">
        <v>1</v>
      </c>
      <c r="CY145" s="1">
        <v>1</v>
      </c>
      <c r="CZ145" s="1">
        <f t="shared" si="133"/>
        <v>0</v>
      </c>
      <c r="DA145" s="1">
        <v>1</v>
      </c>
      <c r="DB145" s="1">
        <v>1</v>
      </c>
      <c r="DC145" s="1">
        <v>1</v>
      </c>
      <c r="DD145" s="1">
        <v>1</v>
      </c>
      <c r="DE145" s="1">
        <v>2</v>
      </c>
      <c r="DF145" s="1">
        <v>2</v>
      </c>
      <c r="DG145" s="1">
        <v>1</v>
      </c>
      <c r="DH145" s="1">
        <v>1</v>
      </c>
      <c r="DI145" s="1">
        <f t="shared" si="134"/>
        <v>0</v>
      </c>
      <c r="DJ145" s="1">
        <v>1</v>
      </c>
      <c r="DK145" s="1" t="s">
        <v>124</v>
      </c>
      <c r="DL145" s="1" t="s">
        <v>40</v>
      </c>
      <c r="DR145" s="1" t="b">
        <f>AlignmentNeutral</f>
        <v>0</v>
      </c>
      <c r="DS145" s="1" t="b">
        <f>BaseAtk&gt;=4</f>
        <v>0</v>
      </c>
      <c r="DT145" s="1" t="b">
        <f>SkKnowledgeNatureRanks&gt;=8</f>
        <v>0</v>
      </c>
      <c r="DU145" s="1" t="b">
        <f>SkKnowledgePlanesRanks&gt;=2</f>
        <v>0</v>
      </c>
      <c r="DV145" s="1" t="b">
        <f>SkSurvivalRanks&gt;=8</f>
        <v>0</v>
      </c>
      <c r="DW145" s="1" t="b">
        <f>OR(FreeTrack,FtTrack)</f>
        <v>0</v>
      </c>
      <c r="DX145" s="1" t="b">
        <f>WildShapeAmount&gt;=1</f>
        <v>0</v>
      </c>
      <c r="EA145" s="1" t="b">
        <f t="shared" ref="EA145:EA157" si="141">AND(DM145:DZ145)</f>
        <v>0</v>
      </c>
      <c r="EB145" s="11" t="s">
        <v>334</v>
      </c>
      <c r="EC145" s="1" t="str">
        <f>IF(DR145,"","• Any Neutral alignment.
")&amp;IF(DS145,"","• A base attack bonus of +4 or higher.
")&amp;IF(DT145,"","• 8 ranks in Knowledge(nature).
")&amp;IF(DU145,"","• 2 ranks in Knowledge(the planes).
")&amp;IF(DV145,"","• 8 ranks in Survival.
")&amp;IF(DW145,"","• Track feat.
")&amp;IF(DX145,"","• Ability to Wild Shape.")</f>
        <v>• Any Neutral alignment.
• A base attack bonus of +4 or higher.
• 8 ranks in Knowledge(nature).
• 2 ranks in Knowledge(the planes).
• 8 ranks in Survival.
• Track feat.
• Ability to Wild Shape.</v>
      </c>
      <c r="ED145" s="11" t="s">
        <v>335</v>
      </c>
      <c r="EE145" s="22" t="s">
        <v>434</v>
      </c>
      <c r="EF145" s="1" t="e">
        <f>MATCH(5,TblBlackMagicOil,0)</f>
        <v>#N/A</v>
      </c>
      <c r="EN145" s="23" t="s">
        <v>162</v>
      </c>
      <c r="EO145" s="24">
        <f>IF(DoClassAbilityAdj,SUMPRODUCT((($EG$20:INDEX(TblClassAbilitiesAdj, ClassAbilitiesAdjRowsCnt,3))=$EN145)*(($EN$20:INDEX(TblClassAbilitiesAdj, ClassAbilitiesAdjRowsCnt,10))&lt;=LvlCS)*($EH$20:INDEX(TblClassAbilitiesAdj, ClassAbilitiesAdjRowsCnt,4))),0)</f>
        <v>0</v>
      </c>
    </row>
    <row r="146" spans="1:145" ht="11.25" customHeight="1" x14ac:dyDescent="0.2">
      <c r="A146" s="1">
        <f t="shared" si="137"/>
        <v>143</v>
      </c>
      <c r="B146" s="1" t="s">
        <v>435</v>
      </c>
      <c r="C146" s="1" t="s">
        <v>436</v>
      </c>
      <c r="D146" s="1" t="s">
        <v>436</v>
      </c>
      <c r="E146" s="1">
        <f t="shared" si="84"/>
        <v>0</v>
      </c>
      <c r="K146" s="1">
        <v>2</v>
      </c>
      <c r="L146" s="1">
        <v>8</v>
      </c>
      <c r="N146" s="1" t="b">
        <v>1</v>
      </c>
      <c r="O146" s="1" t="b">
        <v>1</v>
      </c>
      <c r="P146" s="1" t="b">
        <v>1</v>
      </c>
      <c r="Q146" s="1" t="b">
        <v>1</v>
      </c>
      <c r="R146" s="1" t="b">
        <v>1</v>
      </c>
      <c r="S146" s="1" t="b">
        <v>1</v>
      </c>
      <c r="T146" s="1" t="b">
        <v>1</v>
      </c>
      <c r="V146" s="1">
        <v>1</v>
      </c>
      <c r="W146" s="1">
        <v>0.34</v>
      </c>
      <c r="X146" s="1">
        <v>0.34</v>
      </c>
      <c r="Y146" s="1">
        <v>0.5</v>
      </c>
      <c r="Z146" s="1" t="b">
        <f>FALSE</f>
        <v>0</v>
      </c>
      <c r="AA146" s="1" t="str">
        <f t="shared" si="88"/>
        <v/>
      </c>
      <c r="AB146" s="1" t="str">
        <f t="shared" si="89"/>
        <v/>
      </c>
      <c r="AC146" s="1">
        <f t="shared" si="85"/>
        <v>0</v>
      </c>
      <c r="AD146" s="1" t="str">
        <f t="shared" si="90"/>
        <v/>
      </c>
      <c r="AE146" s="1" t="str">
        <f t="shared" si="91"/>
        <v/>
      </c>
      <c r="AF146" s="1">
        <f t="shared" si="86"/>
        <v>0</v>
      </c>
      <c r="AG146" s="1">
        <f t="shared" si="97"/>
        <v>5</v>
      </c>
      <c r="AH146" s="1" t="str">
        <f t="shared" si="87"/>
        <v/>
      </c>
      <c r="AI146" s="1">
        <v>1</v>
      </c>
      <c r="AJ146" s="1">
        <f t="shared" si="125"/>
        <v>0</v>
      </c>
      <c r="AK146" s="1">
        <v>1</v>
      </c>
      <c r="AL146" s="1">
        <v>2</v>
      </c>
      <c r="AM146" s="1">
        <v>1</v>
      </c>
      <c r="AN146" s="1">
        <f t="shared" si="126"/>
        <v>0</v>
      </c>
      <c r="AO146" s="1">
        <v>1</v>
      </c>
      <c r="AP146" s="1">
        <v>2</v>
      </c>
      <c r="AQ146" s="1">
        <v>2</v>
      </c>
      <c r="AR146" s="1">
        <v>2</v>
      </c>
      <c r="AS146" s="1">
        <v>2</v>
      </c>
      <c r="AT146" s="1">
        <v>2</v>
      </c>
      <c r="AU146" s="1">
        <v>2</v>
      </c>
      <c r="AV146" s="1">
        <v>2</v>
      </c>
      <c r="AW146" s="1">
        <v>1</v>
      </c>
      <c r="AX146" s="1">
        <v>1</v>
      </c>
      <c r="AY146" s="1">
        <v>1</v>
      </c>
      <c r="AZ146" s="1">
        <v>1</v>
      </c>
      <c r="BA146" s="1">
        <v>1</v>
      </c>
      <c r="BB146" s="1">
        <v>1</v>
      </c>
      <c r="BC146" s="1">
        <v>2</v>
      </c>
      <c r="BD146" s="1">
        <v>1</v>
      </c>
      <c r="BE146" s="1">
        <v>1</v>
      </c>
      <c r="BF146" s="1">
        <v>1</v>
      </c>
      <c r="BG146" s="1">
        <f t="shared" si="127"/>
        <v>0</v>
      </c>
      <c r="BH146" s="1">
        <f t="shared" si="128"/>
        <v>0</v>
      </c>
      <c r="BI146" s="1">
        <v>1</v>
      </c>
      <c r="BJ146" s="1">
        <v>1</v>
      </c>
      <c r="BK146" s="1">
        <v>2</v>
      </c>
      <c r="BL146" s="1">
        <v>1</v>
      </c>
      <c r="BM146" s="1">
        <v>1</v>
      </c>
      <c r="BN146" s="1">
        <v>1</v>
      </c>
      <c r="BO146" s="1">
        <v>1</v>
      </c>
      <c r="BP146" s="1">
        <v>1</v>
      </c>
      <c r="BQ146" s="1">
        <f t="shared" ref="BQ146:BQ152" si="142">IF(HRRVL,1,0)</f>
        <v>0</v>
      </c>
      <c r="BR146" s="1">
        <v>1</v>
      </c>
      <c r="BS146" s="1">
        <v>1</v>
      </c>
      <c r="BT146" s="1">
        <f t="shared" si="139"/>
        <v>0</v>
      </c>
      <c r="BU146" s="1">
        <f t="shared" si="140"/>
        <v>0</v>
      </c>
      <c r="BV146" s="1">
        <v>1</v>
      </c>
      <c r="BW146" s="1">
        <v>1</v>
      </c>
      <c r="BX146" s="1">
        <v>1</v>
      </c>
      <c r="BY146" s="1">
        <v>1</v>
      </c>
      <c r="BZ146" s="1">
        <v>1</v>
      </c>
      <c r="CA146" s="1">
        <v>1</v>
      </c>
      <c r="CB146" s="1">
        <v>1</v>
      </c>
      <c r="CC146" s="1">
        <v>1</v>
      </c>
      <c r="CD146" s="1">
        <v>1</v>
      </c>
      <c r="CE146" s="1">
        <v>1</v>
      </c>
      <c r="CF146" s="1">
        <v>1</v>
      </c>
      <c r="CG146" s="1">
        <f t="shared" si="131"/>
        <v>0</v>
      </c>
      <c r="CH146" s="1">
        <v>1</v>
      </c>
      <c r="CI146" s="1">
        <v>1</v>
      </c>
      <c r="CJ146" s="1">
        <v>1</v>
      </c>
      <c r="CK146" s="1">
        <v>1</v>
      </c>
      <c r="CL146" s="1">
        <v>1</v>
      </c>
      <c r="CM146" s="1">
        <v>1</v>
      </c>
      <c r="CN146" s="1">
        <v>1</v>
      </c>
      <c r="CO146" s="1">
        <v>1</v>
      </c>
      <c r="CP146" s="1">
        <v>2</v>
      </c>
      <c r="CQ146" s="1">
        <v>2</v>
      </c>
      <c r="CR146" s="1">
        <v>2</v>
      </c>
      <c r="CS146" s="1">
        <v>2</v>
      </c>
      <c r="CT146" s="1">
        <v>2</v>
      </c>
      <c r="CU146" s="1">
        <v>2</v>
      </c>
      <c r="CV146" s="1">
        <f t="shared" si="132"/>
        <v>0</v>
      </c>
      <c r="CW146" s="1">
        <v>1</v>
      </c>
      <c r="CX146" s="1">
        <v>1</v>
      </c>
      <c r="CY146" s="1">
        <v>2</v>
      </c>
      <c r="CZ146" s="1">
        <f t="shared" si="133"/>
        <v>0</v>
      </c>
      <c r="DA146" s="1">
        <v>1</v>
      </c>
      <c r="DB146" s="1">
        <v>1</v>
      </c>
      <c r="DC146" s="1">
        <v>2</v>
      </c>
      <c r="DD146" s="1">
        <v>1</v>
      </c>
      <c r="DE146" s="1">
        <v>1</v>
      </c>
      <c r="DF146" s="1">
        <v>1</v>
      </c>
      <c r="DG146" s="1">
        <v>1</v>
      </c>
      <c r="DH146" s="1">
        <v>1</v>
      </c>
      <c r="DI146" s="1">
        <f t="shared" si="134"/>
        <v>0</v>
      </c>
      <c r="DJ146" s="1">
        <v>1</v>
      </c>
      <c r="DK146" s="1" t="s">
        <v>124</v>
      </c>
      <c r="DL146" s="1" t="s">
        <v>40</v>
      </c>
      <c r="DR146" s="1" t="b">
        <f>BaseAtk&gt;=5</f>
        <v>0</v>
      </c>
      <c r="DS146" s="1" t="b">
        <f>SkKnowledgeArcanaRanks&gt;=4</f>
        <v>0</v>
      </c>
      <c r="DT146" s="1" t="b">
        <f>SkSpellcraftRanks&gt;=3</f>
        <v>0</v>
      </c>
      <c r="DU146" s="1" t="b">
        <f>FtImprovedInitiative</f>
        <v>0</v>
      </c>
      <c r="DV146" s="1" t="b">
        <f>OR(FreeWeaponFocus,FtWeaponFocus1)</f>
        <v>0</v>
      </c>
      <c r="EA146" s="1" t="b">
        <f t="shared" si="141"/>
        <v>0</v>
      </c>
      <c r="EB146" s="11" t="s">
        <v>334</v>
      </c>
      <c r="EC146" s="1" t="str">
        <f>IF(DR146,"","• A base attack bonus of +5 or higher.
")&amp;IF(DS146,"","• 4 ranks in Knowledge(arcana).
")&amp;IF(DT146,"","• 3 ranks in Spellcraft.
")&amp;IF(DU146,"","• Improved Initiative feat.
")&amp;IF(DV146,"","• Weapon Focus feat.")</f>
        <v>• A base attack bonus of +5 or higher.
• 4 ranks in Knowledge(arcana).
• 3 ranks in Spellcraft.
• Improved Initiative feat.
• Weapon Focus feat.</v>
      </c>
      <c r="ED146" s="11" t="s">
        <v>335</v>
      </c>
      <c r="EE146" s="22" t="s">
        <v>437</v>
      </c>
      <c r="EF146" s="1" t="e">
        <f>MATCH(4,TblBlackMagicElixir,0)</f>
        <v>#N/A</v>
      </c>
    </row>
    <row r="147" spans="1:145" ht="11.25" customHeight="1" x14ac:dyDescent="0.2">
      <c r="A147" s="1">
        <f t="shared" si="137"/>
        <v>144</v>
      </c>
      <c r="B147" s="1" t="s">
        <v>438</v>
      </c>
      <c r="C147" s="1" t="s">
        <v>439</v>
      </c>
      <c r="D147" s="1" t="s">
        <v>440</v>
      </c>
      <c r="E147" s="1">
        <f t="shared" ref="E147:E211" si="143">$AC147+$AF147+IF(HasVirtualClasses,COUNTIF(TblVClassesAtLvlCS,$A147),0)</f>
        <v>0</v>
      </c>
      <c r="K147" s="1">
        <v>2</v>
      </c>
      <c r="L147" s="1">
        <v>8</v>
      </c>
      <c r="V147" s="1">
        <v>1</v>
      </c>
      <c r="W147" s="1">
        <v>0.34</v>
      </c>
      <c r="X147" s="1">
        <v>0.5</v>
      </c>
      <c r="Y147" s="1">
        <v>0.5</v>
      </c>
      <c r="Z147" s="1" t="b">
        <f>FALSE</f>
        <v>0</v>
      </c>
      <c r="AA147" s="1" t="str">
        <f t="shared" si="88"/>
        <v/>
      </c>
      <c r="AB147" s="1" t="str">
        <f t="shared" si="89"/>
        <v/>
      </c>
      <c r="AC147" s="1">
        <f t="shared" ref="AC147:AC211" si="144">COUNTIF(TblClassesAtLvlCS,$A147)</f>
        <v>0</v>
      </c>
      <c r="AD147" s="1" t="str">
        <f t="shared" si="90"/>
        <v/>
      </c>
      <c r="AE147" s="1" t="str">
        <f t="shared" si="91"/>
        <v/>
      </c>
      <c r="AF147" s="1">
        <f t="shared" ref="AF147:AF211" si="145">IF(HRGestalt,COUNTIF(TblGClassesAtLvlCS,$A147),0)</f>
        <v>0</v>
      </c>
      <c r="AG147" s="1">
        <f t="shared" si="97"/>
        <v>5</v>
      </c>
      <c r="AH147" s="1" t="str">
        <f t="shared" ref="AH147:AH210" si="146">IF(ROW()&gt;$AG$2,"",INDEX($B$5:$B$794,MATCH(ROW(),$AG$5:$AG$794,0)))</f>
        <v/>
      </c>
      <c r="AI147" s="1">
        <v>1</v>
      </c>
      <c r="AJ147" s="1">
        <f t="shared" si="125"/>
        <v>0</v>
      </c>
      <c r="AK147" s="1">
        <v>1</v>
      </c>
      <c r="AL147" s="1">
        <v>1</v>
      </c>
      <c r="AM147" s="1">
        <v>2</v>
      </c>
      <c r="AN147" s="1">
        <f t="shared" si="126"/>
        <v>0</v>
      </c>
      <c r="AO147" s="1">
        <v>1</v>
      </c>
      <c r="AP147" s="1">
        <v>2</v>
      </c>
      <c r="AQ147" s="1">
        <v>2</v>
      </c>
      <c r="AR147" s="1">
        <v>2</v>
      </c>
      <c r="AS147" s="1">
        <v>2</v>
      </c>
      <c r="AT147" s="1">
        <v>2</v>
      </c>
      <c r="AU147" s="1">
        <v>2</v>
      </c>
      <c r="AV147" s="1">
        <v>2</v>
      </c>
      <c r="AW147" s="1">
        <v>1</v>
      </c>
      <c r="AX147" s="1">
        <v>1</v>
      </c>
      <c r="AY147" s="1">
        <v>1</v>
      </c>
      <c r="AZ147" s="1">
        <v>1</v>
      </c>
      <c r="BA147" s="1">
        <v>1</v>
      </c>
      <c r="BB147" s="1">
        <v>1</v>
      </c>
      <c r="BC147" s="1">
        <v>1</v>
      </c>
      <c r="BD147" s="1">
        <v>1</v>
      </c>
      <c r="BE147" s="1">
        <v>1</v>
      </c>
      <c r="BF147" s="1">
        <v>1</v>
      </c>
      <c r="BG147" s="1">
        <f t="shared" si="127"/>
        <v>0</v>
      </c>
      <c r="BH147" s="1">
        <f t="shared" si="128"/>
        <v>0</v>
      </c>
      <c r="BI147" s="1">
        <v>1</v>
      </c>
      <c r="BJ147" s="1">
        <v>1</v>
      </c>
      <c r="BK147" s="1">
        <v>1</v>
      </c>
      <c r="BL147" s="1">
        <v>1</v>
      </c>
      <c r="BM147" s="1">
        <v>1</v>
      </c>
      <c r="BN147" s="1">
        <v>1</v>
      </c>
      <c r="BO147" s="1">
        <v>1</v>
      </c>
      <c r="BP147" s="1">
        <v>1</v>
      </c>
      <c r="BQ147" s="1">
        <f t="shared" si="142"/>
        <v>0</v>
      </c>
      <c r="BR147" s="1">
        <v>1</v>
      </c>
      <c r="BS147" s="1">
        <v>1</v>
      </c>
      <c r="BT147" s="1">
        <f t="shared" si="139"/>
        <v>0</v>
      </c>
      <c r="BU147" s="1">
        <f>IF(HRRVL,2,0)</f>
        <v>0</v>
      </c>
      <c r="BV147" s="1">
        <v>2</v>
      </c>
      <c r="BW147" s="1">
        <v>1</v>
      </c>
      <c r="BX147" s="1">
        <v>1</v>
      </c>
      <c r="BY147" s="1">
        <v>1</v>
      </c>
      <c r="BZ147" s="1">
        <v>1</v>
      </c>
      <c r="CA147" s="1">
        <v>1</v>
      </c>
      <c r="CB147" s="1">
        <v>1</v>
      </c>
      <c r="CC147" s="1">
        <v>1</v>
      </c>
      <c r="CD147" s="1">
        <v>1</v>
      </c>
      <c r="CE147" s="1">
        <v>1</v>
      </c>
      <c r="CF147" s="1">
        <v>1</v>
      </c>
      <c r="CG147" s="1">
        <f t="shared" si="131"/>
        <v>0</v>
      </c>
      <c r="CH147" s="1">
        <v>1</v>
      </c>
      <c r="CI147" s="1">
        <v>1</v>
      </c>
      <c r="CJ147" s="1">
        <v>1</v>
      </c>
      <c r="CK147" s="1">
        <v>1</v>
      </c>
      <c r="CL147" s="1">
        <v>1</v>
      </c>
      <c r="CM147" s="1">
        <v>1</v>
      </c>
      <c r="CN147" s="1">
        <v>1</v>
      </c>
      <c r="CO147" s="1">
        <v>1</v>
      </c>
      <c r="CP147" s="1">
        <v>1</v>
      </c>
      <c r="CQ147" s="1">
        <v>1</v>
      </c>
      <c r="CR147" s="1">
        <v>1</v>
      </c>
      <c r="CS147" s="1">
        <v>1</v>
      </c>
      <c r="CT147" s="1">
        <v>1</v>
      </c>
      <c r="CU147" s="1">
        <v>1</v>
      </c>
      <c r="CV147" s="1">
        <f t="shared" si="132"/>
        <v>0</v>
      </c>
      <c r="CW147" s="1">
        <v>2</v>
      </c>
      <c r="CX147" s="1">
        <v>1</v>
      </c>
      <c r="CY147" s="1">
        <v>1</v>
      </c>
      <c r="CZ147" s="1">
        <f t="shared" si="133"/>
        <v>0</v>
      </c>
      <c r="DA147" s="1">
        <v>1</v>
      </c>
      <c r="DB147" s="1">
        <v>1</v>
      </c>
      <c r="DC147" s="1">
        <v>1</v>
      </c>
      <c r="DD147" s="1">
        <v>2</v>
      </c>
      <c r="DE147" s="1">
        <v>1</v>
      </c>
      <c r="DF147" s="1">
        <v>2</v>
      </c>
      <c r="DG147" s="1">
        <v>1</v>
      </c>
      <c r="DH147" s="1">
        <v>1</v>
      </c>
      <c r="DI147" s="1">
        <f t="shared" si="134"/>
        <v>0</v>
      </c>
      <c r="DJ147" s="1">
        <v>1</v>
      </c>
      <c r="DK147" s="1" t="s">
        <v>124</v>
      </c>
      <c r="DL147" s="1" t="s">
        <v>40</v>
      </c>
      <c r="DR147" s="1" t="b">
        <f>BaseAtk&gt;=5</f>
        <v>0</v>
      </c>
      <c r="DS147" s="1" t="b">
        <f>SkKnowledgeReligionRanks&gt;=2</f>
        <v>0</v>
      </c>
      <c r="DT147" s="1" t="b">
        <f>FtPointBlankShot</f>
        <v>0</v>
      </c>
      <c r="DU147" s="1" t="b">
        <f>FtPreciseShot</f>
        <v>0</v>
      </c>
      <c r="DV147" s="1" t="b">
        <f>OR(FreeRapidShot,FtRapidShot)</f>
        <v>0</v>
      </c>
      <c r="DW147" s="1" t="b">
        <f>OR(NOT(ISERROR(FIND("Longbow",WeaponFocusList,1))),NOT(ISERROR(FIND("Shortbow",WeaponFocusList,1))))</f>
        <v>0</v>
      </c>
      <c r="DX147" s="1" t="b">
        <f>IF(NOT(ISNA(MATCH("Bowmaking",TblCraftSkills,0))),INDEX(TblCraftRanks,MATCH("Bowmaking",TblCraftSkills,0),1)&gt;=5,FALSE)</f>
        <v>0</v>
      </c>
      <c r="EA147" s="1" t="b">
        <f t="shared" si="141"/>
        <v>0</v>
      </c>
      <c r="EB147" s="11" t="s">
        <v>334</v>
      </c>
      <c r="EC147" s="1" t="str">
        <f>IF(DR147,"","• A base attack bonus of +5 or higher.
")&amp;IF(DS147,"","• 2 ranks in Knowledge(Religion).
")&amp;IF(DT147,"","• Point Blank Shot feat.
")&amp;IF(DU147,"","• Precise Shot feat.
")&amp;IF(DV147,"","• Rapid Shot feat.
")&amp;IF(DW147,"","• Weapon Focus in Longbow, Shortbow or their Composite forms.
")&amp;IF(DX147,"","• 5 ranks in Craft(bowmaking).")</f>
        <v>• A base attack bonus of +5 or higher.
• 2 ranks in Knowledge(Religion).
• Point Blank Shot feat.
• Precise Shot feat.
• Rapid Shot feat.
• Weapon Focus in Longbow, Shortbow or their Composite forms.
• 5 ranks in Craft(bowmaking).</v>
      </c>
      <c r="ED147" s="11" t="s">
        <v>335</v>
      </c>
    </row>
    <row r="148" spans="1:145" ht="11.25" customHeight="1" thickBot="1" x14ac:dyDescent="0.25">
      <c r="A148" s="1">
        <f t="shared" si="137"/>
        <v>145</v>
      </c>
      <c r="B148" s="1" t="s">
        <v>441</v>
      </c>
      <c r="C148" s="1" t="s">
        <v>442</v>
      </c>
      <c r="D148" s="1" t="s">
        <v>443</v>
      </c>
      <c r="E148" s="1">
        <f t="shared" si="143"/>
        <v>0</v>
      </c>
      <c r="K148" s="1">
        <v>2</v>
      </c>
      <c r="L148" s="1">
        <v>10</v>
      </c>
      <c r="R148" s="1" t="b">
        <v>1</v>
      </c>
      <c r="V148" s="1">
        <v>1</v>
      </c>
      <c r="W148" s="1">
        <v>0.5</v>
      </c>
      <c r="X148" s="1">
        <v>0.34</v>
      </c>
      <c r="Y148" s="1">
        <v>0.34</v>
      </c>
      <c r="Z148" s="1" t="b">
        <f>FALSE</f>
        <v>0</v>
      </c>
      <c r="AA148" s="1" t="str">
        <f t="shared" ref="AA148:AA212" si="147">IF($AC148=0,"",IF($Z148,"Ex-","")&amp;$B148)</f>
        <v/>
      </c>
      <c r="AB148" s="1" t="str">
        <f t="shared" ref="AB148:AB212" si="148">IF($AC148=0,"",IF($Z148,"Ex-","")&amp;$C148)</f>
        <v/>
      </c>
      <c r="AC148" s="1">
        <f t="shared" si="144"/>
        <v>0</v>
      </c>
      <c r="AD148" s="1" t="str">
        <f t="shared" ref="AD148:AD212" si="149">IF($AF148=0,"",IF($Z148,"Ex-","")&amp;$B148)</f>
        <v/>
      </c>
      <c r="AE148" s="1" t="str">
        <f t="shared" ref="AE148:AE212" si="150">IF($AF148=0,"",IF($Z148,"Ex-","")&amp;$C148)</f>
        <v/>
      </c>
      <c r="AF148" s="1">
        <f t="shared" si="145"/>
        <v>0</v>
      </c>
      <c r="AG148" s="1">
        <f t="shared" si="97"/>
        <v>5</v>
      </c>
      <c r="AH148" s="1" t="str">
        <f t="shared" si="146"/>
        <v/>
      </c>
      <c r="AI148" s="1">
        <v>1</v>
      </c>
      <c r="AJ148" s="1">
        <f t="shared" si="125"/>
        <v>0</v>
      </c>
      <c r="AK148" s="1">
        <v>1</v>
      </c>
      <c r="AL148" s="1">
        <v>1</v>
      </c>
      <c r="AM148" s="1">
        <v>2</v>
      </c>
      <c r="AN148" s="1">
        <f t="shared" si="126"/>
        <v>0</v>
      </c>
      <c r="AO148" s="1">
        <v>1</v>
      </c>
      <c r="AP148" s="1">
        <v>1</v>
      </c>
      <c r="AQ148" s="1">
        <v>1</v>
      </c>
      <c r="AR148" s="1">
        <v>1</v>
      </c>
      <c r="AS148" s="1">
        <v>1</v>
      </c>
      <c r="AT148" s="1">
        <v>1</v>
      </c>
      <c r="AU148" s="1">
        <v>1</v>
      </c>
      <c r="AV148" s="1">
        <v>1</v>
      </c>
      <c r="AW148" s="1">
        <v>1</v>
      </c>
      <c r="AX148" s="1">
        <v>2</v>
      </c>
      <c r="AY148" s="1">
        <v>1</v>
      </c>
      <c r="AZ148" s="1">
        <v>1</v>
      </c>
      <c r="BA148" s="1">
        <v>1</v>
      </c>
      <c r="BB148" s="1">
        <v>1</v>
      </c>
      <c r="BC148" s="1">
        <v>1</v>
      </c>
      <c r="BD148" s="1">
        <v>2</v>
      </c>
      <c r="BE148" s="1">
        <v>1</v>
      </c>
      <c r="BF148" s="1">
        <v>1</v>
      </c>
      <c r="BG148" s="1">
        <f t="shared" si="127"/>
        <v>0</v>
      </c>
      <c r="BH148" s="1">
        <f t="shared" si="128"/>
        <v>0</v>
      </c>
      <c r="BI148" s="1">
        <v>2</v>
      </c>
      <c r="BJ148" s="1">
        <v>2</v>
      </c>
      <c r="BK148" s="1">
        <v>1</v>
      </c>
      <c r="BL148" s="1">
        <v>1</v>
      </c>
      <c r="BM148" s="1">
        <v>1</v>
      </c>
      <c r="BN148" s="1">
        <v>1</v>
      </c>
      <c r="BO148" s="1">
        <v>1</v>
      </c>
      <c r="BP148" s="1">
        <f>1+NOT(HRLivingGreyhawk)</f>
        <v>2</v>
      </c>
      <c r="BQ148" s="1">
        <f t="shared" si="142"/>
        <v>0</v>
      </c>
      <c r="BR148" s="1">
        <v>1</v>
      </c>
      <c r="BS148" s="1">
        <v>1</v>
      </c>
      <c r="BT148" s="1">
        <f t="shared" si="139"/>
        <v>0</v>
      </c>
      <c r="BU148" s="1">
        <f>IF(HRRVL,1,0)</f>
        <v>0</v>
      </c>
      <c r="BV148" s="1">
        <v>1</v>
      </c>
      <c r="BW148" s="1">
        <v>1</v>
      </c>
      <c r="BX148" s="1">
        <v>1</v>
      </c>
      <c r="BY148" s="1">
        <v>1</v>
      </c>
      <c r="BZ148" s="1">
        <v>1</v>
      </c>
      <c r="CA148" s="1">
        <v>1</v>
      </c>
      <c r="CB148" s="1">
        <v>1</v>
      </c>
      <c r="CC148" s="1">
        <v>1</v>
      </c>
      <c r="CD148" s="1">
        <v>1</v>
      </c>
      <c r="CE148" s="1">
        <v>1</v>
      </c>
      <c r="CF148" s="1">
        <v>1</v>
      </c>
      <c r="CG148" s="1">
        <f t="shared" si="131"/>
        <v>0</v>
      </c>
      <c r="CH148" s="1">
        <v>1</v>
      </c>
      <c r="CI148" s="1">
        <v>1</v>
      </c>
      <c r="CJ148" s="1">
        <v>1</v>
      </c>
      <c r="CK148" s="1">
        <v>1</v>
      </c>
      <c r="CL148" s="1">
        <v>1</v>
      </c>
      <c r="CM148" s="1">
        <v>1</v>
      </c>
      <c r="CN148" s="1">
        <v>1</v>
      </c>
      <c r="CO148" s="1">
        <v>1</v>
      </c>
      <c r="CP148" s="1">
        <v>1</v>
      </c>
      <c r="CQ148" s="1">
        <v>1</v>
      </c>
      <c r="CR148" s="1">
        <v>1</v>
      </c>
      <c r="CS148" s="1">
        <v>1</v>
      </c>
      <c r="CT148" s="1">
        <v>1</v>
      </c>
      <c r="CU148" s="1">
        <v>1</v>
      </c>
      <c r="CV148" s="1">
        <f t="shared" si="132"/>
        <v>0</v>
      </c>
      <c r="CW148" s="1">
        <v>2</v>
      </c>
      <c r="CX148" s="1">
        <v>1</v>
      </c>
      <c r="CY148" s="1">
        <v>1</v>
      </c>
      <c r="CZ148" s="1">
        <f t="shared" si="133"/>
        <v>0</v>
      </c>
      <c r="DA148" s="1">
        <v>1</v>
      </c>
      <c r="DB148" s="1">
        <v>1</v>
      </c>
      <c r="DC148" s="1">
        <v>1</v>
      </c>
      <c r="DD148" s="1">
        <v>1</v>
      </c>
      <c r="DE148" s="1">
        <v>1</v>
      </c>
      <c r="DF148" s="1">
        <v>2</v>
      </c>
      <c r="DG148" s="1">
        <v>1</v>
      </c>
      <c r="DH148" s="1">
        <v>1</v>
      </c>
      <c r="DI148" s="1">
        <f t="shared" si="134"/>
        <v>0</v>
      </c>
      <c r="DJ148" s="1">
        <v>1</v>
      </c>
      <c r="DK148" s="1" t="s">
        <v>124</v>
      </c>
      <c r="DL148" s="1" t="s">
        <v>170</v>
      </c>
      <c r="DR148" s="1" t="b">
        <f>AND(AlignmentNonChaotic,AlignmentNonEvil)</f>
        <v>1</v>
      </c>
      <c r="DS148" s="1" t="b">
        <f>BaseAtk&gt;=5</f>
        <v>0</v>
      </c>
      <c r="DT148" s="1" t="b">
        <f>OR(SkDiplomacyRanks&gt;=1,SkIntimidateRanks&gt;=1)</f>
        <v>0</v>
      </c>
      <c r="DU148" s="1" t="b">
        <f>SkListenRanks&gt;=2</f>
        <v>0</v>
      </c>
      <c r="DV148" s="1" t="b">
        <f>SkRideRanks&gt;=2</f>
        <v>0</v>
      </c>
      <c r="DW148" s="1" t="b">
        <f>SkSpotRanks&gt;=2</f>
        <v>0</v>
      </c>
      <c r="DX148" s="1" t="b">
        <f>FtMountedCombat</f>
        <v>0</v>
      </c>
      <c r="DY148" s="1" t="b">
        <f>FtNegotiator</f>
        <v>0</v>
      </c>
      <c r="EA148" s="1" t="b">
        <f t="shared" si="141"/>
        <v>0</v>
      </c>
      <c r="EB148" s="11" t="s">
        <v>334</v>
      </c>
      <c r="EC148" s="1" t="str">
        <f>IF(DR148,"","• Any non-Chaotic Evil alignment.
")&amp;IF(DS148,"","• A base attack bonus of +5 or higher.
")&amp;IF(DT148,"","• 1 rank in Diplomacy or Intimidate.
")&amp;IF(DU148,"","• 2 ranks in Listen.
")&amp;IF(DV148,"","• 2 ranks in Ride.
")&amp;IF(DW148,"","• 2 ranks in Spot.
")&amp;IF(DX148,"","• Mounted Combat feat.
")&amp;IF(DY148,"","• Negotiator feat.")</f>
        <v>• A base attack bonus of +5 or higher.
• 1 rank in Diplomacy or Intimidate.
• 2 ranks in Listen.
• 2 ranks in Ride.
• 2 ranks in Spot.
• Mounted Combat feat.
• Negotiator feat.</v>
      </c>
      <c r="ED148" s="11" t="s">
        <v>335</v>
      </c>
      <c r="EE148" s="4" t="s">
        <v>444</v>
      </c>
    </row>
    <row r="149" spans="1:145" ht="11.25" customHeight="1" x14ac:dyDescent="0.2">
      <c r="A149" s="1">
        <f t="shared" si="137"/>
        <v>146</v>
      </c>
      <c r="B149" s="1" t="s">
        <v>445</v>
      </c>
      <c r="C149" s="1" t="s">
        <v>446</v>
      </c>
      <c r="D149" s="1" t="s">
        <v>446</v>
      </c>
      <c r="E149" s="1">
        <f t="shared" si="143"/>
        <v>0</v>
      </c>
      <c r="G149" s="1">
        <f>INT(RaMLvl/2)</f>
        <v>0</v>
      </c>
      <c r="K149" s="1">
        <v>2</v>
      </c>
      <c r="L149" s="1">
        <v>8</v>
      </c>
      <c r="V149" s="1">
        <v>0.75</v>
      </c>
      <c r="W149" s="1">
        <v>0.5</v>
      </c>
      <c r="X149" s="1">
        <v>0.34</v>
      </c>
      <c r="Y149" s="1">
        <v>0.34</v>
      </c>
      <c r="Z149" s="1" t="b">
        <f>FALSE</f>
        <v>0</v>
      </c>
      <c r="AA149" s="1" t="str">
        <f t="shared" si="147"/>
        <v/>
      </c>
      <c r="AB149" s="1" t="str">
        <f t="shared" si="148"/>
        <v/>
      </c>
      <c r="AC149" s="1">
        <f t="shared" si="144"/>
        <v>0</v>
      </c>
      <c r="AD149" s="1" t="str">
        <f t="shared" si="149"/>
        <v/>
      </c>
      <c r="AE149" s="1" t="str">
        <f t="shared" si="150"/>
        <v/>
      </c>
      <c r="AF149" s="1">
        <f t="shared" si="145"/>
        <v>0</v>
      </c>
      <c r="AG149" s="1">
        <f t="shared" ref="AG149:AG212" si="151">IF($AC149&gt;0,$AG148+1,$AG148)</f>
        <v>5</v>
      </c>
      <c r="AH149" s="1" t="str">
        <f t="shared" si="146"/>
        <v/>
      </c>
      <c r="AI149" s="1">
        <v>1</v>
      </c>
      <c r="AJ149" s="1">
        <f t="shared" si="125"/>
        <v>0</v>
      </c>
      <c r="AK149" s="1">
        <v>1</v>
      </c>
      <c r="AL149" s="1">
        <v>1</v>
      </c>
      <c r="AM149" s="1">
        <v>1</v>
      </c>
      <c r="AN149" s="1">
        <f t="shared" si="126"/>
        <v>0</v>
      </c>
      <c r="AO149" s="1">
        <v>2</v>
      </c>
      <c r="AP149" s="1">
        <v>1</v>
      </c>
      <c r="AQ149" s="1">
        <v>1</v>
      </c>
      <c r="AR149" s="1">
        <v>1</v>
      </c>
      <c r="AS149" s="1">
        <v>1</v>
      </c>
      <c r="AT149" s="1">
        <v>1</v>
      </c>
      <c r="AU149" s="1">
        <v>1</v>
      </c>
      <c r="AV149" s="1">
        <v>1</v>
      </c>
      <c r="AW149" s="1">
        <v>1</v>
      </c>
      <c r="AX149" s="1">
        <v>1</v>
      </c>
      <c r="AY149" s="1">
        <v>1</v>
      </c>
      <c r="AZ149" s="1">
        <v>1</v>
      </c>
      <c r="BA149" s="1">
        <v>1</v>
      </c>
      <c r="BB149" s="1">
        <v>1</v>
      </c>
      <c r="BC149" s="1">
        <v>1</v>
      </c>
      <c r="BD149" s="1">
        <v>1</v>
      </c>
      <c r="BE149" s="1">
        <v>1</v>
      </c>
      <c r="BF149" s="1">
        <v>1</v>
      </c>
      <c r="BG149" s="1">
        <f t="shared" si="127"/>
        <v>0</v>
      </c>
      <c r="BH149" s="1">
        <f t="shared" si="128"/>
        <v>0</v>
      </c>
      <c r="BI149" s="1">
        <v>1</v>
      </c>
      <c r="BJ149" s="1">
        <v>1</v>
      </c>
      <c r="BK149" s="1">
        <v>1</v>
      </c>
      <c r="BL149" s="1">
        <v>1</v>
      </c>
      <c r="BM149" s="1">
        <v>1</v>
      </c>
      <c r="BN149" s="1">
        <v>1</v>
      </c>
      <c r="BO149" s="1">
        <v>1</v>
      </c>
      <c r="BP149" s="1">
        <v>1</v>
      </c>
      <c r="BQ149" s="1">
        <f t="shared" si="142"/>
        <v>0</v>
      </c>
      <c r="BR149" s="1">
        <v>1</v>
      </c>
      <c r="BS149" s="1">
        <v>1</v>
      </c>
      <c r="BT149" s="1">
        <f t="shared" si="139"/>
        <v>0</v>
      </c>
      <c r="BU149" s="1">
        <f>IF(HRRVL,1,0)</f>
        <v>0</v>
      </c>
      <c r="BV149" s="1">
        <v>1</v>
      </c>
      <c r="BW149" s="1">
        <v>1</v>
      </c>
      <c r="BX149" s="1">
        <v>1</v>
      </c>
      <c r="BY149" s="1">
        <v>1</v>
      </c>
      <c r="BZ149" s="1">
        <v>1</v>
      </c>
      <c r="CA149" s="1">
        <v>1</v>
      </c>
      <c r="CB149" s="1">
        <v>1</v>
      </c>
      <c r="CC149" s="1">
        <v>1</v>
      </c>
      <c r="CD149" s="1">
        <v>1</v>
      </c>
      <c r="CE149" s="1">
        <v>1</v>
      </c>
      <c r="CF149" s="1">
        <v>1</v>
      </c>
      <c r="CG149" s="1">
        <f t="shared" si="131"/>
        <v>0</v>
      </c>
      <c r="CH149" s="1">
        <v>1</v>
      </c>
      <c r="CI149" s="1">
        <v>1</v>
      </c>
      <c r="CJ149" s="1">
        <v>1</v>
      </c>
      <c r="CK149" s="1">
        <v>1</v>
      </c>
      <c r="CL149" s="1">
        <v>1</v>
      </c>
      <c r="CM149" s="1">
        <v>1</v>
      </c>
      <c r="CN149" s="1">
        <v>1</v>
      </c>
      <c r="CO149" s="1">
        <v>1</v>
      </c>
      <c r="CP149" s="1">
        <v>2</v>
      </c>
      <c r="CQ149" s="1">
        <v>2</v>
      </c>
      <c r="CR149" s="1">
        <v>2</v>
      </c>
      <c r="CS149" s="1">
        <v>2</v>
      </c>
      <c r="CT149" s="1">
        <v>2</v>
      </c>
      <c r="CU149" s="1">
        <v>2</v>
      </c>
      <c r="CV149" s="1">
        <f t="shared" si="132"/>
        <v>0</v>
      </c>
      <c r="CW149" s="1">
        <v>1</v>
      </c>
      <c r="CX149" s="1">
        <v>1</v>
      </c>
      <c r="CY149" s="1">
        <v>1</v>
      </c>
      <c r="CZ149" s="1">
        <f t="shared" si="133"/>
        <v>0</v>
      </c>
      <c r="DA149" s="1">
        <v>1</v>
      </c>
      <c r="DB149" s="1">
        <v>1</v>
      </c>
      <c r="DC149" s="1">
        <v>2</v>
      </c>
      <c r="DD149" s="1">
        <v>1</v>
      </c>
      <c r="DE149" s="1">
        <v>2</v>
      </c>
      <c r="DF149" s="1">
        <v>1</v>
      </c>
      <c r="DG149" s="1">
        <v>1</v>
      </c>
      <c r="DH149" s="1">
        <v>1</v>
      </c>
      <c r="DI149" s="1">
        <f t="shared" si="134"/>
        <v>0</v>
      </c>
      <c r="DJ149" s="1">
        <v>1</v>
      </c>
      <c r="DK149" s="1" t="s">
        <v>124</v>
      </c>
      <c r="DL149" s="1" t="s">
        <v>40</v>
      </c>
      <c r="DR149" s="1" t="b">
        <f>AlignmentNonLawful</f>
        <v>0</v>
      </c>
      <c r="DS149" s="1" t="b">
        <f>BaseAtk&gt;=4</f>
        <v>0</v>
      </c>
      <c r="DT149" s="1" t="b">
        <f>OR(FreeCombatCasting,FtCombatCasting)</f>
        <v>0</v>
      </c>
      <c r="DU149" s="1" t="b">
        <f ca="1">MaxArcaneSpellLevel&gt;=2</f>
        <v>0</v>
      </c>
      <c r="DV149" s="1" t="b">
        <f>RageAmount&gt;=1</f>
        <v>0</v>
      </c>
      <c r="EA149" s="1" t="b">
        <f ca="1">AND(DM149:DZ149)</f>
        <v>0</v>
      </c>
      <c r="EB149" s="11" t="s">
        <v>334</v>
      </c>
      <c r="EC149" s="1" t="str">
        <f ca="1">IF(DR149,"","• Any non-Lawful alignment.
")&amp;IF(DS149,"","• A base attack bonus of +4 or higher.
")&amp;IF(DT149,"","• Combat Casting feat.
")&amp;IF(DU149,"","• Ability to cast 2nd level arcane spells.
")&amp;IF(DV149,"","• Ability to rage.")</f>
        <v>• Any non-Lawful alignment.
• A base attack bonus of +4 or higher.
• Combat Casting feat.
• Ability to cast 2nd level arcane spells.
• Ability to rage.</v>
      </c>
      <c r="ED149" s="11" t="s">
        <v>335</v>
      </c>
      <c r="EE149" s="5" t="s">
        <v>447</v>
      </c>
      <c r="EF149" s="6" t="s">
        <v>448</v>
      </c>
      <c r="EG149" s="6" t="s">
        <v>107</v>
      </c>
      <c r="EH149" s="6" t="s">
        <v>108</v>
      </c>
      <c r="EI149" s="6" t="s">
        <v>449</v>
      </c>
      <c r="EJ149" s="6"/>
      <c r="EK149" s="6"/>
      <c r="EL149" s="6"/>
      <c r="EM149" s="6"/>
      <c r="EN149" s="6" t="s">
        <v>113</v>
      </c>
      <c r="EO149" s="7" t="s">
        <v>114</v>
      </c>
    </row>
    <row r="150" spans="1:145" ht="11.25" customHeight="1" x14ac:dyDescent="0.2">
      <c r="A150" s="1">
        <f t="shared" si="137"/>
        <v>147</v>
      </c>
      <c r="B150" s="1" t="s">
        <v>450</v>
      </c>
      <c r="C150" s="1" t="s">
        <v>451</v>
      </c>
      <c r="D150" s="1" t="s">
        <v>451</v>
      </c>
      <c r="E150" s="1">
        <f t="shared" si="143"/>
        <v>0</v>
      </c>
      <c r="K150" s="1">
        <v>2</v>
      </c>
      <c r="L150" s="1">
        <v>10</v>
      </c>
      <c r="V150" s="1">
        <v>1</v>
      </c>
      <c r="W150" s="1">
        <v>0.5</v>
      </c>
      <c r="X150" s="1">
        <v>0.34</v>
      </c>
      <c r="Y150" s="1">
        <v>0.34</v>
      </c>
      <c r="Z150" s="1" t="b">
        <f>FALSE</f>
        <v>0</v>
      </c>
      <c r="AA150" s="1" t="str">
        <f t="shared" si="147"/>
        <v/>
      </c>
      <c r="AB150" s="1" t="str">
        <f t="shared" si="148"/>
        <v/>
      </c>
      <c r="AC150" s="1">
        <f t="shared" si="144"/>
        <v>0</v>
      </c>
      <c r="AD150" s="1" t="str">
        <f t="shared" si="149"/>
        <v/>
      </c>
      <c r="AE150" s="1" t="str">
        <f t="shared" si="150"/>
        <v/>
      </c>
      <c r="AF150" s="1">
        <f t="shared" si="145"/>
        <v>0</v>
      </c>
      <c r="AG150" s="1">
        <f t="shared" si="151"/>
        <v>5</v>
      </c>
      <c r="AH150" s="1" t="str">
        <f t="shared" si="146"/>
        <v/>
      </c>
      <c r="AI150" s="1">
        <v>1</v>
      </c>
      <c r="AJ150" s="1">
        <f t="shared" si="125"/>
        <v>0</v>
      </c>
      <c r="AK150" s="1">
        <v>1</v>
      </c>
      <c r="AL150" s="1">
        <v>1</v>
      </c>
      <c r="AM150" s="1">
        <v>1</v>
      </c>
      <c r="AN150" s="1">
        <f t="shared" si="126"/>
        <v>0</v>
      </c>
      <c r="AO150" s="1">
        <v>1</v>
      </c>
      <c r="AP150" s="1">
        <v>1</v>
      </c>
      <c r="AQ150" s="1">
        <v>1</v>
      </c>
      <c r="AR150" s="1">
        <v>1</v>
      </c>
      <c r="AS150" s="1">
        <v>1</v>
      </c>
      <c r="AT150" s="1">
        <v>1</v>
      </c>
      <c r="AU150" s="1">
        <v>1</v>
      </c>
      <c r="AV150" s="1">
        <v>1</v>
      </c>
      <c r="AW150" s="1">
        <v>1</v>
      </c>
      <c r="AX150" s="1">
        <v>1</v>
      </c>
      <c r="AY150" s="1">
        <v>1</v>
      </c>
      <c r="AZ150" s="1">
        <v>1</v>
      </c>
      <c r="BA150" s="1">
        <v>1</v>
      </c>
      <c r="BB150" s="1">
        <v>1</v>
      </c>
      <c r="BC150" s="1">
        <v>1</v>
      </c>
      <c r="BD150" s="1">
        <v>1</v>
      </c>
      <c r="BE150" s="1">
        <v>1</v>
      </c>
      <c r="BF150" s="1">
        <v>1</v>
      </c>
      <c r="BG150" s="1">
        <f t="shared" si="127"/>
        <v>0</v>
      </c>
      <c r="BH150" s="1">
        <f t="shared" si="128"/>
        <v>0</v>
      </c>
      <c r="BI150" s="1">
        <v>2</v>
      </c>
      <c r="BJ150" s="1">
        <v>1</v>
      </c>
      <c r="BK150" s="1">
        <v>1</v>
      </c>
      <c r="BL150" s="1">
        <v>1</v>
      </c>
      <c r="BM150" s="1">
        <v>1</v>
      </c>
      <c r="BN150" s="1">
        <v>1</v>
      </c>
      <c r="BO150" s="1">
        <v>1</v>
      </c>
      <c r="BP150" s="1">
        <v>1</v>
      </c>
      <c r="BQ150" s="1">
        <f t="shared" si="142"/>
        <v>0</v>
      </c>
      <c r="BR150" s="1">
        <v>1</v>
      </c>
      <c r="BS150" s="1">
        <v>1</v>
      </c>
      <c r="BT150" s="1">
        <f t="shared" si="139"/>
        <v>0</v>
      </c>
      <c r="BU150" s="1">
        <f>IF(HRRVL,2,0)</f>
        <v>0</v>
      </c>
      <c r="BV150" s="1">
        <v>2</v>
      </c>
      <c r="BW150" s="1">
        <v>1</v>
      </c>
      <c r="BX150" s="1">
        <v>1</v>
      </c>
      <c r="BY150" s="1">
        <v>1</v>
      </c>
      <c r="BZ150" s="1">
        <v>1</v>
      </c>
      <c r="CA150" s="1">
        <v>1</v>
      </c>
      <c r="CB150" s="1">
        <v>1</v>
      </c>
      <c r="CC150" s="1">
        <v>1</v>
      </c>
      <c r="CD150" s="1">
        <v>1</v>
      </c>
      <c r="CE150" s="1">
        <v>1</v>
      </c>
      <c r="CF150" s="1">
        <v>1</v>
      </c>
      <c r="CG150" s="1">
        <f t="shared" si="131"/>
        <v>0</v>
      </c>
      <c r="CH150" s="1">
        <v>2</v>
      </c>
      <c r="CI150" s="1">
        <v>1</v>
      </c>
      <c r="CJ150" s="1">
        <v>1</v>
      </c>
      <c r="CK150" s="1">
        <v>1</v>
      </c>
      <c r="CL150" s="1">
        <v>1</v>
      </c>
      <c r="CM150" s="1">
        <v>1</v>
      </c>
      <c r="CN150" s="1">
        <v>1</v>
      </c>
      <c r="CO150" s="1">
        <v>1</v>
      </c>
      <c r="CP150" s="1">
        <v>2</v>
      </c>
      <c r="CQ150" s="1">
        <v>2</v>
      </c>
      <c r="CR150" s="1">
        <v>2</v>
      </c>
      <c r="CS150" s="1">
        <v>2</v>
      </c>
      <c r="CT150" s="1">
        <v>2</v>
      </c>
      <c r="CU150" s="1">
        <v>2</v>
      </c>
      <c r="CV150" s="1">
        <f t="shared" si="132"/>
        <v>0</v>
      </c>
      <c r="CW150" s="1">
        <v>2</v>
      </c>
      <c r="CX150" s="1">
        <v>1</v>
      </c>
      <c r="CY150" s="1">
        <v>1</v>
      </c>
      <c r="CZ150" s="1">
        <f t="shared" si="133"/>
        <v>0</v>
      </c>
      <c r="DA150" s="1">
        <v>1</v>
      </c>
      <c r="DB150" s="1">
        <v>1</v>
      </c>
      <c r="DC150" s="1">
        <v>1</v>
      </c>
      <c r="DD150" s="1">
        <v>1</v>
      </c>
      <c r="DE150" s="1">
        <v>1</v>
      </c>
      <c r="DF150" s="1">
        <v>1</v>
      </c>
      <c r="DG150" s="1">
        <v>1</v>
      </c>
      <c r="DH150" s="1">
        <v>1</v>
      </c>
      <c r="DI150" s="1">
        <f t="shared" si="134"/>
        <v>0</v>
      </c>
      <c r="DJ150" s="1">
        <v>1</v>
      </c>
      <c r="DK150" s="1" t="s">
        <v>124</v>
      </c>
      <c r="DL150" s="1" t="s">
        <v>150</v>
      </c>
      <c r="DR150" s="1" t="b">
        <f>AND(AlignmentNonLawful,AlignmentEvil)</f>
        <v>0</v>
      </c>
      <c r="DS150" s="1" t="b">
        <f>BaseAtk&gt;=5</f>
        <v>0</v>
      </c>
      <c r="DT150" s="1" t="b">
        <f>FtPowerAttackEquiv</f>
        <v>0</v>
      </c>
      <c r="DU150" s="1" t="b">
        <f>FtImprovedSunder</f>
        <v>0</v>
      </c>
      <c r="DV150" s="1" t="b">
        <f>SkIntimidateRanks&gt;=3</f>
        <v>0</v>
      </c>
      <c r="DW150" s="1" t="b">
        <f>SkKnowledgeReligionRanks&gt;=3</f>
        <v>0</v>
      </c>
      <c r="DX150" s="1" t="b">
        <f>SkSurvivalRanks&gt;=4</f>
        <v>0</v>
      </c>
      <c r="EA150" s="1" t="b">
        <f t="shared" si="141"/>
        <v>0</v>
      </c>
      <c r="EB150" s="11" t="s">
        <v>338</v>
      </c>
      <c r="EC150" s="1" t="str">
        <f>IF(DR150,"","• Your alignment must be chaotic evil, or neutral evil.
")&amp;IF(DS150,"","• A base attack bonus of +5 or higher.
")&amp;IF(DT150,"","• Power Attack feat.
")&amp;IF(DU150,"","• Improved Sunder feat.
")&amp;IF(DV150,"","• 3 ranks in Intimidate.
")&amp;IF(DW150,"","• 3 ranks in Knowledge(Religion).
")&amp;IF(DX150,"","• 4 ranks in Survival.
")&amp;"• Survive Ravager initiation rites (not verified)."</f>
        <v>• Your alignment must be chaotic evil, or neutral evil.
• A base attack bonus of +5 or higher.
• Power Attack feat.
• Improved Sunder feat.
• 3 ranks in Intimidate.
• 3 ranks in Knowledge(Religion).
• 4 ranks in Survival.
• Survive Ravager initiation rites (not verified).</v>
      </c>
      <c r="ED150" s="11" t="s">
        <v>335</v>
      </c>
      <c r="EE150" s="8" t="s">
        <v>452</v>
      </c>
      <c r="EF150" s="9"/>
      <c r="EG150" s="9" t="s">
        <v>153</v>
      </c>
      <c r="EH150" s="9">
        <v>1</v>
      </c>
      <c r="EI150" s="9" t="b">
        <f>FtGreatIntelligence1</f>
        <v>0</v>
      </c>
      <c r="EJ150" s="9"/>
      <c r="EK150" s="9"/>
      <c r="EL150" s="9"/>
      <c r="EM150" s="9"/>
      <c r="EN150" s="9">
        <v>21</v>
      </c>
      <c r="EO150" s="10">
        <f t="shared" ref="EO150:EO162" si="152">IF(DoFeatIntAdj,IF($EG150="Int",$EI150*$EH150*($EN150&lt;=LvlCS),0),0)</f>
        <v>0</v>
      </c>
    </row>
    <row r="151" spans="1:145" ht="11.25" customHeight="1" x14ac:dyDescent="0.2">
      <c r="A151" s="1">
        <f t="shared" si="137"/>
        <v>148</v>
      </c>
      <c r="B151" s="1" t="s">
        <v>453</v>
      </c>
      <c r="C151" s="1" t="s">
        <v>454</v>
      </c>
      <c r="D151" s="1" t="s">
        <v>454</v>
      </c>
      <c r="E151" s="1">
        <f t="shared" si="143"/>
        <v>0</v>
      </c>
      <c r="K151" s="1">
        <v>2</v>
      </c>
      <c r="L151" s="1">
        <v>10</v>
      </c>
      <c r="V151" s="1">
        <v>1</v>
      </c>
      <c r="W151" s="1">
        <v>0.5</v>
      </c>
      <c r="X151" s="1">
        <v>0.5</v>
      </c>
      <c r="Y151" s="1">
        <v>0.34</v>
      </c>
      <c r="Z151" s="1" t="b">
        <f>FALSE</f>
        <v>0</v>
      </c>
      <c r="AA151" s="1" t="str">
        <f t="shared" si="147"/>
        <v/>
      </c>
      <c r="AB151" s="1" t="str">
        <f t="shared" si="148"/>
        <v/>
      </c>
      <c r="AC151" s="1">
        <f t="shared" si="144"/>
        <v>0</v>
      </c>
      <c r="AD151" s="1" t="str">
        <f t="shared" si="149"/>
        <v/>
      </c>
      <c r="AE151" s="1" t="str">
        <f t="shared" si="150"/>
        <v/>
      </c>
      <c r="AF151" s="1">
        <f t="shared" si="145"/>
        <v>0</v>
      </c>
      <c r="AG151" s="1">
        <f t="shared" si="151"/>
        <v>5</v>
      </c>
      <c r="AH151" s="1" t="str">
        <f t="shared" si="146"/>
        <v/>
      </c>
      <c r="AI151" s="1">
        <v>1</v>
      </c>
      <c r="AJ151" s="1">
        <f t="shared" si="125"/>
        <v>0</v>
      </c>
      <c r="AK151" s="1">
        <v>1</v>
      </c>
      <c r="AL151" s="1">
        <v>1</v>
      </c>
      <c r="AM151" s="1">
        <v>2</v>
      </c>
      <c r="AN151" s="1">
        <f t="shared" si="126"/>
        <v>0</v>
      </c>
      <c r="AO151" s="1">
        <v>1</v>
      </c>
      <c r="AP151" s="1">
        <v>2</v>
      </c>
      <c r="AQ151" s="1">
        <v>2</v>
      </c>
      <c r="AR151" s="1">
        <v>2</v>
      </c>
      <c r="AS151" s="1">
        <v>2</v>
      </c>
      <c r="AT151" s="1">
        <v>2</v>
      </c>
      <c r="AU151" s="1">
        <v>2</v>
      </c>
      <c r="AV151" s="1">
        <v>2</v>
      </c>
      <c r="AW151" s="1">
        <v>1</v>
      </c>
      <c r="AX151" s="1">
        <v>1</v>
      </c>
      <c r="AY151" s="1">
        <v>1</v>
      </c>
      <c r="AZ151" s="1">
        <v>1</v>
      </c>
      <c r="BA151" s="1">
        <v>2</v>
      </c>
      <c r="BB151" s="1">
        <v>1</v>
      </c>
      <c r="BC151" s="1">
        <v>1</v>
      </c>
      <c r="BD151" s="1">
        <v>1</v>
      </c>
      <c r="BE151" s="1">
        <v>1</v>
      </c>
      <c r="BF151" s="1">
        <v>1</v>
      </c>
      <c r="BG151" s="1">
        <f t="shared" si="127"/>
        <v>0</v>
      </c>
      <c r="BH151" s="1">
        <f t="shared" si="128"/>
        <v>0</v>
      </c>
      <c r="BI151" s="1">
        <v>2</v>
      </c>
      <c r="BJ151" s="1">
        <v>2</v>
      </c>
      <c r="BK151" s="1">
        <v>1</v>
      </c>
      <c r="BL151" s="1">
        <v>1</v>
      </c>
      <c r="BM151" s="1">
        <v>1</v>
      </c>
      <c r="BN151" s="1">
        <v>1</v>
      </c>
      <c r="BO151" s="1">
        <v>1</v>
      </c>
      <c r="BP151" s="1">
        <v>1</v>
      </c>
      <c r="BQ151" s="1">
        <f t="shared" si="142"/>
        <v>0</v>
      </c>
      <c r="BR151" s="1">
        <v>1</v>
      </c>
      <c r="BS151" s="1">
        <v>1</v>
      </c>
      <c r="BT151" s="1">
        <f t="shared" si="139"/>
        <v>0</v>
      </c>
      <c r="BU151" s="1">
        <f>IF(HRRVL,1,0)</f>
        <v>0</v>
      </c>
      <c r="BV151" s="1">
        <v>1</v>
      </c>
      <c r="BW151" s="1">
        <v>1</v>
      </c>
      <c r="BX151" s="1">
        <v>1</v>
      </c>
      <c r="BY151" s="1">
        <v>1</v>
      </c>
      <c r="BZ151" s="1">
        <v>1</v>
      </c>
      <c r="CA151" s="1">
        <v>1</v>
      </c>
      <c r="CB151" s="1">
        <v>1</v>
      </c>
      <c r="CC151" s="1">
        <v>1</v>
      </c>
      <c r="CD151" s="1">
        <v>1</v>
      </c>
      <c r="CE151" s="1">
        <v>1</v>
      </c>
      <c r="CF151" s="1">
        <v>1</v>
      </c>
      <c r="CG151" s="1">
        <f t="shared" si="131"/>
        <v>0</v>
      </c>
      <c r="CH151" s="1">
        <v>1</v>
      </c>
      <c r="CI151" s="1">
        <v>1</v>
      </c>
      <c r="CJ151" s="1">
        <v>2</v>
      </c>
      <c r="CK151" s="1">
        <v>2</v>
      </c>
      <c r="CL151" s="1">
        <v>2</v>
      </c>
      <c r="CM151" s="1">
        <v>2</v>
      </c>
      <c r="CN151" s="1">
        <v>2</v>
      </c>
      <c r="CO151" s="1">
        <v>2</v>
      </c>
      <c r="CP151" s="1">
        <v>2</v>
      </c>
      <c r="CQ151" s="1">
        <v>2</v>
      </c>
      <c r="CR151" s="1">
        <v>2</v>
      </c>
      <c r="CS151" s="1">
        <v>2</v>
      </c>
      <c r="CT151" s="1">
        <v>2</v>
      </c>
      <c r="CU151" s="1">
        <v>2</v>
      </c>
      <c r="CV151" s="1">
        <f t="shared" si="132"/>
        <v>0</v>
      </c>
      <c r="CW151" s="1">
        <v>1</v>
      </c>
      <c r="CX151" s="1">
        <v>1</v>
      </c>
      <c r="CY151" s="1">
        <v>1</v>
      </c>
      <c r="CZ151" s="1">
        <f t="shared" si="133"/>
        <v>0</v>
      </c>
      <c r="DA151" s="1">
        <v>1</v>
      </c>
      <c r="DB151" s="1">
        <v>1</v>
      </c>
      <c r="DC151" s="1">
        <v>1</v>
      </c>
      <c r="DD151" s="1">
        <v>1</v>
      </c>
      <c r="DE151" s="1">
        <v>1</v>
      </c>
      <c r="DF151" s="1">
        <v>2</v>
      </c>
      <c r="DG151" s="1">
        <v>2</v>
      </c>
      <c r="DH151" s="1">
        <v>1</v>
      </c>
      <c r="DI151" s="1">
        <f t="shared" si="134"/>
        <v>0</v>
      </c>
      <c r="DJ151" s="1">
        <v>1</v>
      </c>
      <c r="DK151" s="1" t="s">
        <v>124</v>
      </c>
      <c r="DL151" s="1" t="s">
        <v>40</v>
      </c>
      <c r="DR151" s="1" t="b">
        <f>BaseAtk&gt;=5</f>
        <v>0</v>
      </c>
      <c r="DS151" s="1" t="b">
        <f>SkEscapeArtistRanks&gt;=5</f>
        <v>0</v>
      </c>
      <c r="DT151" s="1" t="b">
        <f>SkTumbleRanks&gt;=5</f>
        <v>0</v>
      </c>
      <c r="DU151" s="1" t="b">
        <f>FtCleverWrestling</f>
        <v>0</v>
      </c>
      <c r="DV151" s="1" t="b">
        <f>OR(FreeImprovedUnarmedStrike,FtImprovedUnarmed)</f>
        <v>0</v>
      </c>
      <c r="EA151" s="1" t="b">
        <f t="shared" si="141"/>
        <v>0</v>
      </c>
      <c r="EB151" s="11" t="s">
        <v>334</v>
      </c>
      <c r="EC151" s="1" t="str">
        <f>IF(DR151,"","• A base attack bonus of +5 or higher.
")&amp;IF(DS151,"","• 5 ranks in Escape Artist.
")&amp;IF(DT151,"","• 5 ranks in Tumble.
")&amp;IF(DU151,"","• Clever Wrestling feat.
")&amp;IF(DV151,"","• Improved Unarmed Strike feat.")</f>
        <v>• A base attack bonus of +5 or higher.
• 5 ranks in Escape Artist.
• 5 ranks in Tumble.
• Clever Wrestling feat.
• Improved Unarmed Strike feat.</v>
      </c>
      <c r="ED151" s="11" t="s">
        <v>335</v>
      </c>
      <c r="EE151" s="8" t="s">
        <v>455</v>
      </c>
      <c r="EF151" s="9"/>
      <c r="EG151" s="9" t="s">
        <v>153</v>
      </c>
      <c r="EH151" s="9">
        <v>1</v>
      </c>
      <c r="EI151" s="9" t="b">
        <f>FtGreatIntelligence2</f>
        <v>0</v>
      </c>
      <c r="EJ151" s="9"/>
      <c r="EK151" s="9"/>
      <c r="EL151" s="9"/>
      <c r="EM151" s="9"/>
      <c r="EN151" s="9">
        <v>21</v>
      </c>
      <c r="EO151" s="10">
        <f t="shared" si="152"/>
        <v>0</v>
      </c>
    </row>
    <row r="152" spans="1:145" ht="11.25" customHeight="1" x14ac:dyDescent="0.2">
      <c r="A152" s="1">
        <f t="shared" si="137"/>
        <v>149</v>
      </c>
      <c r="B152" s="1" t="s">
        <v>456</v>
      </c>
      <c r="C152" s="1" t="s">
        <v>457</v>
      </c>
      <c r="D152" s="1" t="s">
        <v>457</v>
      </c>
      <c r="E152" s="1">
        <f t="shared" si="143"/>
        <v>0</v>
      </c>
      <c r="K152" s="1">
        <v>2</v>
      </c>
      <c r="L152" s="1">
        <v>10</v>
      </c>
      <c r="V152" s="1">
        <v>1</v>
      </c>
      <c r="W152" s="1">
        <v>0.5</v>
      </c>
      <c r="X152" s="1">
        <v>0.34</v>
      </c>
      <c r="Y152" s="1">
        <v>0.34</v>
      </c>
      <c r="Z152" s="1" t="b">
        <f>FALSE</f>
        <v>0</v>
      </c>
      <c r="AA152" s="1" t="str">
        <f t="shared" si="147"/>
        <v/>
      </c>
      <c r="AB152" s="1" t="str">
        <f t="shared" si="148"/>
        <v/>
      </c>
      <c r="AC152" s="1">
        <f t="shared" si="144"/>
        <v>0</v>
      </c>
      <c r="AD152" s="1" t="str">
        <f t="shared" si="149"/>
        <v/>
      </c>
      <c r="AE152" s="1" t="str">
        <f t="shared" si="150"/>
        <v/>
      </c>
      <c r="AF152" s="1">
        <f t="shared" si="145"/>
        <v>0</v>
      </c>
      <c r="AG152" s="1">
        <f t="shared" si="151"/>
        <v>5</v>
      </c>
      <c r="AH152" s="1" t="str">
        <f t="shared" si="146"/>
        <v/>
      </c>
      <c r="AI152" s="1">
        <v>1</v>
      </c>
      <c r="AJ152" s="1">
        <f t="shared" si="125"/>
        <v>0</v>
      </c>
      <c r="AK152" s="1">
        <v>1</v>
      </c>
      <c r="AL152" s="1">
        <v>2</v>
      </c>
      <c r="AM152" s="1">
        <v>1</v>
      </c>
      <c r="AN152" s="1">
        <f t="shared" si="126"/>
        <v>0</v>
      </c>
      <c r="AO152" s="1">
        <v>1</v>
      </c>
      <c r="AP152" s="1">
        <v>2</v>
      </c>
      <c r="AQ152" s="1">
        <v>2</v>
      </c>
      <c r="AR152" s="1">
        <v>2</v>
      </c>
      <c r="AS152" s="1">
        <v>2</v>
      </c>
      <c r="AT152" s="1">
        <v>2</v>
      </c>
      <c r="AU152" s="1">
        <v>2</v>
      </c>
      <c r="AV152" s="1">
        <v>2</v>
      </c>
      <c r="AW152" s="1">
        <v>1</v>
      </c>
      <c r="AX152" s="1">
        <v>1</v>
      </c>
      <c r="AY152" s="1">
        <v>1</v>
      </c>
      <c r="AZ152" s="1">
        <v>2</v>
      </c>
      <c r="BA152" s="1">
        <v>1</v>
      </c>
      <c r="BB152" s="1">
        <v>1</v>
      </c>
      <c r="BC152" s="1">
        <v>1</v>
      </c>
      <c r="BD152" s="1">
        <v>1</v>
      </c>
      <c r="BE152" s="1">
        <v>1</v>
      </c>
      <c r="BF152" s="1">
        <v>1</v>
      </c>
      <c r="BG152" s="1">
        <f t="shared" si="127"/>
        <v>0</v>
      </c>
      <c r="BH152" s="1">
        <f t="shared" si="128"/>
        <v>0</v>
      </c>
      <c r="BI152" s="1">
        <v>2</v>
      </c>
      <c r="BJ152" s="1">
        <v>1</v>
      </c>
      <c r="BK152" s="1">
        <v>1</v>
      </c>
      <c r="BL152" s="1">
        <v>1</v>
      </c>
      <c r="BM152" s="1">
        <v>1</v>
      </c>
      <c r="BN152" s="1">
        <v>1</v>
      </c>
      <c r="BO152" s="1">
        <v>2</v>
      </c>
      <c r="BP152" s="1">
        <v>1</v>
      </c>
      <c r="BQ152" s="1">
        <f t="shared" si="142"/>
        <v>0</v>
      </c>
      <c r="BR152" s="1">
        <v>1</v>
      </c>
      <c r="BS152" s="1">
        <v>2</v>
      </c>
      <c r="BT152" s="1">
        <f t="shared" si="139"/>
        <v>0</v>
      </c>
      <c r="BU152" s="1">
        <f>IF(HRRVL,1,0)</f>
        <v>0</v>
      </c>
      <c r="BV152" s="1">
        <v>1</v>
      </c>
      <c r="BW152" s="1">
        <v>1</v>
      </c>
      <c r="BX152" s="1">
        <v>1</v>
      </c>
      <c r="BY152" s="1">
        <v>1</v>
      </c>
      <c r="BZ152" s="1">
        <v>1</v>
      </c>
      <c r="CA152" s="1">
        <v>1</v>
      </c>
      <c r="CB152" s="1">
        <v>1</v>
      </c>
      <c r="CC152" s="1">
        <v>1</v>
      </c>
      <c r="CD152" s="1">
        <v>1</v>
      </c>
      <c r="CE152" s="1">
        <v>1</v>
      </c>
      <c r="CF152" s="1">
        <v>1</v>
      </c>
      <c r="CG152" s="1">
        <f t="shared" si="131"/>
        <v>0</v>
      </c>
      <c r="CH152" s="1">
        <v>1</v>
      </c>
      <c r="CI152" s="1">
        <v>1</v>
      </c>
      <c r="CJ152" s="1">
        <v>1</v>
      </c>
      <c r="CK152" s="1">
        <v>1</v>
      </c>
      <c r="CL152" s="1">
        <v>1</v>
      </c>
      <c r="CM152" s="1">
        <v>1</v>
      </c>
      <c r="CN152" s="1">
        <v>1</v>
      </c>
      <c r="CO152" s="1">
        <v>1</v>
      </c>
      <c r="CP152" s="1">
        <v>1</v>
      </c>
      <c r="CQ152" s="1">
        <v>1</v>
      </c>
      <c r="CR152" s="1">
        <v>1</v>
      </c>
      <c r="CS152" s="1">
        <v>1</v>
      </c>
      <c r="CT152" s="1">
        <v>1</v>
      </c>
      <c r="CU152" s="1">
        <v>1</v>
      </c>
      <c r="CV152" s="1">
        <f t="shared" si="132"/>
        <v>0</v>
      </c>
      <c r="CW152" s="1">
        <v>2</v>
      </c>
      <c r="CX152" s="1">
        <v>1</v>
      </c>
      <c r="CY152" s="1">
        <v>2</v>
      </c>
      <c r="CZ152" s="1">
        <f t="shared" si="133"/>
        <v>0</v>
      </c>
      <c r="DA152" s="1">
        <v>1</v>
      </c>
      <c r="DB152" s="1">
        <v>1</v>
      </c>
      <c r="DC152" s="1">
        <v>1</v>
      </c>
      <c r="DD152" s="1">
        <v>1</v>
      </c>
      <c r="DE152" s="1">
        <v>1</v>
      </c>
      <c r="DF152" s="1">
        <v>1</v>
      </c>
      <c r="DG152" s="1">
        <v>1</v>
      </c>
      <c r="DH152" s="1">
        <v>1</v>
      </c>
      <c r="DI152" s="1">
        <f t="shared" si="134"/>
        <v>0</v>
      </c>
      <c r="DJ152" s="1">
        <v>1</v>
      </c>
      <c r="DK152" s="1" t="s">
        <v>124</v>
      </c>
      <c r="DL152" s="1" t="s">
        <v>170</v>
      </c>
      <c r="DR152" s="1" t="b">
        <f>AlignmentNonLawful</f>
        <v>0</v>
      </c>
      <c r="DS152" s="1" t="b">
        <f>BaseAtk&gt;=6</f>
        <v>0</v>
      </c>
      <c r="DT152" s="1" t="b">
        <f>NOT(ISNA(MATCH("Sword, Bastard",TblExoticFeats,0)))</f>
        <v>0</v>
      </c>
      <c r="EA152" s="1" t="b">
        <f t="shared" si="141"/>
        <v>0</v>
      </c>
      <c r="EB152" s="11" t="s">
        <v>334</v>
      </c>
      <c r="EC152" s="1" t="str">
        <f>IF(DR152,"","• Any non-Lawful alignment.
")&amp;IF(DS152,"","• A base attack bonus of +6 or higher.
")&amp;IF(DT152,"","• Exotic Weapon Proficiency(bastard sword) feat.")</f>
        <v>• Any non-Lawful alignment.
• A base attack bonus of +6 or higher.
• Exotic Weapon Proficiency(bastard sword) feat.</v>
      </c>
      <c r="ED152" s="11" t="s">
        <v>335</v>
      </c>
      <c r="EE152" s="8" t="s">
        <v>458</v>
      </c>
      <c r="EF152" s="9"/>
      <c r="EG152" s="9" t="s">
        <v>153</v>
      </c>
      <c r="EH152" s="9">
        <v>1</v>
      </c>
      <c r="EI152" s="9" t="b">
        <f>FtGreatIntelligence3</f>
        <v>0</v>
      </c>
      <c r="EJ152" s="9"/>
      <c r="EK152" s="9"/>
      <c r="EL152" s="9"/>
      <c r="EM152" s="9"/>
      <c r="EN152" s="9">
        <v>21</v>
      </c>
      <c r="EO152" s="10">
        <f t="shared" si="152"/>
        <v>0</v>
      </c>
    </row>
    <row r="153" spans="1:145" ht="11.25" customHeight="1" x14ac:dyDescent="0.2">
      <c r="A153" s="1">
        <f t="shared" si="137"/>
        <v>150</v>
      </c>
      <c r="B153" s="1" t="s">
        <v>459</v>
      </c>
      <c r="C153" s="1" t="s">
        <v>460</v>
      </c>
      <c r="D153" s="1" t="s">
        <v>460</v>
      </c>
      <c r="E153" s="1">
        <f t="shared" si="143"/>
        <v>0</v>
      </c>
      <c r="G153" s="1">
        <f>INT((SpsLvl+1)/2)</f>
        <v>0</v>
      </c>
      <c r="K153" s="1">
        <v>2</v>
      </c>
      <c r="L153" s="1">
        <v>8</v>
      </c>
      <c r="V153" s="1">
        <v>1</v>
      </c>
      <c r="W153" s="1">
        <v>0.5</v>
      </c>
      <c r="X153" s="1">
        <v>0.34</v>
      </c>
      <c r="Y153" s="1">
        <v>0.5</v>
      </c>
      <c r="Z153" s="1" t="b">
        <f>FALSE</f>
        <v>0</v>
      </c>
      <c r="AA153" s="1" t="str">
        <f t="shared" si="147"/>
        <v/>
      </c>
      <c r="AB153" s="1" t="str">
        <f t="shared" si="148"/>
        <v/>
      </c>
      <c r="AC153" s="1">
        <f t="shared" si="144"/>
        <v>0</v>
      </c>
      <c r="AD153" s="1" t="str">
        <f t="shared" si="149"/>
        <v/>
      </c>
      <c r="AE153" s="1" t="str">
        <f t="shared" si="150"/>
        <v/>
      </c>
      <c r="AF153" s="1">
        <f t="shared" si="145"/>
        <v>0</v>
      </c>
      <c r="AG153" s="1">
        <f t="shared" si="151"/>
        <v>5</v>
      </c>
      <c r="AH153" s="1" t="str">
        <f t="shared" si="146"/>
        <v/>
      </c>
      <c r="AI153" s="1">
        <v>1</v>
      </c>
      <c r="AJ153" s="1">
        <f t="shared" si="125"/>
        <v>0</v>
      </c>
      <c r="AK153" s="1">
        <v>1</v>
      </c>
      <c r="AL153" s="1">
        <v>1</v>
      </c>
      <c r="AM153" s="1">
        <v>2</v>
      </c>
      <c r="AN153" s="1">
        <f t="shared" si="126"/>
        <v>0</v>
      </c>
      <c r="AO153" s="1">
        <v>2</v>
      </c>
      <c r="AP153" s="1">
        <v>1</v>
      </c>
      <c r="AQ153" s="1">
        <v>1</v>
      </c>
      <c r="AR153" s="1">
        <v>1</v>
      </c>
      <c r="AS153" s="1">
        <v>1</v>
      </c>
      <c r="AT153" s="1">
        <v>1</v>
      </c>
      <c r="AU153" s="1">
        <v>1</v>
      </c>
      <c r="AV153" s="1">
        <v>1</v>
      </c>
      <c r="AW153" s="1">
        <v>1</v>
      </c>
      <c r="AX153" s="1">
        <v>1</v>
      </c>
      <c r="AY153" s="1">
        <v>1</v>
      </c>
      <c r="AZ153" s="1">
        <v>1</v>
      </c>
      <c r="BA153" s="1">
        <v>1</v>
      </c>
      <c r="BB153" s="1">
        <v>1</v>
      </c>
      <c r="BC153" s="1">
        <v>1</v>
      </c>
      <c r="BD153" s="1">
        <v>1</v>
      </c>
      <c r="BE153" s="1">
        <v>1</v>
      </c>
      <c r="BF153" s="1">
        <v>1</v>
      </c>
      <c r="BG153" s="1">
        <f t="shared" si="127"/>
        <v>0</v>
      </c>
      <c r="BH153" s="1">
        <f t="shared" si="128"/>
        <v>0</v>
      </c>
      <c r="BI153" s="1">
        <v>1</v>
      </c>
      <c r="BJ153" s="1">
        <v>2</v>
      </c>
      <c r="BK153" s="1">
        <v>2</v>
      </c>
      <c r="BL153" s="1">
        <v>2</v>
      </c>
      <c r="BM153" s="1">
        <v>2</v>
      </c>
      <c r="BN153" s="1">
        <v>2</v>
      </c>
      <c r="BO153" s="1">
        <v>2</v>
      </c>
      <c r="BP153" s="1">
        <f>1+NOT(HRLivingGreyhawk)</f>
        <v>2</v>
      </c>
      <c r="BQ153" s="1">
        <f>IF(HRRVL,2,0)</f>
        <v>0</v>
      </c>
      <c r="BR153" s="1">
        <v>2</v>
      </c>
      <c r="BS153" s="1">
        <v>2</v>
      </c>
      <c r="BT153" s="1">
        <f>IF(HRXPH,2,0)</f>
        <v>0</v>
      </c>
      <c r="BU153" s="1">
        <f>IF(HRRVL,2,0)</f>
        <v>0</v>
      </c>
      <c r="BV153" s="1">
        <v>2</v>
      </c>
      <c r="BW153" s="1">
        <v>2</v>
      </c>
      <c r="BX153" s="1">
        <v>2</v>
      </c>
      <c r="BY153" s="1">
        <v>2</v>
      </c>
      <c r="BZ153" s="1">
        <v>2</v>
      </c>
      <c r="CA153" s="1">
        <v>2</v>
      </c>
      <c r="CB153" s="1">
        <v>2</v>
      </c>
      <c r="CC153" s="1">
        <v>2</v>
      </c>
      <c r="CD153" s="1">
        <v>2</v>
      </c>
      <c r="CE153" s="1">
        <v>2</v>
      </c>
      <c r="CF153" s="1">
        <v>1</v>
      </c>
      <c r="CG153" s="1">
        <f t="shared" si="131"/>
        <v>0</v>
      </c>
      <c r="CH153" s="1">
        <v>1</v>
      </c>
      <c r="CI153" s="1">
        <v>1</v>
      </c>
      <c r="CJ153" s="1">
        <v>1</v>
      </c>
      <c r="CK153" s="1">
        <v>1</v>
      </c>
      <c r="CL153" s="1">
        <v>1</v>
      </c>
      <c r="CM153" s="1">
        <v>1</v>
      </c>
      <c r="CN153" s="1">
        <v>1</v>
      </c>
      <c r="CO153" s="1">
        <v>1</v>
      </c>
      <c r="CP153" s="1">
        <v>2</v>
      </c>
      <c r="CQ153" s="1">
        <v>2</v>
      </c>
      <c r="CR153" s="1">
        <v>2</v>
      </c>
      <c r="CS153" s="1">
        <v>2</v>
      </c>
      <c r="CT153" s="1">
        <v>2</v>
      </c>
      <c r="CU153" s="1">
        <v>2</v>
      </c>
      <c r="CV153" s="1">
        <f t="shared" si="132"/>
        <v>0</v>
      </c>
      <c r="CW153" s="1">
        <v>1</v>
      </c>
      <c r="CX153" s="1">
        <v>1</v>
      </c>
      <c r="CY153" s="1">
        <v>1</v>
      </c>
      <c r="CZ153" s="1">
        <f t="shared" si="133"/>
        <v>0</v>
      </c>
      <c r="DA153" s="1">
        <v>1</v>
      </c>
      <c r="DB153" s="1">
        <v>1</v>
      </c>
      <c r="DC153" s="1">
        <v>2</v>
      </c>
      <c r="DD153" s="1">
        <v>1</v>
      </c>
      <c r="DE153" s="1">
        <v>1</v>
      </c>
      <c r="DF153" s="1">
        <v>1</v>
      </c>
      <c r="DG153" s="1">
        <v>1</v>
      </c>
      <c r="DH153" s="1">
        <v>1</v>
      </c>
      <c r="DI153" s="1">
        <f t="shared" si="134"/>
        <v>0</v>
      </c>
      <c r="DJ153" s="1">
        <v>1</v>
      </c>
      <c r="DK153" s="1" t="s">
        <v>124</v>
      </c>
      <c r="DL153" s="1" t="s">
        <v>40</v>
      </c>
      <c r="DR153" s="1" t="b">
        <f>BaseAtk&gt;=4</f>
        <v>0</v>
      </c>
      <c r="DS153" s="1" t="b">
        <f>SkKnowledgeArcanaRanks&gt;=6</f>
        <v>0</v>
      </c>
      <c r="DT153" s="1" t="b">
        <f>AND(LightArmorProf,MedArmorProf,HvyArmorProf,SimpleProf,MartialProf)</f>
        <v>1</v>
      </c>
      <c r="DU153" s="1" t="b">
        <f ca="1">MaxArcaneSpellLevel&gt;=2</f>
        <v>0</v>
      </c>
      <c r="EA153" s="1" t="b">
        <f ca="1">AND(DM153:DZ153)</f>
        <v>0</v>
      </c>
      <c r="EB153" s="11" t="s">
        <v>338</v>
      </c>
      <c r="EC153" s="1" t="str">
        <f ca="1">IF(DR153,"","• A base attack bonus of +4 or higher.
")&amp;IF(DS153,"","• 6 ranks in Knowledge(arcana).
")&amp;IF(DT153,"","• Proficient in all simple, martial weapons, and all armor.
")&amp;IF(DU153,"","• Ability to cast 2nd level arcane spells.
")&amp;"• You must have defeated a foe through force of arms alone
   (not verified)."</f>
        <v>• A base attack bonus of +4 or higher.
• 6 ranks in Knowledge(arcana).
• Ability to cast 2nd level arcane spells.
• You must have defeated a foe through force of arms alone
   (not verified).</v>
      </c>
      <c r="ED153" s="11" t="s">
        <v>335</v>
      </c>
      <c r="EE153" s="8" t="s">
        <v>461</v>
      </c>
      <c r="EF153" s="9"/>
      <c r="EG153" s="9" t="s">
        <v>134</v>
      </c>
      <c r="EH153" s="9">
        <v>1</v>
      </c>
      <c r="EI153" s="9" t="b">
        <f>FtGreatStrength1</f>
        <v>0</v>
      </c>
      <c r="EJ153" s="9"/>
      <c r="EK153" s="9"/>
      <c r="EL153" s="9"/>
      <c r="EM153" s="9"/>
      <c r="EN153" s="9">
        <v>21</v>
      </c>
      <c r="EO153" s="10">
        <f t="shared" si="152"/>
        <v>0</v>
      </c>
    </row>
    <row r="154" spans="1:145" ht="11.25" customHeight="1" x14ac:dyDescent="0.2">
      <c r="A154" s="1">
        <f t="shared" si="137"/>
        <v>151</v>
      </c>
      <c r="B154" s="1" t="s">
        <v>462</v>
      </c>
      <c r="C154" s="1" t="s">
        <v>463</v>
      </c>
      <c r="D154" s="1" t="s">
        <v>463</v>
      </c>
      <c r="E154" s="1">
        <f t="shared" si="143"/>
        <v>0</v>
      </c>
      <c r="K154" s="1">
        <v>2</v>
      </c>
      <c r="L154" s="1">
        <v>8</v>
      </c>
      <c r="V154" s="1">
        <v>1</v>
      </c>
      <c r="W154" s="1">
        <v>0.5</v>
      </c>
      <c r="X154" s="1">
        <v>0.34</v>
      </c>
      <c r="Y154" s="1">
        <v>0.34</v>
      </c>
      <c r="Z154" s="1" t="b">
        <f>FALSE</f>
        <v>0</v>
      </c>
      <c r="AA154" s="1" t="str">
        <f t="shared" si="147"/>
        <v/>
      </c>
      <c r="AB154" s="1" t="str">
        <f t="shared" si="148"/>
        <v/>
      </c>
      <c r="AC154" s="1">
        <f t="shared" si="144"/>
        <v>0</v>
      </c>
      <c r="AD154" s="1" t="str">
        <f t="shared" si="149"/>
        <v/>
      </c>
      <c r="AE154" s="1" t="str">
        <f t="shared" si="150"/>
        <v/>
      </c>
      <c r="AF154" s="1">
        <f t="shared" si="145"/>
        <v>0</v>
      </c>
      <c r="AG154" s="1">
        <f t="shared" si="151"/>
        <v>5</v>
      </c>
      <c r="AH154" s="1" t="str">
        <f t="shared" si="146"/>
        <v/>
      </c>
      <c r="AI154" s="1">
        <v>1</v>
      </c>
      <c r="AJ154" s="1">
        <f t="shared" si="125"/>
        <v>0</v>
      </c>
      <c r="AK154" s="1">
        <v>1</v>
      </c>
      <c r="AL154" s="1">
        <v>1</v>
      </c>
      <c r="AM154" s="1">
        <v>2</v>
      </c>
      <c r="AN154" s="1">
        <f t="shared" si="126"/>
        <v>0</v>
      </c>
      <c r="AO154" s="1">
        <v>2</v>
      </c>
      <c r="AP154" s="1">
        <v>2</v>
      </c>
      <c r="AQ154" s="1">
        <v>2</v>
      </c>
      <c r="AR154" s="1">
        <v>2</v>
      </c>
      <c r="AS154" s="1">
        <v>2</v>
      </c>
      <c r="AT154" s="1">
        <v>2</v>
      </c>
      <c r="AU154" s="1">
        <v>2</v>
      </c>
      <c r="AV154" s="1">
        <v>2</v>
      </c>
      <c r="AW154" s="1">
        <v>1</v>
      </c>
      <c r="AX154" s="1">
        <v>1</v>
      </c>
      <c r="AY154" s="1">
        <v>1</v>
      </c>
      <c r="AZ154" s="1">
        <v>1</v>
      </c>
      <c r="BA154" s="1">
        <v>1</v>
      </c>
      <c r="BB154" s="1">
        <v>1</v>
      </c>
      <c r="BC154" s="1">
        <v>1</v>
      </c>
      <c r="BD154" s="1">
        <v>1</v>
      </c>
      <c r="BE154" s="1">
        <v>1</v>
      </c>
      <c r="BF154" s="1">
        <v>1</v>
      </c>
      <c r="BG154" s="1">
        <f t="shared" si="127"/>
        <v>0</v>
      </c>
      <c r="BH154" s="1">
        <f t="shared" si="128"/>
        <v>0</v>
      </c>
      <c r="BI154" s="1">
        <v>1</v>
      </c>
      <c r="BJ154" s="1">
        <v>1</v>
      </c>
      <c r="BK154" s="1">
        <v>2</v>
      </c>
      <c r="BL154" s="1">
        <v>2</v>
      </c>
      <c r="BM154" s="1">
        <v>2</v>
      </c>
      <c r="BN154" s="1">
        <v>2</v>
      </c>
      <c r="BO154" s="1">
        <v>2</v>
      </c>
      <c r="BP154" s="1">
        <f>1+NOT(HRLivingGreyhawk)</f>
        <v>2</v>
      </c>
      <c r="BQ154" s="1">
        <f>IF(HRRVL,2,0)</f>
        <v>0</v>
      </c>
      <c r="BR154" s="1">
        <v>2</v>
      </c>
      <c r="BS154" s="1">
        <v>2</v>
      </c>
      <c r="BT154" s="1">
        <f>IF(HRXPH,2,0)</f>
        <v>0</v>
      </c>
      <c r="BU154" s="1">
        <f>IF(HRRVL,2,0)</f>
        <v>0</v>
      </c>
      <c r="BV154" s="1">
        <v>2</v>
      </c>
      <c r="BW154" s="1">
        <v>2</v>
      </c>
      <c r="BX154" s="1">
        <v>2</v>
      </c>
      <c r="BY154" s="1">
        <v>2</v>
      </c>
      <c r="BZ154" s="1">
        <v>2</v>
      </c>
      <c r="CA154" s="1">
        <v>2</v>
      </c>
      <c r="CB154" s="1">
        <v>2</v>
      </c>
      <c r="CC154" s="1">
        <v>2</v>
      </c>
      <c r="CD154" s="1">
        <v>2</v>
      </c>
      <c r="CE154" s="1">
        <v>2</v>
      </c>
      <c r="CF154" s="1">
        <v>1</v>
      </c>
      <c r="CG154" s="1">
        <f t="shared" si="131"/>
        <v>0</v>
      </c>
      <c r="CH154" s="1">
        <v>1</v>
      </c>
      <c r="CI154" s="1">
        <v>1</v>
      </c>
      <c r="CJ154" s="1">
        <v>1</v>
      </c>
      <c r="CK154" s="1">
        <v>1</v>
      </c>
      <c r="CL154" s="1">
        <v>1</v>
      </c>
      <c r="CM154" s="1">
        <v>1</v>
      </c>
      <c r="CN154" s="1">
        <v>1</v>
      </c>
      <c r="CO154" s="1">
        <v>1</v>
      </c>
      <c r="CP154" s="1">
        <v>2</v>
      </c>
      <c r="CQ154" s="1">
        <v>2</v>
      </c>
      <c r="CR154" s="1">
        <v>2</v>
      </c>
      <c r="CS154" s="1">
        <v>2</v>
      </c>
      <c r="CT154" s="1">
        <v>2</v>
      </c>
      <c r="CU154" s="1">
        <v>2</v>
      </c>
      <c r="CV154" s="1">
        <f t="shared" si="132"/>
        <v>0</v>
      </c>
      <c r="CW154" s="1">
        <v>1</v>
      </c>
      <c r="CX154" s="1">
        <v>1</v>
      </c>
      <c r="CY154" s="1">
        <v>1</v>
      </c>
      <c r="CZ154" s="1">
        <f t="shared" si="133"/>
        <v>0</v>
      </c>
      <c r="DA154" s="1">
        <v>1</v>
      </c>
      <c r="DB154" s="1">
        <v>1</v>
      </c>
      <c r="DC154" s="1">
        <v>1</v>
      </c>
      <c r="DD154" s="1">
        <v>2</v>
      </c>
      <c r="DE154" s="1">
        <v>2</v>
      </c>
      <c r="DF154" s="1">
        <v>1</v>
      </c>
      <c r="DG154" s="1">
        <v>1</v>
      </c>
      <c r="DH154" s="1">
        <v>1</v>
      </c>
      <c r="DI154" s="1">
        <f t="shared" si="134"/>
        <v>0</v>
      </c>
      <c r="DJ154" s="1">
        <v>1</v>
      </c>
      <c r="DK154" s="1" t="s">
        <v>124</v>
      </c>
      <c r="DL154" s="1" t="s">
        <v>40</v>
      </c>
      <c r="DR154" s="1" t="b">
        <f>RaceCi="Dwarf"</f>
        <v>1</v>
      </c>
      <c r="DS154" s="1" t="b">
        <f>BaseAtk&gt;=5</f>
        <v>0</v>
      </c>
      <c r="DT154" s="1" t="b">
        <f>IF(NOT(ISNA(MATCH("Stoneworking",TblCraftSkills,0))),INDEX(TblCraftRanks,MATCH("Stoneworking",TblCraftSkills,0),1)&gt;=6,FALSE)</f>
        <v>0</v>
      </c>
      <c r="DU154" s="1" t="b">
        <f>NOT(ISNA(MATCH("Terran",TblLangKnown,0)))</f>
        <v>0</v>
      </c>
      <c r="DV154" s="1" t="b">
        <f>OR(FtEndurance,FtKoboldEndurance)</f>
        <v>0</v>
      </c>
      <c r="EA154" s="1" t="b">
        <f t="shared" si="141"/>
        <v>0</v>
      </c>
      <c r="EB154" s="11" t="s">
        <v>334</v>
      </c>
      <c r="EC154" s="1" t="str">
        <f>IF(DR154,"","• You must be a Dwarf.
")&amp;IF(DS154,"","• A base attack bonus of +5 or higher.
")&amp;IF(DT154,"","• 6 ranks in Craft(stoneworking).
")&amp;IF(DU154,"","• Ability to speak Terran.
")&amp;IF(DV154,"","• Endurance feat.")</f>
        <v>• A base attack bonus of +5 or higher.
• 6 ranks in Craft(stoneworking).
• Ability to speak Terran.
• Endurance feat.</v>
      </c>
      <c r="ED154" s="11" t="s">
        <v>335</v>
      </c>
      <c r="EE154" s="8" t="s">
        <v>464</v>
      </c>
      <c r="EF154" s="9"/>
      <c r="EG154" s="9" t="s">
        <v>134</v>
      </c>
      <c r="EH154" s="9">
        <v>1</v>
      </c>
      <c r="EI154" s="9" t="b">
        <f>FtGreatStrength2</f>
        <v>0</v>
      </c>
      <c r="EJ154" s="9"/>
      <c r="EK154" s="9"/>
      <c r="EL154" s="9"/>
      <c r="EM154" s="9"/>
      <c r="EN154" s="9">
        <v>21</v>
      </c>
      <c r="EO154" s="10">
        <f t="shared" si="152"/>
        <v>0</v>
      </c>
    </row>
    <row r="155" spans="1:145" ht="11.25" customHeight="1" x14ac:dyDescent="0.2">
      <c r="A155" s="1">
        <f t="shared" si="137"/>
        <v>152</v>
      </c>
      <c r="B155" s="1" t="s">
        <v>465</v>
      </c>
      <c r="C155" s="1" t="s">
        <v>466</v>
      </c>
      <c r="D155" s="1" t="s">
        <v>467</v>
      </c>
      <c r="E155" s="1">
        <f t="shared" si="143"/>
        <v>0</v>
      </c>
      <c r="K155" s="1">
        <v>4</v>
      </c>
      <c r="L155" s="1">
        <v>8</v>
      </c>
      <c r="V155" s="1">
        <v>0.75</v>
      </c>
      <c r="W155" s="1">
        <v>0.5</v>
      </c>
      <c r="X155" s="1">
        <v>0.5</v>
      </c>
      <c r="Y155" s="1">
        <v>0.5</v>
      </c>
      <c r="Z155" s="1" t="b">
        <f>FALSE</f>
        <v>0</v>
      </c>
      <c r="AA155" s="1" t="str">
        <f t="shared" si="147"/>
        <v/>
      </c>
      <c r="AB155" s="1" t="str">
        <f t="shared" si="148"/>
        <v/>
      </c>
      <c r="AC155" s="1">
        <f t="shared" si="144"/>
        <v>0</v>
      </c>
      <c r="AD155" s="1" t="str">
        <f t="shared" si="149"/>
        <v/>
      </c>
      <c r="AE155" s="1" t="str">
        <f t="shared" si="150"/>
        <v/>
      </c>
      <c r="AF155" s="1">
        <f t="shared" si="145"/>
        <v>0</v>
      </c>
      <c r="AG155" s="1">
        <f t="shared" si="151"/>
        <v>5</v>
      </c>
      <c r="AH155" s="1" t="str">
        <f t="shared" si="146"/>
        <v/>
      </c>
      <c r="AI155" s="1">
        <v>1</v>
      </c>
      <c r="AJ155" s="1">
        <f t="shared" si="125"/>
        <v>0</v>
      </c>
      <c r="AK155" s="1">
        <v>2</v>
      </c>
      <c r="AL155" s="1">
        <v>1</v>
      </c>
      <c r="AM155" s="1">
        <v>2</v>
      </c>
      <c r="AN155" s="1">
        <f t="shared" si="126"/>
        <v>0</v>
      </c>
      <c r="AO155" s="1">
        <v>2</v>
      </c>
      <c r="AP155" s="1">
        <v>2</v>
      </c>
      <c r="AQ155" s="1">
        <v>2</v>
      </c>
      <c r="AR155" s="1">
        <v>2</v>
      </c>
      <c r="AS155" s="1">
        <v>2</v>
      </c>
      <c r="AT155" s="1">
        <v>2</v>
      </c>
      <c r="AU155" s="1">
        <v>2</v>
      </c>
      <c r="AV155" s="1">
        <v>2</v>
      </c>
      <c r="AW155" s="1">
        <v>1</v>
      </c>
      <c r="AX155" s="1">
        <v>2</v>
      </c>
      <c r="AY155" s="1">
        <v>1</v>
      </c>
      <c r="AZ155" s="1">
        <v>1</v>
      </c>
      <c r="BA155" s="1">
        <v>2</v>
      </c>
      <c r="BB155" s="1">
        <v>1</v>
      </c>
      <c r="BC155" s="1">
        <v>1</v>
      </c>
      <c r="BD155" s="1">
        <v>1</v>
      </c>
      <c r="BE155" s="1">
        <v>1</v>
      </c>
      <c r="BF155" s="1">
        <v>2</v>
      </c>
      <c r="BG155" s="1">
        <f t="shared" si="127"/>
        <v>0</v>
      </c>
      <c r="BH155" s="1">
        <f t="shared" si="128"/>
        <v>0</v>
      </c>
      <c r="BI155" s="1">
        <v>1</v>
      </c>
      <c r="BJ155" s="1">
        <v>2</v>
      </c>
      <c r="BK155" s="1">
        <v>2</v>
      </c>
      <c r="BL155" s="1">
        <v>2</v>
      </c>
      <c r="BM155" s="1">
        <v>2</v>
      </c>
      <c r="BN155" s="1">
        <v>2</v>
      </c>
      <c r="BO155" s="1">
        <v>2</v>
      </c>
      <c r="BP155" s="1">
        <f>1+NOT(HRLivingGreyhawk)</f>
        <v>2</v>
      </c>
      <c r="BQ155" s="1">
        <f>IF(HRRVL,2,0)</f>
        <v>0</v>
      </c>
      <c r="BR155" s="1">
        <v>2</v>
      </c>
      <c r="BS155" s="1">
        <v>2</v>
      </c>
      <c r="BT155" s="1">
        <f>IF(HRXPH,2,0)</f>
        <v>0</v>
      </c>
      <c r="BU155" s="1">
        <f>IF(HRRVL,2,0)</f>
        <v>0</v>
      </c>
      <c r="BV155" s="1">
        <v>2</v>
      </c>
      <c r="BW155" s="1">
        <v>2</v>
      </c>
      <c r="BX155" s="1">
        <v>2</v>
      </c>
      <c r="BY155" s="1">
        <v>2</v>
      </c>
      <c r="BZ155" s="1">
        <v>2</v>
      </c>
      <c r="CA155" s="1">
        <v>2</v>
      </c>
      <c r="CB155" s="1">
        <v>2</v>
      </c>
      <c r="CC155" s="1">
        <v>2</v>
      </c>
      <c r="CD155" s="1">
        <v>2</v>
      </c>
      <c r="CE155" s="1">
        <v>2</v>
      </c>
      <c r="CF155" s="1">
        <v>2</v>
      </c>
      <c r="CG155" s="1">
        <f t="shared" si="131"/>
        <v>0</v>
      </c>
      <c r="CH155" s="1">
        <v>2</v>
      </c>
      <c r="CI155" s="1">
        <v>1</v>
      </c>
      <c r="CJ155" s="1">
        <v>2</v>
      </c>
      <c r="CK155" s="1">
        <v>2</v>
      </c>
      <c r="CL155" s="1">
        <v>2</v>
      </c>
      <c r="CM155" s="1">
        <v>2</v>
      </c>
      <c r="CN155" s="1">
        <v>2</v>
      </c>
      <c r="CO155" s="1">
        <v>2</v>
      </c>
      <c r="CP155" s="1">
        <v>2</v>
      </c>
      <c r="CQ155" s="1">
        <v>2</v>
      </c>
      <c r="CR155" s="1">
        <v>2</v>
      </c>
      <c r="CS155" s="1">
        <v>2</v>
      </c>
      <c r="CT155" s="1">
        <v>2</v>
      </c>
      <c r="CU155" s="1">
        <v>2</v>
      </c>
      <c r="CV155" s="1">
        <f t="shared" si="132"/>
        <v>0</v>
      </c>
      <c r="CW155" s="1">
        <v>1</v>
      </c>
      <c r="CX155" s="1">
        <v>1</v>
      </c>
      <c r="CY155" s="1">
        <v>1</v>
      </c>
      <c r="CZ155" s="1">
        <f t="shared" si="133"/>
        <v>0</v>
      </c>
      <c r="DA155" s="1">
        <v>1</v>
      </c>
      <c r="DB155" s="1">
        <v>1</v>
      </c>
      <c r="DC155" s="1">
        <v>1</v>
      </c>
      <c r="DD155" s="1">
        <v>1</v>
      </c>
      <c r="DE155" s="1">
        <v>1</v>
      </c>
      <c r="DF155" s="1">
        <v>2</v>
      </c>
      <c r="DG155" s="1">
        <v>2</v>
      </c>
      <c r="DH155" s="1">
        <v>1</v>
      </c>
      <c r="DI155" s="1">
        <f t="shared" si="134"/>
        <v>0</v>
      </c>
      <c r="DJ155" s="1">
        <v>1</v>
      </c>
      <c r="DK155" s="1" t="s">
        <v>124</v>
      </c>
      <c r="DL155" s="1" t="s">
        <v>40</v>
      </c>
      <c r="DR155" s="1" t="b">
        <f>AlignmentLawful</f>
        <v>1</v>
      </c>
      <c r="DS155" s="1" t="b">
        <f>BaseAtk&gt;=3</f>
        <v>0</v>
      </c>
      <c r="DT155" s="1" t="b">
        <f>SkKnowledgeReligionRanks&gt;=8</f>
        <v>0</v>
      </c>
      <c r="DU155" s="1" t="b">
        <f>OR(FtEndurance,FtKoboldEndurance)</f>
        <v>0</v>
      </c>
      <c r="DV155" s="1" t="b">
        <f>OR(FreeImprovedGrapple,FtImprovedGrapple)</f>
        <v>0</v>
      </c>
      <c r="DW155" s="1" t="b">
        <f>OR(FreeImprovedUnarmedStrike,FtImprovedUnarmed)</f>
        <v>0</v>
      </c>
      <c r="EA155" s="1" t="b">
        <f t="shared" si="141"/>
        <v>0</v>
      </c>
      <c r="EB155" s="11" t="s">
        <v>334</v>
      </c>
      <c r="EC155" s="1" t="str">
        <f>IF(DR155,"","• Any Lawful alignment.
")&amp;IF(DS155,"","• A base attack bonus of +3 or higher.
")&amp;IF(DT155,"","• 8 ranks in Knowledge(religion).
")&amp;IF(DU155,"","• Endurance feat.
")&amp;IF(DV155,"","• Improved Grapple feat.
")&amp;IF(DW155,"","• Improved Unarmed Strike feat.")</f>
        <v>• A base attack bonus of +3 or higher.
• 8 ranks in Knowledge(religion).
• Endurance feat.
• Improved Grapple feat.
• Improved Unarmed Strike feat.</v>
      </c>
      <c r="ED155" s="11" t="s">
        <v>335</v>
      </c>
      <c r="EE155" s="8" t="s">
        <v>468</v>
      </c>
      <c r="EF155" s="9"/>
      <c r="EG155" s="9" t="s">
        <v>134</v>
      </c>
      <c r="EH155" s="9">
        <v>1</v>
      </c>
      <c r="EI155" s="9" t="b">
        <f>FtGreatStrength3</f>
        <v>0</v>
      </c>
      <c r="EJ155" s="9"/>
      <c r="EK155" s="9"/>
      <c r="EL155" s="9"/>
      <c r="EM155" s="9"/>
      <c r="EN155" s="9">
        <v>21</v>
      </c>
      <c r="EO155" s="10">
        <f t="shared" si="152"/>
        <v>0</v>
      </c>
    </row>
    <row r="156" spans="1:145" ht="11.25" customHeight="1" x14ac:dyDescent="0.2">
      <c r="A156" s="1">
        <f t="shared" si="137"/>
        <v>153</v>
      </c>
      <c r="B156" s="1" t="s">
        <v>469</v>
      </c>
      <c r="C156" s="1" t="s">
        <v>470</v>
      </c>
      <c r="D156" s="1" t="s">
        <v>471</v>
      </c>
      <c r="E156" s="1">
        <f t="shared" si="143"/>
        <v>0</v>
      </c>
      <c r="K156" s="1">
        <v>2</v>
      </c>
      <c r="L156" s="1">
        <v>10</v>
      </c>
      <c r="R156" s="1" t="b">
        <v>1</v>
      </c>
      <c r="V156" s="1">
        <v>1</v>
      </c>
      <c r="W156" s="1">
        <v>0.5</v>
      </c>
      <c r="X156" s="1">
        <v>0.34</v>
      </c>
      <c r="Y156" s="1">
        <v>0.34</v>
      </c>
      <c r="Z156" s="1" t="b">
        <f>FALSE</f>
        <v>0</v>
      </c>
      <c r="AA156" s="1" t="str">
        <f t="shared" si="147"/>
        <v/>
      </c>
      <c r="AB156" s="1" t="str">
        <f t="shared" si="148"/>
        <v/>
      </c>
      <c r="AC156" s="1">
        <f t="shared" si="144"/>
        <v>0</v>
      </c>
      <c r="AD156" s="1" t="str">
        <f t="shared" si="149"/>
        <v/>
      </c>
      <c r="AE156" s="1" t="str">
        <f t="shared" si="150"/>
        <v/>
      </c>
      <c r="AF156" s="1">
        <f t="shared" si="145"/>
        <v>0</v>
      </c>
      <c r="AG156" s="1">
        <f t="shared" si="151"/>
        <v>5</v>
      </c>
      <c r="AH156" s="1" t="str">
        <f t="shared" si="146"/>
        <v/>
      </c>
      <c r="AI156" s="1">
        <v>1</v>
      </c>
      <c r="AJ156" s="1">
        <f t="shared" si="125"/>
        <v>0</v>
      </c>
      <c r="AK156" s="1">
        <v>1</v>
      </c>
      <c r="AL156" s="1">
        <v>2</v>
      </c>
      <c r="AM156" s="1">
        <v>2</v>
      </c>
      <c r="AN156" s="1">
        <f t="shared" si="126"/>
        <v>0</v>
      </c>
      <c r="AO156" s="1">
        <v>1</v>
      </c>
      <c r="AP156" s="1">
        <v>2</v>
      </c>
      <c r="AQ156" s="1">
        <v>2</v>
      </c>
      <c r="AR156" s="1">
        <v>2</v>
      </c>
      <c r="AS156" s="1">
        <v>2</v>
      </c>
      <c r="AT156" s="1">
        <v>2</v>
      </c>
      <c r="AU156" s="1">
        <v>2</v>
      </c>
      <c r="AV156" s="1">
        <v>2</v>
      </c>
      <c r="AW156" s="1">
        <v>1</v>
      </c>
      <c r="AX156" s="1">
        <v>1</v>
      </c>
      <c r="AY156" s="1">
        <v>1</v>
      </c>
      <c r="AZ156" s="1">
        <v>1</v>
      </c>
      <c r="BA156" s="1">
        <v>1</v>
      </c>
      <c r="BB156" s="1">
        <v>1</v>
      </c>
      <c r="BC156" s="1">
        <v>2</v>
      </c>
      <c r="BD156" s="1">
        <v>2</v>
      </c>
      <c r="BE156" s="1">
        <v>1</v>
      </c>
      <c r="BF156" s="1">
        <v>1</v>
      </c>
      <c r="BG156" s="1">
        <f t="shared" si="127"/>
        <v>0</v>
      </c>
      <c r="BH156" s="1">
        <f t="shared" si="128"/>
        <v>0</v>
      </c>
      <c r="BI156" s="1">
        <v>2</v>
      </c>
      <c r="BJ156" s="1">
        <v>2</v>
      </c>
      <c r="BK156" s="1">
        <v>2</v>
      </c>
      <c r="BL156" s="1">
        <v>1</v>
      </c>
      <c r="BM156" s="1">
        <v>1</v>
      </c>
      <c r="BN156" s="1">
        <v>1</v>
      </c>
      <c r="BO156" s="1">
        <v>1</v>
      </c>
      <c r="BP156" s="1">
        <f>1+NOT(HRLivingGreyhawk)</f>
        <v>2</v>
      </c>
      <c r="BQ156" s="1">
        <f>IF(HRRVL,1,0)</f>
        <v>0</v>
      </c>
      <c r="BR156" s="1">
        <v>1</v>
      </c>
      <c r="BS156" s="1">
        <v>1</v>
      </c>
      <c r="BT156" s="1">
        <f>IF(HRXPH,1,0)</f>
        <v>0</v>
      </c>
      <c r="BU156" s="1">
        <f>IF(HRRVL,1,0)</f>
        <v>0</v>
      </c>
      <c r="BV156" s="1">
        <v>1</v>
      </c>
      <c r="BW156" s="1">
        <v>1</v>
      </c>
      <c r="BX156" s="1">
        <v>1</v>
      </c>
      <c r="BY156" s="1">
        <v>1</v>
      </c>
      <c r="BZ156" s="1">
        <v>1</v>
      </c>
      <c r="CA156" s="1">
        <v>1</v>
      </c>
      <c r="CB156" s="1">
        <v>1</v>
      </c>
      <c r="CC156" s="1">
        <v>1</v>
      </c>
      <c r="CD156" s="1">
        <v>1</v>
      </c>
      <c r="CE156" s="1">
        <v>1</v>
      </c>
      <c r="CF156" s="1">
        <v>1</v>
      </c>
      <c r="CG156" s="1">
        <f t="shared" si="131"/>
        <v>0</v>
      </c>
      <c r="CH156" s="1">
        <v>1</v>
      </c>
      <c r="CI156" s="1">
        <v>1</v>
      </c>
      <c r="CJ156" s="1">
        <v>1</v>
      </c>
      <c r="CK156" s="1">
        <v>1</v>
      </c>
      <c r="CL156" s="1">
        <v>1</v>
      </c>
      <c r="CM156" s="1">
        <v>1</v>
      </c>
      <c r="CN156" s="1">
        <v>1</v>
      </c>
      <c r="CO156" s="1">
        <v>1</v>
      </c>
      <c r="CP156" s="1">
        <v>2</v>
      </c>
      <c r="CQ156" s="1">
        <v>2</v>
      </c>
      <c r="CR156" s="1">
        <v>2</v>
      </c>
      <c r="CS156" s="1">
        <v>2</v>
      </c>
      <c r="CT156" s="1">
        <v>2</v>
      </c>
      <c r="CU156" s="1">
        <v>2</v>
      </c>
      <c r="CV156" s="1">
        <f t="shared" si="132"/>
        <v>0</v>
      </c>
      <c r="CW156" s="1">
        <v>2</v>
      </c>
      <c r="CX156" s="1">
        <v>1</v>
      </c>
      <c r="CY156" s="1">
        <v>1</v>
      </c>
      <c r="CZ156" s="1">
        <f t="shared" si="133"/>
        <v>0</v>
      </c>
      <c r="DA156" s="1">
        <v>1</v>
      </c>
      <c r="DB156" s="1">
        <v>1</v>
      </c>
      <c r="DC156" s="1">
        <v>1</v>
      </c>
      <c r="DD156" s="1">
        <v>2</v>
      </c>
      <c r="DE156" s="1">
        <v>1</v>
      </c>
      <c r="DF156" s="1">
        <v>2</v>
      </c>
      <c r="DG156" s="1">
        <v>1</v>
      </c>
      <c r="DH156" s="1">
        <v>1</v>
      </c>
      <c r="DI156" s="1">
        <f t="shared" si="134"/>
        <v>0</v>
      </c>
      <c r="DJ156" s="1">
        <v>1</v>
      </c>
      <c r="DK156" s="1" t="s">
        <v>124</v>
      </c>
      <c r="DL156" s="1" t="s">
        <v>170</v>
      </c>
      <c r="DR156" s="1" t="b">
        <f>RaceCi="Human"</f>
        <v>0</v>
      </c>
      <c r="DS156" s="1" t="b">
        <f>AlignmentNonGood</f>
        <v>0</v>
      </c>
      <c r="DT156" s="1" t="b">
        <f>BaseAtk&gt;=5</f>
        <v>0</v>
      </c>
      <c r="DU156" s="1" t="b">
        <f>SkIntimidateRanks&gt;=2</f>
        <v>0</v>
      </c>
      <c r="DV156" s="1" t="b">
        <f>SkKnowledgeArcanaRanks&gt;=2</f>
        <v>0</v>
      </c>
      <c r="DW156" s="1" t="b">
        <f>SkKnowledgeLocalRanks&gt;=2</f>
        <v>0</v>
      </c>
      <c r="DX156" s="1" t="b">
        <f>FtIronWill</f>
        <v>0</v>
      </c>
      <c r="DY156" s="1" t="b">
        <f>OR(NOT(ISNA(MATCH("Longsword",TblWeaponFocusFeat,0))),
        AND(ClrLvl&gt;=1,NOT(ISNA(MATCH("War",Domains,0))),FavoredWeapon="Longsword"))</f>
        <v>0</v>
      </c>
      <c r="EA156" s="1" t="b">
        <f t="shared" si="141"/>
        <v>0</v>
      </c>
      <c r="EB156" s="11" t="s">
        <v>334</v>
      </c>
      <c r="EC156" s="1" t="str">
        <f>IF(DR156,"","• You must be Human.
")&amp;IF(DS156,"","• Any non-Good Alignment.
")&amp;IF(DT156,"","• A base attack bonus of +5 or higher.
")&amp;IF(DU156,"","• 2 ranks in Intimidate.
")&amp;IF(DV156,"","• 2 ranks in Knowledge(arcana).
")&amp;IF(DW156,"","• 2 ranks in Knowledge(local).
")&amp;IF(DX156,"","• Iron Will feat.
")&amp;IF(DY156,"","• Weapon Focus(longsword) feat.")</f>
        <v>• You must be Human.
• Any non-Good Alignment.
• A base attack bonus of +5 or higher.
• 2 ranks in Intimidate.
• 2 ranks in Knowledge(arcana).
• 2 ranks in Knowledge(local).
• Iron Will feat.
• Weapon Focus(longsword) feat.</v>
      </c>
      <c r="ED156" s="11" t="s">
        <v>335</v>
      </c>
      <c r="EE156" s="8" t="s">
        <v>472</v>
      </c>
      <c r="EF156" s="9"/>
      <c r="EG156" s="9" t="s">
        <v>126</v>
      </c>
      <c r="EH156" s="9">
        <v>1</v>
      </c>
      <c r="EI156" s="9" t="b">
        <f>FtGreatDexterity1</f>
        <v>0</v>
      </c>
      <c r="EJ156" s="9"/>
      <c r="EK156" s="9"/>
      <c r="EL156" s="9"/>
      <c r="EM156" s="9"/>
      <c r="EN156" s="9">
        <v>21</v>
      </c>
      <c r="EO156" s="10">
        <f t="shared" si="152"/>
        <v>0</v>
      </c>
    </row>
    <row r="157" spans="1:145" ht="11.25" customHeight="1" x14ac:dyDescent="0.2">
      <c r="A157" s="1">
        <f t="shared" si="137"/>
        <v>154</v>
      </c>
      <c r="B157" s="1" t="s">
        <v>473</v>
      </c>
      <c r="C157" s="1" t="s">
        <v>474</v>
      </c>
      <c r="D157" s="1" t="s">
        <v>475</v>
      </c>
      <c r="E157" s="1">
        <f t="shared" si="143"/>
        <v>0</v>
      </c>
      <c r="K157" s="1">
        <v>4</v>
      </c>
      <c r="L157" s="1">
        <v>8</v>
      </c>
      <c r="V157" s="1">
        <v>1</v>
      </c>
      <c r="W157" s="1">
        <v>0.5</v>
      </c>
      <c r="X157" s="1">
        <v>0.34</v>
      </c>
      <c r="Y157" s="1">
        <v>0.34</v>
      </c>
      <c r="Z157" s="1" t="b">
        <f>FALSE</f>
        <v>0</v>
      </c>
      <c r="AA157" s="1" t="str">
        <f t="shared" si="147"/>
        <v/>
      </c>
      <c r="AB157" s="1" t="str">
        <f t="shared" si="148"/>
        <v/>
      </c>
      <c r="AC157" s="1">
        <f t="shared" si="144"/>
        <v>0</v>
      </c>
      <c r="AD157" s="1" t="str">
        <f t="shared" si="149"/>
        <v/>
      </c>
      <c r="AE157" s="1" t="str">
        <f t="shared" si="150"/>
        <v/>
      </c>
      <c r="AF157" s="1">
        <f t="shared" si="145"/>
        <v>0</v>
      </c>
      <c r="AG157" s="1">
        <f t="shared" si="151"/>
        <v>5</v>
      </c>
      <c r="AH157" s="1" t="str">
        <f t="shared" si="146"/>
        <v/>
      </c>
      <c r="AI157" s="1">
        <v>1</v>
      </c>
      <c r="AJ157" s="1">
        <f t="shared" si="125"/>
        <v>0</v>
      </c>
      <c r="AK157" s="1">
        <v>2</v>
      </c>
      <c r="AL157" s="1">
        <v>1</v>
      </c>
      <c r="AM157" s="1">
        <v>2</v>
      </c>
      <c r="AN157" s="1">
        <f t="shared" si="126"/>
        <v>0</v>
      </c>
      <c r="AO157" s="1">
        <v>2</v>
      </c>
      <c r="AP157" s="1">
        <v>2</v>
      </c>
      <c r="AQ157" s="1">
        <v>2</v>
      </c>
      <c r="AR157" s="1">
        <v>2</v>
      </c>
      <c r="AS157" s="1">
        <v>2</v>
      </c>
      <c r="AT157" s="1">
        <v>2</v>
      </c>
      <c r="AU157" s="1">
        <v>2</v>
      </c>
      <c r="AV157" s="1">
        <v>2</v>
      </c>
      <c r="AW157" s="1">
        <v>1</v>
      </c>
      <c r="AX157" s="1">
        <v>2</v>
      </c>
      <c r="AY157" s="1">
        <v>1</v>
      </c>
      <c r="AZ157" s="1">
        <v>1</v>
      </c>
      <c r="BA157" s="1">
        <v>2</v>
      </c>
      <c r="BB157" s="1">
        <v>1</v>
      </c>
      <c r="BC157" s="1">
        <v>2</v>
      </c>
      <c r="BD157" s="1">
        <v>1</v>
      </c>
      <c r="BE157" s="1">
        <v>1</v>
      </c>
      <c r="BF157" s="1">
        <v>1</v>
      </c>
      <c r="BG157" s="1">
        <f t="shared" si="127"/>
        <v>0</v>
      </c>
      <c r="BH157" s="1">
        <f t="shared" si="128"/>
        <v>0</v>
      </c>
      <c r="BI157" s="1">
        <v>2</v>
      </c>
      <c r="BJ157" s="1">
        <v>2</v>
      </c>
      <c r="BK157" s="1">
        <v>1</v>
      </c>
      <c r="BL157" s="1">
        <v>1</v>
      </c>
      <c r="BM157" s="1">
        <v>1</v>
      </c>
      <c r="BN157" s="1">
        <v>1</v>
      </c>
      <c r="BO157" s="1">
        <v>1</v>
      </c>
      <c r="BP157" s="1">
        <v>1</v>
      </c>
      <c r="BQ157" s="1">
        <f>IF(HRRVL,1,0)</f>
        <v>0</v>
      </c>
      <c r="BR157" s="1">
        <v>1</v>
      </c>
      <c r="BS157" s="1">
        <v>1</v>
      </c>
      <c r="BT157" s="1">
        <f>IF(HRXPH,1,0)</f>
        <v>0</v>
      </c>
      <c r="BU157" s="1">
        <f>IF(HRRVL,1,0)</f>
        <v>0</v>
      </c>
      <c r="BV157" s="1">
        <v>1</v>
      </c>
      <c r="BW157" s="1">
        <v>1</v>
      </c>
      <c r="BX157" s="1">
        <v>1</v>
      </c>
      <c r="BY157" s="1">
        <v>1</v>
      </c>
      <c r="BZ157" s="1">
        <v>1</v>
      </c>
      <c r="CA157" s="1">
        <v>1</v>
      </c>
      <c r="CB157" s="1">
        <v>1</v>
      </c>
      <c r="CC157" s="1">
        <v>1</v>
      </c>
      <c r="CD157" s="1">
        <v>1</v>
      </c>
      <c r="CE157" s="1">
        <v>1</v>
      </c>
      <c r="CF157" s="1">
        <v>1</v>
      </c>
      <c r="CG157" s="1">
        <f t="shared" si="131"/>
        <v>0</v>
      </c>
      <c r="CH157" s="1">
        <v>1</v>
      </c>
      <c r="CI157" s="1">
        <v>1</v>
      </c>
      <c r="CJ157" s="1">
        <v>2</v>
      </c>
      <c r="CK157" s="1">
        <v>2</v>
      </c>
      <c r="CL157" s="1">
        <v>2</v>
      </c>
      <c r="CM157" s="1">
        <v>2</v>
      </c>
      <c r="CN157" s="1">
        <v>2</v>
      </c>
      <c r="CO157" s="1">
        <v>2</v>
      </c>
      <c r="CP157" s="1">
        <v>2</v>
      </c>
      <c r="CQ157" s="1">
        <v>2</v>
      </c>
      <c r="CR157" s="1">
        <v>2</v>
      </c>
      <c r="CS157" s="1">
        <v>2</v>
      </c>
      <c r="CT157" s="1">
        <v>2</v>
      </c>
      <c r="CU157" s="1">
        <v>2</v>
      </c>
      <c r="CV157" s="1">
        <f t="shared" si="132"/>
        <v>0</v>
      </c>
      <c r="CW157" s="1">
        <v>1</v>
      </c>
      <c r="CX157" s="1">
        <v>1</v>
      </c>
      <c r="CY157" s="1">
        <v>2</v>
      </c>
      <c r="CZ157" s="1">
        <f t="shared" si="133"/>
        <v>0</v>
      </c>
      <c r="DA157" s="1">
        <v>1</v>
      </c>
      <c r="DB157" s="1">
        <v>1</v>
      </c>
      <c r="DC157" s="1">
        <v>1</v>
      </c>
      <c r="DD157" s="1">
        <v>1</v>
      </c>
      <c r="DE157" s="1">
        <v>1</v>
      </c>
      <c r="DF157" s="1">
        <v>2</v>
      </c>
      <c r="DG157" s="1">
        <v>1</v>
      </c>
      <c r="DH157" s="1">
        <v>1</v>
      </c>
      <c r="DI157" s="1">
        <f t="shared" si="134"/>
        <v>0</v>
      </c>
      <c r="DJ157" s="1">
        <v>1</v>
      </c>
      <c r="DK157" s="1" t="s">
        <v>124</v>
      </c>
      <c r="DL157" s="1" t="s">
        <v>40</v>
      </c>
      <c r="DR157" s="1" t="b">
        <f>AlignmentNonLawful</f>
        <v>0</v>
      </c>
      <c r="DS157" s="1" t="b">
        <f>BaseAtk&gt;=4</f>
        <v>0</v>
      </c>
      <c r="DT157" s="1" t="b">
        <f>OR(AND(IF(NOT(ISNA(MATCH("Oratory",TblPerformSkills,0))),INDEX(TblPerformRanks,MATCH("Oratory",TblPerformSkills,0),1)&gt;=6,FALSE)),AND(IF(NOT(ISNA(MATCH("Sing",TblPerformSkills,0))),INDEX(TblPerformRanks,MATCH("Sing",TblPerformSkills,0),1)&gt;=6,FALSE)))</f>
        <v>0</v>
      </c>
      <c r="DU157" s="1" t="b">
        <f>OR(FreeCombatExpertise,FtCombatExpertise)</f>
        <v>0</v>
      </c>
      <c r="DV157" s="1" t="b">
        <f>OR(FreeWeaponFocus,FtWeaponFocus1)</f>
        <v>0</v>
      </c>
      <c r="DW157" s="1" t="b">
        <f>BardicMusic</f>
        <v>0</v>
      </c>
      <c r="EA157" s="1" t="b">
        <f t="shared" si="141"/>
        <v>0</v>
      </c>
      <c r="EB157" s="11" t="s">
        <v>334</v>
      </c>
      <c r="EC157" s="1" t="str">
        <f>IF(DR157,"","• Any non-Lawful alignment.
")&amp;IF(DS157,"","• A base attack bonus of +4 or higher.
")&amp;IF(DT157,"","• 6 ranks in Perform(oratory) or Perform(sing).
")&amp;IF(DU157,"","• Combat Expertise feat.
")&amp;IF(DV157,"","• Weapon Focus feat.
")&amp;IF(DW157,"","• Ability to Inspire Courage.")</f>
        <v>• Any non-Lawful alignment.
• A base attack bonus of +4 or higher.
• 6 ranks in Perform(oratory) or Perform(sing).
• Combat Expertise feat.
• Weapon Focus feat.
• Ability to Inspire Courage.</v>
      </c>
      <c r="ED157" s="11" t="s">
        <v>335</v>
      </c>
      <c r="EE157" s="8" t="s">
        <v>476</v>
      </c>
      <c r="EF157" s="9"/>
      <c r="EG157" s="9" t="s">
        <v>126</v>
      </c>
      <c r="EH157" s="9">
        <v>1</v>
      </c>
      <c r="EI157" s="9" t="b">
        <f>FtGreatDexterity2</f>
        <v>0</v>
      </c>
      <c r="EJ157" s="9"/>
      <c r="EK157" s="9"/>
      <c r="EL157" s="9"/>
      <c r="EM157" s="9"/>
      <c r="EN157" s="9">
        <v>21</v>
      </c>
      <c r="EO157" s="10">
        <f t="shared" si="152"/>
        <v>0</v>
      </c>
    </row>
    <row r="158" spans="1:145" ht="11.25" customHeight="1" x14ac:dyDescent="0.2">
      <c r="A158" s="1">
        <f t="shared" si="137"/>
        <v>155</v>
      </c>
      <c r="B158" s="1" t="s">
        <v>477</v>
      </c>
      <c r="C158" s="1" t="s">
        <v>478</v>
      </c>
      <c r="D158" s="1" t="s">
        <v>478</v>
      </c>
      <c r="E158" s="1">
        <f t="shared" si="143"/>
        <v>0</v>
      </c>
      <c r="K158" s="1">
        <v>2</v>
      </c>
      <c r="L158" s="1">
        <v>8</v>
      </c>
      <c r="V158" s="1">
        <v>0.75</v>
      </c>
      <c r="W158" s="1">
        <v>0.5</v>
      </c>
      <c r="X158" s="1">
        <v>0.34</v>
      </c>
      <c r="Y158" s="1">
        <v>0.34</v>
      </c>
      <c r="Z158" s="1" t="b">
        <f>FALSE</f>
        <v>0</v>
      </c>
      <c r="AA158" s="1" t="str">
        <f t="shared" si="147"/>
        <v/>
      </c>
      <c r="AB158" s="1" t="str">
        <f t="shared" si="148"/>
        <v/>
      </c>
      <c r="AC158" s="1">
        <f t="shared" si="144"/>
        <v>0</v>
      </c>
      <c r="AD158" s="1" t="str">
        <f t="shared" si="149"/>
        <v/>
      </c>
      <c r="AE158" s="1" t="str">
        <f t="shared" si="150"/>
        <v/>
      </c>
      <c r="AF158" s="1">
        <f t="shared" si="145"/>
        <v>0</v>
      </c>
      <c r="AG158" s="1">
        <f t="shared" si="151"/>
        <v>5</v>
      </c>
      <c r="AH158" s="1" t="str">
        <f t="shared" si="146"/>
        <v/>
      </c>
      <c r="AI158" s="1">
        <v>1</v>
      </c>
      <c r="AJ158" s="1">
        <f t="shared" si="125"/>
        <v>0</v>
      </c>
      <c r="AK158" s="1">
        <v>2</v>
      </c>
      <c r="AL158" s="1">
        <v>1</v>
      </c>
      <c r="AM158" s="1">
        <v>2</v>
      </c>
      <c r="AN158" s="1">
        <f t="shared" si="126"/>
        <v>0</v>
      </c>
      <c r="AO158" s="1">
        <v>2</v>
      </c>
      <c r="AP158" s="1">
        <v>2</v>
      </c>
      <c r="AQ158" s="1">
        <v>2</v>
      </c>
      <c r="AR158" s="1">
        <v>2</v>
      </c>
      <c r="AS158" s="1">
        <v>2</v>
      </c>
      <c r="AT158" s="1">
        <v>2</v>
      </c>
      <c r="AU158" s="1">
        <v>2</v>
      </c>
      <c r="AV158" s="1">
        <v>2</v>
      </c>
      <c r="AW158" s="1">
        <v>1</v>
      </c>
      <c r="AX158" s="1">
        <v>1</v>
      </c>
      <c r="AY158" s="1">
        <v>1</v>
      </c>
      <c r="AZ158" s="1">
        <v>2</v>
      </c>
      <c r="BA158" s="1">
        <v>2</v>
      </c>
      <c r="BB158" s="1">
        <v>1</v>
      </c>
      <c r="BC158" s="1">
        <v>1</v>
      </c>
      <c r="BD158" s="1">
        <v>1</v>
      </c>
      <c r="BE158" s="1">
        <v>1</v>
      </c>
      <c r="BF158" s="1">
        <v>1</v>
      </c>
      <c r="BG158" s="1">
        <f t="shared" si="127"/>
        <v>0</v>
      </c>
      <c r="BH158" s="1">
        <f t="shared" si="128"/>
        <v>0</v>
      </c>
      <c r="BI158" s="1">
        <v>1</v>
      </c>
      <c r="BJ158" s="1">
        <v>2</v>
      </c>
      <c r="BK158" s="1">
        <v>1</v>
      </c>
      <c r="BL158" s="1">
        <v>1</v>
      </c>
      <c r="BM158" s="1">
        <v>1</v>
      </c>
      <c r="BN158" s="1">
        <v>1</v>
      </c>
      <c r="BO158" s="1">
        <v>1</v>
      </c>
      <c r="BP158" s="1">
        <v>1</v>
      </c>
      <c r="BQ158" s="1">
        <f>IF(HRRVL,1,0)</f>
        <v>0</v>
      </c>
      <c r="BR158" s="1">
        <v>1</v>
      </c>
      <c r="BS158" s="1">
        <v>1</v>
      </c>
      <c r="BT158" s="1">
        <f>IF(HRXPH,1,0)</f>
        <v>0</v>
      </c>
      <c r="BU158" s="1">
        <f>IF(HRRVL,1,0)</f>
        <v>0</v>
      </c>
      <c r="BV158" s="1">
        <v>1</v>
      </c>
      <c r="BW158" s="1">
        <v>1</v>
      </c>
      <c r="BX158" s="1">
        <v>1</v>
      </c>
      <c r="BY158" s="1">
        <v>1</v>
      </c>
      <c r="BZ158" s="1">
        <v>1</v>
      </c>
      <c r="CA158" s="1">
        <v>1</v>
      </c>
      <c r="CB158" s="1">
        <v>1</v>
      </c>
      <c r="CC158" s="1">
        <v>1</v>
      </c>
      <c r="CD158" s="1">
        <v>1</v>
      </c>
      <c r="CE158" s="1">
        <v>1</v>
      </c>
      <c r="CF158" s="1">
        <v>1</v>
      </c>
      <c r="CG158" s="1">
        <f t="shared" si="131"/>
        <v>0</v>
      </c>
      <c r="CH158" s="1">
        <v>1</v>
      </c>
      <c r="CI158" s="1">
        <v>1</v>
      </c>
      <c r="CJ158" s="1">
        <v>1</v>
      </c>
      <c r="CK158" s="1">
        <v>1</v>
      </c>
      <c r="CL158" s="1">
        <v>1</v>
      </c>
      <c r="CM158" s="1">
        <v>1</v>
      </c>
      <c r="CN158" s="1">
        <v>1</v>
      </c>
      <c r="CO158" s="1">
        <v>1</v>
      </c>
      <c r="CP158" s="1">
        <v>1</v>
      </c>
      <c r="CQ158" s="1">
        <v>1</v>
      </c>
      <c r="CR158" s="1">
        <v>1</v>
      </c>
      <c r="CS158" s="1">
        <v>1</v>
      </c>
      <c r="CT158" s="1">
        <v>1</v>
      </c>
      <c r="CU158" s="1">
        <v>1</v>
      </c>
      <c r="CV158" s="1">
        <f t="shared" si="132"/>
        <v>0</v>
      </c>
      <c r="CW158" s="1">
        <v>1</v>
      </c>
      <c r="CX158" s="1">
        <v>1</v>
      </c>
      <c r="CY158" s="1">
        <v>1</v>
      </c>
      <c r="CZ158" s="1">
        <f t="shared" si="133"/>
        <v>0</v>
      </c>
      <c r="DA158" s="1">
        <v>1</v>
      </c>
      <c r="DB158" s="1">
        <v>1</v>
      </c>
      <c r="DC158" s="1">
        <v>1</v>
      </c>
      <c r="DD158" s="1">
        <v>1</v>
      </c>
      <c r="DE158" s="1">
        <v>1</v>
      </c>
      <c r="DF158" s="1">
        <v>2</v>
      </c>
      <c r="DG158" s="1">
        <v>1</v>
      </c>
      <c r="DH158" s="1">
        <v>1</v>
      </c>
      <c r="DI158" s="1">
        <f t="shared" si="134"/>
        <v>0</v>
      </c>
      <c r="DJ158" s="1">
        <v>1</v>
      </c>
      <c r="DK158" s="1" t="s">
        <v>124</v>
      </c>
      <c r="DL158" s="1" t="s">
        <v>40</v>
      </c>
      <c r="DR158" s="1" t="b">
        <f>BaseAtk&gt;=4</f>
        <v>0</v>
      </c>
      <c r="EA158" s="1" t="b">
        <f>AND(DR158)</f>
        <v>0</v>
      </c>
      <c r="EB158" s="11" t="s">
        <v>338</v>
      </c>
      <c r="EC158" s="1" t="str">
        <f>IF(DR158,"","• A base attack bonus of +4 or higher.
")&amp;"• Ability to assume an alternate form(not verified)."</f>
        <v>• A base attack bonus of +4 or higher.
• Ability to assume an alternate form(not verified).</v>
      </c>
      <c r="ED158" s="11" t="s">
        <v>335</v>
      </c>
      <c r="EE158" s="8" t="s">
        <v>479</v>
      </c>
      <c r="EF158" s="9"/>
      <c r="EG158" s="9" t="s">
        <v>126</v>
      </c>
      <c r="EH158" s="9">
        <v>1</v>
      </c>
      <c r="EI158" s="9" t="b">
        <f>FtGreatDexterity3</f>
        <v>0</v>
      </c>
      <c r="EJ158" s="9"/>
      <c r="EK158" s="9"/>
      <c r="EL158" s="9"/>
      <c r="EM158" s="9"/>
      <c r="EN158" s="9">
        <v>21</v>
      </c>
      <c r="EO158" s="10">
        <f t="shared" si="152"/>
        <v>0</v>
      </c>
    </row>
    <row r="159" spans="1:145" ht="11.25" customHeight="1" x14ac:dyDescent="0.2">
      <c r="A159" s="1">
        <f t="shared" si="137"/>
        <v>156</v>
      </c>
      <c r="B159" s="1" t="s">
        <v>480</v>
      </c>
      <c r="E159" s="1">
        <f t="shared" si="143"/>
        <v>0</v>
      </c>
      <c r="F159" s="1">
        <v>1</v>
      </c>
      <c r="Z159" s="1" t="b">
        <f>FALSE</f>
        <v>0</v>
      </c>
      <c r="AA159" s="1" t="str">
        <f t="shared" si="147"/>
        <v/>
      </c>
      <c r="AB159" s="1" t="str">
        <f t="shared" si="148"/>
        <v/>
      </c>
      <c r="AC159" s="1">
        <f t="shared" si="144"/>
        <v>0</v>
      </c>
      <c r="AD159" s="1" t="str">
        <f t="shared" si="149"/>
        <v/>
      </c>
      <c r="AE159" s="1" t="str">
        <f t="shared" si="150"/>
        <v/>
      </c>
      <c r="AF159" s="1">
        <f t="shared" si="145"/>
        <v>0</v>
      </c>
      <c r="AG159" s="1">
        <f t="shared" si="151"/>
        <v>5</v>
      </c>
      <c r="AH159" s="1" t="str">
        <f t="shared" si="146"/>
        <v/>
      </c>
      <c r="EB159" s="11"/>
      <c r="ED159" s="11" t="s">
        <v>335</v>
      </c>
      <c r="EE159" s="8" t="s">
        <v>481</v>
      </c>
      <c r="EF159" s="9"/>
      <c r="EG159" s="9" t="s">
        <v>129</v>
      </c>
      <c r="EH159" s="9">
        <v>1</v>
      </c>
      <c r="EI159" s="9" t="b">
        <f>FtGreatConstitution1</f>
        <v>0</v>
      </c>
      <c r="EJ159" s="9"/>
      <c r="EK159" s="9"/>
      <c r="EL159" s="9"/>
      <c r="EM159" s="9"/>
      <c r="EN159" s="9">
        <v>21</v>
      </c>
      <c r="EO159" s="10">
        <f t="shared" si="152"/>
        <v>0</v>
      </c>
    </row>
    <row r="160" spans="1:145" ht="11.25" customHeight="1" x14ac:dyDescent="0.2">
      <c r="A160" s="1">
        <f t="shared" si="137"/>
        <v>157</v>
      </c>
      <c r="B160" s="1" t="s">
        <v>482</v>
      </c>
      <c r="C160" s="1" t="s">
        <v>483</v>
      </c>
      <c r="D160" s="1" t="s">
        <v>483</v>
      </c>
      <c r="E160" s="1">
        <f t="shared" si="143"/>
        <v>0</v>
      </c>
      <c r="G160" s="1">
        <f>INT(BFZLvl/2)</f>
        <v>0</v>
      </c>
      <c r="K160" s="1">
        <v>4</v>
      </c>
      <c r="L160" s="1">
        <v>6</v>
      </c>
      <c r="V160" s="1">
        <v>0.75</v>
      </c>
      <c r="W160" s="1">
        <v>0.34</v>
      </c>
      <c r="X160" s="1">
        <v>0.5</v>
      </c>
      <c r="Y160" s="1">
        <v>0.5</v>
      </c>
      <c r="Z160" s="1" t="b">
        <f>FALSE</f>
        <v>0</v>
      </c>
      <c r="AA160" s="1" t="str">
        <f t="shared" si="147"/>
        <v/>
      </c>
      <c r="AB160" s="1" t="str">
        <f t="shared" si="148"/>
        <v/>
      </c>
      <c r="AC160" s="1">
        <f t="shared" si="144"/>
        <v>0</v>
      </c>
      <c r="AD160" s="1" t="str">
        <f t="shared" si="149"/>
        <v/>
      </c>
      <c r="AE160" s="1" t="str">
        <f t="shared" si="150"/>
        <v/>
      </c>
      <c r="AF160" s="1">
        <f t="shared" si="145"/>
        <v>0</v>
      </c>
      <c r="AG160" s="1">
        <f t="shared" si="151"/>
        <v>5</v>
      </c>
      <c r="AH160" s="1" t="str">
        <f t="shared" si="146"/>
        <v/>
      </c>
      <c r="AI160" s="1">
        <v>1</v>
      </c>
      <c r="AJ160" s="1">
        <f t="shared" ref="AJ160:AJ184" si="153">IF(HRXPH,1,0)</f>
        <v>0</v>
      </c>
      <c r="AK160" s="1">
        <v>2</v>
      </c>
      <c r="AL160" s="1">
        <v>1</v>
      </c>
      <c r="AM160" s="1">
        <v>2</v>
      </c>
      <c r="AN160" s="1">
        <f t="shared" ref="AN160:AN184" si="154">IF(IsLycanthrope,2,0)</f>
        <v>0</v>
      </c>
      <c r="AO160" s="1">
        <v>2</v>
      </c>
      <c r="AP160" s="1">
        <v>2</v>
      </c>
      <c r="AQ160" s="1">
        <v>2</v>
      </c>
      <c r="AR160" s="1">
        <v>2</v>
      </c>
      <c r="AS160" s="1">
        <v>2</v>
      </c>
      <c r="AT160" s="1">
        <v>2</v>
      </c>
      <c r="AU160" s="1">
        <v>2</v>
      </c>
      <c r="AV160" s="1">
        <v>2</v>
      </c>
      <c r="AW160" s="1">
        <v>1</v>
      </c>
      <c r="AX160" s="1">
        <v>1</v>
      </c>
      <c r="AY160" s="1">
        <v>1</v>
      </c>
      <c r="AZ160" s="1">
        <v>1</v>
      </c>
      <c r="BA160" s="1">
        <v>2</v>
      </c>
      <c r="BB160" s="1">
        <v>1</v>
      </c>
      <c r="BC160" s="1">
        <v>1</v>
      </c>
      <c r="BD160" s="1">
        <v>1</v>
      </c>
      <c r="BE160" s="1">
        <v>1</v>
      </c>
      <c r="BF160" s="1">
        <v>2</v>
      </c>
      <c r="BG160" s="1">
        <f t="shared" ref="BG160:BG184" si="155">IF(HRRVL,1,0)</f>
        <v>0</v>
      </c>
      <c r="BH160" s="1">
        <f t="shared" ref="BH160:BH184" si="156">IF(HROA,1,0)</f>
        <v>0</v>
      </c>
      <c r="BI160" s="1">
        <v>1</v>
      </c>
      <c r="BJ160" s="1">
        <v>2</v>
      </c>
      <c r="BK160" s="1">
        <v>1</v>
      </c>
      <c r="BL160" s="1">
        <v>1</v>
      </c>
      <c r="BM160" s="1">
        <v>1</v>
      </c>
      <c r="BN160" s="1">
        <v>1</v>
      </c>
      <c r="BO160" s="1">
        <v>1</v>
      </c>
      <c r="BP160" s="1">
        <v>1</v>
      </c>
      <c r="BQ160" s="1">
        <f>IF(HRRVL,1,0)</f>
        <v>0</v>
      </c>
      <c r="BR160" s="1">
        <v>1</v>
      </c>
      <c r="BS160" s="1">
        <v>1</v>
      </c>
      <c r="BT160" s="1">
        <f t="shared" ref="BT160:BT168" si="157">IF(HRXPH,1,0)</f>
        <v>0</v>
      </c>
      <c r="BU160" s="1">
        <f>IF(HRRVL,2,0)</f>
        <v>0</v>
      </c>
      <c r="BV160" s="1">
        <v>2</v>
      </c>
      <c r="BW160" s="1">
        <v>1</v>
      </c>
      <c r="BX160" s="1">
        <v>1</v>
      </c>
      <c r="BY160" s="1">
        <v>1</v>
      </c>
      <c r="BZ160" s="1">
        <v>1</v>
      </c>
      <c r="CA160" s="1">
        <v>1</v>
      </c>
      <c r="CB160" s="1">
        <v>1</v>
      </c>
      <c r="CC160" s="1">
        <v>1</v>
      </c>
      <c r="CD160" s="1">
        <v>1</v>
      </c>
      <c r="CE160" s="1">
        <v>1</v>
      </c>
      <c r="CF160" s="1">
        <v>2</v>
      </c>
      <c r="CG160" s="1">
        <f t="shared" ref="CG160:CG184" si="158">IF(HRToB,1,0)</f>
        <v>0</v>
      </c>
      <c r="CH160" s="1">
        <v>2</v>
      </c>
      <c r="CI160" s="1">
        <v>2</v>
      </c>
      <c r="CJ160" s="1">
        <v>1</v>
      </c>
      <c r="CK160" s="1">
        <v>1</v>
      </c>
      <c r="CL160" s="1">
        <v>1</v>
      </c>
      <c r="CM160" s="1">
        <v>1</v>
      </c>
      <c r="CN160" s="1">
        <v>1</v>
      </c>
      <c r="CO160" s="1">
        <v>1</v>
      </c>
      <c r="CP160" s="1">
        <v>2</v>
      </c>
      <c r="CQ160" s="1">
        <v>2</v>
      </c>
      <c r="CR160" s="1">
        <v>2</v>
      </c>
      <c r="CS160" s="1">
        <v>2</v>
      </c>
      <c r="CT160" s="1">
        <v>2</v>
      </c>
      <c r="CU160" s="1">
        <v>2</v>
      </c>
      <c r="CV160" s="1">
        <f t="shared" ref="CV160:CV184" si="159">IF(HRXPH,1,0)</f>
        <v>0</v>
      </c>
      <c r="CW160" s="1">
        <v>1</v>
      </c>
      <c r="CX160" s="1">
        <v>2</v>
      </c>
      <c r="CY160" s="1">
        <v>1</v>
      </c>
      <c r="CZ160" s="1">
        <f t="shared" ref="CZ160:CZ184" si="160">IF(HRCS,1,0)</f>
        <v>0</v>
      </c>
      <c r="DA160" s="1">
        <v>2</v>
      </c>
      <c r="DB160" s="1">
        <v>1</v>
      </c>
      <c r="DC160" s="1">
        <v>2</v>
      </c>
      <c r="DD160" s="1">
        <v>2</v>
      </c>
      <c r="DE160" s="1">
        <v>1</v>
      </c>
      <c r="DF160" s="1">
        <v>2</v>
      </c>
      <c r="DG160" s="1">
        <v>2</v>
      </c>
      <c r="DH160" s="1">
        <v>1</v>
      </c>
      <c r="DI160" s="1">
        <f t="shared" ref="DI160:DI184" si="161">IF(HRXPH,1,0)</f>
        <v>0</v>
      </c>
      <c r="DJ160" s="1">
        <v>2</v>
      </c>
      <c r="DK160" s="1" t="s">
        <v>140</v>
      </c>
      <c r="DL160" s="1" t="s">
        <v>150</v>
      </c>
      <c r="DR160" s="1" t="b">
        <f>AlignmentNonGood</f>
        <v>0</v>
      </c>
      <c r="DS160" s="1" t="b">
        <f>SkHideRanks&gt;=8</f>
        <v>0</v>
      </c>
      <c r="DT160" s="1" t="b">
        <f>SkKnowledgeReligionRanks&gt;=8</f>
        <v>0</v>
      </c>
      <c r="DU160" s="1" t="b">
        <f>SkMoveSilentlyRanks&gt;=8</f>
        <v>0</v>
      </c>
      <c r="DV160" s="1" t="b">
        <f>NOT(ISNA(MATCH("kukri",TblProfList,0)))</f>
        <v>0</v>
      </c>
      <c r="DW160" s="1" t="b">
        <f>FtIronWill</f>
        <v>0</v>
      </c>
      <c r="DX160" s="1" t="b">
        <f ca="1">MaxDivineSpellLevel&gt;=2</f>
        <v>0</v>
      </c>
      <c r="DY160" s="1" t="b">
        <f>(SneakAttack+SuddenStrike+PsionicSneakAttack)&gt;=1</f>
        <v>0</v>
      </c>
      <c r="DZ160" s="1" t="b">
        <f>OR(Deity="Elder Elemental Eye",Deity="Huhueteotl",Deity="Joramy",Deity="Pyremius",Deity="Surtr")</f>
        <v>0</v>
      </c>
      <c r="EA160" s="1" t="b">
        <f ca="1">AND(DM160:DZ160)</f>
        <v>0</v>
      </c>
      <c r="EB160" s="11" t="s">
        <v>334</v>
      </c>
      <c r="EC160" s="1" t="str">
        <f ca="1">IF(DR160,"","• Must be of Any nongood Alignment.
")&amp;IF(DS160,"","• 8 ranks in Hide.
")&amp;IF(DT160,"","• 8 ranks in Knowledge (religion).
")&amp;IF(DU160,"","• 8 ranks in Move Silently.
")&amp;IF(DV160,"","• Martial Weapon Proficiency (kukri).
")&amp;IF(DW160,"","• Iron Will feat.
")&amp;IF(DX160,"","• Ability to cast 2nd-level divine spells.
")&amp;IF(DY160,"","• Sneak Attack damage +1d6.
")&amp;IF(DZ160,"","• Must worship one of: Elder Elemental Eye(fire aspect), Huhueteotl,
   Joramy, Pyremius, Surtr.")</f>
        <v>• Must be of Any nongood Alignment.
• 8 ranks in Hide.
• 8 ranks in Knowledge (religion).
• 8 ranks in Move Silently.
• Martial Weapon Proficiency (kukri).
• Iron Will feat.
• Ability to cast 2nd-level divine spells.
• Sneak Attack damage +1d6.
• Must worship one of: Elder Elemental Eye(fire aspect), Huhueteotl,
   Joramy, Pyremius, Surtr.</v>
      </c>
      <c r="ED160" s="11" t="s">
        <v>335</v>
      </c>
      <c r="EE160" s="8" t="s">
        <v>484</v>
      </c>
      <c r="EF160" s="9"/>
      <c r="EG160" s="9" t="s">
        <v>129</v>
      </c>
      <c r="EH160" s="9">
        <v>1</v>
      </c>
      <c r="EI160" s="9" t="b">
        <f>FtGreatConstitution2</f>
        <v>0</v>
      </c>
      <c r="EJ160" s="9"/>
      <c r="EK160" s="9"/>
      <c r="EL160" s="9"/>
      <c r="EM160" s="9"/>
      <c r="EN160" s="9">
        <v>21</v>
      </c>
      <c r="EO160" s="10">
        <f t="shared" si="152"/>
        <v>0</v>
      </c>
    </row>
    <row r="161" spans="1:145" ht="11.25" customHeight="1" x14ac:dyDescent="0.2">
      <c r="A161" s="1">
        <f t="shared" si="137"/>
        <v>158</v>
      </c>
      <c r="B161" s="1" t="s">
        <v>485</v>
      </c>
      <c r="C161" s="1" t="s">
        <v>486</v>
      </c>
      <c r="D161" s="1" t="s">
        <v>486</v>
      </c>
      <c r="E161" s="1">
        <f t="shared" si="143"/>
        <v>0</v>
      </c>
      <c r="K161" s="1">
        <v>4</v>
      </c>
      <c r="L161" s="1">
        <v>8</v>
      </c>
      <c r="V161" s="1">
        <v>0.75</v>
      </c>
      <c r="W161" s="1">
        <v>0.5</v>
      </c>
      <c r="X161" s="1">
        <v>0.34</v>
      </c>
      <c r="Y161" s="1">
        <v>0.5</v>
      </c>
      <c r="Z161" s="1" t="b">
        <f>FALSE</f>
        <v>0</v>
      </c>
      <c r="AA161" s="1" t="str">
        <f t="shared" si="147"/>
        <v/>
      </c>
      <c r="AB161" s="1" t="str">
        <f t="shared" si="148"/>
        <v/>
      </c>
      <c r="AC161" s="1">
        <f t="shared" si="144"/>
        <v>0</v>
      </c>
      <c r="AD161" s="1" t="str">
        <f t="shared" si="149"/>
        <v/>
      </c>
      <c r="AE161" s="1" t="str">
        <f t="shared" si="150"/>
        <v/>
      </c>
      <c r="AF161" s="1">
        <f t="shared" si="145"/>
        <v>0</v>
      </c>
      <c r="AG161" s="1">
        <f t="shared" si="151"/>
        <v>5</v>
      </c>
      <c r="AH161" s="1" t="str">
        <f t="shared" si="146"/>
        <v/>
      </c>
      <c r="AI161" s="1">
        <v>1</v>
      </c>
      <c r="AJ161" s="1">
        <f t="shared" si="153"/>
        <v>0</v>
      </c>
      <c r="AK161" s="1">
        <v>1</v>
      </c>
      <c r="AL161" s="1">
        <v>1</v>
      </c>
      <c r="AM161" s="1">
        <v>1</v>
      </c>
      <c r="AN161" s="1">
        <f t="shared" si="154"/>
        <v>0</v>
      </c>
      <c r="AO161" s="1">
        <v>2</v>
      </c>
      <c r="AP161" s="1">
        <v>2</v>
      </c>
      <c r="AQ161" s="1">
        <v>2</v>
      </c>
      <c r="AR161" s="1">
        <v>2</v>
      </c>
      <c r="AS161" s="1">
        <v>2</v>
      </c>
      <c r="AT161" s="1">
        <v>2</v>
      </c>
      <c r="AU161" s="1">
        <v>2</v>
      </c>
      <c r="AV161" s="1">
        <v>2</v>
      </c>
      <c r="AW161" s="1">
        <v>1</v>
      </c>
      <c r="AX161" s="1">
        <v>2</v>
      </c>
      <c r="AY161" s="1">
        <v>1</v>
      </c>
      <c r="AZ161" s="1">
        <v>1</v>
      </c>
      <c r="BA161" s="1">
        <v>1</v>
      </c>
      <c r="BB161" s="1">
        <v>1</v>
      </c>
      <c r="BC161" s="1">
        <v>1</v>
      </c>
      <c r="BD161" s="1">
        <v>2</v>
      </c>
      <c r="BE161" s="1">
        <v>2</v>
      </c>
      <c r="BF161" s="1">
        <v>1</v>
      </c>
      <c r="BG161" s="1">
        <f t="shared" si="155"/>
        <v>0</v>
      </c>
      <c r="BH161" s="1">
        <f t="shared" si="156"/>
        <v>0</v>
      </c>
      <c r="BI161" s="1">
        <v>1</v>
      </c>
      <c r="BJ161" s="1">
        <v>1</v>
      </c>
      <c r="BK161" s="1">
        <v>1</v>
      </c>
      <c r="BL161" s="1">
        <v>1</v>
      </c>
      <c r="BM161" s="1">
        <v>1</v>
      </c>
      <c r="BN161" s="1">
        <v>1</v>
      </c>
      <c r="BO161" s="1">
        <v>1</v>
      </c>
      <c r="BP161" s="1">
        <v>1</v>
      </c>
      <c r="BQ161" s="1">
        <f>IF(HRRVL,2,0)</f>
        <v>0</v>
      </c>
      <c r="BR161" s="1">
        <v>2</v>
      </c>
      <c r="BS161" s="1">
        <v>1</v>
      </c>
      <c r="BT161" s="1">
        <f t="shared" si="157"/>
        <v>0</v>
      </c>
      <c r="BU161" s="1">
        <f>IF(HRRVL,1,0)</f>
        <v>0</v>
      </c>
      <c r="BV161" s="1">
        <v>1</v>
      </c>
      <c r="BW161" s="1">
        <v>1</v>
      </c>
      <c r="BX161" s="1">
        <v>1</v>
      </c>
      <c r="BY161" s="1">
        <v>1</v>
      </c>
      <c r="BZ161" s="1">
        <v>1</v>
      </c>
      <c r="CA161" s="1">
        <v>1</v>
      </c>
      <c r="CB161" s="1">
        <v>1</v>
      </c>
      <c r="CC161" s="1">
        <v>1</v>
      </c>
      <c r="CD161" s="1">
        <v>1</v>
      </c>
      <c r="CE161" s="1">
        <v>1</v>
      </c>
      <c r="CF161" s="1">
        <v>2</v>
      </c>
      <c r="CG161" s="1">
        <f t="shared" si="158"/>
        <v>0</v>
      </c>
      <c r="CH161" s="1">
        <v>1</v>
      </c>
      <c r="CI161" s="1">
        <v>1</v>
      </c>
      <c r="CJ161" s="1">
        <v>1</v>
      </c>
      <c r="CK161" s="1">
        <v>1</v>
      </c>
      <c r="CL161" s="1">
        <v>1</v>
      </c>
      <c r="CM161" s="1">
        <v>1</v>
      </c>
      <c r="CN161" s="1">
        <v>1</v>
      </c>
      <c r="CO161" s="1">
        <v>1</v>
      </c>
      <c r="CP161" s="1">
        <v>1</v>
      </c>
      <c r="CQ161" s="1">
        <f>IF(LOWER(CQ$2)="herbalist",2,1)</f>
        <v>1</v>
      </c>
      <c r="CR161" s="1">
        <f>IF(LOWER(CR$2)="herbalist",2,1)</f>
        <v>1</v>
      </c>
      <c r="CS161" s="1">
        <f>IF(LOWER(CS$2)="herbalist",2,1)</f>
        <v>1</v>
      </c>
      <c r="CT161" s="1">
        <f>IF(LOWER(CT$2)="herbalist",2,1)</f>
        <v>1</v>
      </c>
      <c r="CU161" s="1">
        <f>IF(LOWER(CU$2)="herbalist",2,1)</f>
        <v>1</v>
      </c>
      <c r="CV161" s="1">
        <f t="shared" si="159"/>
        <v>0</v>
      </c>
      <c r="CW161" s="1">
        <v>1</v>
      </c>
      <c r="CX161" s="1">
        <v>1</v>
      </c>
      <c r="CY161" s="1">
        <v>1</v>
      </c>
      <c r="CZ161" s="1">
        <f t="shared" si="160"/>
        <v>0</v>
      </c>
      <c r="DA161" s="1">
        <v>1</v>
      </c>
      <c r="DB161" s="1">
        <v>1</v>
      </c>
      <c r="DC161" s="1">
        <v>2</v>
      </c>
      <c r="DD161" s="1">
        <v>2</v>
      </c>
      <c r="DE161" s="1">
        <v>2</v>
      </c>
      <c r="DF161" s="1">
        <v>2</v>
      </c>
      <c r="DG161" s="1">
        <v>1</v>
      </c>
      <c r="DH161" s="1">
        <v>1</v>
      </c>
      <c r="DI161" s="1">
        <f t="shared" si="161"/>
        <v>0</v>
      </c>
      <c r="DJ161" s="1">
        <v>1</v>
      </c>
      <c r="DK161" s="1" t="s">
        <v>140</v>
      </c>
      <c r="DL161" s="1" t="s">
        <v>150</v>
      </c>
      <c r="DR161" s="1" t="b">
        <f>AlignmentNonGood</f>
        <v>0</v>
      </c>
      <c r="DT161" s="1" t="b">
        <f>BaseAtk&gt;=4</f>
        <v>0</v>
      </c>
      <c r="EA161" s="1" t="b">
        <f>AND(DM161:DZ161)</f>
        <v>0</v>
      </c>
      <c r="EB161" s="11" t="s">
        <v>338</v>
      </c>
      <c r="EC161" s="1" t="str">
        <f>IF(DR161,"","• Any non-good alignment.
")&amp;IF(DS161,"","• Ability to cast 3rd-level druid spells (not verified).
")&amp;IF(DT161,"","• A base attack bonus of +4 or higher.
")&amp;"• You must be an ex-druid (not verified)."</f>
        <v>• Any non-good alignment.
• Ability to cast 3rd-level druid spells (not verified).
• A base attack bonus of +4 or higher.
• You must be an ex-druid (not verified).</v>
      </c>
      <c r="ED161" s="11" t="s">
        <v>335</v>
      </c>
      <c r="EE161" s="8" t="s">
        <v>487</v>
      </c>
      <c r="EF161" s="9"/>
      <c r="EG161" s="9" t="s">
        <v>129</v>
      </c>
      <c r="EH161" s="9">
        <v>1</v>
      </c>
      <c r="EI161" s="9" t="b">
        <f>FtGreatConstitution3</f>
        <v>0</v>
      </c>
      <c r="EJ161" s="9"/>
      <c r="EK161" s="9"/>
      <c r="EL161" s="9"/>
      <c r="EM161" s="9"/>
      <c r="EN161" s="9">
        <v>21</v>
      </c>
      <c r="EO161" s="10">
        <f t="shared" si="152"/>
        <v>0</v>
      </c>
    </row>
    <row r="162" spans="1:145" ht="11.25" customHeight="1" x14ac:dyDescent="0.2">
      <c r="A162" s="1">
        <f t="shared" si="137"/>
        <v>159</v>
      </c>
      <c r="B162" s="1" t="s">
        <v>488</v>
      </c>
      <c r="C162" s="1" t="s">
        <v>489</v>
      </c>
      <c r="D162" s="1" t="s">
        <v>489</v>
      </c>
      <c r="E162" s="1">
        <f t="shared" si="143"/>
        <v>0</v>
      </c>
      <c r="G162" s="1">
        <f>ChILvl</f>
        <v>0</v>
      </c>
      <c r="K162" s="1">
        <v>4</v>
      </c>
      <c r="L162" s="1">
        <v>8</v>
      </c>
      <c r="V162" s="1">
        <v>0.75</v>
      </c>
      <c r="W162" s="1">
        <v>0.34</v>
      </c>
      <c r="X162" s="1">
        <v>0.34</v>
      </c>
      <c r="Y162" s="1">
        <v>0.5</v>
      </c>
      <c r="Z162" s="1" t="b">
        <f>FALSE</f>
        <v>0</v>
      </c>
      <c r="AA162" s="1" t="str">
        <f t="shared" si="147"/>
        <v/>
      </c>
      <c r="AB162" s="1" t="str">
        <f t="shared" si="148"/>
        <v/>
      </c>
      <c r="AC162" s="1">
        <f t="shared" si="144"/>
        <v>0</v>
      </c>
      <c r="AD162" s="1" t="str">
        <f t="shared" si="149"/>
        <v/>
      </c>
      <c r="AE162" s="1" t="str">
        <f t="shared" si="150"/>
        <v/>
      </c>
      <c r="AF162" s="1">
        <f t="shared" si="145"/>
        <v>0</v>
      </c>
      <c r="AG162" s="1">
        <f t="shared" si="151"/>
        <v>5</v>
      </c>
      <c r="AH162" s="1" t="str">
        <f t="shared" si="146"/>
        <v/>
      </c>
      <c r="AI162" s="1">
        <v>1</v>
      </c>
      <c r="AJ162" s="1">
        <f t="shared" si="153"/>
        <v>0</v>
      </c>
      <c r="AK162" s="1">
        <v>1</v>
      </c>
      <c r="AL162" s="1">
        <v>2</v>
      </c>
      <c r="AM162" s="1">
        <v>1</v>
      </c>
      <c r="AN162" s="1">
        <f t="shared" si="154"/>
        <v>0</v>
      </c>
      <c r="AO162" s="1">
        <v>2</v>
      </c>
      <c r="AP162" s="1">
        <v>1</v>
      </c>
      <c r="AQ162" s="1">
        <v>1</v>
      </c>
      <c r="AR162" s="1">
        <v>1</v>
      </c>
      <c r="AS162" s="1">
        <v>1</v>
      </c>
      <c r="AT162" s="1">
        <v>1</v>
      </c>
      <c r="AU162" s="1">
        <v>1</v>
      </c>
      <c r="AV162" s="1">
        <v>1</v>
      </c>
      <c r="AW162" s="1">
        <v>2</v>
      </c>
      <c r="AX162" s="1">
        <v>2</v>
      </c>
      <c r="AY162" s="1">
        <v>1</v>
      </c>
      <c r="AZ162" s="1">
        <v>1</v>
      </c>
      <c r="BA162" s="1">
        <v>1</v>
      </c>
      <c r="BB162" s="1">
        <v>1</v>
      </c>
      <c r="BC162" s="1">
        <v>2</v>
      </c>
      <c r="BD162" s="1">
        <v>1</v>
      </c>
      <c r="BE162" s="1">
        <v>1</v>
      </c>
      <c r="BF162" s="1">
        <v>1</v>
      </c>
      <c r="BG162" s="1">
        <f t="shared" si="155"/>
        <v>0</v>
      </c>
      <c r="BH162" s="1">
        <f t="shared" si="156"/>
        <v>0</v>
      </c>
      <c r="BI162" s="1">
        <v>2</v>
      </c>
      <c r="BJ162" s="1">
        <v>1</v>
      </c>
      <c r="BK162" s="1">
        <v>2</v>
      </c>
      <c r="BL162" s="1">
        <v>1</v>
      </c>
      <c r="BM162" s="1">
        <v>1</v>
      </c>
      <c r="BN162" s="1">
        <v>1</v>
      </c>
      <c r="BO162" s="1">
        <v>1</v>
      </c>
      <c r="BP162" s="1">
        <f>1+NOT(HRLivingGreyhawk)</f>
        <v>2</v>
      </c>
      <c r="BQ162" s="1">
        <f t="shared" ref="BQ162:BQ168" si="162">IF(HRRVL,1,0)</f>
        <v>0</v>
      </c>
      <c r="BR162" s="1">
        <v>1</v>
      </c>
      <c r="BS162" s="1">
        <v>1</v>
      </c>
      <c r="BT162" s="1">
        <f t="shared" si="157"/>
        <v>0</v>
      </c>
      <c r="BU162" s="1">
        <f>IF(HRRVL,2,0)</f>
        <v>0</v>
      </c>
      <c r="BV162" s="1">
        <v>2</v>
      </c>
      <c r="BW162" s="1">
        <v>2</v>
      </c>
      <c r="BX162" s="1">
        <v>1</v>
      </c>
      <c r="BY162" s="1">
        <v>1</v>
      </c>
      <c r="BZ162" s="1">
        <v>1</v>
      </c>
      <c r="CA162" s="1">
        <v>1</v>
      </c>
      <c r="CB162" s="1">
        <v>1</v>
      </c>
      <c r="CC162" s="1">
        <v>1</v>
      </c>
      <c r="CD162" s="1">
        <v>1</v>
      </c>
      <c r="CE162" s="1">
        <v>1</v>
      </c>
      <c r="CF162" s="1">
        <v>1</v>
      </c>
      <c r="CG162" s="1">
        <f t="shared" si="158"/>
        <v>0</v>
      </c>
      <c r="CH162" s="1">
        <v>1</v>
      </c>
      <c r="CI162" s="1">
        <v>1</v>
      </c>
      <c r="CJ162" s="1">
        <v>1</v>
      </c>
      <c r="CK162" s="1">
        <v>1</v>
      </c>
      <c r="CL162" s="1">
        <v>1</v>
      </c>
      <c r="CM162" s="1">
        <v>1</v>
      </c>
      <c r="CN162" s="1">
        <v>1</v>
      </c>
      <c r="CO162" s="1">
        <v>1</v>
      </c>
      <c r="CP162" s="1">
        <v>1</v>
      </c>
      <c r="CQ162" s="1">
        <v>1</v>
      </c>
      <c r="CR162" s="1">
        <v>1</v>
      </c>
      <c r="CS162" s="1">
        <v>1</v>
      </c>
      <c r="CT162" s="1">
        <v>1</v>
      </c>
      <c r="CU162" s="1">
        <v>1</v>
      </c>
      <c r="CV162" s="1">
        <f t="shared" si="159"/>
        <v>0</v>
      </c>
      <c r="CW162" s="1">
        <v>1</v>
      </c>
      <c r="CX162" s="1">
        <v>2</v>
      </c>
      <c r="CY162" s="1">
        <v>2</v>
      </c>
      <c r="CZ162" s="1">
        <f t="shared" si="160"/>
        <v>0</v>
      </c>
      <c r="DA162" s="1">
        <v>1</v>
      </c>
      <c r="DB162" s="1">
        <v>1</v>
      </c>
      <c r="DC162" s="1">
        <v>2</v>
      </c>
      <c r="DD162" s="1">
        <v>2</v>
      </c>
      <c r="DE162" s="1">
        <v>1</v>
      </c>
      <c r="DF162" s="1">
        <v>1</v>
      </c>
      <c r="DG162" s="1">
        <v>1</v>
      </c>
      <c r="DH162" s="1">
        <v>1</v>
      </c>
      <c r="DI162" s="1">
        <f t="shared" si="161"/>
        <v>0</v>
      </c>
      <c r="DJ162" s="1">
        <v>1</v>
      </c>
      <c r="DK162" s="1" t="s">
        <v>140</v>
      </c>
      <c r="DL162" s="1" t="s">
        <v>40</v>
      </c>
      <c r="DR162" s="1" t="b">
        <f>AND(AlignmentLawful,AlignmentNonEvil)</f>
        <v>1</v>
      </c>
      <c r="DS162" s="1" t="b">
        <f>WillSave&gt;=3</f>
        <v>0</v>
      </c>
      <c r="DT162" s="1" t="b">
        <f>SkKnowledgeArcanaRanks&gt;=4</f>
        <v>0</v>
      </c>
      <c r="DU162" s="1" t="b">
        <f>SkKnowledgeReligionRanks&gt;=4</f>
        <v>0</v>
      </c>
      <c r="DV162" s="1" t="b">
        <f>SkSpellcraftRanks&gt;=4</f>
        <v>0</v>
      </c>
      <c r="EA162" s="1" t="b">
        <f>AND(DR162:DV162)</f>
        <v>0</v>
      </c>
      <c r="EB162" s="11" t="s">
        <v>338</v>
      </c>
      <c r="EC162" s="1" t="str">
        <f>IF(DR162,"","• Lawful good or lawful neutral Alignment.
")&amp;IF(DS162,"","• Base Will Save of +3 or higher.
")&amp;IF(DT162,"","• 4 ranks in Knowledge(arcana).
")&amp;IF(DU162,"","• 4 ranks in Knowledge(religion).
")&amp;IF(DV162,"","• 4 ranks in Spellcraft.
")&amp;"• Ability to cast zone of truth as a divine spell(not verified).
"&amp;"• Must be member of lawful good church/order and uncovered
   corruption within (not verified)."</f>
        <v>• Base Will Save of +3 or higher.
• 4 ranks in Knowledge(arcana).
• 4 ranks in Knowledge(religion).
• 4 ranks in Spellcraft.
• Ability to cast zone of truth as a divine spell(not verified).
• Must be member of lawful good church/order and uncovered
   corruption within (not verified).</v>
      </c>
      <c r="ED162" s="11" t="s">
        <v>335</v>
      </c>
      <c r="EE162" s="8" t="s">
        <v>490</v>
      </c>
      <c r="EF162" s="9"/>
      <c r="EG162" s="9" t="s">
        <v>118</v>
      </c>
      <c r="EH162" s="9">
        <v>1</v>
      </c>
      <c r="EI162" s="9" t="b">
        <f>FtGreatWisdom1</f>
        <v>0</v>
      </c>
      <c r="EJ162" s="9"/>
      <c r="EK162" s="9"/>
      <c r="EL162" s="9"/>
      <c r="EM162" s="9"/>
      <c r="EN162" s="9">
        <v>21</v>
      </c>
      <c r="EO162" s="10">
        <f t="shared" si="152"/>
        <v>0</v>
      </c>
    </row>
    <row r="163" spans="1:145" ht="11.25" customHeight="1" x14ac:dyDescent="0.2">
      <c r="A163" s="1">
        <f t="shared" si="137"/>
        <v>160</v>
      </c>
      <c r="B163" s="1" t="s">
        <v>491</v>
      </c>
      <c r="C163" s="1" t="s">
        <v>492</v>
      </c>
      <c r="D163" s="1" t="s">
        <v>492</v>
      </c>
      <c r="E163" s="1">
        <f t="shared" si="143"/>
        <v>0</v>
      </c>
      <c r="K163" s="1">
        <v>4</v>
      </c>
      <c r="L163" s="1">
        <v>10</v>
      </c>
      <c r="V163" s="1">
        <v>1</v>
      </c>
      <c r="W163" s="1">
        <v>0.34</v>
      </c>
      <c r="X163" s="1">
        <v>0.34</v>
      </c>
      <c r="Y163" s="1">
        <v>0.5</v>
      </c>
      <c r="Z163" s="1" t="b">
        <f>FALSE</f>
        <v>0</v>
      </c>
      <c r="AA163" s="1" t="str">
        <f t="shared" si="147"/>
        <v/>
      </c>
      <c r="AB163" s="1" t="str">
        <f t="shared" si="148"/>
        <v/>
      </c>
      <c r="AC163" s="1">
        <f t="shared" si="144"/>
        <v>0</v>
      </c>
      <c r="AD163" s="1" t="str">
        <f t="shared" si="149"/>
        <v/>
      </c>
      <c r="AE163" s="1" t="str">
        <f t="shared" si="150"/>
        <v/>
      </c>
      <c r="AF163" s="1">
        <f t="shared" si="145"/>
        <v>0</v>
      </c>
      <c r="AG163" s="1">
        <f t="shared" si="151"/>
        <v>5</v>
      </c>
      <c r="AH163" s="1" t="str">
        <f t="shared" si="146"/>
        <v/>
      </c>
      <c r="AI163" s="1">
        <v>1</v>
      </c>
      <c r="AJ163" s="1">
        <f t="shared" si="153"/>
        <v>0</v>
      </c>
      <c r="AK163" s="1">
        <v>1</v>
      </c>
      <c r="AL163" s="1">
        <v>2</v>
      </c>
      <c r="AM163" s="1">
        <v>2</v>
      </c>
      <c r="AN163" s="1">
        <f t="shared" si="154"/>
        <v>0</v>
      </c>
      <c r="AO163" s="1">
        <v>1</v>
      </c>
      <c r="AP163" s="1">
        <v>1</v>
      </c>
      <c r="AQ163" s="1">
        <v>1</v>
      </c>
      <c r="AR163" s="1">
        <v>1</v>
      </c>
      <c r="AS163" s="1">
        <v>1</v>
      </c>
      <c r="AT163" s="1">
        <v>1</v>
      </c>
      <c r="AU163" s="1">
        <v>1</v>
      </c>
      <c r="AV163" s="1">
        <v>1</v>
      </c>
      <c r="AW163" s="1">
        <v>1</v>
      </c>
      <c r="AX163" s="1">
        <v>2</v>
      </c>
      <c r="AY163" s="1">
        <v>1</v>
      </c>
      <c r="AZ163" s="1">
        <v>2</v>
      </c>
      <c r="BA163" s="1">
        <v>1</v>
      </c>
      <c r="BB163" s="1">
        <v>1</v>
      </c>
      <c r="BC163" s="1">
        <v>2</v>
      </c>
      <c r="BD163" s="1">
        <v>1</v>
      </c>
      <c r="BE163" s="1">
        <v>1</v>
      </c>
      <c r="BF163" s="1">
        <v>1</v>
      </c>
      <c r="BG163" s="1">
        <f t="shared" si="155"/>
        <v>0</v>
      </c>
      <c r="BH163" s="1">
        <f t="shared" si="156"/>
        <v>0</v>
      </c>
      <c r="BI163" s="1">
        <v>2</v>
      </c>
      <c r="BJ163" s="1">
        <v>1</v>
      </c>
      <c r="BK163" s="1">
        <v>1</v>
      </c>
      <c r="BL163" s="1">
        <v>1</v>
      </c>
      <c r="BM163" s="1">
        <v>1</v>
      </c>
      <c r="BN163" s="1">
        <v>1</v>
      </c>
      <c r="BO163" s="1">
        <v>1</v>
      </c>
      <c r="BP163" s="1">
        <f>1+NOT(HRLivingGreyhawk)</f>
        <v>2</v>
      </c>
      <c r="BQ163" s="1">
        <f t="shared" si="162"/>
        <v>0</v>
      </c>
      <c r="BR163" s="1">
        <v>1</v>
      </c>
      <c r="BS163" s="1">
        <v>1</v>
      </c>
      <c r="BT163" s="1">
        <f t="shared" si="157"/>
        <v>0</v>
      </c>
      <c r="BU163" s="1">
        <f>IF(HRRVL,1,0)</f>
        <v>0</v>
      </c>
      <c r="BV163" s="1">
        <v>1</v>
      </c>
      <c r="BW163" s="1">
        <v>1</v>
      </c>
      <c r="BX163" s="1">
        <v>1</v>
      </c>
      <c r="BY163" s="1">
        <v>1</v>
      </c>
      <c r="BZ163" s="1">
        <v>1</v>
      </c>
      <c r="CA163" s="1">
        <v>1</v>
      </c>
      <c r="CB163" s="1">
        <v>1</v>
      </c>
      <c r="CC163" s="1">
        <v>1</v>
      </c>
      <c r="CD163" s="1">
        <v>1</v>
      </c>
      <c r="CE163" s="1">
        <v>1</v>
      </c>
      <c r="CF163" s="1">
        <v>1</v>
      </c>
      <c r="CG163" s="1">
        <f t="shared" si="158"/>
        <v>0</v>
      </c>
      <c r="CH163" s="1">
        <v>1</v>
      </c>
      <c r="CI163" s="1">
        <v>1</v>
      </c>
      <c r="CJ163" s="1">
        <v>1</v>
      </c>
      <c r="CK163" s="1">
        <v>1</v>
      </c>
      <c r="CL163" s="1">
        <v>1</v>
      </c>
      <c r="CM163" s="1">
        <v>1</v>
      </c>
      <c r="CN163" s="1">
        <v>1</v>
      </c>
      <c r="CO163" s="1">
        <v>1</v>
      </c>
      <c r="CP163" s="1">
        <v>2</v>
      </c>
      <c r="CQ163" s="1">
        <v>2</v>
      </c>
      <c r="CR163" s="1">
        <v>2</v>
      </c>
      <c r="CS163" s="1">
        <v>2</v>
      </c>
      <c r="CT163" s="1">
        <v>2</v>
      </c>
      <c r="CU163" s="1">
        <v>2</v>
      </c>
      <c r="CV163" s="1">
        <f t="shared" si="159"/>
        <v>0</v>
      </c>
      <c r="CW163" s="1">
        <v>2</v>
      </c>
      <c r="CX163" s="1">
        <v>2</v>
      </c>
      <c r="CY163" s="1">
        <v>1</v>
      </c>
      <c r="CZ163" s="1">
        <f t="shared" si="160"/>
        <v>0</v>
      </c>
      <c r="DA163" s="1">
        <v>1</v>
      </c>
      <c r="DB163" s="1">
        <v>1</v>
      </c>
      <c r="DC163" s="1">
        <v>1</v>
      </c>
      <c r="DD163" s="1">
        <v>1</v>
      </c>
      <c r="DE163" s="1">
        <v>1</v>
      </c>
      <c r="DF163" s="1">
        <v>1</v>
      </c>
      <c r="DG163" s="1">
        <v>1</v>
      </c>
      <c r="DH163" s="1">
        <v>1</v>
      </c>
      <c r="DI163" s="1">
        <f t="shared" si="161"/>
        <v>0</v>
      </c>
      <c r="DJ163" s="1">
        <v>2</v>
      </c>
      <c r="DK163" s="1" t="s">
        <v>140</v>
      </c>
      <c r="DL163" s="1" t="s">
        <v>40</v>
      </c>
      <c r="DR163" s="1" t="b">
        <f>AlignmentLawful</f>
        <v>1</v>
      </c>
      <c r="DS163" s="1" t="b">
        <f>BaseAtk&gt;=5</f>
        <v>0</v>
      </c>
      <c r="DT163" s="1" t="b">
        <f>SkDisguiseRanks&gt;=5</f>
        <v>0</v>
      </c>
      <c r="DU163" s="1" t="b">
        <f>SkGatherInformationRanks&gt;=5</f>
        <v>0</v>
      </c>
      <c r="DV163" s="1" t="b">
        <f>OR(FreeTrack,FtTrack)</f>
        <v>0</v>
      </c>
      <c r="EA163" s="1" t="b">
        <f>AND(DM163:DZ163)</f>
        <v>0</v>
      </c>
      <c r="EB163" s="11" t="s">
        <v>338</v>
      </c>
      <c r="EC163" s="1" t="str">
        <f>IF(DR163,"","• Any lawful alignment.
")&amp;IF(DS163,"","• A base attack bonus of +5 or higher.
")&amp;IF(DT163,"","• 5 ranks in Disguise.
")&amp;IF(DU163,"","• 5 ranks in Gather Information.
")&amp;IF(DV163,"","• Track feat.
")&amp;"• Must succeed in assigment by church to locate and destroy some
   specific enemy (not verified)."</f>
        <v>• A base attack bonus of +5 or higher.
• 5 ranks in Disguise.
• 5 ranks in Gather Information.
• Track feat.
• Must succeed in assigment by church to locate and destroy some
   specific enemy (not verified).</v>
      </c>
      <c r="ED163" s="11" t="s">
        <v>335</v>
      </c>
      <c r="EE163" s="8" t="s">
        <v>493</v>
      </c>
      <c r="EF163" s="9"/>
      <c r="EG163" s="9" t="s">
        <v>118</v>
      </c>
      <c r="EH163" s="9">
        <v>1</v>
      </c>
      <c r="EI163" s="9" t="b">
        <f>FtGreatWisdom2</f>
        <v>0</v>
      </c>
      <c r="EJ163" s="9"/>
      <c r="EK163" s="9"/>
      <c r="EL163" s="9"/>
      <c r="EM163" s="9"/>
      <c r="EN163" s="9">
        <v>21</v>
      </c>
      <c r="EO163" s="10">
        <f t="shared" ref="EO163:EO171" si="163">IF(DoFeatIntAdj,IF($EG163="Int",$EI163*$EH163*($EN163&lt;=LvlCS),0),0)</f>
        <v>0</v>
      </c>
    </row>
    <row r="164" spans="1:145" ht="11.25" customHeight="1" x14ac:dyDescent="0.2">
      <c r="A164" s="1">
        <f t="shared" si="137"/>
        <v>161</v>
      </c>
      <c r="B164" s="1" t="s">
        <v>494</v>
      </c>
      <c r="C164" s="1" t="s">
        <v>129</v>
      </c>
      <c r="D164" s="1" t="s">
        <v>129</v>
      </c>
      <c r="E164" s="1">
        <f t="shared" si="143"/>
        <v>0</v>
      </c>
      <c r="G164" s="1">
        <f>ConLvl</f>
        <v>0</v>
      </c>
      <c r="K164" s="1">
        <v>2</v>
      </c>
      <c r="L164" s="1">
        <v>6</v>
      </c>
      <c r="V164" s="1">
        <v>0.5</v>
      </c>
      <c r="W164" s="1">
        <v>0.34</v>
      </c>
      <c r="X164" s="1">
        <v>0.34</v>
      </c>
      <c r="Y164" s="1">
        <v>0.5</v>
      </c>
      <c r="Z164" s="1" t="b">
        <f>FALSE</f>
        <v>0</v>
      </c>
      <c r="AA164" s="1" t="str">
        <f t="shared" si="147"/>
        <v/>
      </c>
      <c r="AB164" s="1" t="str">
        <f t="shared" si="148"/>
        <v/>
      </c>
      <c r="AC164" s="1">
        <f t="shared" si="144"/>
        <v>0</v>
      </c>
      <c r="AD164" s="1" t="str">
        <f t="shared" si="149"/>
        <v/>
      </c>
      <c r="AE164" s="1" t="str">
        <f t="shared" si="150"/>
        <v/>
      </c>
      <c r="AF164" s="1">
        <f t="shared" si="145"/>
        <v>0</v>
      </c>
      <c r="AG164" s="1">
        <f t="shared" si="151"/>
        <v>5</v>
      </c>
      <c r="AH164" s="1" t="str">
        <f t="shared" si="146"/>
        <v/>
      </c>
      <c r="AI164" s="1">
        <v>1</v>
      </c>
      <c r="AJ164" s="1">
        <f t="shared" si="153"/>
        <v>0</v>
      </c>
      <c r="AK164" s="1">
        <v>1</v>
      </c>
      <c r="AL164" s="1">
        <v>1</v>
      </c>
      <c r="AM164" s="1">
        <v>1</v>
      </c>
      <c r="AN164" s="1">
        <f t="shared" si="154"/>
        <v>0</v>
      </c>
      <c r="AO164" s="1">
        <v>2</v>
      </c>
      <c r="AP164" s="1">
        <v>2</v>
      </c>
      <c r="AQ164" s="1">
        <v>2</v>
      </c>
      <c r="AR164" s="1">
        <v>2</v>
      </c>
      <c r="AS164" s="1">
        <v>2</v>
      </c>
      <c r="AT164" s="1">
        <v>2</v>
      </c>
      <c r="AU164" s="1">
        <v>2</v>
      </c>
      <c r="AV164" s="1">
        <v>2</v>
      </c>
      <c r="AW164" s="1">
        <v>1</v>
      </c>
      <c r="AX164" s="1">
        <v>2</v>
      </c>
      <c r="AY164" s="1">
        <v>1</v>
      </c>
      <c r="AZ164" s="1">
        <v>1</v>
      </c>
      <c r="BA164" s="1">
        <v>1</v>
      </c>
      <c r="BB164" s="1">
        <v>1</v>
      </c>
      <c r="BC164" s="1">
        <v>1</v>
      </c>
      <c r="BD164" s="1">
        <v>1</v>
      </c>
      <c r="BE164" s="1">
        <v>2</v>
      </c>
      <c r="BF164" s="1">
        <v>1</v>
      </c>
      <c r="BG164" s="1">
        <f t="shared" si="155"/>
        <v>0</v>
      </c>
      <c r="BH164" s="1">
        <f t="shared" si="156"/>
        <v>0</v>
      </c>
      <c r="BI164" s="1">
        <v>2</v>
      </c>
      <c r="BJ164" s="1">
        <v>1</v>
      </c>
      <c r="BK164" s="1">
        <v>1</v>
      </c>
      <c r="BL164" s="1">
        <v>1</v>
      </c>
      <c r="BM164" s="1">
        <v>1</v>
      </c>
      <c r="BN164" s="1">
        <v>1</v>
      </c>
      <c r="BO164" s="1">
        <v>1</v>
      </c>
      <c r="BP164" s="1">
        <v>1</v>
      </c>
      <c r="BQ164" s="1">
        <f t="shared" si="162"/>
        <v>0</v>
      </c>
      <c r="BR164" s="1">
        <v>1</v>
      </c>
      <c r="BS164" s="1">
        <v>1</v>
      </c>
      <c r="BT164" s="1">
        <f t="shared" si="157"/>
        <v>0</v>
      </c>
      <c r="BU164" s="1">
        <f t="shared" ref="BU164:BU169" si="164">IF(HRRVL,2,0)</f>
        <v>0</v>
      </c>
      <c r="BV164" s="1">
        <v>2</v>
      </c>
      <c r="BW164" s="1">
        <v>1</v>
      </c>
      <c r="BX164" s="1">
        <v>1</v>
      </c>
      <c r="BY164" s="1">
        <v>1</v>
      </c>
      <c r="BZ164" s="1">
        <v>1</v>
      </c>
      <c r="CA164" s="1">
        <v>1</v>
      </c>
      <c r="CB164" s="1">
        <v>1</v>
      </c>
      <c r="CC164" s="1">
        <v>1</v>
      </c>
      <c r="CD164" s="1">
        <v>1</v>
      </c>
      <c r="CE164" s="1">
        <v>1</v>
      </c>
      <c r="CF164" s="1">
        <v>1</v>
      </c>
      <c r="CG164" s="1">
        <f t="shared" si="158"/>
        <v>0</v>
      </c>
      <c r="CH164" s="1">
        <v>1</v>
      </c>
      <c r="CI164" s="1">
        <v>1</v>
      </c>
      <c r="CJ164" s="1">
        <v>1</v>
      </c>
      <c r="CK164" s="1">
        <v>1</v>
      </c>
      <c r="CL164" s="1">
        <v>1</v>
      </c>
      <c r="CM164" s="1">
        <v>1</v>
      </c>
      <c r="CN164" s="1">
        <v>1</v>
      </c>
      <c r="CO164" s="1">
        <v>1</v>
      </c>
      <c r="CP164" s="1">
        <v>2</v>
      </c>
      <c r="CQ164" s="1">
        <v>2</v>
      </c>
      <c r="CR164" s="1">
        <v>2</v>
      </c>
      <c r="CS164" s="1">
        <v>2</v>
      </c>
      <c r="CT164" s="1">
        <v>2</v>
      </c>
      <c r="CU164" s="1">
        <v>2</v>
      </c>
      <c r="CV164" s="1">
        <f t="shared" si="159"/>
        <v>0</v>
      </c>
      <c r="CW164" s="1">
        <v>1</v>
      </c>
      <c r="CX164" s="1">
        <v>1</v>
      </c>
      <c r="CY164" s="1">
        <v>2</v>
      </c>
      <c r="CZ164" s="1">
        <f t="shared" si="160"/>
        <v>0</v>
      </c>
      <c r="DA164" s="1">
        <v>1</v>
      </c>
      <c r="DB164" s="1">
        <v>1</v>
      </c>
      <c r="DC164" s="1">
        <v>2</v>
      </c>
      <c r="DD164" s="1">
        <v>1</v>
      </c>
      <c r="DE164" s="1">
        <v>1</v>
      </c>
      <c r="DF164" s="1">
        <v>1</v>
      </c>
      <c r="DG164" s="1">
        <v>1</v>
      </c>
      <c r="DH164" s="1">
        <v>1</v>
      </c>
      <c r="DI164" s="1">
        <f t="shared" si="161"/>
        <v>0</v>
      </c>
      <c r="DJ164" s="1">
        <v>1</v>
      </c>
      <c r="DK164" s="1" t="s">
        <v>140</v>
      </c>
      <c r="DL164" s="1" t="s">
        <v>40</v>
      </c>
      <c r="DR164" s="1" t="b">
        <f>SkKnowledgeReligionRanks&gt;=13</f>
        <v>0</v>
      </c>
      <c r="DS164" s="1" t="b">
        <f ca="1">MaxDivineSpellLevel&gt;=1</f>
        <v>0</v>
      </c>
      <c r="EA164" s="1" t="b">
        <f ca="1">AND(DM164:DZ164)</f>
        <v>0</v>
      </c>
      <c r="EB164" s="11" t="s">
        <v>338</v>
      </c>
      <c r="EC164" s="1" t="str">
        <f ca="1">IF(DR164,"","• 13 ranks in Knowledge(Religion).
")&amp;IF(DS164,"","• Ability to cast 1st-level divine spells.
")&amp;"• Must have had direct contact with one's patron deity (not verified)."</f>
        <v>• 13 ranks in Knowledge(Religion).
• Ability to cast 1st-level divine spells.
• Must have had direct contact with one's patron deity (not verified).</v>
      </c>
      <c r="ED164" s="11" t="s">
        <v>335</v>
      </c>
      <c r="EE164" s="8" t="s">
        <v>495</v>
      </c>
      <c r="EF164" s="9"/>
      <c r="EG164" s="9" t="s">
        <v>118</v>
      </c>
      <c r="EH164" s="9">
        <v>1</v>
      </c>
      <c r="EI164" s="9" t="b">
        <f>FtGreatWisdom3</f>
        <v>0</v>
      </c>
      <c r="EJ164" s="9"/>
      <c r="EK164" s="9"/>
      <c r="EL164" s="9"/>
      <c r="EM164" s="9"/>
      <c r="EN164" s="9">
        <v>21</v>
      </c>
      <c r="EO164" s="10">
        <f t="shared" si="163"/>
        <v>0</v>
      </c>
    </row>
    <row r="165" spans="1:145" ht="11.25" customHeight="1" x14ac:dyDescent="0.2">
      <c r="A165" s="1">
        <f t="shared" si="137"/>
        <v>162</v>
      </c>
      <c r="B165" s="1" t="s">
        <v>496</v>
      </c>
      <c r="C165" s="1" t="s">
        <v>497</v>
      </c>
      <c r="D165" s="1" t="s">
        <v>498</v>
      </c>
      <c r="E165" s="1">
        <f t="shared" si="143"/>
        <v>0</v>
      </c>
      <c r="K165" s="1">
        <v>2</v>
      </c>
      <c r="L165" s="1">
        <v>8</v>
      </c>
      <c r="V165" s="1">
        <v>0.75</v>
      </c>
      <c r="W165" s="1">
        <v>0.5</v>
      </c>
      <c r="X165" s="1">
        <v>0.34</v>
      </c>
      <c r="Y165" s="1">
        <v>0.5</v>
      </c>
      <c r="Z165" s="1" t="b">
        <f>FALSE</f>
        <v>0</v>
      </c>
      <c r="AA165" s="1" t="str">
        <f t="shared" si="147"/>
        <v/>
      </c>
      <c r="AB165" s="1" t="str">
        <f t="shared" si="148"/>
        <v/>
      </c>
      <c r="AC165" s="1">
        <f t="shared" si="144"/>
        <v>0</v>
      </c>
      <c r="AD165" s="1" t="str">
        <f t="shared" si="149"/>
        <v/>
      </c>
      <c r="AE165" s="1" t="str">
        <f t="shared" si="150"/>
        <v/>
      </c>
      <c r="AF165" s="1">
        <f t="shared" si="145"/>
        <v>0</v>
      </c>
      <c r="AG165" s="1">
        <f t="shared" si="151"/>
        <v>5</v>
      </c>
      <c r="AH165" s="1" t="str">
        <f t="shared" si="146"/>
        <v/>
      </c>
      <c r="AI165" s="1">
        <v>1</v>
      </c>
      <c r="AJ165" s="1">
        <f t="shared" si="153"/>
        <v>0</v>
      </c>
      <c r="AK165" s="1">
        <v>1</v>
      </c>
      <c r="AL165" s="1">
        <v>1</v>
      </c>
      <c r="AM165" s="1">
        <v>2</v>
      </c>
      <c r="AN165" s="1">
        <f t="shared" si="154"/>
        <v>0</v>
      </c>
      <c r="AO165" s="1">
        <v>2</v>
      </c>
      <c r="AP165" s="1">
        <v>2</v>
      </c>
      <c r="AQ165" s="1">
        <v>2</v>
      </c>
      <c r="AR165" s="1">
        <v>2</v>
      </c>
      <c r="AS165" s="1">
        <v>2</v>
      </c>
      <c r="AT165" s="1">
        <v>2</v>
      </c>
      <c r="AU165" s="1">
        <v>2</v>
      </c>
      <c r="AV165" s="1">
        <v>2</v>
      </c>
      <c r="AW165" s="1">
        <v>1</v>
      </c>
      <c r="AX165" s="1">
        <v>2</v>
      </c>
      <c r="AY165" s="1">
        <v>1</v>
      </c>
      <c r="AZ165" s="1">
        <v>1</v>
      </c>
      <c r="BA165" s="1">
        <v>1</v>
      </c>
      <c r="BB165" s="1">
        <v>1</v>
      </c>
      <c r="BC165" s="1">
        <v>1</v>
      </c>
      <c r="BD165" s="1">
        <v>1</v>
      </c>
      <c r="BE165" s="1">
        <v>1</v>
      </c>
      <c r="BF165" s="1">
        <v>1</v>
      </c>
      <c r="BG165" s="1">
        <f t="shared" si="155"/>
        <v>0</v>
      </c>
      <c r="BH165" s="1">
        <f t="shared" si="156"/>
        <v>0</v>
      </c>
      <c r="BI165" s="1">
        <v>2</v>
      </c>
      <c r="BJ165" s="1">
        <v>2</v>
      </c>
      <c r="BK165" s="1">
        <v>1</v>
      </c>
      <c r="BL165" s="1">
        <v>1</v>
      </c>
      <c r="BM165" s="1">
        <v>1</v>
      </c>
      <c r="BN165" s="1">
        <v>1</v>
      </c>
      <c r="BO165" s="1">
        <v>1</v>
      </c>
      <c r="BP165" s="1">
        <v>1</v>
      </c>
      <c r="BQ165" s="1">
        <f t="shared" si="162"/>
        <v>0</v>
      </c>
      <c r="BR165" s="1">
        <v>1</v>
      </c>
      <c r="BS165" s="1">
        <v>1</v>
      </c>
      <c r="BT165" s="1">
        <f t="shared" si="157"/>
        <v>0</v>
      </c>
      <c r="BU165" s="1">
        <f t="shared" si="164"/>
        <v>0</v>
      </c>
      <c r="BV165" s="1">
        <v>2</v>
      </c>
      <c r="BW165" s="1">
        <v>1</v>
      </c>
      <c r="BX165" s="1">
        <v>1</v>
      </c>
      <c r="BY165" s="1">
        <v>1</v>
      </c>
      <c r="BZ165" s="1">
        <v>1</v>
      </c>
      <c r="CA165" s="1">
        <v>1</v>
      </c>
      <c r="CB165" s="1">
        <v>1</v>
      </c>
      <c r="CC165" s="1">
        <v>1</v>
      </c>
      <c r="CD165" s="1">
        <v>1</v>
      </c>
      <c r="CE165" s="1">
        <v>1</v>
      </c>
      <c r="CF165" s="1">
        <v>1</v>
      </c>
      <c r="CG165" s="1">
        <f t="shared" si="158"/>
        <v>0</v>
      </c>
      <c r="CH165" s="1">
        <v>1</v>
      </c>
      <c r="CI165" s="1">
        <v>1</v>
      </c>
      <c r="CJ165" s="1">
        <v>1</v>
      </c>
      <c r="CK165" s="1">
        <v>1</v>
      </c>
      <c r="CL165" s="1">
        <v>1</v>
      </c>
      <c r="CM165" s="1">
        <v>1</v>
      </c>
      <c r="CN165" s="1">
        <v>1</v>
      </c>
      <c r="CO165" s="1">
        <v>1</v>
      </c>
      <c r="CP165" s="1">
        <v>1</v>
      </c>
      <c r="CQ165" s="1">
        <v>1</v>
      </c>
      <c r="CR165" s="1">
        <v>1</v>
      </c>
      <c r="CS165" s="1">
        <v>1</v>
      </c>
      <c r="CT165" s="1">
        <v>1</v>
      </c>
      <c r="CU165" s="1">
        <v>1</v>
      </c>
      <c r="CV165" s="1">
        <f t="shared" si="159"/>
        <v>0</v>
      </c>
      <c r="CW165" s="1">
        <v>2</v>
      </c>
      <c r="CX165" s="1">
        <v>1</v>
      </c>
      <c r="CY165" s="1">
        <v>1</v>
      </c>
      <c r="CZ165" s="1">
        <f t="shared" si="160"/>
        <v>0</v>
      </c>
      <c r="DA165" s="1">
        <v>1</v>
      </c>
      <c r="DB165" s="1">
        <v>1</v>
      </c>
      <c r="DC165" s="1">
        <v>1</v>
      </c>
      <c r="DD165" s="1">
        <v>1</v>
      </c>
      <c r="DE165" s="1">
        <v>1</v>
      </c>
      <c r="DF165" s="1">
        <v>2</v>
      </c>
      <c r="DG165" s="1">
        <v>1</v>
      </c>
      <c r="DH165" s="1">
        <v>1</v>
      </c>
      <c r="DI165" s="1">
        <f t="shared" si="161"/>
        <v>0</v>
      </c>
      <c r="DJ165" s="1">
        <v>1</v>
      </c>
      <c r="DK165" s="1" t="s">
        <v>140</v>
      </c>
      <c r="DL165" s="1" t="s">
        <v>40</v>
      </c>
      <c r="DR165" s="1" t="b">
        <f>AlignmentDeity</f>
        <v>0</v>
      </c>
      <c r="DS165" s="1" t="b">
        <f>BaseAtk&gt;=7</f>
        <v>0</v>
      </c>
      <c r="DT165" s="1" t="b">
        <f>SkKnowledgeReligionRanks&gt;=2</f>
        <v>0</v>
      </c>
      <c r="DU165" s="1" t="b">
        <f>OR(NOT(ISNA(MATCH(FavoredWeapon,TblWeaponFocusFeat,0))),NOT(ISNA(MATCH(FavoredWeaponEquiv,TblWeaponFocusFeat,0))))</f>
        <v>0</v>
      </c>
      <c r="EA165" s="1" t="b">
        <f>AND(DM165:DZ165)</f>
        <v>0</v>
      </c>
      <c r="EB165" s="11" t="s">
        <v>334</v>
      </c>
      <c r="EC165" s="1" t="str">
        <f>IF(DR165,"","• Alignment must match chosen deity.
")&amp;IF(DS165,"","• A base attack bonus of +7 or higher.
")&amp;IF(DT165,"","• 2 ranks in Knowledge(religion).
")&amp;IF(DU165,"","• Weapon Focus in  chosen diety's favored weapon.")</f>
        <v>• Alignment must match chosen deity.
• A base attack bonus of +7 or higher.
• 2 ranks in Knowledge(religion).
• Weapon Focus in  chosen diety's favored weapon.</v>
      </c>
      <c r="ED165" s="11" t="s">
        <v>335</v>
      </c>
      <c r="EE165" s="8" t="s">
        <v>499</v>
      </c>
      <c r="EF165" s="9"/>
      <c r="EG165" s="9" t="s">
        <v>162</v>
      </c>
      <c r="EH165" s="9">
        <v>1</v>
      </c>
      <c r="EI165" s="9" t="b">
        <f>FtGreatCharisma1</f>
        <v>0</v>
      </c>
      <c r="EJ165" s="9"/>
      <c r="EK165" s="9"/>
      <c r="EL165" s="9"/>
      <c r="EM165" s="9"/>
      <c r="EN165" s="9">
        <v>21</v>
      </c>
      <c r="EO165" s="10">
        <f t="shared" si="163"/>
        <v>0</v>
      </c>
    </row>
    <row r="166" spans="1:145" ht="11.25" customHeight="1" x14ac:dyDescent="0.2">
      <c r="A166" s="1">
        <f t="shared" si="137"/>
        <v>163</v>
      </c>
      <c r="B166" s="1" t="s">
        <v>500</v>
      </c>
      <c r="C166" s="1" t="s">
        <v>501</v>
      </c>
      <c r="D166" s="1" t="s">
        <v>501</v>
      </c>
      <c r="E166" s="1">
        <f t="shared" si="143"/>
        <v>0</v>
      </c>
      <c r="G166" s="1">
        <f>DiOLvl</f>
        <v>0</v>
      </c>
      <c r="K166" s="1">
        <v>2</v>
      </c>
      <c r="L166" s="1">
        <v>6</v>
      </c>
      <c r="V166" s="1">
        <v>0.5</v>
      </c>
      <c r="W166" s="1">
        <v>0.34</v>
      </c>
      <c r="X166" s="1">
        <v>0.34</v>
      </c>
      <c r="Y166" s="1">
        <v>0.5</v>
      </c>
      <c r="Z166" s="1" t="b">
        <f>FALSE</f>
        <v>0</v>
      </c>
      <c r="AA166" s="1" t="str">
        <f t="shared" si="147"/>
        <v/>
      </c>
      <c r="AB166" s="1" t="str">
        <f t="shared" si="148"/>
        <v/>
      </c>
      <c r="AC166" s="1">
        <f t="shared" si="144"/>
        <v>0</v>
      </c>
      <c r="AD166" s="1" t="str">
        <f t="shared" si="149"/>
        <v/>
      </c>
      <c r="AE166" s="1" t="str">
        <f t="shared" si="150"/>
        <v/>
      </c>
      <c r="AF166" s="1">
        <f t="shared" si="145"/>
        <v>0</v>
      </c>
      <c r="AG166" s="1">
        <f t="shared" si="151"/>
        <v>5</v>
      </c>
      <c r="AH166" s="1" t="str">
        <f t="shared" si="146"/>
        <v/>
      </c>
      <c r="AI166" s="1">
        <v>1</v>
      </c>
      <c r="AJ166" s="1">
        <f t="shared" si="153"/>
        <v>0</v>
      </c>
      <c r="AK166" s="1">
        <v>1</v>
      </c>
      <c r="AL166" s="1">
        <v>1</v>
      </c>
      <c r="AM166" s="1">
        <v>1</v>
      </c>
      <c r="AN166" s="1">
        <f t="shared" si="154"/>
        <v>0</v>
      </c>
      <c r="AO166" s="1">
        <v>2</v>
      </c>
      <c r="AP166" s="1">
        <v>2</v>
      </c>
      <c r="AQ166" s="1">
        <v>2</v>
      </c>
      <c r="AR166" s="1">
        <v>2</v>
      </c>
      <c r="AS166" s="1">
        <v>2</v>
      </c>
      <c r="AT166" s="1">
        <v>2</v>
      </c>
      <c r="AU166" s="1">
        <v>2</v>
      </c>
      <c r="AV166" s="1">
        <v>2</v>
      </c>
      <c r="AW166" s="1">
        <v>1</v>
      </c>
      <c r="AX166" s="1">
        <v>1</v>
      </c>
      <c r="AY166" s="1">
        <v>1</v>
      </c>
      <c r="AZ166" s="1">
        <v>1</v>
      </c>
      <c r="BA166" s="1">
        <v>1</v>
      </c>
      <c r="BB166" s="1">
        <v>1</v>
      </c>
      <c r="BC166" s="1">
        <v>1</v>
      </c>
      <c r="BD166" s="1">
        <v>1</v>
      </c>
      <c r="BE166" s="1">
        <v>2</v>
      </c>
      <c r="BF166" s="1">
        <v>1</v>
      </c>
      <c r="BG166" s="1">
        <f t="shared" si="155"/>
        <v>0</v>
      </c>
      <c r="BH166" s="1">
        <f t="shared" si="156"/>
        <v>0</v>
      </c>
      <c r="BI166" s="1">
        <v>2</v>
      </c>
      <c r="BJ166" s="1">
        <v>1</v>
      </c>
      <c r="BK166" s="1">
        <v>2</v>
      </c>
      <c r="BL166" s="1">
        <v>1</v>
      </c>
      <c r="BM166" s="1">
        <v>1</v>
      </c>
      <c r="BN166" s="1">
        <v>1</v>
      </c>
      <c r="BO166" s="1">
        <v>1</v>
      </c>
      <c r="BP166" s="1">
        <v>1</v>
      </c>
      <c r="BQ166" s="1">
        <f t="shared" si="162"/>
        <v>0</v>
      </c>
      <c r="BR166" s="1">
        <v>1</v>
      </c>
      <c r="BS166" s="1">
        <v>1</v>
      </c>
      <c r="BT166" s="1">
        <f t="shared" si="157"/>
        <v>0</v>
      </c>
      <c r="BU166" s="1">
        <f t="shared" si="164"/>
        <v>0</v>
      </c>
      <c r="BV166" s="1">
        <v>2</v>
      </c>
      <c r="BW166" s="1">
        <v>1</v>
      </c>
      <c r="BX166" s="1">
        <v>1</v>
      </c>
      <c r="BY166" s="1">
        <v>1</v>
      </c>
      <c r="BZ166" s="1">
        <v>1</v>
      </c>
      <c r="CA166" s="1">
        <v>1</v>
      </c>
      <c r="CB166" s="1">
        <v>1</v>
      </c>
      <c r="CC166" s="1">
        <v>1</v>
      </c>
      <c r="CD166" s="1">
        <v>1</v>
      </c>
      <c r="CE166" s="1">
        <v>1</v>
      </c>
      <c r="CF166" s="1">
        <v>1</v>
      </c>
      <c r="CG166" s="1">
        <f t="shared" si="158"/>
        <v>0</v>
      </c>
      <c r="CH166" s="1">
        <v>1</v>
      </c>
      <c r="CI166" s="1">
        <v>1</v>
      </c>
      <c r="CJ166" s="1">
        <v>1</v>
      </c>
      <c r="CK166" s="1">
        <v>1</v>
      </c>
      <c r="CL166" s="1">
        <v>1</v>
      </c>
      <c r="CM166" s="1">
        <v>1</v>
      </c>
      <c r="CN166" s="1">
        <v>1</v>
      </c>
      <c r="CO166" s="1">
        <v>1</v>
      </c>
      <c r="CP166" s="1">
        <v>2</v>
      </c>
      <c r="CQ166" s="1">
        <v>2</v>
      </c>
      <c r="CR166" s="1">
        <v>2</v>
      </c>
      <c r="CS166" s="1">
        <v>2</v>
      </c>
      <c r="CT166" s="1">
        <v>2</v>
      </c>
      <c r="CU166" s="1">
        <v>2</v>
      </c>
      <c r="CV166" s="1">
        <f t="shared" si="159"/>
        <v>0</v>
      </c>
      <c r="CW166" s="1">
        <v>1</v>
      </c>
      <c r="CX166" s="1">
        <v>1</v>
      </c>
      <c r="CY166" s="1">
        <v>1</v>
      </c>
      <c r="CZ166" s="1">
        <f t="shared" si="160"/>
        <v>0</v>
      </c>
      <c r="DA166" s="1">
        <v>1</v>
      </c>
      <c r="DB166" s="1">
        <v>1</v>
      </c>
      <c r="DC166" s="1">
        <v>2</v>
      </c>
      <c r="DD166" s="1">
        <v>1</v>
      </c>
      <c r="DE166" s="1">
        <v>1</v>
      </c>
      <c r="DF166" s="1">
        <v>1</v>
      </c>
      <c r="DG166" s="1">
        <v>1</v>
      </c>
      <c r="DH166" s="1">
        <v>1</v>
      </c>
      <c r="DI166" s="1">
        <f t="shared" si="161"/>
        <v>0</v>
      </c>
      <c r="DJ166" s="1">
        <v>1</v>
      </c>
      <c r="DK166" s="1" t="s">
        <v>140</v>
      </c>
      <c r="DL166" s="1" t="s">
        <v>40</v>
      </c>
      <c r="DR166" s="1" t="b">
        <f>SkKnowledgeReligionRanks&gt;=8</f>
        <v>0</v>
      </c>
      <c r="DS166" s="1" t="b">
        <f>NOT(ISNA(MATCH("Knowledge (religion)",TblSkillFocus,0)))</f>
        <v>0</v>
      </c>
      <c r="EA166" s="1" t="b">
        <f>AND(DR166:DS166)</f>
        <v>0</v>
      </c>
      <c r="EB166" s="11" t="s">
        <v>338</v>
      </c>
      <c r="EC166" s="1" t="str">
        <f>IF(DR166,"","• 8 ranks in Knowledge (religion).
")&amp;IF(DS166,"","• Skill Focus (Knowledge(religion)) feat.
")&amp;"• Ablility to cast at least 2 divination spells(not verified)."</f>
        <v>• 8 ranks in Knowledge (religion).
• Skill Focus (Knowledge(religion)) feat.
• Ablility to cast at least 2 divination spells(not verified).</v>
      </c>
      <c r="ED166" s="11" t="s">
        <v>335</v>
      </c>
      <c r="EE166" s="8" t="s">
        <v>502</v>
      </c>
      <c r="EF166" s="9"/>
      <c r="EG166" s="9" t="s">
        <v>162</v>
      </c>
      <c r="EH166" s="9">
        <v>1</v>
      </c>
      <c r="EI166" s="9" t="b">
        <f>FtGreatCharisma2</f>
        <v>0</v>
      </c>
      <c r="EJ166" s="9"/>
      <c r="EK166" s="9"/>
      <c r="EL166" s="9"/>
      <c r="EM166" s="9"/>
      <c r="EN166" s="9">
        <v>21</v>
      </c>
      <c r="EO166" s="10">
        <f t="shared" si="163"/>
        <v>0</v>
      </c>
    </row>
    <row r="167" spans="1:145" ht="11.25" customHeight="1" x14ac:dyDescent="0.2">
      <c r="A167" s="1">
        <f t="shared" si="137"/>
        <v>164</v>
      </c>
      <c r="B167" s="1" t="s">
        <v>503</v>
      </c>
      <c r="C167" s="1" t="s">
        <v>504</v>
      </c>
      <c r="D167" s="1" t="s">
        <v>504</v>
      </c>
      <c r="E167" s="1">
        <f>$AC167+$AF167+IF(HasVirtualClasses,COUNTIF(TblVClassesAtLvlCS,$A167),0)</f>
        <v>0</v>
      </c>
      <c r="G167" s="1">
        <f>DweLvl</f>
        <v>0</v>
      </c>
      <c r="K167" s="1">
        <v>2</v>
      </c>
      <c r="L167" s="1">
        <v>6</v>
      </c>
      <c r="V167" s="1">
        <v>0.5</v>
      </c>
      <c r="W167" s="1">
        <v>0.34</v>
      </c>
      <c r="X167" s="1">
        <v>0.34</v>
      </c>
      <c r="Y167" s="1">
        <v>0.5</v>
      </c>
      <c r="Z167" s="1" t="b">
        <f>FALSE</f>
        <v>0</v>
      </c>
      <c r="AA167" s="1" t="str">
        <f>IF($AC167=0,"",IF($Z167,"Ex-","")&amp;$B167)</f>
        <v/>
      </c>
      <c r="AB167" s="1" t="str">
        <f>IF($AC167=0,"",IF($Z167,"Ex-","")&amp;$C167)</f>
        <v/>
      </c>
      <c r="AC167" s="1">
        <f>COUNTIF(TblClassesAtLvlCS,$A167)</f>
        <v>0</v>
      </c>
      <c r="AD167" s="1" t="str">
        <f>IF($AF167=0,"",IF($Z167,"Ex-","")&amp;$B167)</f>
        <v/>
      </c>
      <c r="AE167" s="1" t="str">
        <f>IF($AF167=0,"",IF($Z167,"Ex-","")&amp;$C167)</f>
        <v/>
      </c>
      <c r="AF167" s="1">
        <f>IF(HRGestalt,COUNTIF(TblGClassesAtLvlCS,$A167),0)</f>
        <v>0</v>
      </c>
      <c r="AG167" s="1">
        <f>IF($AC167&gt;0,$AG458+1,$AG458)</f>
        <v>5</v>
      </c>
      <c r="AH167" s="1" t="str">
        <f t="shared" si="146"/>
        <v/>
      </c>
      <c r="AI167" s="1">
        <v>1</v>
      </c>
      <c r="AJ167" s="1">
        <f>IF(HRXPH,1,0)</f>
        <v>0</v>
      </c>
      <c r="AK167" s="1">
        <v>1</v>
      </c>
      <c r="AL167" s="1">
        <v>1</v>
      </c>
      <c r="AM167" s="1">
        <v>1</v>
      </c>
      <c r="AN167" s="1">
        <f>IF(IsLycanthrope,2,0)</f>
        <v>0</v>
      </c>
      <c r="AO167" s="1">
        <v>2</v>
      </c>
      <c r="AP167" s="1">
        <v>2</v>
      </c>
      <c r="AQ167" s="1">
        <v>2</v>
      </c>
      <c r="AR167" s="1">
        <v>2</v>
      </c>
      <c r="AS167" s="1">
        <v>2</v>
      </c>
      <c r="AT167" s="1">
        <v>2</v>
      </c>
      <c r="AU167" s="1">
        <v>2</v>
      </c>
      <c r="AV167" s="1">
        <v>2</v>
      </c>
      <c r="AW167" s="1">
        <v>1</v>
      </c>
      <c r="AX167" s="1">
        <v>2</v>
      </c>
      <c r="AY167" s="1">
        <v>1</v>
      </c>
      <c r="AZ167" s="1">
        <v>1</v>
      </c>
      <c r="BA167" s="1">
        <v>1</v>
      </c>
      <c r="BB167" s="1">
        <v>1</v>
      </c>
      <c r="BC167" s="1">
        <v>1</v>
      </c>
      <c r="BD167" s="1">
        <v>1</v>
      </c>
      <c r="BE167" s="1">
        <v>2</v>
      </c>
      <c r="BF167" s="1">
        <v>1</v>
      </c>
      <c r="BG167" s="1">
        <f>IF(HRRVL,1,0)</f>
        <v>0</v>
      </c>
      <c r="BH167" s="1">
        <f t="shared" si="156"/>
        <v>0</v>
      </c>
      <c r="BI167" s="1">
        <v>1</v>
      </c>
      <c r="BJ167" s="1">
        <v>1</v>
      </c>
      <c r="BK167" s="1">
        <v>2</v>
      </c>
      <c r="BL167" s="1">
        <v>2</v>
      </c>
      <c r="BM167" s="1">
        <v>2</v>
      </c>
      <c r="BN167" s="1">
        <v>2</v>
      </c>
      <c r="BO167" s="1">
        <v>2</v>
      </c>
      <c r="BP167" s="1">
        <f>1+NOT(HRLivingGreyhawk)</f>
        <v>2</v>
      </c>
      <c r="BQ167" s="1">
        <f>IF(HRRVL,2,0)</f>
        <v>0</v>
      </c>
      <c r="BR167" s="1">
        <v>2</v>
      </c>
      <c r="BS167" s="1">
        <v>2</v>
      </c>
      <c r="BT167" s="1">
        <f>IF(HRXPH,2,0)</f>
        <v>0</v>
      </c>
      <c r="BU167" s="1">
        <f t="shared" si="164"/>
        <v>0</v>
      </c>
      <c r="BV167" s="1">
        <v>2</v>
      </c>
      <c r="BW167" s="1">
        <v>2</v>
      </c>
      <c r="BX167" s="1">
        <v>2</v>
      </c>
      <c r="BY167" s="1">
        <v>2</v>
      </c>
      <c r="BZ167" s="1">
        <v>2</v>
      </c>
      <c r="CA167" s="1">
        <v>2</v>
      </c>
      <c r="CB167" s="1">
        <v>2</v>
      </c>
      <c r="CC167" s="1">
        <v>2</v>
      </c>
      <c r="CD167" s="1">
        <v>2</v>
      </c>
      <c r="CE167" s="1">
        <v>2</v>
      </c>
      <c r="CF167" s="1">
        <v>1</v>
      </c>
      <c r="CG167" s="1">
        <f>IF(HRToB,1,0)</f>
        <v>0</v>
      </c>
      <c r="CH167" s="1">
        <v>1</v>
      </c>
      <c r="CI167" s="1">
        <v>1</v>
      </c>
      <c r="CJ167" s="1">
        <v>1</v>
      </c>
      <c r="CK167" s="1">
        <v>1</v>
      </c>
      <c r="CL167" s="1">
        <v>1</v>
      </c>
      <c r="CM167" s="1">
        <v>1</v>
      </c>
      <c r="CN167" s="1">
        <v>1</v>
      </c>
      <c r="CO167" s="1">
        <v>1</v>
      </c>
      <c r="CP167" s="1">
        <v>2</v>
      </c>
      <c r="CQ167" s="1">
        <v>2</v>
      </c>
      <c r="CR167" s="1">
        <v>2</v>
      </c>
      <c r="CS167" s="1">
        <v>2</v>
      </c>
      <c r="CT167" s="1">
        <v>2</v>
      </c>
      <c r="CU167" s="1">
        <v>2</v>
      </c>
      <c r="CV167" s="1">
        <f>IF(HRXPH,1,0)</f>
        <v>0</v>
      </c>
      <c r="CW167" s="1">
        <v>1</v>
      </c>
      <c r="CX167" s="1">
        <v>1</v>
      </c>
      <c r="CY167" s="1">
        <v>1</v>
      </c>
      <c r="CZ167" s="1">
        <f>IF(HRCS,1,0)</f>
        <v>0</v>
      </c>
      <c r="DA167" s="1">
        <v>1</v>
      </c>
      <c r="DB167" s="1">
        <v>1</v>
      </c>
      <c r="DC167" s="1">
        <v>2</v>
      </c>
      <c r="DD167" s="1">
        <v>1</v>
      </c>
      <c r="DE167" s="1">
        <v>1</v>
      </c>
      <c r="DF167" s="1">
        <v>1</v>
      </c>
      <c r="DG167" s="1">
        <v>1</v>
      </c>
      <c r="DH167" s="1">
        <v>1</v>
      </c>
      <c r="DI167" s="1">
        <f>IF(HRXPH,1,0)</f>
        <v>0</v>
      </c>
      <c r="DJ167" s="1">
        <v>1</v>
      </c>
      <c r="DK167" s="1" t="s">
        <v>140</v>
      </c>
      <c r="DL167" s="1" t="s">
        <v>170</v>
      </c>
      <c r="DU167" s="1" t="b">
        <f>NOT(ISNA(MATCH("Magic",Domains,0)))</f>
        <v>0</v>
      </c>
      <c r="DV167" s="1" t="b">
        <f>AND(MaxArcaneLevel&gt;=1,MaxDivineLevel&gt;=1)</f>
        <v>0</v>
      </c>
      <c r="DW167" s="1" t="b">
        <f>MetamagicSelected&gt;=1</f>
        <v>0</v>
      </c>
      <c r="DX167" s="1" t="b">
        <f>ItemCreationSelected&gt;=1</f>
        <v>1</v>
      </c>
      <c r="DY167" s="1" t="b">
        <f>SkSpellcraftRanks&gt;=8</f>
        <v>0</v>
      </c>
      <c r="DZ167" s="1" t="b">
        <f>SkKnowledgeArcanaRanks&gt;=8</f>
        <v>0</v>
      </c>
      <c r="EA167" s="1" t="b">
        <f t="shared" ref="EA167:EA175" si="165">AND(DM167:DZ167)</f>
        <v>0</v>
      </c>
      <c r="EB167" s="11" t="s">
        <v>338</v>
      </c>
      <c r="EC167" s="1" t="str">
        <f>IF(DZ167,"","• 8 ranks in Knowledge (arcana).
")&amp;IF(DY167,"","• 8 ranks in Spellcraft
")&amp;IF(DX167,"","• Any item creation feat
")&amp;IF(DW167,"","• Any metamagic feat
")&amp;IF(DV167,"","• Ability to cast both arcane and divine spells
")&amp;IF(DY167,"","• Access to the Magic domain
")&amp;"• Must have created at least one magic item (not verified)."</f>
        <v>• 8 ranks in Knowledge (arcana).
• 8 ranks in Spellcraft
• Any metamagic feat
• Ability to cast both arcane and divine spells
• Access to the Magic domain
• Must have created at least one magic item (not verified).</v>
      </c>
      <c r="ED167" s="11" t="s">
        <v>335</v>
      </c>
      <c r="EE167" s="8" t="s">
        <v>505</v>
      </c>
      <c r="EF167" s="9"/>
      <c r="EG167" s="9" t="s">
        <v>162</v>
      </c>
      <c r="EH167" s="9">
        <v>1</v>
      </c>
      <c r="EI167" s="9" t="b">
        <f>FtGreatCharisma3</f>
        <v>0</v>
      </c>
      <c r="EJ167" s="9"/>
      <c r="EK167" s="9"/>
      <c r="EL167" s="9"/>
      <c r="EM167" s="9"/>
      <c r="EN167" s="9">
        <v>21</v>
      </c>
      <c r="EO167" s="10">
        <f t="shared" si="163"/>
        <v>0</v>
      </c>
    </row>
    <row r="168" spans="1:145" ht="11.25" customHeight="1" x14ac:dyDescent="0.2">
      <c r="A168" s="1">
        <f t="shared" si="137"/>
        <v>165</v>
      </c>
      <c r="B168" s="1" t="s">
        <v>506</v>
      </c>
      <c r="C168" s="1" t="s">
        <v>507</v>
      </c>
      <c r="D168" s="1" t="s">
        <v>507</v>
      </c>
      <c r="E168" s="1">
        <f t="shared" si="143"/>
        <v>0</v>
      </c>
      <c r="G168" s="1">
        <f>INT(EntLvl/2)</f>
        <v>0</v>
      </c>
      <c r="K168" s="1">
        <v>2</v>
      </c>
      <c r="L168" s="1">
        <v>8</v>
      </c>
      <c r="V168" s="1">
        <v>0.75</v>
      </c>
      <c r="W168" s="1">
        <v>0.5</v>
      </c>
      <c r="X168" s="1">
        <v>0.34</v>
      </c>
      <c r="Y168" s="1">
        <v>0.5</v>
      </c>
      <c r="Z168" s="1" t="b">
        <f>FALSE</f>
        <v>0</v>
      </c>
      <c r="AA168" s="1" t="str">
        <f t="shared" si="147"/>
        <v/>
      </c>
      <c r="AB168" s="1" t="str">
        <f t="shared" si="148"/>
        <v/>
      </c>
      <c r="AC168" s="1">
        <f t="shared" si="144"/>
        <v>0</v>
      </c>
      <c r="AD168" s="1" t="str">
        <f t="shared" si="149"/>
        <v/>
      </c>
      <c r="AE168" s="1" t="str">
        <f t="shared" si="150"/>
        <v/>
      </c>
      <c r="AF168" s="1">
        <f t="shared" si="145"/>
        <v>0</v>
      </c>
      <c r="AG168" s="1">
        <f>IF($AC168&gt;0,$AG166+1,$AG166)</f>
        <v>5</v>
      </c>
      <c r="AH168" s="1" t="str">
        <f t="shared" si="146"/>
        <v/>
      </c>
      <c r="AI168" s="1">
        <v>1</v>
      </c>
      <c r="AJ168" s="1">
        <f t="shared" si="153"/>
        <v>0</v>
      </c>
      <c r="AK168" s="1">
        <v>1</v>
      </c>
      <c r="AL168" s="1">
        <v>1</v>
      </c>
      <c r="AM168" s="1">
        <v>1</v>
      </c>
      <c r="AN168" s="1">
        <f t="shared" si="154"/>
        <v>0</v>
      </c>
      <c r="AO168" s="1">
        <v>2</v>
      </c>
      <c r="AP168" s="1">
        <v>2</v>
      </c>
      <c r="AQ168" s="1">
        <v>2</v>
      </c>
      <c r="AR168" s="1">
        <v>2</v>
      </c>
      <c r="AS168" s="1">
        <v>2</v>
      </c>
      <c r="AT168" s="1">
        <v>2</v>
      </c>
      <c r="AU168" s="1">
        <v>2</v>
      </c>
      <c r="AV168" s="1">
        <v>2</v>
      </c>
      <c r="AW168" s="1">
        <v>1</v>
      </c>
      <c r="AX168" s="1">
        <v>1</v>
      </c>
      <c r="AY168" s="1">
        <v>1</v>
      </c>
      <c r="AZ168" s="1">
        <v>1</v>
      </c>
      <c r="BA168" s="1">
        <v>1</v>
      </c>
      <c r="BB168" s="1">
        <v>1</v>
      </c>
      <c r="BC168" s="1">
        <v>1</v>
      </c>
      <c r="BD168" s="1">
        <v>1</v>
      </c>
      <c r="BE168" s="1">
        <v>2</v>
      </c>
      <c r="BF168" s="1">
        <v>1</v>
      </c>
      <c r="BG168" s="1">
        <f t="shared" si="155"/>
        <v>0</v>
      </c>
      <c r="BH168" s="1">
        <f t="shared" si="156"/>
        <v>0</v>
      </c>
      <c r="BI168" s="1">
        <v>2</v>
      </c>
      <c r="BJ168" s="1">
        <v>1</v>
      </c>
      <c r="BK168" s="1">
        <v>2</v>
      </c>
      <c r="BL168" s="1">
        <v>1</v>
      </c>
      <c r="BM168" s="1">
        <v>1</v>
      </c>
      <c r="BN168" s="1">
        <v>1</v>
      </c>
      <c r="BO168" s="1">
        <v>1</v>
      </c>
      <c r="BP168" s="1">
        <f>1+NOT(HRLivingGreyhawk)</f>
        <v>2</v>
      </c>
      <c r="BQ168" s="1">
        <f t="shared" si="162"/>
        <v>0</v>
      </c>
      <c r="BR168" s="1">
        <v>1</v>
      </c>
      <c r="BS168" s="1">
        <v>1</v>
      </c>
      <c r="BT168" s="1">
        <f t="shared" si="157"/>
        <v>0</v>
      </c>
      <c r="BU168" s="1">
        <f t="shared" si="164"/>
        <v>0</v>
      </c>
      <c r="BV168" s="1">
        <v>2</v>
      </c>
      <c r="BW168" s="1">
        <v>1</v>
      </c>
      <c r="BX168" s="1">
        <v>1</v>
      </c>
      <c r="BY168" s="1">
        <v>1</v>
      </c>
      <c r="BZ168" s="1">
        <v>1</v>
      </c>
      <c r="CA168" s="1">
        <v>1</v>
      </c>
      <c r="CB168" s="1">
        <v>1</v>
      </c>
      <c r="CC168" s="1">
        <v>1</v>
      </c>
      <c r="CD168" s="1">
        <v>1</v>
      </c>
      <c r="CE168" s="1">
        <v>1</v>
      </c>
      <c r="CF168" s="1">
        <v>1</v>
      </c>
      <c r="CG168" s="1">
        <f t="shared" si="158"/>
        <v>0</v>
      </c>
      <c r="CH168" s="1">
        <v>1</v>
      </c>
      <c r="CI168" s="1">
        <v>1</v>
      </c>
      <c r="CJ168" s="1">
        <v>1</v>
      </c>
      <c r="CK168" s="1">
        <v>1</v>
      </c>
      <c r="CL168" s="1">
        <v>1</v>
      </c>
      <c r="CM168" s="1">
        <v>1</v>
      </c>
      <c r="CN168" s="1">
        <v>1</v>
      </c>
      <c r="CO168" s="1">
        <v>1</v>
      </c>
      <c r="CP168" s="1">
        <v>2</v>
      </c>
      <c r="CQ168" s="1">
        <v>2</v>
      </c>
      <c r="CR168" s="1">
        <v>2</v>
      </c>
      <c r="CS168" s="1">
        <v>2</v>
      </c>
      <c r="CT168" s="1">
        <v>2</v>
      </c>
      <c r="CU168" s="1">
        <v>2</v>
      </c>
      <c r="CV168" s="1">
        <f t="shared" si="159"/>
        <v>0</v>
      </c>
      <c r="CW168" s="1">
        <v>1</v>
      </c>
      <c r="CX168" s="1">
        <v>1</v>
      </c>
      <c r="CY168" s="1">
        <v>1</v>
      </c>
      <c r="CZ168" s="1">
        <f t="shared" si="160"/>
        <v>0</v>
      </c>
      <c r="DA168" s="1">
        <v>1</v>
      </c>
      <c r="DB168" s="1">
        <v>1</v>
      </c>
      <c r="DC168" s="1">
        <v>2</v>
      </c>
      <c r="DD168" s="1">
        <v>1</v>
      </c>
      <c r="DE168" s="1">
        <v>1</v>
      </c>
      <c r="DF168" s="1">
        <v>1</v>
      </c>
      <c r="DG168" s="1">
        <v>1</v>
      </c>
      <c r="DH168" s="1">
        <v>1</v>
      </c>
      <c r="DI168" s="1">
        <f t="shared" si="161"/>
        <v>0</v>
      </c>
      <c r="DJ168" s="1">
        <v>1</v>
      </c>
      <c r="DK168" s="1" t="s">
        <v>140</v>
      </c>
      <c r="DL168" s="1" t="s">
        <v>150</v>
      </c>
      <c r="DR168" s="1" t="b">
        <f>AlignmentNonGood</f>
        <v>0</v>
      </c>
      <c r="DS168" s="1" t="b">
        <f>SkConcentrationRanks&gt;=5</f>
        <v>0</v>
      </c>
      <c r="DT168" s="1" t="b">
        <f>SkKnowledgeArcanaRanks&gt;=5</f>
        <v>0</v>
      </c>
      <c r="DU168" s="1" t="b">
        <f>FtGreatFortitude</f>
        <v>0</v>
      </c>
      <c r="DV168" s="1" t="b">
        <f>FtMagicalAptitude</f>
        <v>0</v>
      </c>
      <c r="DW168" s="1" t="b">
        <f ca="1">MaxDivineSpellLevel&gt;=4</f>
        <v>0</v>
      </c>
      <c r="EA168" s="1" t="b">
        <f t="shared" ca="1" si="165"/>
        <v>0</v>
      </c>
      <c r="EB168" s="11" t="s">
        <v>334</v>
      </c>
      <c r="EC168" s="1" t="str">
        <f ca="1">IF(DR168,"","• Any nongood alignment.
")&amp;IF(DS168,"","• 5 ranks in Concentration.
")&amp;IF(DT168,"","• 5 in Knowledge (arcana).
")&amp;IF(DU168,"","• Great Fortitude feat.
")&amp;IF(DV168,"","• Magical Aptitude feat.
")&amp;IF(DW168,"","• Ability to cast 4th-level divine spells.")</f>
        <v>• Any nongood alignment.
• 5 ranks in Concentration.
• 5 in Knowledge (arcana).
• Great Fortitude feat.
• Magical Aptitude feat.
• Ability to cast 4th-level divine spells.</v>
      </c>
      <c r="ED168" s="11" t="s">
        <v>335</v>
      </c>
      <c r="EE168" s="8" t="s">
        <v>508</v>
      </c>
      <c r="EF168" s="9"/>
      <c r="EG168" s="9" t="s">
        <v>126</v>
      </c>
      <c r="EH168" s="9">
        <v>2</v>
      </c>
      <c r="EI168" s="9" t="b">
        <f>FtDeformityGaunt</f>
        <v>0</v>
      </c>
      <c r="EJ168" s="9"/>
      <c r="EK168" s="9"/>
      <c r="EL168" s="9"/>
      <c r="EM168" s="9"/>
      <c r="EN168" s="9">
        <v>1</v>
      </c>
      <c r="EO168" s="10">
        <f t="shared" si="163"/>
        <v>0</v>
      </c>
    </row>
    <row r="169" spans="1:145" ht="11.25" customHeight="1" x14ac:dyDescent="0.2">
      <c r="A169" s="1">
        <f t="shared" si="137"/>
        <v>166</v>
      </c>
      <c r="B169" s="1" t="s">
        <v>509</v>
      </c>
      <c r="C169" s="1" t="s">
        <v>510</v>
      </c>
      <c r="D169" s="1" t="s">
        <v>510</v>
      </c>
      <c r="E169" s="1">
        <f t="shared" si="143"/>
        <v>0</v>
      </c>
      <c r="K169" s="1">
        <v>6</v>
      </c>
      <c r="L169" s="1">
        <v>6</v>
      </c>
      <c r="V169" s="1">
        <v>0.75</v>
      </c>
      <c r="W169" s="1">
        <v>0.34</v>
      </c>
      <c r="X169" s="1">
        <v>0.34</v>
      </c>
      <c r="Y169" s="1">
        <v>0.5</v>
      </c>
      <c r="Z169" s="1" t="b">
        <f>FALSE</f>
        <v>0</v>
      </c>
      <c r="AA169" s="1" t="str">
        <f t="shared" si="147"/>
        <v/>
      </c>
      <c r="AB169" s="1" t="str">
        <f t="shared" si="148"/>
        <v/>
      </c>
      <c r="AC169" s="1">
        <f t="shared" si="144"/>
        <v>0</v>
      </c>
      <c r="AD169" s="1" t="str">
        <f t="shared" si="149"/>
        <v/>
      </c>
      <c r="AE169" s="1" t="str">
        <f t="shared" si="150"/>
        <v/>
      </c>
      <c r="AF169" s="1">
        <f t="shared" si="145"/>
        <v>0</v>
      </c>
      <c r="AG169" s="1">
        <f t="shared" si="151"/>
        <v>5</v>
      </c>
      <c r="AH169" s="1" t="str">
        <f t="shared" si="146"/>
        <v/>
      </c>
      <c r="AI169" s="1">
        <v>1</v>
      </c>
      <c r="AJ169" s="1">
        <f t="shared" si="153"/>
        <v>0</v>
      </c>
      <c r="AK169" s="1">
        <v>1</v>
      </c>
      <c r="AL169" s="1">
        <v>2</v>
      </c>
      <c r="AM169" s="1">
        <v>1</v>
      </c>
      <c r="AN169" s="1">
        <f t="shared" si="154"/>
        <v>0</v>
      </c>
      <c r="AO169" s="1">
        <v>1</v>
      </c>
      <c r="AP169" s="1">
        <v>2</v>
      </c>
      <c r="AQ169" s="1">
        <v>2</v>
      </c>
      <c r="AR169" s="1">
        <v>2</v>
      </c>
      <c r="AS169" s="1">
        <v>2</v>
      </c>
      <c r="AT169" s="1">
        <v>2</v>
      </c>
      <c r="AU169" s="1">
        <v>2</v>
      </c>
      <c r="AV169" s="1">
        <v>2</v>
      </c>
      <c r="AW169" s="1">
        <v>1</v>
      </c>
      <c r="AX169" s="1">
        <v>2</v>
      </c>
      <c r="AY169" s="1">
        <v>1</v>
      </c>
      <c r="AZ169" s="1">
        <v>2</v>
      </c>
      <c r="BA169" s="1">
        <v>2</v>
      </c>
      <c r="BB169" s="1">
        <v>1</v>
      </c>
      <c r="BC169" s="1">
        <v>1</v>
      </c>
      <c r="BD169" s="1">
        <v>1</v>
      </c>
      <c r="BE169" s="1">
        <v>1</v>
      </c>
      <c r="BF169" s="1">
        <v>1</v>
      </c>
      <c r="BG169" s="1">
        <f t="shared" si="155"/>
        <v>0</v>
      </c>
      <c r="BH169" s="1">
        <f t="shared" si="156"/>
        <v>0</v>
      </c>
      <c r="BI169" s="1">
        <v>2</v>
      </c>
      <c r="BJ169" s="1">
        <v>1</v>
      </c>
      <c r="BK169" s="1">
        <v>2</v>
      </c>
      <c r="BL169" s="1">
        <v>2</v>
      </c>
      <c r="BM169" s="1">
        <v>2</v>
      </c>
      <c r="BN169" s="1">
        <v>2</v>
      </c>
      <c r="BO169" s="1">
        <v>2</v>
      </c>
      <c r="BP169" s="1">
        <f>1+NOT(HRLivingGreyhawk)</f>
        <v>2</v>
      </c>
      <c r="BQ169" s="1">
        <f>IF(HRRVL,2,0)</f>
        <v>0</v>
      </c>
      <c r="BR169" s="1">
        <v>2</v>
      </c>
      <c r="BS169" s="1">
        <v>2</v>
      </c>
      <c r="BT169" s="1">
        <f>IF(HRXPH,2,0)</f>
        <v>0</v>
      </c>
      <c r="BU169" s="1">
        <f t="shared" si="164"/>
        <v>0</v>
      </c>
      <c r="BV169" s="1">
        <v>2</v>
      </c>
      <c r="BW169" s="1">
        <v>2</v>
      </c>
      <c r="BX169" s="1">
        <v>2</v>
      </c>
      <c r="BY169" s="1">
        <v>2</v>
      </c>
      <c r="BZ169" s="1">
        <v>2</v>
      </c>
      <c r="CA169" s="1">
        <v>2</v>
      </c>
      <c r="CB169" s="1">
        <v>2</v>
      </c>
      <c r="CC169" s="1">
        <v>2</v>
      </c>
      <c r="CD169" s="1">
        <v>2</v>
      </c>
      <c r="CE169" s="1">
        <v>2</v>
      </c>
      <c r="CF169" s="1">
        <v>2</v>
      </c>
      <c r="CG169" s="1">
        <f t="shared" si="158"/>
        <v>0</v>
      </c>
      <c r="CH169" s="1">
        <v>1</v>
      </c>
      <c r="CI169" s="1">
        <v>1</v>
      </c>
      <c r="CJ169" s="1">
        <v>2</v>
      </c>
      <c r="CK169" s="1">
        <v>2</v>
      </c>
      <c r="CL169" s="1">
        <v>2</v>
      </c>
      <c r="CM169" s="1">
        <v>2</v>
      </c>
      <c r="CN169" s="1">
        <v>2</v>
      </c>
      <c r="CO169" s="1">
        <v>2</v>
      </c>
      <c r="CP169" s="1">
        <v>2</v>
      </c>
      <c r="CQ169" s="1">
        <v>2</v>
      </c>
      <c r="CR169" s="1">
        <v>2</v>
      </c>
      <c r="CS169" s="1">
        <v>2</v>
      </c>
      <c r="CT169" s="1">
        <v>2</v>
      </c>
      <c r="CU169" s="1">
        <v>2</v>
      </c>
      <c r="CV169" s="1">
        <f t="shared" si="159"/>
        <v>0</v>
      </c>
      <c r="CW169" s="1">
        <v>1</v>
      </c>
      <c r="CX169" s="1">
        <v>1</v>
      </c>
      <c r="CY169" s="1">
        <v>2</v>
      </c>
      <c r="CZ169" s="1">
        <f t="shared" si="160"/>
        <v>0</v>
      </c>
      <c r="DA169" s="1">
        <v>1</v>
      </c>
      <c r="DB169" s="1">
        <v>2</v>
      </c>
      <c r="DC169" s="1">
        <v>1</v>
      </c>
      <c r="DD169" s="1">
        <v>1</v>
      </c>
      <c r="DE169" s="1">
        <v>1</v>
      </c>
      <c r="DF169" s="1">
        <v>1</v>
      </c>
      <c r="DG169" s="1">
        <v>1</v>
      </c>
      <c r="DH169" s="1">
        <v>1</v>
      </c>
      <c r="DI169" s="1">
        <f t="shared" si="161"/>
        <v>0</v>
      </c>
      <c r="DJ169" s="1">
        <v>1</v>
      </c>
      <c r="DK169" s="1" t="s">
        <v>140</v>
      </c>
      <c r="DL169" s="1" t="s">
        <v>150</v>
      </c>
      <c r="DR169" s="1" t="b">
        <f>DeityCell&gt;1</f>
        <v>0</v>
      </c>
      <c r="DS169" s="1" t="b">
        <f>SkBluffRanks&gt;=8</f>
        <v>0</v>
      </c>
      <c r="DT169" s="1" t="b">
        <f>SkGatherInformationRanks&gt;=5</f>
        <v>0</v>
      </c>
      <c r="DU169" s="1" t="b">
        <f>SkKnowledgeReligionRanks&gt;=5</f>
        <v>0</v>
      </c>
      <c r="DV169" s="1" t="b">
        <f>IF(NOT(ISNA(MATCH("oratory",TblPerformSkills,0))),INDEX(TblPerformRanks,MATCH("oratory",TblPerformSkills,0),1)&gt;=6)</f>
        <v>0</v>
      </c>
      <c r="DW169" s="1" t="b">
        <f>SkSenseMotiveRanks&gt;=5</f>
        <v>0</v>
      </c>
      <c r="DX169" s="1" t="b">
        <f>OR(FtNegotiator,FtPersuasive)</f>
        <v>0</v>
      </c>
      <c r="EA169" s="1" t="b">
        <f t="shared" si="165"/>
        <v>0</v>
      </c>
      <c r="EB169" s="11" t="s">
        <v>334</v>
      </c>
      <c r="EC169" s="1" t="str">
        <f>IF(DR169,"","• Same alignment restrictions as a cleric of a particular deity.
")&amp;IF(DS169,"","• 8 ranks in Bluff.
")&amp;IF(DT169,"","• 5 ranks in Gather Information.
")&amp;IF(DU169,"","• 5 ranks in Knowledge (religion).
")&amp;IF(DV169,"","• 6 ranks in Perform (oratory).
")&amp;IF(DW169,"","• 5 ranks in Sense Motive.
")&amp;IF(DX169,"","• Negotiator or Persuasive feat.")</f>
        <v>• Same alignment restrictions as a cleric of a particular deity.
• 8 ranks in Bluff.
• 5 ranks in Gather Information.
• 5 ranks in Knowledge (religion).
• 6 ranks in Perform (oratory).
• 5 ranks in Sense Motive.
• Negotiator or Persuasive feat.</v>
      </c>
      <c r="ED169" s="11" t="s">
        <v>335</v>
      </c>
      <c r="EE169" s="8" t="s">
        <v>508</v>
      </c>
      <c r="EF169" s="9"/>
      <c r="EG169" s="9" t="s">
        <v>129</v>
      </c>
      <c r="EH169" s="9">
        <v>-2</v>
      </c>
      <c r="EI169" s="9" t="b">
        <f>FtDeformityGaunt</f>
        <v>0</v>
      </c>
      <c r="EJ169" s="9"/>
      <c r="EK169" s="9"/>
      <c r="EL169" s="9"/>
      <c r="EM169" s="9"/>
      <c r="EN169" s="9">
        <v>1</v>
      </c>
      <c r="EO169" s="10">
        <f t="shared" si="163"/>
        <v>0</v>
      </c>
    </row>
    <row r="170" spans="1:145" ht="11.25" customHeight="1" x14ac:dyDescent="0.2">
      <c r="A170" s="1">
        <f t="shared" si="137"/>
        <v>167</v>
      </c>
      <c r="B170" s="1" t="s">
        <v>511</v>
      </c>
      <c r="C170" s="1" t="s">
        <v>512</v>
      </c>
      <c r="D170" s="1" t="s">
        <v>512</v>
      </c>
      <c r="E170" s="1">
        <f t="shared" si="143"/>
        <v>0</v>
      </c>
      <c r="G170" s="1">
        <f>GeoLvl</f>
        <v>0</v>
      </c>
      <c r="K170" s="1">
        <v>4</v>
      </c>
      <c r="L170" s="1">
        <v>6</v>
      </c>
      <c r="V170" s="1">
        <v>0.75</v>
      </c>
      <c r="W170" s="1">
        <v>0.5</v>
      </c>
      <c r="X170" s="1">
        <v>0.34</v>
      </c>
      <c r="Y170" s="1">
        <v>0.5</v>
      </c>
      <c r="Z170" s="1" t="b">
        <f>FALSE</f>
        <v>0</v>
      </c>
      <c r="AA170" s="1" t="str">
        <f t="shared" si="147"/>
        <v/>
      </c>
      <c r="AB170" s="1" t="str">
        <f t="shared" si="148"/>
        <v/>
      </c>
      <c r="AC170" s="1">
        <f t="shared" si="144"/>
        <v>0</v>
      </c>
      <c r="AD170" s="1" t="str">
        <f t="shared" si="149"/>
        <v/>
      </c>
      <c r="AE170" s="1" t="str">
        <f t="shared" si="150"/>
        <v/>
      </c>
      <c r="AF170" s="1">
        <f t="shared" si="145"/>
        <v>0</v>
      </c>
      <c r="AG170" s="1">
        <f t="shared" si="151"/>
        <v>5</v>
      </c>
      <c r="AH170" s="1" t="str">
        <f t="shared" si="146"/>
        <v/>
      </c>
      <c r="AI170" s="1">
        <v>1</v>
      </c>
      <c r="AJ170" s="1">
        <f t="shared" si="153"/>
        <v>0</v>
      </c>
      <c r="AK170" s="1">
        <v>1</v>
      </c>
      <c r="AL170" s="1">
        <v>1</v>
      </c>
      <c r="AM170" s="1">
        <v>2</v>
      </c>
      <c r="AN170" s="1">
        <f t="shared" si="154"/>
        <v>0</v>
      </c>
      <c r="AO170" s="1">
        <v>2</v>
      </c>
      <c r="AP170" s="1">
        <v>2</v>
      </c>
      <c r="AQ170" s="1">
        <v>2</v>
      </c>
      <c r="AR170" s="1">
        <v>2</v>
      </c>
      <c r="AS170" s="1">
        <v>2</v>
      </c>
      <c r="AT170" s="1">
        <v>2</v>
      </c>
      <c r="AU170" s="1">
        <v>2</v>
      </c>
      <c r="AV170" s="1">
        <v>2</v>
      </c>
      <c r="AW170" s="1">
        <v>1</v>
      </c>
      <c r="AX170" s="1">
        <v>2</v>
      </c>
      <c r="AY170" s="1">
        <v>1</v>
      </c>
      <c r="AZ170" s="1">
        <v>1</v>
      </c>
      <c r="BA170" s="1">
        <v>1</v>
      </c>
      <c r="BB170" s="1">
        <v>1</v>
      </c>
      <c r="BC170" s="1">
        <v>1</v>
      </c>
      <c r="BD170" s="1">
        <v>2</v>
      </c>
      <c r="BE170" s="1">
        <v>2</v>
      </c>
      <c r="BF170" s="1">
        <v>1</v>
      </c>
      <c r="BG170" s="1">
        <f t="shared" si="155"/>
        <v>0</v>
      </c>
      <c r="BH170" s="1">
        <f t="shared" si="156"/>
        <v>0</v>
      </c>
      <c r="BI170" s="1">
        <v>1</v>
      </c>
      <c r="BJ170" s="1">
        <v>1</v>
      </c>
      <c r="BK170" s="1">
        <v>2</v>
      </c>
      <c r="BL170" s="1">
        <v>1</v>
      </c>
      <c r="BM170" s="1">
        <v>1</v>
      </c>
      <c r="BN170" s="1">
        <v>2</v>
      </c>
      <c r="BO170" s="1">
        <v>1</v>
      </c>
      <c r="BP170" s="1">
        <v>1</v>
      </c>
      <c r="BQ170" s="1">
        <f>IF(HRRVL,2,0)</f>
        <v>0</v>
      </c>
      <c r="BR170" s="1">
        <v>2</v>
      </c>
      <c r="BS170" s="1">
        <v>1</v>
      </c>
      <c r="BT170" s="1">
        <f t="shared" ref="BT170:BT182" si="166">IF(HRXPH,1,0)</f>
        <v>0</v>
      </c>
      <c r="BU170" s="1">
        <f>IF(HRRVL,1,0)</f>
        <v>0</v>
      </c>
      <c r="BV170" s="1">
        <v>1</v>
      </c>
      <c r="BW170" s="1">
        <v>1</v>
      </c>
      <c r="BX170" s="1">
        <v>1</v>
      </c>
      <c r="BY170" s="1">
        <v>1</v>
      </c>
      <c r="BZ170" s="1">
        <v>1</v>
      </c>
      <c r="CA170" s="1">
        <v>1</v>
      </c>
      <c r="CB170" s="1">
        <v>1</v>
      </c>
      <c r="CC170" s="1">
        <v>1</v>
      </c>
      <c r="CD170" s="1">
        <v>1</v>
      </c>
      <c r="CE170" s="1">
        <v>1</v>
      </c>
      <c r="CF170" s="1">
        <v>1</v>
      </c>
      <c r="CG170" s="1">
        <f t="shared" si="158"/>
        <v>0</v>
      </c>
      <c r="CH170" s="1">
        <v>1</v>
      </c>
      <c r="CI170" s="1">
        <v>1</v>
      </c>
      <c r="CJ170" s="1">
        <v>1</v>
      </c>
      <c r="CK170" s="1">
        <v>1</v>
      </c>
      <c r="CL170" s="1">
        <v>1</v>
      </c>
      <c r="CM170" s="1">
        <v>1</v>
      </c>
      <c r="CN170" s="1">
        <v>1</v>
      </c>
      <c r="CO170" s="1">
        <v>1</v>
      </c>
      <c r="CP170" s="1">
        <v>1</v>
      </c>
      <c r="CQ170" s="1">
        <v>1</v>
      </c>
      <c r="CR170" s="1">
        <v>1</v>
      </c>
      <c r="CS170" s="1">
        <v>1</v>
      </c>
      <c r="CT170" s="1">
        <v>1</v>
      </c>
      <c r="CU170" s="1">
        <v>1</v>
      </c>
      <c r="CV170" s="1">
        <f t="shared" si="159"/>
        <v>0</v>
      </c>
      <c r="CW170" s="1">
        <v>1</v>
      </c>
      <c r="CX170" s="1">
        <v>1</v>
      </c>
      <c r="CY170" s="1">
        <v>1</v>
      </c>
      <c r="CZ170" s="1">
        <f t="shared" si="160"/>
        <v>0</v>
      </c>
      <c r="DA170" s="1">
        <v>1</v>
      </c>
      <c r="DB170" s="1">
        <v>1</v>
      </c>
      <c r="DC170" s="1">
        <v>2</v>
      </c>
      <c r="DD170" s="1">
        <v>1</v>
      </c>
      <c r="DE170" s="1">
        <v>2</v>
      </c>
      <c r="DF170" s="1">
        <v>2</v>
      </c>
      <c r="DG170" s="1">
        <v>1</v>
      </c>
      <c r="DH170" s="1">
        <v>1</v>
      </c>
      <c r="DI170" s="1">
        <f t="shared" si="161"/>
        <v>0</v>
      </c>
      <c r="DJ170" s="1">
        <v>1</v>
      </c>
      <c r="DK170" s="1" t="s">
        <v>140</v>
      </c>
      <c r="DL170" s="1" t="s">
        <v>40</v>
      </c>
      <c r="DR170" s="1" t="b">
        <f>SkKnowledgeArcanaRanks&gt;=6</f>
        <v>0</v>
      </c>
      <c r="DS170" s="1" t="b">
        <f>SkKnowledgeNatureRanks&gt;=6</f>
        <v>0</v>
      </c>
      <c r="DT170" s="1" t="b">
        <f ca="1">MaxArcaneSpellLevel&gt;=2</f>
        <v>0</v>
      </c>
      <c r="DU170" s="1" t="b">
        <f ca="1">MaxDivineSpellLevel&gt;=2</f>
        <v>0</v>
      </c>
      <c r="EA170" s="1" t="b">
        <f t="shared" ca="1" si="165"/>
        <v>0</v>
      </c>
      <c r="EB170" s="11" t="s">
        <v>334</v>
      </c>
      <c r="EC170" s="1" t="str">
        <f ca="1">IF(DR170,"","• 6 ranks in Knowledge(Arcana).
")&amp;IF(DS170,"","• 6 ranks in Knowledge(Nature).
")&amp;IF(DT170,"","• Ability to cast 2nd-level arcane spells.
")&amp;IF(DU170,"","• Ability to cast 2nd-level divine spells.")</f>
        <v>• 6 ranks in Knowledge(Arcana).
• 6 ranks in Knowledge(Nature).
• Ability to cast 2nd-level arcane spells.
• Ability to cast 2nd-level divine spells.</v>
      </c>
      <c r="ED170" s="11" t="s">
        <v>335</v>
      </c>
      <c r="EE170" s="8" t="s">
        <v>513</v>
      </c>
      <c r="EF170" s="9"/>
      <c r="EG170" s="9" t="s">
        <v>126</v>
      </c>
      <c r="EH170" s="9">
        <v>-2</v>
      </c>
      <c r="EI170" s="9" t="b">
        <f>FtDeformityObese</f>
        <v>0</v>
      </c>
      <c r="EJ170" s="9"/>
      <c r="EK170" s="9"/>
      <c r="EL170" s="9"/>
      <c r="EM170" s="9"/>
      <c r="EN170" s="9">
        <v>1</v>
      </c>
      <c r="EO170" s="10">
        <f t="shared" si="163"/>
        <v>0</v>
      </c>
    </row>
    <row r="171" spans="1:145" ht="11.25" customHeight="1" x14ac:dyDescent="0.2">
      <c r="A171" s="1">
        <f t="shared" si="137"/>
        <v>168</v>
      </c>
      <c r="B171" s="1" t="s">
        <v>514</v>
      </c>
      <c r="C171" s="1" t="s">
        <v>515</v>
      </c>
      <c r="D171" s="1" t="s">
        <v>515</v>
      </c>
      <c r="E171" s="1">
        <f t="shared" si="143"/>
        <v>0</v>
      </c>
      <c r="K171" s="1">
        <v>2</v>
      </c>
      <c r="L171" s="1">
        <v>10</v>
      </c>
      <c r="N171" s="1" t="b">
        <v>1</v>
      </c>
      <c r="O171" s="1" t="b">
        <v>1</v>
      </c>
      <c r="P171" s="1" t="b">
        <v>1</v>
      </c>
      <c r="Q171" s="1" t="b">
        <v>1</v>
      </c>
      <c r="S171" s="1" t="b">
        <v>1</v>
      </c>
      <c r="T171" s="1" t="b">
        <v>1</v>
      </c>
      <c r="V171" s="1">
        <v>1</v>
      </c>
      <c r="W171" s="1">
        <v>0.5</v>
      </c>
      <c r="X171" s="1">
        <v>0.34</v>
      </c>
      <c r="Y171" s="1">
        <v>0.34</v>
      </c>
      <c r="Z171" s="1" t="b">
        <f>FALSE</f>
        <v>0</v>
      </c>
      <c r="AA171" s="1" t="str">
        <f t="shared" si="147"/>
        <v/>
      </c>
      <c r="AB171" s="1" t="str">
        <f t="shared" si="148"/>
        <v/>
      </c>
      <c r="AC171" s="1">
        <f t="shared" si="144"/>
        <v>0</v>
      </c>
      <c r="AD171" s="1" t="str">
        <f t="shared" si="149"/>
        <v/>
      </c>
      <c r="AE171" s="1" t="str">
        <f t="shared" si="150"/>
        <v/>
      </c>
      <c r="AF171" s="1">
        <f t="shared" si="145"/>
        <v>0</v>
      </c>
      <c r="AG171" s="1">
        <f t="shared" si="151"/>
        <v>5</v>
      </c>
      <c r="AH171" s="1" t="str">
        <f t="shared" si="146"/>
        <v/>
      </c>
      <c r="AI171" s="1">
        <v>1</v>
      </c>
      <c r="AJ171" s="1">
        <f t="shared" si="153"/>
        <v>0</v>
      </c>
      <c r="AK171" s="1">
        <v>1</v>
      </c>
      <c r="AL171" s="1">
        <v>1</v>
      </c>
      <c r="AM171" s="1">
        <v>1</v>
      </c>
      <c r="AN171" s="1">
        <f t="shared" si="154"/>
        <v>0</v>
      </c>
      <c r="AO171" s="1">
        <v>2</v>
      </c>
      <c r="AP171" s="1">
        <v>2</v>
      </c>
      <c r="AQ171" s="1">
        <v>2</v>
      </c>
      <c r="AR171" s="1">
        <v>2</v>
      </c>
      <c r="AS171" s="1">
        <v>2</v>
      </c>
      <c r="AT171" s="1">
        <v>2</v>
      </c>
      <c r="AU171" s="1">
        <v>2</v>
      </c>
      <c r="AV171" s="1">
        <v>2</v>
      </c>
      <c r="AW171" s="1">
        <v>1</v>
      </c>
      <c r="AX171" s="1">
        <v>2</v>
      </c>
      <c r="AY171" s="1">
        <v>1</v>
      </c>
      <c r="AZ171" s="1">
        <v>1</v>
      </c>
      <c r="BA171" s="1">
        <v>1</v>
      </c>
      <c r="BB171" s="1">
        <v>1</v>
      </c>
      <c r="BC171" s="1">
        <v>1</v>
      </c>
      <c r="BD171" s="1">
        <v>2</v>
      </c>
      <c r="BE171" s="1">
        <v>2</v>
      </c>
      <c r="BF171" s="1">
        <v>1</v>
      </c>
      <c r="BG171" s="1">
        <f t="shared" si="155"/>
        <v>0</v>
      </c>
      <c r="BH171" s="1">
        <f t="shared" si="156"/>
        <v>0</v>
      </c>
      <c r="BI171" s="1">
        <v>2</v>
      </c>
      <c r="BJ171" s="1">
        <v>1</v>
      </c>
      <c r="BK171" s="1">
        <v>1</v>
      </c>
      <c r="BL171" s="1">
        <v>1</v>
      </c>
      <c r="BM171" s="1">
        <v>1</v>
      </c>
      <c r="BN171" s="1">
        <v>1</v>
      </c>
      <c r="BO171" s="1">
        <v>1</v>
      </c>
      <c r="BP171" s="1">
        <v>1</v>
      </c>
      <c r="BQ171" s="1">
        <f t="shared" ref="BQ171:BQ179" si="167">IF(HRRVL,1,0)</f>
        <v>0</v>
      </c>
      <c r="BR171" s="1">
        <v>1</v>
      </c>
      <c r="BS171" s="1">
        <v>1</v>
      </c>
      <c r="BT171" s="1">
        <f t="shared" si="166"/>
        <v>0</v>
      </c>
      <c r="BU171" s="1">
        <f>IF(HRRVL,2,0)</f>
        <v>0</v>
      </c>
      <c r="BV171" s="1">
        <v>2</v>
      </c>
      <c r="BW171" s="1">
        <v>1</v>
      </c>
      <c r="BX171" s="1">
        <v>1</v>
      </c>
      <c r="BY171" s="1">
        <v>1</v>
      </c>
      <c r="BZ171" s="1">
        <v>1</v>
      </c>
      <c r="CA171" s="1">
        <v>1</v>
      </c>
      <c r="CB171" s="1">
        <v>1</v>
      </c>
      <c r="CC171" s="1">
        <v>1</v>
      </c>
      <c r="CD171" s="1">
        <v>1</v>
      </c>
      <c r="CE171" s="1">
        <v>1</v>
      </c>
      <c r="CF171" s="1">
        <v>1</v>
      </c>
      <c r="CG171" s="1">
        <f t="shared" si="158"/>
        <v>0</v>
      </c>
      <c r="CH171" s="1">
        <v>1</v>
      </c>
      <c r="CI171" s="1">
        <v>1</v>
      </c>
      <c r="CJ171" s="1">
        <v>1</v>
      </c>
      <c r="CK171" s="1">
        <v>1</v>
      </c>
      <c r="CL171" s="1">
        <v>1</v>
      </c>
      <c r="CM171" s="1">
        <v>1</v>
      </c>
      <c r="CN171" s="1">
        <v>1</v>
      </c>
      <c r="CO171" s="1">
        <v>1</v>
      </c>
      <c r="CP171" s="1">
        <v>2</v>
      </c>
      <c r="CQ171" s="1">
        <v>2</v>
      </c>
      <c r="CR171" s="1">
        <v>2</v>
      </c>
      <c r="CS171" s="1">
        <v>2</v>
      </c>
      <c r="CT171" s="1">
        <v>2</v>
      </c>
      <c r="CU171" s="1">
        <v>2</v>
      </c>
      <c r="CV171" s="1">
        <f t="shared" si="159"/>
        <v>0</v>
      </c>
      <c r="CW171" s="1">
        <v>2</v>
      </c>
      <c r="CX171" s="1">
        <v>1</v>
      </c>
      <c r="CY171" s="1">
        <v>2</v>
      </c>
      <c r="CZ171" s="1">
        <f t="shared" si="160"/>
        <v>0</v>
      </c>
      <c r="DA171" s="1">
        <v>1</v>
      </c>
      <c r="DB171" s="1">
        <v>1</v>
      </c>
      <c r="DC171" s="1">
        <v>1</v>
      </c>
      <c r="DD171" s="1">
        <v>1</v>
      </c>
      <c r="DE171" s="1">
        <v>1</v>
      </c>
      <c r="DF171" s="1">
        <v>1</v>
      </c>
      <c r="DG171" s="1">
        <v>1</v>
      </c>
      <c r="DH171" s="1">
        <v>1</v>
      </c>
      <c r="DI171" s="1">
        <f t="shared" si="161"/>
        <v>0</v>
      </c>
      <c r="DJ171" s="1">
        <v>1</v>
      </c>
      <c r="DK171" s="1" t="s">
        <v>140</v>
      </c>
      <c r="DL171" s="1" t="s">
        <v>40</v>
      </c>
      <c r="DR171" s="1" t="b">
        <f>AND(AlignmentChaotic,AlignmentGood)</f>
        <v>0</v>
      </c>
      <c r="DS171" s="1" t="b">
        <f>BaseAtk&gt;=5</f>
        <v>0</v>
      </c>
      <c r="DT171" s="1" t="b">
        <f>SkDiplomacyRanks&gt;=5</f>
        <v>0</v>
      </c>
      <c r="DU171" s="1" t="b">
        <f>SkSenseMotiveRanks&gt;=5</f>
        <v>0</v>
      </c>
      <c r="DV171" s="1" t="b">
        <f>FtIronWill</f>
        <v>0</v>
      </c>
      <c r="EA171" s="1" t="b">
        <f t="shared" si="165"/>
        <v>0</v>
      </c>
      <c r="EB171" s="11" t="s">
        <v>334</v>
      </c>
      <c r="EC171" s="1" t="str">
        <f>IF(DR171,"","• Chaotic Good Alignment.
")&amp;IF(DS171,"","• A base attack bonus of +5 or higher.
")&amp;IF(DT171,"","• 5 ranks in Diplomacy.
")&amp;IF(DU171,"","• 5 ranks in Sense Motive.
")&amp;IF(DV171,"","• Iron Will feat.")</f>
        <v>• Chaotic Good Alignment.
• A base attack bonus of +5 or higher.
• 5 ranks in Diplomacy.
• 5 ranks in Sense Motive.
• Iron Will feat.</v>
      </c>
      <c r="ED171" s="11" t="s">
        <v>335</v>
      </c>
      <c r="EE171" s="8" t="s">
        <v>513</v>
      </c>
      <c r="EF171" s="9"/>
      <c r="EG171" s="9" t="s">
        <v>129</v>
      </c>
      <c r="EH171" s="9">
        <v>2</v>
      </c>
      <c r="EI171" s="9" t="b">
        <f>FtDeformityObese</f>
        <v>0</v>
      </c>
      <c r="EJ171" s="9"/>
      <c r="EK171" s="9"/>
      <c r="EL171" s="9"/>
      <c r="EM171" s="9"/>
      <c r="EN171" s="9">
        <v>1</v>
      </c>
      <c r="EO171" s="10">
        <f t="shared" si="163"/>
        <v>0</v>
      </c>
    </row>
    <row r="172" spans="1:145" ht="11.25" customHeight="1" x14ac:dyDescent="0.2">
      <c r="A172" s="1">
        <f t="shared" si="137"/>
        <v>169</v>
      </c>
      <c r="B172" s="1" t="s">
        <v>516</v>
      </c>
      <c r="C172" s="1" t="s">
        <v>517</v>
      </c>
      <c r="D172" s="1" t="s">
        <v>517</v>
      </c>
      <c r="E172" s="1">
        <f t="shared" si="143"/>
        <v>0</v>
      </c>
      <c r="G172" s="1">
        <f>HosLvl-INT((HosLvl+3)/4)</f>
        <v>0</v>
      </c>
      <c r="K172" s="1">
        <v>2</v>
      </c>
      <c r="L172" s="1">
        <v>8</v>
      </c>
      <c r="N172" s="1" t="b">
        <v>1</v>
      </c>
      <c r="O172" s="1" t="b">
        <v>1</v>
      </c>
      <c r="P172" s="1" t="b">
        <v>1</v>
      </c>
      <c r="Q172" s="1" t="b">
        <v>1</v>
      </c>
      <c r="S172" s="1" t="b">
        <v>1</v>
      </c>
      <c r="T172" s="1" t="b">
        <v>1</v>
      </c>
      <c r="V172" s="1">
        <v>1</v>
      </c>
      <c r="W172" s="1">
        <v>0.5</v>
      </c>
      <c r="X172" s="1">
        <v>0.34</v>
      </c>
      <c r="Y172" s="1">
        <v>0.34</v>
      </c>
      <c r="Z172" s="1" t="b">
        <f>FALSE</f>
        <v>0</v>
      </c>
      <c r="AA172" s="1" t="str">
        <f t="shared" si="147"/>
        <v/>
      </c>
      <c r="AB172" s="1" t="str">
        <f t="shared" si="148"/>
        <v/>
      </c>
      <c r="AC172" s="1">
        <f t="shared" si="144"/>
        <v>0</v>
      </c>
      <c r="AD172" s="1" t="str">
        <f t="shared" si="149"/>
        <v/>
      </c>
      <c r="AE172" s="1" t="str">
        <f t="shared" si="150"/>
        <v/>
      </c>
      <c r="AF172" s="1">
        <f t="shared" si="145"/>
        <v>0</v>
      </c>
      <c r="AG172" s="1">
        <f t="shared" si="151"/>
        <v>5</v>
      </c>
      <c r="AH172" s="1" t="str">
        <f t="shared" si="146"/>
        <v/>
      </c>
      <c r="AI172" s="1">
        <v>1</v>
      </c>
      <c r="AJ172" s="1">
        <f t="shared" si="153"/>
        <v>0</v>
      </c>
      <c r="AK172" s="1">
        <v>1</v>
      </c>
      <c r="AL172" s="1">
        <v>1</v>
      </c>
      <c r="AM172" s="1">
        <v>1</v>
      </c>
      <c r="AN172" s="1">
        <f t="shared" si="154"/>
        <v>0</v>
      </c>
      <c r="AO172" s="1">
        <v>2</v>
      </c>
      <c r="AP172" s="1">
        <v>2</v>
      </c>
      <c r="AQ172" s="1">
        <v>2</v>
      </c>
      <c r="AR172" s="1">
        <v>2</v>
      </c>
      <c r="AS172" s="1">
        <v>2</v>
      </c>
      <c r="AT172" s="1">
        <v>2</v>
      </c>
      <c r="AU172" s="1">
        <v>2</v>
      </c>
      <c r="AV172" s="1">
        <v>2</v>
      </c>
      <c r="AW172" s="1">
        <v>1</v>
      </c>
      <c r="AX172" s="1">
        <v>2</v>
      </c>
      <c r="AY172" s="1">
        <v>1</v>
      </c>
      <c r="AZ172" s="1">
        <v>1</v>
      </c>
      <c r="BA172" s="1">
        <v>1</v>
      </c>
      <c r="BB172" s="1">
        <v>1</v>
      </c>
      <c r="BC172" s="1">
        <v>1</v>
      </c>
      <c r="BD172" s="1">
        <v>2</v>
      </c>
      <c r="BE172" s="1">
        <v>2</v>
      </c>
      <c r="BF172" s="1">
        <v>1</v>
      </c>
      <c r="BG172" s="1">
        <f t="shared" si="155"/>
        <v>0</v>
      </c>
      <c r="BH172" s="1">
        <f t="shared" si="156"/>
        <v>0</v>
      </c>
      <c r="BI172" s="1">
        <v>1</v>
      </c>
      <c r="BJ172" s="1">
        <v>1</v>
      </c>
      <c r="BK172" s="1">
        <v>1</v>
      </c>
      <c r="BL172" s="1">
        <v>1</v>
      </c>
      <c r="BM172" s="1">
        <v>1</v>
      </c>
      <c r="BN172" s="1">
        <v>1</v>
      </c>
      <c r="BO172" s="1">
        <v>1</v>
      </c>
      <c r="BP172" s="1">
        <v>1</v>
      </c>
      <c r="BQ172" s="1">
        <f t="shared" si="167"/>
        <v>0</v>
      </c>
      <c r="BR172" s="1">
        <v>1</v>
      </c>
      <c r="BS172" s="1">
        <v>1</v>
      </c>
      <c r="BT172" s="1">
        <f t="shared" si="166"/>
        <v>0</v>
      </c>
      <c r="BU172" s="1">
        <f>IF(HRRVL,2,0)</f>
        <v>0</v>
      </c>
      <c r="BV172" s="1">
        <v>2</v>
      </c>
      <c r="BW172" s="1">
        <v>1</v>
      </c>
      <c r="BX172" s="1">
        <v>1</v>
      </c>
      <c r="BY172" s="1">
        <v>1</v>
      </c>
      <c r="BZ172" s="1">
        <v>1</v>
      </c>
      <c r="CA172" s="1">
        <v>1</v>
      </c>
      <c r="CB172" s="1">
        <v>1</v>
      </c>
      <c r="CC172" s="1">
        <v>1</v>
      </c>
      <c r="CD172" s="1">
        <v>1</v>
      </c>
      <c r="CE172" s="1">
        <v>1</v>
      </c>
      <c r="CF172" s="1">
        <v>1</v>
      </c>
      <c r="CG172" s="1">
        <f t="shared" si="158"/>
        <v>0</v>
      </c>
      <c r="CH172" s="1">
        <v>1</v>
      </c>
      <c r="CI172" s="1">
        <v>1</v>
      </c>
      <c r="CJ172" s="1">
        <v>1</v>
      </c>
      <c r="CK172" s="1">
        <v>1</v>
      </c>
      <c r="CL172" s="1">
        <v>1</v>
      </c>
      <c r="CM172" s="1">
        <v>1</v>
      </c>
      <c r="CN172" s="1">
        <v>1</v>
      </c>
      <c r="CO172" s="1">
        <v>1</v>
      </c>
      <c r="CP172" s="1">
        <v>2</v>
      </c>
      <c r="CQ172" s="1">
        <v>2</v>
      </c>
      <c r="CR172" s="1">
        <v>2</v>
      </c>
      <c r="CS172" s="1">
        <v>2</v>
      </c>
      <c r="CT172" s="1">
        <v>2</v>
      </c>
      <c r="CU172" s="1">
        <v>2</v>
      </c>
      <c r="CV172" s="1">
        <f t="shared" si="159"/>
        <v>0</v>
      </c>
      <c r="CW172" s="1">
        <v>2</v>
      </c>
      <c r="CX172" s="1">
        <v>1</v>
      </c>
      <c r="CY172" s="1">
        <v>1</v>
      </c>
      <c r="CZ172" s="1">
        <f t="shared" si="160"/>
        <v>0</v>
      </c>
      <c r="DA172" s="1">
        <v>1</v>
      </c>
      <c r="DB172" s="1">
        <v>1</v>
      </c>
      <c r="DC172" s="1">
        <v>1</v>
      </c>
      <c r="DD172" s="1">
        <v>1</v>
      </c>
      <c r="DE172" s="1">
        <v>1</v>
      </c>
      <c r="DF172" s="1">
        <v>1</v>
      </c>
      <c r="DG172" s="1">
        <v>1</v>
      </c>
      <c r="DH172" s="1">
        <v>1</v>
      </c>
      <c r="DI172" s="1">
        <f t="shared" si="161"/>
        <v>0</v>
      </c>
      <c r="DJ172" s="1">
        <v>1</v>
      </c>
      <c r="DK172" s="1" t="s">
        <v>140</v>
      </c>
      <c r="DL172" s="1" t="s">
        <v>40</v>
      </c>
      <c r="DR172" s="1" t="b">
        <f>AlignmentNonChaotic</f>
        <v>1</v>
      </c>
      <c r="DS172" s="1" t="b">
        <f>BaseAtk&gt;=5</f>
        <v>0</v>
      </c>
      <c r="DT172" s="1" t="b">
        <f>SkHandleAnimalRanks&gt;=5</f>
        <v>0</v>
      </c>
      <c r="DU172" s="1" t="b">
        <f>SkRideRanks&gt;=5</f>
        <v>0</v>
      </c>
      <c r="DV172" s="1" t="b">
        <f>FtMountedCombat</f>
        <v>0</v>
      </c>
      <c r="DW172" s="1" t="b">
        <f>FtRideByAttack</f>
        <v>0</v>
      </c>
      <c r="DX172" s="1" t="b">
        <f ca="1">MaxDivineSpellLevel&gt;=1</f>
        <v>0</v>
      </c>
      <c r="EA172" s="1" t="b">
        <f t="shared" ca="1" si="165"/>
        <v>0</v>
      </c>
      <c r="EB172" s="11" t="s">
        <v>334</v>
      </c>
      <c r="EC172" s="1" t="str">
        <f ca="1">IF(DR172,"","• Any non-chaotic alignment.
")&amp;IF(DS172,"","• A base attack bonus of +5 or higher.
")&amp;IF(DT172,"","• 5 ranks in Handle Animal.
")&amp;IF(DU172,"","• 5 ranks in Ride.
")&amp;IF(DV172,"","• Mounted Combat feat.
")&amp;IF(DW172,"","• Ride-By Attack feat.
")&amp;IF(DX172,"","• Ability to cast 1st-level divine spells.")</f>
        <v>• A base attack bonus of +5 or higher.
• 5 ranks in Handle Animal.
• 5 ranks in Ride.
• Mounted Combat feat.
• Ride-By Attack feat.
• Ability to cast 1st-level divine spells.</v>
      </c>
      <c r="ED172" s="11" t="s">
        <v>335</v>
      </c>
      <c r="EE172" s="14"/>
      <c r="EF172" s="15"/>
      <c r="EG172" s="15"/>
      <c r="EH172" s="15"/>
      <c r="EI172" s="15"/>
      <c r="EJ172" s="15"/>
      <c r="EK172" s="15"/>
      <c r="EL172" s="15"/>
      <c r="EM172" s="15"/>
      <c r="EN172" s="15"/>
      <c r="EO172" s="16"/>
    </row>
    <row r="173" spans="1:145" ht="11.25" customHeight="1" x14ac:dyDescent="0.2">
      <c r="A173" s="1">
        <f t="shared" si="137"/>
        <v>170</v>
      </c>
      <c r="B173" s="1" t="s">
        <v>518</v>
      </c>
      <c r="C173" s="1" t="s">
        <v>519</v>
      </c>
      <c r="D173" s="1" t="s">
        <v>519</v>
      </c>
      <c r="E173" s="1">
        <f t="shared" si="143"/>
        <v>0</v>
      </c>
      <c r="K173" s="1">
        <v>2</v>
      </c>
      <c r="L173" s="1">
        <v>10</v>
      </c>
      <c r="V173" s="1">
        <v>1</v>
      </c>
      <c r="W173" s="1">
        <v>0.5</v>
      </c>
      <c r="X173" s="1">
        <v>0.34</v>
      </c>
      <c r="Y173" s="1">
        <v>0.5</v>
      </c>
      <c r="Z173" s="1" t="b">
        <f>FALSE</f>
        <v>0</v>
      </c>
      <c r="AA173" s="1" t="str">
        <f t="shared" si="147"/>
        <v/>
      </c>
      <c r="AB173" s="1" t="str">
        <f t="shared" si="148"/>
        <v/>
      </c>
      <c r="AC173" s="1">
        <f t="shared" si="144"/>
        <v>0</v>
      </c>
      <c r="AD173" s="1" t="str">
        <f t="shared" si="149"/>
        <v/>
      </c>
      <c r="AE173" s="1" t="str">
        <f t="shared" si="150"/>
        <v/>
      </c>
      <c r="AF173" s="1">
        <f t="shared" si="145"/>
        <v>0</v>
      </c>
      <c r="AG173" s="1">
        <f t="shared" si="151"/>
        <v>5</v>
      </c>
      <c r="AH173" s="1" t="str">
        <f t="shared" si="146"/>
        <v/>
      </c>
      <c r="AI173" s="1">
        <v>1</v>
      </c>
      <c r="AJ173" s="1">
        <f t="shared" si="153"/>
        <v>0</v>
      </c>
      <c r="AK173" s="1">
        <v>1</v>
      </c>
      <c r="AL173" s="1">
        <v>1</v>
      </c>
      <c r="AM173" s="1">
        <v>2</v>
      </c>
      <c r="AN173" s="1">
        <f t="shared" si="154"/>
        <v>0</v>
      </c>
      <c r="AO173" s="1">
        <v>2</v>
      </c>
      <c r="AP173" s="1">
        <v>2</v>
      </c>
      <c r="AQ173" s="1">
        <v>2</v>
      </c>
      <c r="AR173" s="1">
        <v>2</v>
      </c>
      <c r="AS173" s="1">
        <v>2</v>
      </c>
      <c r="AT173" s="1">
        <v>2</v>
      </c>
      <c r="AU173" s="1">
        <v>2</v>
      </c>
      <c r="AV173" s="1">
        <v>2</v>
      </c>
      <c r="AW173" s="1">
        <v>1</v>
      </c>
      <c r="AX173" s="1">
        <v>1</v>
      </c>
      <c r="AY173" s="1">
        <v>1</v>
      </c>
      <c r="AZ173" s="1">
        <v>1</v>
      </c>
      <c r="BA173" s="1">
        <v>1</v>
      </c>
      <c r="BB173" s="1">
        <v>1</v>
      </c>
      <c r="BC173" s="1">
        <v>1</v>
      </c>
      <c r="BD173" s="1">
        <v>1</v>
      </c>
      <c r="BE173" s="1">
        <v>2</v>
      </c>
      <c r="BF173" s="1">
        <v>1</v>
      </c>
      <c r="BG173" s="1">
        <f t="shared" si="155"/>
        <v>0</v>
      </c>
      <c r="BH173" s="1">
        <f t="shared" si="156"/>
        <v>0</v>
      </c>
      <c r="BI173" s="1">
        <v>1</v>
      </c>
      <c r="BJ173" s="1">
        <v>2</v>
      </c>
      <c r="BK173" s="1">
        <v>1</v>
      </c>
      <c r="BL173" s="1">
        <v>1</v>
      </c>
      <c r="BM173" s="1">
        <v>1</v>
      </c>
      <c r="BN173" s="1">
        <v>1</v>
      </c>
      <c r="BO173" s="1">
        <v>1</v>
      </c>
      <c r="BP173" s="1">
        <v>1</v>
      </c>
      <c r="BQ173" s="1">
        <f t="shared" si="167"/>
        <v>0</v>
      </c>
      <c r="BR173" s="1">
        <v>1</v>
      </c>
      <c r="BS173" s="1">
        <v>1</v>
      </c>
      <c r="BT173" s="1">
        <f t="shared" si="166"/>
        <v>0</v>
      </c>
      <c r="BU173" s="1">
        <f>IF(HRRVL,2,0)</f>
        <v>0</v>
      </c>
      <c r="BV173" s="1">
        <v>2</v>
      </c>
      <c r="BW173" s="1">
        <v>1</v>
      </c>
      <c r="BX173" s="1">
        <v>1</v>
      </c>
      <c r="BY173" s="1">
        <v>1</v>
      </c>
      <c r="BZ173" s="1">
        <v>1</v>
      </c>
      <c r="CA173" s="1">
        <v>1</v>
      </c>
      <c r="CB173" s="1">
        <v>1</v>
      </c>
      <c r="CC173" s="1">
        <v>1</v>
      </c>
      <c r="CD173" s="1">
        <v>1</v>
      </c>
      <c r="CE173" s="1">
        <v>1</v>
      </c>
      <c r="CF173" s="1">
        <v>1</v>
      </c>
      <c r="CG173" s="1">
        <f t="shared" si="158"/>
        <v>0</v>
      </c>
      <c r="CH173" s="1">
        <v>1</v>
      </c>
      <c r="CI173" s="1">
        <v>1</v>
      </c>
      <c r="CJ173" s="1">
        <v>1</v>
      </c>
      <c r="CK173" s="1">
        <v>1</v>
      </c>
      <c r="CL173" s="1">
        <v>1</v>
      </c>
      <c r="CM173" s="1">
        <v>1</v>
      </c>
      <c r="CN173" s="1">
        <v>1</v>
      </c>
      <c r="CO173" s="1">
        <v>1</v>
      </c>
      <c r="CP173" s="1">
        <v>2</v>
      </c>
      <c r="CQ173" s="1">
        <v>2</v>
      </c>
      <c r="CR173" s="1">
        <v>2</v>
      </c>
      <c r="CS173" s="1">
        <v>2</v>
      </c>
      <c r="CT173" s="1">
        <v>2</v>
      </c>
      <c r="CU173" s="1">
        <v>2</v>
      </c>
      <c r="CV173" s="1">
        <f t="shared" si="159"/>
        <v>0</v>
      </c>
      <c r="CW173" s="1">
        <v>1</v>
      </c>
      <c r="CX173" s="1">
        <v>1</v>
      </c>
      <c r="CY173" s="1">
        <v>1</v>
      </c>
      <c r="CZ173" s="1">
        <f t="shared" si="160"/>
        <v>0</v>
      </c>
      <c r="DA173" s="1">
        <v>1</v>
      </c>
      <c r="DB173" s="1">
        <v>1</v>
      </c>
      <c r="DC173" s="1">
        <v>1</v>
      </c>
      <c r="DD173" s="1">
        <v>1</v>
      </c>
      <c r="DE173" s="1">
        <v>1</v>
      </c>
      <c r="DF173" s="1">
        <v>2</v>
      </c>
      <c r="DG173" s="1">
        <v>1</v>
      </c>
      <c r="DH173" s="1">
        <v>1</v>
      </c>
      <c r="DI173" s="1">
        <f t="shared" si="161"/>
        <v>0</v>
      </c>
      <c r="DJ173" s="1">
        <v>1</v>
      </c>
      <c r="DK173" s="1" t="s">
        <v>140</v>
      </c>
      <c r="DL173" s="1" t="s">
        <v>40</v>
      </c>
      <c r="DR173" s="1" t="b">
        <f>BaseAtk&gt;=5</f>
        <v>0</v>
      </c>
      <c r="DS173" s="1" t="b">
        <f>SkKnowledgeReligionRanks&gt;=4</f>
        <v>0</v>
      </c>
      <c r="DT173" s="1" t="b">
        <f>FtTrueBeliever</f>
        <v>0</v>
      </c>
      <c r="DU173" s="1" t="b">
        <f>OR(NOT(ISNA(MATCH(FavoredWeapon,TblWeaponFocusFeat,0))),NOT(ISNA(MATCH(FavoredWeaponEquiv,TblWeaponFocusFeat,0))))</f>
        <v>0</v>
      </c>
      <c r="EA173" s="1" t="b">
        <f t="shared" si="165"/>
        <v>0</v>
      </c>
      <c r="EB173" s="11" t="s">
        <v>334</v>
      </c>
      <c r="EC173" s="1" t="str">
        <f>IF(DR173,"","• A base attack bonus of +5 or higher.
")&amp;IF(DS173,"","• 4 ranks in Knowledge(Religion).
")&amp;IF(DT173,"","• True Believer feat.
")&amp;IF(DU173,"","• Weapon Focus in your deity's favored weapon.")</f>
        <v>• A base attack bonus of +5 or higher.
• 4 ranks in Knowledge(Religion).
• True Believer feat.
• Weapon Focus in your deity's favored weapon.</v>
      </c>
      <c r="ED173" s="11" t="s">
        <v>335</v>
      </c>
      <c r="EE173" s="14"/>
      <c r="EF173" s="15"/>
      <c r="EG173" s="15"/>
      <c r="EH173" s="15"/>
      <c r="EI173" s="15"/>
      <c r="EJ173" s="15"/>
      <c r="EK173" s="15"/>
      <c r="EL173" s="15"/>
      <c r="EM173" s="15"/>
      <c r="EN173" s="15"/>
      <c r="EO173" s="16"/>
    </row>
    <row r="174" spans="1:145" ht="11.25" customHeight="1" x14ac:dyDescent="0.2">
      <c r="A174" s="1">
        <f t="shared" si="137"/>
        <v>171</v>
      </c>
      <c r="B174" s="1" t="str">
        <f>"Radiant Servant of "&amp;IF(HRLivingGreyhawk,IF(DY174,Deity,"???"),"Pelor")</f>
        <v>Radiant Servant of Pelor</v>
      </c>
      <c r="C174" s="1" t="str">
        <f>IF(HRLivingGreyhawk,"RS"&amp;LEFT(Deity,1),"RSP")</f>
        <v>RSP</v>
      </c>
      <c r="D174" s="1" t="s">
        <v>520</v>
      </c>
      <c r="E174" s="1">
        <f t="shared" si="143"/>
        <v>0</v>
      </c>
      <c r="G174" s="1">
        <f>RSPLvl</f>
        <v>0</v>
      </c>
      <c r="K174" s="1">
        <v>2</v>
      </c>
      <c r="L174" s="1">
        <v>6</v>
      </c>
      <c r="M174" s="1">
        <f>RSPLvl</f>
        <v>0</v>
      </c>
      <c r="N174" s="1" t="b">
        <v>1</v>
      </c>
      <c r="O174" s="1" t="b">
        <v>1</v>
      </c>
      <c r="P174" s="1" t="b">
        <v>1</v>
      </c>
      <c r="Q174" s="1" t="b">
        <v>1</v>
      </c>
      <c r="S174" s="1" t="b">
        <v>1</v>
      </c>
      <c r="T174" s="1" t="b">
        <v>1</v>
      </c>
      <c r="V174" s="1">
        <v>0.75</v>
      </c>
      <c r="W174" s="1">
        <v>0.5</v>
      </c>
      <c r="X174" s="1">
        <v>0.34</v>
      </c>
      <c r="Y174" s="1">
        <v>0.5</v>
      </c>
      <c r="Z174" s="1" t="b">
        <f>FALSE</f>
        <v>0</v>
      </c>
      <c r="AA174" s="1" t="str">
        <f t="shared" si="147"/>
        <v/>
      </c>
      <c r="AB174" s="1" t="str">
        <f t="shared" si="148"/>
        <v/>
      </c>
      <c r="AC174" s="1">
        <f t="shared" si="144"/>
        <v>0</v>
      </c>
      <c r="AD174" s="1" t="str">
        <f t="shared" si="149"/>
        <v/>
      </c>
      <c r="AE174" s="1" t="str">
        <f t="shared" si="150"/>
        <v/>
      </c>
      <c r="AF174" s="1">
        <f t="shared" si="145"/>
        <v>0</v>
      </c>
      <c r="AG174" s="1">
        <f t="shared" si="151"/>
        <v>5</v>
      </c>
      <c r="AH174" s="1" t="str">
        <f t="shared" si="146"/>
        <v/>
      </c>
      <c r="AI174" s="1">
        <v>1</v>
      </c>
      <c r="AJ174" s="1">
        <f t="shared" si="153"/>
        <v>0</v>
      </c>
      <c r="AK174" s="1">
        <v>1</v>
      </c>
      <c r="AL174" s="1">
        <v>1</v>
      </c>
      <c r="AM174" s="1">
        <v>1</v>
      </c>
      <c r="AN174" s="1">
        <f t="shared" si="154"/>
        <v>0</v>
      </c>
      <c r="AO174" s="1">
        <v>2</v>
      </c>
      <c r="AP174" s="1">
        <v>2</v>
      </c>
      <c r="AQ174" s="1">
        <v>2</v>
      </c>
      <c r="AR174" s="1">
        <v>2</v>
      </c>
      <c r="AS174" s="1">
        <v>2</v>
      </c>
      <c r="AT174" s="1">
        <v>2</v>
      </c>
      <c r="AU174" s="1">
        <v>2</v>
      </c>
      <c r="AV174" s="1">
        <v>2</v>
      </c>
      <c r="AW174" s="1">
        <v>1</v>
      </c>
      <c r="AX174" s="1">
        <v>2</v>
      </c>
      <c r="AY174" s="1">
        <v>1</v>
      </c>
      <c r="AZ174" s="1">
        <v>1</v>
      </c>
      <c r="BA174" s="1">
        <v>1</v>
      </c>
      <c r="BB174" s="1">
        <v>1</v>
      </c>
      <c r="BC174" s="1">
        <v>1</v>
      </c>
      <c r="BD174" s="1">
        <v>1</v>
      </c>
      <c r="BE174" s="1">
        <v>2</v>
      </c>
      <c r="BF174" s="1">
        <v>1</v>
      </c>
      <c r="BG174" s="1">
        <f t="shared" si="155"/>
        <v>0</v>
      </c>
      <c r="BH174" s="1">
        <f t="shared" si="156"/>
        <v>0</v>
      </c>
      <c r="BI174" s="1">
        <v>1</v>
      </c>
      <c r="BJ174" s="1">
        <v>1</v>
      </c>
      <c r="BK174" s="1">
        <v>2</v>
      </c>
      <c r="BL174" s="1">
        <v>1</v>
      </c>
      <c r="BM174" s="1">
        <v>1</v>
      </c>
      <c r="BN174" s="1">
        <v>1</v>
      </c>
      <c r="BO174" s="1">
        <v>1</v>
      </c>
      <c r="BP174" s="1">
        <v>1</v>
      </c>
      <c r="BQ174" s="1">
        <f t="shared" si="167"/>
        <v>0</v>
      </c>
      <c r="BR174" s="1">
        <v>1</v>
      </c>
      <c r="BS174" s="1">
        <v>1</v>
      </c>
      <c r="BT174" s="1">
        <f t="shared" si="166"/>
        <v>0</v>
      </c>
      <c r="BU174" s="1">
        <f>IF(HRRVL,2,0)</f>
        <v>0</v>
      </c>
      <c r="BV174" s="1">
        <v>2</v>
      </c>
      <c r="BW174" s="1">
        <v>1</v>
      </c>
      <c r="BX174" s="1">
        <v>1</v>
      </c>
      <c r="BY174" s="1">
        <v>1</v>
      </c>
      <c r="BZ174" s="1">
        <v>1</v>
      </c>
      <c r="CA174" s="1">
        <v>1</v>
      </c>
      <c r="CB174" s="1">
        <v>1</v>
      </c>
      <c r="CC174" s="1">
        <v>1</v>
      </c>
      <c r="CD174" s="1">
        <v>1</v>
      </c>
      <c r="CE174" s="1">
        <v>1</v>
      </c>
      <c r="CF174" s="1">
        <v>1</v>
      </c>
      <c r="CG174" s="1">
        <f t="shared" si="158"/>
        <v>0</v>
      </c>
      <c r="CH174" s="1">
        <v>1</v>
      </c>
      <c r="CI174" s="1">
        <v>1</v>
      </c>
      <c r="CJ174" s="1">
        <v>1</v>
      </c>
      <c r="CK174" s="1">
        <v>1</v>
      </c>
      <c r="CL174" s="1">
        <v>1</v>
      </c>
      <c r="CM174" s="1">
        <v>1</v>
      </c>
      <c r="CN174" s="1">
        <v>1</v>
      </c>
      <c r="CO174" s="1">
        <v>1</v>
      </c>
      <c r="CP174" s="1">
        <v>2</v>
      </c>
      <c r="CQ174" s="1">
        <v>2</v>
      </c>
      <c r="CR174" s="1">
        <v>2</v>
      </c>
      <c r="CS174" s="1">
        <v>2</v>
      </c>
      <c r="CT174" s="1">
        <v>2</v>
      </c>
      <c r="CU174" s="1">
        <v>2</v>
      </c>
      <c r="CV174" s="1">
        <f t="shared" si="159"/>
        <v>0</v>
      </c>
      <c r="CW174" s="1">
        <v>1</v>
      </c>
      <c r="CX174" s="1">
        <v>1</v>
      </c>
      <c r="CY174" s="1">
        <v>2</v>
      </c>
      <c r="CZ174" s="1">
        <f t="shared" si="160"/>
        <v>0</v>
      </c>
      <c r="DA174" s="1">
        <v>1</v>
      </c>
      <c r="DB174" s="1">
        <v>1</v>
      </c>
      <c r="DC174" s="1">
        <v>2</v>
      </c>
      <c r="DD174" s="1">
        <v>1</v>
      </c>
      <c r="DE174" s="1">
        <v>1</v>
      </c>
      <c r="DF174" s="1">
        <v>1</v>
      </c>
      <c r="DG174" s="1">
        <v>1</v>
      </c>
      <c r="DH174" s="1">
        <v>1</v>
      </c>
      <c r="DI174" s="1">
        <f t="shared" si="161"/>
        <v>0</v>
      </c>
      <c r="DJ174" s="1">
        <v>1</v>
      </c>
      <c r="DK174" s="1" t="s">
        <v>140</v>
      </c>
      <c r="DL174" s="1" t="s">
        <v>40</v>
      </c>
      <c r="DR174" s="1" t="b">
        <f>AND(AlignmentNeutral,AlignmentGood)</f>
        <v>0</v>
      </c>
      <c r="DS174" s="1" t="b">
        <f>BaseWill&gt;=5</f>
        <v>0</v>
      </c>
      <c r="DT174" s="1" t="b">
        <f>SkHealRanks&gt;=5</f>
        <v>0</v>
      </c>
      <c r="DU174" s="1" t="b">
        <f>SkKnowledgeReligionRanks&gt;=9</f>
        <v>0</v>
      </c>
      <c r="DV174" s="1" t="b">
        <f>FtExtraTurning1</f>
        <v>0</v>
      </c>
      <c r="DW174" s="1" t="b">
        <f ca="1">MaxDivineSpellLevel&gt;=1</f>
        <v>0</v>
      </c>
      <c r="DX174" s="1" t="b">
        <f>NOT(ISNA(MATCH("Sun",Domains,0)))</f>
        <v>0</v>
      </c>
      <c r="DY174" s="1" t="b">
        <f>IF(HRLivingGreyhawk,OR(Deity="Atroa",Deity="Azor'alq",Deity="Ehlonna",Deity="Hiatea",Deity="Iallanis",Deity="Lydia",Deity="Nola",Deity="Pelor",Deity="Pholtus",Deity="Phyton",Deity="Skerrit"),Deity="Pelor")</f>
        <v>0</v>
      </c>
      <c r="EA174" s="1" t="b">
        <f t="shared" ca="1" si="165"/>
        <v>0</v>
      </c>
      <c r="EB174" s="11" t="s">
        <v>334</v>
      </c>
      <c r="EC174" s="1" t="str">
        <f ca="1">IF(DR174,"","• Must be of Neutral Good Alignment.
")&amp;IF(DS174,"","• A base Will save of +5 or higher.
")&amp;IF(DT174,"","• 5 ranks in Heal.
")&amp;IF(DU174,"","• 9 ranks in Knowledge (religion).
")&amp;IF(DV174,"","• Extra Turning feat.
")&amp;IF(DW174,"","• Ability to cast 1st-level divine spells.
")&amp;IF(DX174,"","• Access to the Sun domain.
")&amp;IF(DY174,"","• Must have "&amp;IF(HRLivingGreyhawk,"Atroa, Azor'alq, Ehlonna, Hiatea, Iallanis, Lydia, Nola, Pelor,
   Pholtus, Phyton, or Skerrit","Pelor")&amp;" as your patron deity.")</f>
        <v>• Must be of Neutral Good Alignment.
• A base Will save of +5 or higher.
• 5 ranks in Heal.
• 9 ranks in Knowledge (religion).
• Extra Turning feat.
• Ability to cast 1st-level divine spells.
• Access to the Sun domain.
• Must have Pelor as your patron deity.</v>
      </c>
      <c r="ED174" s="11" t="s">
        <v>335</v>
      </c>
      <c r="EE174" s="14"/>
      <c r="EF174" s="15"/>
      <c r="EG174" s="15"/>
      <c r="EH174" s="15"/>
      <c r="EI174" s="15"/>
      <c r="EJ174" s="15"/>
      <c r="EK174" s="15"/>
      <c r="EL174" s="15"/>
      <c r="EM174" s="15"/>
      <c r="EN174" s="15"/>
      <c r="EO174" s="16"/>
    </row>
    <row r="175" spans="1:145" ht="11.25" customHeight="1" x14ac:dyDescent="0.2">
      <c r="A175" s="1">
        <f t="shared" si="137"/>
        <v>172</v>
      </c>
      <c r="B175" s="1" t="s">
        <v>521</v>
      </c>
      <c r="C175" s="1" t="s">
        <v>522</v>
      </c>
      <c r="D175" s="1" t="s">
        <v>522</v>
      </c>
      <c r="E175" s="1">
        <f t="shared" si="143"/>
        <v>0</v>
      </c>
      <c r="G175" s="1">
        <f>(RnSLvl&gt;=2)*INT((RnSLvl-1)/3)+INT(RnSLvl/3)</f>
        <v>0</v>
      </c>
      <c r="K175" s="1">
        <v>2</v>
      </c>
      <c r="L175" s="1">
        <v>4</v>
      </c>
      <c r="V175" s="1">
        <v>0.5</v>
      </c>
      <c r="W175" s="1">
        <v>0.34</v>
      </c>
      <c r="X175" s="1">
        <v>0.34</v>
      </c>
      <c r="Y175" s="1">
        <v>0.5</v>
      </c>
      <c r="Z175" s="1" t="b">
        <f>FALSE</f>
        <v>0</v>
      </c>
      <c r="AA175" s="1" t="str">
        <f t="shared" si="147"/>
        <v/>
      </c>
      <c r="AB175" s="1" t="str">
        <f t="shared" si="148"/>
        <v/>
      </c>
      <c r="AC175" s="1">
        <f t="shared" si="144"/>
        <v>0</v>
      </c>
      <c r="AD175" s="1" t="str">
        <f t="shared" si="149"/>
        <v/>
      </c>
      <c r="AE175" s="1" t="str">
        <f t="shared" si="150"/>
        <v/>
      </c>
      <c r="AF175" s="1">
        <f t="shared" si="145"/>
        <v>0</v>
      </c>
      <c r="AG175" s="1">
        <f t="shared" si="151"/>
        <v>5</v>
      </c>
      <c r="AH175" s="1" t="str">
        <f t="shared" si="146"/>
        <v/>
      </c>
      <c r="AI175" s="1">
        <v>1</v>
      </c>
      <c r="AJ175" s="1">
        <f t="shared" si="153"/>
        <v>0</v>
      </c>
      <c r="AK175" s="1">
        <v>1</v>
      </c>
      <c r="AL175" s="1">
        <v>1</v>
      </c>
      <c r="AM175" s="1">
        <v>1</v>
      </c>
      <c r="AN175" s="1">
        <f t="shared" si="154"/>
        <v>0</v>
      </c>
      <c r="AO175" s="1">
        <v>2</v>
      </c>
      <c r="AP175" s="1">
        <v>2</v>
      </c>
      <c r="AQ175" s="1">
        <v>2</v>
      </c>
      <c r="AR175" s="1">
        <v>2</v>
      </c>
      <c r="AS175" s="1">
        <v>2</v>
      </c>
      <c r="AT175" s="1">
        <v>2</v>
      </c>
      <c r="AU175" s="1">
        <v>2</v>
      </c>
      <c r="AV175" s="1">
        <v>2</v>
      </c>
      <c r="AW175" s="1">
        <v>1</v>
      </c>
      <c r="AX175" s="1">
        <v>2</v>
      </c>
      <c r="AY175" s="1">
        <v>1</v>
      </c>
      <c r="AZ175" s="1">
        <v>1</v>
      </c>
      <c r="BA175" s="1">
        <v>1</v>
      </c>
      <c r="BB175" s="1">
        <v>1</v>
      </c>
      <c r="BC175" s="1">
        <v>1</v>
      </c>
      <c r="BD175" s="1">
        <v>1</v>
      </c>
      <c r="BE175" s="1">
        <v>1</v>
      </c>
      <c r="BF175" s="1">
        <v>1</v>
      </c>
      <c r="BG175" s="1">
        <f t="shared" si="155"/>
        <v>0</v>
      </c>
      <c r="BH175" s="1">
        <f t="shared" si="156"/>
        <v>0</v>
      </c>
      <c r="BI175" s="1">
        <v>1</v>
      </c>
      <c r="BJ175" s="1">
        <v>1</v>
      </c>
      <c r="BK175" s="1">
        <v>2</v>
      </c>
      <c r="BL175" s="1">
        <v>1</v>
      </c>
      <c r="BM175" s="1">
        <v>1</v>
      </c>
      <c r="BN175" s="1">
        <v>1</v>
      </c>
      <c r="BO175" s="1">
        <v>1</v>
      </c>
      <c r="BP175" s="1">
        <v>1</v>
      </c>
      <c r="BQ175" s="1">
        <f t="shared" si="167"/>
        <v>0</v>
      </c>
      <c r="BR175" s="1">
        <v>1</v>
      </c>
      <c r="BS175" s="1">
        <v>1</v>
      </c>
      <c r="BT175" s="1">
        <f t="shared" si="166"/>
        <v>0</v>
      </c>
      <c r="BU175" s="1">
        <f>IF(HRRVL,1,0)</f>
        <v>0</v>
      </c>
      <c r="BV175" s="1">
        <v>1</v>
      </c>
      <c r="BW175" s="1">
        <v>2</v>
      </c>
      <c r="BX175" s="1">
        <v>1</v>
      </c>
      <c r="BY175" s="1">
        <v>1</v>
      </c>
      <c r="BZ175" s="1">
        <v>1</v>
      </c>
      <c r="CA175" s="1">
        <v>1</v>
      </c>
      <c r="CB175" s="1">
        <v>1</v>
      </c>
      <c r="CC175" s="1">
        <v>1</v>
      </c>
      <c r="CD175" s="1">
        <v>1</v>
      </c>
      <c r="CE175" s="1">
        <v>1</v>
      </c>
      <c r="CF175" s="1">
        <v>1</v>
      </c>
      <c r="CG175" s="1">
        <f t="shared" si="158"/>
        <v>0</v>
      </c>
      <c r="CH175" s="1">
        <v>1</v>
      </c>
      <c r="CI175" s="1">
        <v>1</v>
      </c>
      <c r="CJ175" s="1">
        <v>1</v>
      </c>
      <c r="CK175" s="1">
        <v>1</v>
      </c>
      <c r="CL175" s="1">
        <v>1</v>
      </c>
      <c r="CM175" s="1">
        <v>1</v>
      </c>
      <c r="CN175" s="1">
        <v>1</v>
      </c>
      <c r="CO175" s="1">
        <v>1</v>
      </c>
      <c r="CP175" s="1">
        <v>2</v>
      </c>
      <c r="CQ175" s="1">
        <v>2</v>
      </c>
      <c r="CR175" s="1">
        <v>2</v>
      </c>
      <c r="CS175" s="1">
        <v>2</v>
      </c>
      <c r="CT175" s="1">
        <v>2</v>
      </c>
      <c r="CU175" s="1">
        <v>2</v>
      </c>
      <c r="CV175" s="1">
        <f t="shared" si="159"/>
        <v>0</v>
      </c>
      <c r="CW175" s="1">
        <v>1</v>
      </c>
      <c r="CX175" s="1">
        <v>1</v>
      </c>
      <c r="CY175" s="1">
        <v>2</v>
      </c>
      <c r="CZ175" s="1">
        <f t="shared" si="160"/>
        <v>0</v>
      </c>
      <c r="DA175" s="1">
        <v>1</v>
      </c>
      <c r="DB175" s="1">
        <v>1</v>
      </c>
      <c r="DC175" s="1">
        <v>2</v>
      </c>
      <c r="DD175" s="1">
        <v>1</v>
      </c>
      <c r="DE175" s="1">
        <v>1</v>
      </c>
      <c r="DF175" s="1">
        <v>1</v>
      </c>
      <c r="DG175" s="1">
        <v>1</v>
      </c>
      <c r="DH175" s="1">
        <v>1</v>
      </c>
      <c r="DI175" s="1">
        <f t="shared" si="161"/>
        <v>0</v>
      </c>
      <c r="DJ175" s="1">
        <v>1</v>
      </c>
      <c r="DK175" s="1" t="s">
        <v>140</v>
      </c>
      <c r="DL175" s="1" t="s">
        <v>40</v>
      </c>
      <c r="DR175" s="1" t="b">
        <f>AND(AlignmentNonChaotic,AlignmentNonEvil)</f>
        <v>1</v>
      </c>
      <c r="DS175" s="1" t="b">
        <f>SkKnowledgeArcanaRanks&gt;=4</f>
        <v>0</v>
      </c>
      <c r="DT175" s="1" t="b">
        <f ca="1">MaxArcaneSpellLevel&gt;=3</f>
        <v>0</v>
      </c>
      <c r="EA175" s="1" t="b">
        <f t="shared" ca="1" si="165"/>
        <v>0</v>
      </c>
      <c r="EB175" s="11" t="s">
        <v>338</v>
      </c>
      <c r="EC175" s="1" t="str">
        <f ca="1">IF(DR175,"","• Any non-evil and non-chaotic alignment.
")&amp;IF(DS175,"","• 4 ranks in Knowledge (arcana).
")&amp;IF(DT175,"","• Ability to cast 3rd-level arcane spells.
")&amp;"• You must find the hidden jungle temples of the couatls (not verified)."</f>
        <v>• 4 ranks in Knowledge (arcana).
• Ability to cast 3rd-level arcane spells.
• You must find the hidden jungle temples of the couatls (not verified).</v>
      </c>
      <c r="ED175" s="11" t="s">
        <v>335</v>
      </c>
      <c r="EE175" s="14"/>
      <c r="EF175" s="15"/>
      <c r="EG175" s="15"/>
      <c r="EH175" s="15"/>
      <c r="EI175" s="15"/>
      <c r="EJ175" s="15"/>
      <c r="EK175" s="15"/>
      <c r="EL175" s="15"/>
      <c r="EM175" s="15"/>
      <c r="EN175" s="15"/>
      <c r="EO175" s="16"/>
    </row>
    <row r="176" spans="1:145" ht="11.25" customHeight="1" x14ac:dyDescent="0.2">
      <c r="A176" s="1">
        <f t="shared" si="137"/>
        <v>173</v>
      </c>
      <c r="B176" s="1" t="s">
        <v>523</v>
      </c>
      <c r="C176" s="1" t="s">
        <v>524</v>
      </c>
      <c r="D176" s="1" t="s">
        <v>524</v>
      </c>
      <c r="E176" s="1">
        <f t="shared" si="143"/>
        <v>0</v>
      </c>
      <c r="G176" s="1">
        <f>SaELvl</f>
        <v>0</v>
      </c>
      <c r="K176" s="1">
        <v>2</v>
      </c>
      <c r="L176" s="1">
        <v>8</v>
      </c>
      <c r="M176" s="1">
        <f>SaELvl</f>
        <v>0</v>
      </c>
      <c r="S176" s="1" t="b">
        <v>1</v>
      </c>
      <c r="V176" s="1">
        <v>0.75</v>
      </c>
      <c r="W176" s="1">
        <v>0.34</v>
      </c>
      <c r="X176" s="1">
        <v>0.34</v>
      </c>
      <c r="Y176" s="1">
        <v>0.5</v>
      </c>
      <c r="Z176" s="1" t="b">
        <f>FALSE</f>
        <v>0</v>
      </c>
      <c r="AA176" s="1" t="str">
        <f t="shared" si="147"/>
        <v/>
      </c>
      <c r="AB176" s="1" t="str">
        <f t="shared" si="148"/>
        <v/>
      </c>
      <c r="AC176" s="1">
        <f t="shared" si="144"/>
        <v>0</v>
      </c>
      <c r="AD176" s="1" t="str">
        <f t="shared" si="149"/>
        <v/>
      </c>
      <c r="AE176" s="1" t="str">
        <f t="shared" si="150"/>
        <v/>
      </c>
      <c r="AF176" s="1">
        <f t="shared" si="145"/>
        <v>0</v>
      </c>
      <c r="AG176" s="1">
        <f t="shared" si="151"/>
        <v>5</v>
      </c>
      <c r="AH176" s="1" t="str">
        <f t="shared" si="146"/>
        <v/>
      </c>
      <c r="AI176" s="1">
        <v>1</v>
      </c>
      <c r="AJ176" s="1">
        <f t="shared" si="153"/>
        <v>0</v>
      </c>
      <c r="AK176" s="1">
        <v>1</v>
      </c>
      <c r="AL176" s="1">
        <v>1</v>
      </c>
      <c r="AM176" s="1">
        <v>1</v>
      </c>
      <c r="AN176" s="1">
        <f t="shared" si="154"/>
        <v>0</v>
      </c>
      <c r="AO176" s="1">
        <v>2</v>
      </c>
      <c r="AP176" s="1">
        <v>2</v>
      </c>
      <c r="AQ176" s="1">
        <v>2</v>
      </c>
      <c r="AR176" s="1">
        <v>2</v>
      </c>
      <c r="AS176" s="1">
        <v>2</v>
      </c>
      <c r="AT176" s="1">
        <v>2</v>
      </c>
      <c r="AU176" s="1">
        <v>2</v>
      </c>
      <c r="AV176" s="1">
        <v>2</v>
      </c>
      <c r="AW176" s="1">
        <v>1</v>
      </c>
      <c r="AX176" s="1">
        <v>1</v>
      </c>
      <c r="AY176" s="1">
        <v>1</v>
      </c>
      <c r="AZ176" s="1">
        <v>1</v>
      </c>
      <c r="BA176" s="1">
        <v>1</v>
      </c>
      <c r="BB176" s="1">
        <v>1</v>
      </c>
      <c r="BC176" s="1">
        <v>1</v>
      </c>
      <c r="BD176" s="1">
        <v>1</v>
      </c>
      <c r="BE176" s="1">
        <v>2</v>
      </c>
      <c r="BF176" s="1">
        <v>1</v>
      </c>
      <c r="BG176" s="1">
        <f t="shared" si="155"/>
        <v>0</v>
      </c>
      <c r="BH176" s="1">
        <f t="shared" si="156"/>
        <v>0</v>
      </c>
      <c r="BI176" s="1">
        <v>2</v>
      </c>
      <c r="BJ176" s="1">
        <v>1</v>
      </c>
      <c r="BK176" s="1">
        <v>2</v>
      </c>
      <c r="BL176" s="1">
        <v>1</v>
      </c>
      <c r="BM176" s="1">
        <v>1</v>
      </c>
      <c r="BN176" s="1">
        <v>1</v>
      </c>
      <c r="BO176" s="1">
        <v>1</v>
      </c>
      <c r="BP176" s="1">
        <v>1</v>
      </c>
      <c r="BQ176" s="1">
        <f t="shared" si="167"/>
        <v>0</v>
      </c>
      <c r="BR176" s="1">
        <v>1</v>
      </c>
      <c r="BS176" s="1">
        <v>1</v>
      </c>
      <c r="BT176" s="1">
        <f t="shared" si="166"/>
        <v>0</v>
      </c>
      <c r="BU176" s="1">
        <f>IF(HRRVL,2,0)</f>
        <v>0</v>
      </c>
      <c r="BV176" s="1">
        <v>2</v>
      </c>
      <c r="BW176" s="1">
        <v>2</v>
      </c>
      <c r="BX176" s="1">
        <v>1</v>
      </c>
      <c r="BY176" s="1">
        <v>1</v>
      </c>
      <c r="BZ176" s="1">
        <v>1</v>
      </c>
      <c r="CA176" s="1">
        <v>1</v>
      </c>
      <c r="CB176" s="1">
        <v>1</v>
      </c>
      <c r="CC176" s="1">
        <v>1</v>
      </c>
      <c r="CD176" s="1">
        <v>1</v>
      </c>
      <c r="CE176" s="1">
        <v>1</v>
      </c>
      <c r="CF176" s="1">
        <v>1</v>
      </c>
      <c r="CG176" s="1">
        <f t="shared" si="158"/>
        <v>0</v>
      </c>
      <c r="CH176" s="1">
        <v>1</v>
      </c>
      <c r="CI176" s="1">
        <v>1</v>
      </c>
      <c r="CJ176" s="1">
        <v>1</v>
      </c>
      <c r="CK176" s="1">
        <v>1</v>
      </c>
      <c r="CL176" s="1">
        <v>1</v>
      </c>
      <c r="CM176" s="1">
        <v>1</v>
      </c>
      <c r="CN176" s="1">
        <v>1</v>
      </c>
      <c r="CO176" s="1">
        <v>1</v>
      </c>
      <c r="CP176" s="1">
        <v>2</v>
      </c>
      <c r="CQ176" s="1">
        <v>2</v>
      </c>
      <c r="CR176" s="1">
        <v>2</v>
      </c>
      <c r="CS176" s="1">
        <v>2</v>
      </c>
      <c r="CT176" s="1">
        <v>2</v>
      </c>
      <c r="CU176" s="1">
        <v>2</v>
      </c>
      <c r="CV176" s="1">
        <f t="shared" si="159"/>
        <v>0</v>
      </c>
      <c r="CW176" s="1">
        <v>1</v>
      </c>
      <c r="CX176" s="1">
        <v>1</v>
      </c>
      <c r="CY176" s="1">
        <v>1</v>
      </c>
      <c r="CZ176" s="1">
        <f t="shared" si="160"/>
        <v>0</v>
      </c>
      <c r="DA176" s="1">
        <v>1</v>
      </c>
      <c r="DB176" s="1">
        <v>1</v>
      </c>
      <c r="DC176" s="1">
        <v>2</v>
      </c>
      <c r="DD176" s="1">
        <v>1</v>
      </c>
      <c r="DE176" s="1">
        <v>1</v>
      </c>
      <c r="DF176" s="1">
        <v>1</v>
      </c>
      <c r="DG176" s="1">
        <v>1</v>
      </c>
      <c r="DH176" s="1">
        <v>1</v>
      </c>
      <c r="DI176" s="1">
        <f t="shared" si="161"/>
        <v>0</v>
      </c>
      <c r="DJ176" s="1">
        <v>1</v>
      </c>
      <c r="DK176" s="1" t="s">
        <v>140</v>
      </c>
      <c r="DL176" s="1" t="s">
        <v>40</v>
      </c>
      <c r="DR176" s="1" t="b">
        <f>AlignmentGood</f>
        <v>1</v>
      </c>
      <c r="DS176" s="1" t="b">
        <f>SkKnowledgePlanesRanks&gt;=10</f>
        <v>0</v>
      </c>
      <c r="DT176" s="1" t="b">
        <f>SkKnowledgeReligionRanks&gt;=7</f>
        <v>0</v>
      </c>
      <c r="EA176" s="1" t="b">
        <f>AND(DR176:DT176)</f>
        <v>0</v>
      </c>
      <c r="EB176" s="11" t="s">
        <v>338</v>
      </c>
      <c r="EC176" s="1" t="str">
        <f>IF(DR176,"","• Any good Alignment.
")&amp;IF(DS176,"","• 10 ranks in Knowledge(The Planes).
")&amp;IF(DT176,"","• 7 ranks in Knowledge(Religion).
")&amp;"• Ability to cast Dismissal or Dispel Evil(not verified).
"&amp;"• Must be sanctioned by your church (not verified)."</f>
        <v>• 10 ranks in Knowledge(The Planes).
• 7 ranks in Knowledge(Religion).
• Ability to cast Dismissal or Dispel Evil(not verified).
• Must be sanctioned by your church (not verified).</v>
      </c>
      <c r="ED176" s="11" t="s">
        <v>335</v>
      </c>
      <c r="EE176" s="14"/>
      <c r="EF176" s="15"/>
      <c r="EG176" s="15"/>
      <c r="EH176" s="15"/>
      <c r="EI176" s="15"/>
      <c r="EJ176" s="15"/>
      <c r="EK176" s="15"/>
      <c r="EL176" s="15"/>
      <c r="EM176" s="15"/>
      <c r="EN176" s="15"/>
      <c r="EO176" s="16"/>
    </row>
    <row r="177" spans="1:145" ht="11.25" customHeight="1" x14ac:dyDescent="0.2">
      <c r="A177" s="1">
        <f t="shared" si="137"/>
        <v>174</v>
      </c>
      <c r="B177" s="1" t="s">
        <v>525</v>
      </c>
      <c r="C177" s="1" t="s">
        <v>526</v>
      </c>
      <c r="D177" s="1" t="s">
        <v>526</v>
      </c>
      <c r="E177" s="1">
        <f t="shared" si="143"/>
        <v>0</v>
      </c>
      <c r="G177" s="1">
        <f>SaFLvl-INT(SaFLvl/4)</f>
        <v>0</v>
      </c>
      <c r="K177" s="1">
        <v>4</v>
      </c>
      <c r="L177" s="1">
        <v>8</v>
      </c>
      <c r="V177" s="1">
        <v>1</v>
      </c>
      <c r="W177" s="1">
        <v>0.5</v>
      </c>
      <c r="X177" s="1">
        <v>0.5</v>
      </c>
      <c r="Y177" s="1">
        <v>0.34</v>
      </c>
      <c r="Z177" s="1" t="b">
        <f>FALSE</f>
        <v>0</v>
      </c>
      <c r="AA177" s="1" t="str">
        <f t="shared" si="147"/>
        <v/>
      </c>
      <c r="AB177" s="1" t="str">
        <f t="shared" si="148"/>
        <v/>
      </c>
      <c r="AC177" s="1">
        <f t="shared" si="144"/>
        <v>0</v>
      </c>
      <c r="AD177" s="1" t="str">
        <f t="shared" si="149"/>
        <v/>
      </c>
      <c r="AE177" s="1" t="str">
        <f t="shared" si="150"/>
        <v/>
      </c>
      <c r="AF177" s="1">
        <f t="shared" si="145"/>
        <v>0</v>
      </c>
      <c r="AG177" s="1">
        <f t="shared" si="151"/>
        <v>5</v>
      </c>
      <c r="AH177" s="1" t="str">
        <f t="shared" si="146"/>
        <v/>
      </c>
      <c r="AI177" s="1">
        <v>1</v>
      </c>
      <c r="AJ177" s="1">
        <f t="shared" si="153"/>
        <v>0</v>
      </c>
      <c r="AK177" s="1">
        <v>2</v>
      </c>
      <c r="AL177" s="1">
        <v>1</v>
      </c>
      <c r="AM177" s="1">
        <v>1</v>
      </c>
      <c r="AN177" s="1">
        <f t="shared" si="154"/>
        <v>0</v>
      </c>
      <c r="AO177" s="1">
        <v>2</v>
      </c>
      <c r="AP177" s="1">
        <v>1</v>
      </c>
      <c r="AQ177" s="1">
        <v>1</v>
      </c>
      <c r="AR177" s="1">
        <v>1</v>
      </c>
      <c r="AS177" s="1">
        <v>1</v>
      </c>
      <c r="AT177" s="1">
        <v>1</v>
      </c>
      <c r="AU177" s="1">
        <v>1</v>
      </c>
      <c r="AV177" s="1">
        <v>1</v>
      </c>
      <c r="AW177" s="1">
        <v>1</v>
      </c>
      <c r="AX177" s="1">
        <v>1</v>
      </c>
      <c r="AY177" s="1">
        <v>1</v>
      </c>
      <c r="AZ177" s="1">
        <v>1</v>
      </c>
      <c r="BA177" s="1">
        <v>2</v>
      </c>
      <c r="BB177" s="1">
        <v>1</v>
      </c>
      <c r="BC177" s="1">
        <v>1</v>
      </c>
      <c r="BD177" s="1">
        <v>1</v>
      </c>
      <c r="BE177" s="1">
        <v>2</v>
      </c>
      <c r="BF177" s="1">
        <v>1</v>
      </c>
      <c r="BG177" s="1">
        <f t="shared" si="155"/>
        <v>0</v>
      </c>
      <c r="BH177" s="1">
        <f t="shared" si="156"/>
        <v>0</v>
      </c>
      <c r="BI177" s="1">
        <v>1</v>
      </c>
      <c r="BJ177" s="1">
        <v>2</v>
      </c>
      <c r="BK177" s="1">
        <v>1</v>
      </c>
      <c r="BL177" s="1">
        <v>1</v>
      </c>
      <c r="BM177" s="1">
        <v>1</v>
      </c>
      <c r="BN177" s="1">
        <v>1</v>
      </c>
      <c r="BO177" s="1">
        <v>1</v>
      </c>
      <c r="BP177" s="1">
        <v>1</v>
      </c>
      <c r="BQ177" s="1">
        <f t="shared" si="167"/>
        <v>0</v>
      </c>
      <c r="BR177" s="1">
        <v>1</v>
      </c>
      <c r="BS177" s="1">
        <v>1</v>
      </c>
      <c r="BT177" s="1">
        <f t="shared" si="166"/>
        <v>0</v>
      </c>
      <c r="BU177" s="1">
        <f>IF(HRRVL,1,0)</f>
        <v>0</v>
      </c>
      <c r="BV177" s="1">
        <v>1</v>
      </c>
      <c r="BW177" s="1">
        <v>1</v>
      </c>
      <c r="BX177" s="1">
        <v>1</v>
      </c>
      <c r="BY177" s="1">
        <v>1</v>
      </c>
      <c r="BZ177" s="1">
        <v>1</v>
      </c>
      <c r="CA177" s="1">
        <v>1</v>
      </c>
      <c r="CB177" s="1">
        <v>1</v>
      </c>
      <c r="CC177" s="1">
        <v>1</v>
      </c>
      <c r="CD177" s="1">
        <v>1</v>
      </c>
      <c r="CE177" s="1">
        <v>1</v>
      </c>
      <c r="CF177" s="1">
        <v>1</v>
      </c>
      <c r="CG177" s="1">
        <f t="shared" si="158"/>
        <v>0</v>
      </c>
      <c r="CH177" s="1">
        <v>1</v>
      </c>
      <c r="CI177" s="1">
        <v>1</v>
      </c>
      <c r="CJ177" s="1">
        <v>1</v>
      </c>
      <c r="CK177" s="1">
        <v>1</v>
      </c>
      <c r="CL177" s="1">
        <v>1</v>
      </c>
      <c r="CM177" s="1">
        <v>1</v>
      </c>
      <c r="CN177" s="1">
        <v>1</v>
      </c>
      <c r="CO177" s="1">
        <v>1</v>
      </c>
      <c r="CP177" s="1">
        <v>2</v>
      </c>
      <c r="CQ177" s="1">
        <v>2</v>
      </c>
      <c r="CR177" s="1">
        <v>2</v>
      </c>
      <c r="CS177" s="1">
        <v>2</v>
      </c>
      <c r="CT177" s="1">
        <v>2</v>
      </c>
      <c r="CU177" s="1">
        <v>2</v>
      </c>
      <c r="CV177" s="1">
        <f t="shared" si="159"/>
        <v>0</v>
      </c>
      <c r="CW177" s="1">
        <v>1</v>
      </c>
      <c r="CX177" s="1">
        <v>1</v>
      </c>
      <c r="CY177" s="1">
        <v>1</v>
      </c>
      <c r="CZ177" s="1">
        <f t="shared" si="160"/>
        <v>0</v>
      </c>
      <c r="DA177" s="1">
        <v>1</v>
      </c>
      <c r="DB177" s="1">
        <v>1</v>
      </c>
      <c r="DC177" s="1">
        <v>2</v>
      </c>
      <c r="DD177" s="1">
        <v>1</v>
      </c>
      <c r="DE177" s="1">
        <v>1</v>
      </c>
      <c r="DF177" s="1">
        <v>1</v>
      </c>
      <c r="DG177" s="1">
        <v>2</v>
      </c>
      <c r="DH177" s="1">
        <v>1</v>
      </c>
      <c r="DI177" s="1">
        <f t="shared" si="161"/>
        <v>0</v>
      </c>
      <c r="DJ177" s="1">
        <v>1</v>
      </c>
      <c r="DK177" s="1" t="s">
        <v>140</v>
      </c>
      <c r="DL177" s="1" t="s">
        <v>40</v>
      </c>
      <c r="DR177" s="1" t="b">
        <f>BaseAtk&gt;=4</f>
        <v>0</v>
      </c>
      <c r="DS177" s="1" t="b">
        <f>SkKnowledgeReligionRanks&gt;=8</f>
        <v>0</v>
      </c>
      <c r="DT177" s="1" t="b">
        <f>OR(FreeCombatCasting,FtCombatCasting)</f>
        <v>0</v>
      </c>
      <c r="DU177" s="1" t="b">
        <f>OR(FtCombatReflexes,FtEvasiveReflexes)</f>
        <v>0</v>
      </c>
      <c r="DV177" s="1" t="b">
        <f>OR(FreeImprovedUnarmedStrike,FtImprovedUnarmed)</f>
        <v>0</v>
      </c>
      <c r="DW177" s="1" t="b">
        <f>OR(FreeStunningFist,FtStunningFist)</f>
        <v>0</v>
      </c>
      <c r="DX177" s="1" t="b">
        <f ca="1">MaxDivineSpellLevel&gt;=1</f>
        <v>0</v>
      </c>
      <c r="EA177" s="1" t="b">
        <f t="shared" ref="EA177:EA184" ca="1" si="168">AND(DM177:DZ177)</f>
        <v>0</v>
      </c>
      <c r="EB177" s="11" t="s">
        <v>334</v>
      </c>
      <c r="EC177" s="1" t="str">
        <f ca="1">IF(DR177,"","• A base attack bonus of +4 or higher.
")&amp;IF(DS177,"","• 8 ranks in Knowledge (religion).
")&amp;IF(DT177,"","• Combat Casting feat.
")&amp;IF(DU177,"","• Combat Reflexes feat.
")&amp;IF(DV177,"","• Improved Unarmed Strike feat.
")&amp;IF(DW177,"","• Stunning Fist feat.
")&amp;IF(DX177,"","• Ability to cast 1st-level divine spells.")</f>
        <v>• A base attack bonus of +4 or higher.
• 8 ranks in Knowledge (religion).
• Combat Casting feat.
• Combat Reflexes feat.
• Improved Unarmed Strike feat.
• Stunning Fist feat.
• Ability to cast 1st-level divine spells.</v>
      </c>
      <c r="ED177" s="11" t="s">
        <v>335</v>
      </c>
      <c r="EE177" s="14"/>
      <c r="EF177" s="15"/>
      <c r="EG177" s="15"/>
      <c r="EH177" s="15"/>
      <c r="EI177" s="15"/>
      <c r="EJ177" s="15"/>
      <c r="EK177" s="15"/>
      <c r="EL177" s="15"/>
      <c r="EM177" s="15"/>
      <c r="EN177" s="15"/>
      <c r="EO177" s="16"/>
    </row>
    <row r="178" spans="1:145" ht="11.25" customHeight="1" thickBot="1" x14ac:dyDescent="0.25">
      <c r="A178" s="1">
        <f t="shared" si="137"/>
        <v>175</v>
      </c>
      <c r="B178" s="1" t="s">
        <v>527</v>
      </c>
      <c r="C178" s="1" t="s">
        <v>528</v>
      </c>
      <c r="D178" s="1" t="s">
        <v>528</v>
      </c>
      <c r="E178" s="1">
        <f t="shared" si="143"/>
        <v>0</v>
      </c>
      <c r="G178" s="1">
        <f>SMILvl-INT(SMILvl/5)</f>
        <v>0</v>
      </c>
      <c r="K178" s="1">
        <v>6</v>
      </c>
      <c r="L178" s="1">
        <v>8</v>
      </c>
      <c r="N178" s="1" t="b">
        <v>1</v>
      </c>
      <c r="O178" s="1" t="b">
        <v>1</v>
      </c>
      <c r="T178" s="1" t="b">
        <v>1</v>
      </c>
      <c r="V178" s="1">
        <v>0.75</v>
      </c>
      <c r="W178" s="1">
        <v>0.5</v>
      </c>
      <c r="X178" s="1">
        <v>0.5</v>
      </c>
      <c r="Y178" s="1">
        <v>0.34</v>
      </c>
      <c r="Z178" s="1" t="b">
        <f>FALSE</f>
        <v>0</v>
      </c>
      <c r="AA178" s="1" t="str">
        <f t="shared" si="147"/>
        <v/>
      </c>
      <c r="AB178" s="1" t="str">
        <f t="shared" si="148"/>
        <v/>
      </c>
      <c r="AC178" s="1">
        <f t="shared" si="144"/>
        <v>0</v>
      </c>
      <c r="AD178" s="1" t="str">
        <f t="shared" si="149"/>
        <v/>
      </c>
      <c r="AE178" s="1" t="str">
        <f t="shared" si="150"/>
        <v/>
      </c>
      <c r="AF178" s="1">
        <f t="shared" si="145"/>
        <v>0</v>
      </c>
      <c r="AG178" s="1">
        <f t="shared" si="151"/>
        <v>5</v>
      </c>
      <c r="AH178" s="1" t="str">
        <f t="shared" si="146"/>
        <v/>
      </c>
      <c r="AI178" s="1">
        <v>1</v>
      </c>
      <c r="AJ178" s="1">
        <f t="shared" si="153"/>
        <v>0</v>
      </c>
      <c r="AK178" s="1">
        <v>2</v>
      </c>
      <c r="AL178" s="1">
        <v>1</v>
      </c>
      <c r="AM178" s="1">
        <v>2</v>
      </c>
      <c r="AN178" s="1">
        <f t="shared" si="154"/>
        <v>0</v>
      </c>
      <c r="AO178" s="1">
        <v>2</v>
      </c>
      <c r="AP178" s="1">
        <v>2</v>
      </c>
      <c r="AQ178" s="1">
        <v>2</v>
      </c>
      <c r="AR178" s="1">
        <v>2</v>
      </c>
      <c r="AS178" s="1">
        <v>2</v>
      </c>
      <c r="AT178" s="1">
        <v>2</v>
      </c>
      <c r="AU178" s="1">
        <v>2</v>
      </c>
      <c r="AV178" s="1">
        <v>2</v>
      </c>
      <c r="AW178" s="1">
        <v>1</v>
      </c>
      <c r="AX178" s="1">
        <v>2</v>
      </c>
      <c r="AY178" s="1">
        <v>1</v>
      </c>
      <c r="AZ178" s="1">
        <v>1</v>
      </c>
      <c r="BA178" s="1">
        <v>1</v>
      </c>
      <c r="BB178" s="1">
        <v>1</v>
      </c>
      <c r="BC178" s="1">
        <v>1</v>
      </c>
      <c r="BD178" s="1">
        <v>1</v>
      </c>
      <c r="BE178" s="1">
        <v>1</v>
      </c>
      <c r="BF178" s="1">
        <v>2</v>
      </c>
      <c r="BG178" s="1">
        <f t="shared" si="155"/>
        <v>0</v>
      </c>
      <c r="BH178" s="1">
        <f t="shared" si="156"/>
        <v>0</v>
      </c>
      <c r="BI178" s="1">
        <v>1</v>
      </c>
      <c r="BJ178" s="1">
        <v>2</v>
      </c>
      <c r="BK178" s="1">
        <v>1</v>
      </c>
      <c r="BL178" s="1">
        <v>1</v>
      </c>
      <c r="BM178" s="1">
        <v>1</v>
      </c>
      <c r="BN178" s="1">
        <v>2</v>
      </c>
      <c r="BO178" s="1">
        <v>1</v>
      </c>
      <c r="BP178" s="1">
        <v>1</v>
      </c>
      <c r="BQ178" s="1">
        <f t="shared" si="167"/>
        <v>0</v>
      </c>
      <c r="BR178" s="1">
        <v>1</v>
      </c>
      <c r="BS178" s="1">
        <v>1</v>
      </c>
      <c r="BT178" s="1">
        <f t="shared" si="166"/>
        <v>0</v>
      </c>
      <c r="BU178" s="1">
        <f t="shared" ref="BU178:BU183" si="169">IF(HRRVL,2,0)</f>
        <v>0</v>
      </c>
      <c r="BV178" s="1">
        <v>2</v>
      </c>
      <c r="BW178" s="1">
        <v>1</v>
      </c>
      <c r="BX178" s="1">
        <v>1</v>
      </c>
      <c r="BY178" s="1">
        <v>1</v>
      </c>
      <c r="BZ178" s="1">
        <v>1</v>
      </c>
      <c r="CA178" s="1">
        <v>1</v>
      </c>
      <c r="CB178" s="1">
        <v>1</v>
      </c>
      <c r="CC178" s="1">
        <v>1</v>
      </c>
      <c r="CD178" s="1">
        <v>1</v>
      </c>
      <c r="CE178" s="1">
        <v>1</v>
      </c>
      <c r="CF178" s="1">
        <v>2</v>
      </c>
      <c r="CG178" s="1">
        <f t="shared" si="158"/>
        <v>0</v>
      </c>
      <c r="CH178" s="1">
        <v>2</v>
      </c>
      <c r="CI178" s="1">
        <v>1</v>
      </c>
      <c r="CJ178" s="1">
        <v>1</v>
      </c>
      <c r="CK178" s="1">
        <v>1</v>
      </c>
      <c r="CL178" s="1">
        <v>1</v>
      </c>
      <c r="CM178" s="1">
        <v>1</v>
      </c>
      <c r="CN178" s="1">
        <v>1</v>
      </c>
      <c r="CO178" s="1">
        <v>1</v>
      </c>
      <c r="CP178" s="1">
        <v>1</v>
      </c>
      <c r="CQ178" s="1">
        <v>1</v>
      </c>
      <c r="CR178" s="1">
        <v>1</v>
      </c>
      <c r="CS178" s="1">
        <v>1</v>
      </c>
      <c r="CT178" s="1">
        <v>1</v>
      </c>
      <c r="CU178" s="1">
        <v>1</v>
      </c>
      <c r="CV178" s="1">
        <f t="shared" si="159"/>
        <v>0</v>
      </c>
      <c r="CW178" s="1">
        <v>2</v>
      </c>
      <c r="CX178" s="1">
        <v>1</v>
      </c>
      <c r="CY178" s="1">
        <v>1</v>
      </c>
      <c r="CZ178" s="1">
        <f t="shared" si="160"/>
        <v>0</v>
      </c>
      <c r="DA178" s="1">
        <v>1</v>
      </c>
      <c r="DB178" s="1">
        <v>2</v>
      </c>
      <c r="DC178" s="1">
        <v>2</v>
      </c>
      <c r="DD178" s="1">
        <v>2</v>
      </c>
      <c r="DE178" s="1">
        <v>2</v>
      </c>
      <c r="DF178" s="1">
        <v>1</v>
      </c>
      <c r="DG178" s="1">
        <v>1</v>
      </c>
      <c r="DH178" s="1">
        <v>1</v>
      </c>
      <c r="DI178" s="1">
        <f t="shared" si="161"/>
        <v>0</v>
      </c>
      <c r="DJ178" s="1">
        <v>1</v>
      </c>
      <c r="DK178" s="1" t="s">
        <v>140</v>
      </c>
      <c r="DL178" s="1" t="s">
        <v>40</v>
      </c>
      <c r="DR178" s="1" t="b">
        <f>OR(RaceCi="Elf",RaceCi="Half-Elf")</f>
        <v>0</v>
      </c>
      <c r="DS178" s="1" t="b">
        <f>SkKnowledgeReligionRanks&gt;=4</f>
        <v>0</v>
      </c>
      <c r="DT178" s="1" t="b">
        <f>SkSurvivalRanks&gt;=8</f>
        <v>0</v>
      </c>
      <c r="DU178" s="1" t="b">
        <f ca="1">MaxDivineSpellLevel&gt;=2</f>
        <v>0</v>
      </c>
      <c r="EA178" s="1" t="b">
        <f t="shared" ca="1" si="168"/>
        <v>0</v>
      </c>
      <c r="EB178" s="11" t="s">
        <v>338</v>
      </c>
      <c r="EC178" s="1" t="str">
        <f ca="1">IF(DR178,"","• Elf or Half-Elf.
")&amp;IF(DS178,"","• 4 ranks in Knowledge (religion).
")&amp;IF(DT178,"","• 8 ranks in Survival.
")&amp;IF(DU178,"","• Ability to cast 2nd-level divine spells.
")&amp;"• Must be inducted into the order by another member (not verified)."</f>
        <v>• Elf or Half-Elf.
• 4 ranks in Knowledge (religion).
• 8 ranks in Survival.
• Ability to cast 2nd-level divine spells.
• Must be inducted into the order by another member (not verified).</v>
      </c>
      <c r="ED178" s="11" t="s">
        <v>335</v>
      </c>
      <c r="EE178" s="17"/>
      <c r="EF178" s="18"/>
      <c r="EG178" s="18"/>
      <c r="EH178" s="18"/>
      <c r="EI178" s="18"/>
      <c r="EJ178" s="18"/>
      <c r="EK178" s="18"/>
      <c r="EL178" s="18"/>
      <c r="EM178" s="18"/>
      <c r="EN178" s="18"/>
      <c r="EO178" s="19"/>
    </row>
    <row r="179" spans="1:145" ht="11.25" customHeight="1" thickBot="1" x14ac:dyDescent="0.25">
      <c r="A179" s="1">
        <f t="shared" si="137"/>
        <v>176</v>
      </c>
      <c r="B179" s="1" t="str">
        <f>"Shining "&amp;SHBWeapon&amp;" of "&amp;IF(HRLivingGreyhawk,IF(DW179,Deity,"???"),"Heironeous")</f>
        <v>Shining Blade of Heironeous</v>
      </c>
      <c r="C179" s="1" t="str">
        <f>IF(HRLivingGreyhawk,"S"&amp;LEFT(SHBWeapon,1)&amp;LEFT(Deity,1),"SBH")</f>
        <v>SBH</v>
      </c>
      <c r="D179" s="1" t="s">
        <v>529</v>
      </c>
      <c r="E179" s="1">
        <f t="shared" si="143"/>
        <v>0</v>
      </c>
      <c r="G179" s="1">
        <f>INT(SBHLvl/2)</f>
        <v>0</v>
      </c>
      <c r="K179" s="1">
        <v>2</v>
      </c>
      <c r="L179" s="1">
        <v>10</v>
      </c>
      <c r="N179" s="1" t="b">
        <v>1</v>
      </c>
      <c r="O179" s="1" t="b">
        <v>1</v>
      </c>
      <c r="P179" s="1" t="b">
        <v>1</v>
      </c>
      <c r="Q179" s="1" t="b">
        <v>1</v>
      </c>
      <c r="S179" s="1" t="b">
        <v>1</v>
      </c>
      <c r="T179" s="1" t="b">
        <v>1</v>
      </c>
      <c r="V179" s="1">
        <v>1</v>
      </c>
      <c r="W179" s="1">
        <v>0.5</v>
      </c>
      <c r="X179" s="1">
        <v>0.34</v>
      </c>
      <c r="Y179" s="1">
        <v>0.5</v>
      </c>
      <c r="Z179" s="1" t="b">
        <f>FALSE</f>
        <v>0</v>
      </c>
      <c r="AA179" s="1" t="str">
        <f t="shared" si="147"/>
        <v/>
      </c>
      <c r="AB179" s="1" t="str">
        <f t="shared" si="148"/>
        <v/>
      </c>
      <c r="AC179" s="1">
        <f t="shared" si="144"/>
        <v>0</v>
      </c>
      <c r="AD179" s="1" t="str">
        <f t="shared" si="149"/>
        <v/>
      </c>
      <c r="AE179" s="1" t="str">
        <f t="shared" si="150"/>
        <v/>
      </c>
      <c r="AF179" s="1">
        <f t="shared" si="145"/>
        <v>0</v>
      </c>
      <c r="AG179" s="1">
        <f t="shared" si="151"/>
        <v>5</v>
      </c>
      <c r="AH179" s="1" t="str">
        <f t="shared" si="146"/>
        <v/>
      </c>
      <c r="AI179" s="1">
        <v>1</v>
      </c>
      <c r="AJ179" s="1">
        <f t="shared" si="153"/>
        <v>0</v>
      </c>
      <c r="AK179" s="1">
        <v>1</v>
      </c>
      <c r="AL179" s="1">
        <v>1</v>
      </c>
      <c r="AM179" s="1">
        <v>1</v>
      </c>
      <c r="AN179" s="1">
        <f t="shared" si="154"/>
        <v>0</v>
      </c>
      <c r="AO179" s="1">
        <v>2</v>
      </c>
      <c r="AP179" s="1">
        <v>2</v>
      </c>
      <c r="AQ179" s="1">
        <v>2</v>
      </c>
      <c r="AR179" s="1">
        <v>2</v>
      </c>
      <c r="AS179" s="1">
        <v>2</v>
      </c>
      <c r="AT179" s="1">
        <v>2</v>
      </c>
      <c r="AU179" s="1">
        <v>2</v>
      </c>
      <c r="AV179" s="1">
        <v>2</v>
      </c>
      <c r="AW179" s="1">
        <v>1</v>
      </c>
      <c r="AX179" s="1">
        <v>2</v>
      </c>
      <c r="AY179" s="1">
        <v>1</v>
      </c>
      <c r="AZ179" s="1">
        <v>1</v>
      </c>
      <c r="BA179" s="1">
        <v>1</v>
      </c>
      <c r="BB179" s="1">
        <v>1</v>
      </c>
      <c r="BC179" s="1">
        <v>1</v>
      </c>
      <c r="BD179" s="1">
        <v>1</v>
      </c>
      <c r="BE179" s="1">
        <v>2</v>
      </c>
      <c r="BF179" s="1">
        <v>1</v>
      </c>
      <c r="BG179" s="1">
        <f t="shared" si="155"/>
        <v>0</v>
      </c>
      <c r="BH179" s="1">
        <f t="shared" si="156"/>
        <v>0</v>
      </c>
      <c r="BI179" s="1">
        <v>1</v>
      </c>
      <c r="BJ179" s="1">
        <v>1</v>
      </c>
      <c r="BK179" s="1">
        <v>1</v>
      </c>
      <c r="BL179" s="1">
        <v>1</v>
      </c>
      <c r="BM179" s="1">
        <v>1</v>
      </c>
      <c r="BN179" s="1">
        <v>1</v>
      </c>
      <c r="BO179" s="1">
        <v>1</v>
      </c>
      <c r="BP179" s="1">
        <v>1</v>
      </c>
      <c r="BQ179" s="1">
        <f t="shared" si="167"/>
        <v>0</v>
      </c>
      <c r="BR179" s="1">
        <v>1</v>
      </c>
      <c r="BS179" s="1">
        <v>1</v>
      </c>
      <c r="BT179" s="1">
        <f t="shared" si="166"/>
        <v>0</v>
      </c>
      <c r="BU179" s="1">
        <f t="shared" si="169"/>
        <v>0</v>
      </c>
      <c r="BV179" s="1">
        <v>2</v>
      </c>
      <c r="BW179" s="1">
        <v>1</v>
      </c>
      <c r="BX179" s="1">
        <v>1</v>
      </c>
      <c r="BY179" s="1">
        <v>1</v>
      </c>
      <c r="BZ179" s="1">
        <v>1</v>
      </c>
      <c r="CA179" s="1">
        <v>1</v>
      </c>
      <c r="CB179" s="1">
        <v>1</v>
      </c>
      <c r="CC179" s="1">
        <v>1</v>
      </c>
      <c r="CD179" s="1">
        <v>1</v>
      </c>
      <c r="CE179" s="1">
        <v>1</v>
      </c>
      <c r="CF179" s="1">
        <v>1</v>
      </c>
      <c r="CG179" s="1">
        <f t="shared" si="158"/>
        <v>0</v>
      </c>
      <c r="CH179" s="1">
        <v>1</v>
      </c>
      <c r="CI179" s="1">
        <v>1</v>
      </c>
      <c r="CJ179" s="1">
        <v>1</v>
      </c>
      <c r="CK179" s="1">
        <v>1</v>
      </c>
      <c r="CL179" s="1">
        <v>1</v>
      </c>
      <c r="CM179" s="1">
        <v>1</v>
      </c>
      <c r="CN179" s="1">
        <v>1</v>
      </c>
      <c r="CO179" s="1">
        <v>1</v>
      </c>
      <c r="CP179" s="1">
        <v>2</v>
      </c>
      <c r="CQ179" s="1">
        <v>2</v>
      </c>
      <c r="CR179" s="1">
        <v>2</v>
      </c>
      <c r="CS179" s="1">
        <v>2</v>
      </c>
      <c r="CT179" s="1">
        <v>2</v>
      </c>
      <c r="CU179" s="1">
        <v>2</v>
      </c>
      <c r="CV179" s="1">
        <f t="shared" si="159"/>
        <v>0</v>
      </c>
      <c r="CW179" s="1">
        <v>1</v>
      </c>
      <c r="CX179" s="1">
        <v>1</v>
      </c>
      <c r="CY179" s="1">
        <v>1</v>
      </c>
      <c r="CZ179" s="1">
        <f t="shared" si="160"/>
        <v>0</v>
      </c>
      <c r="DA179" s="1">
        <v>1</v>
      </c>
      <c r="DB179" s="1">
        <v>1</v>
      </c>
      <c r="DC179" s="1">
        <v>2</v>
      </c>
      <c r="DD179" s="1">
        <v>1</v>
      </c>
      <c r="DE179" s="1">
        <v>1</v>
      </c>
      <c r="DF179" s="1">
        <v>1</v>
      </c>
      <c r="DG179" s="1">
        <v>1</v>
      </c>
      <c r="DH179" s="1">
        <v>1</v>
      </c>
      <c r="DI179" s="1">
        <f t="shared" si="161"/>
        <v>0</v>
      </c>
      <c r="DJ179" s="1">
        <v>1</v>
      </c>
      <c r="DK179" s="1" t="s">
        <v>140</v>
      </c>
      <c r="DL179" s="1" t="s">
        <v>40</v>
      </c>
      <c r="DR179" s="1" t="b">
        <f>AND(AlignmentLawful,AlignmentGood)</f>
        <v>1</v>
      </c>
      <c r="DS179" s="1" t="b">
        <f>BaseAtk&gt;=7</f>
        <v>0</v>
      </c>
      <c r="DT179" s="1" t="b">
        <f>BaseWill&gt;=3</f>
        <v>0</v>
      </c>
      <c r="DU179" s="1" t="b">
        <f>SkKnowledgeReligionRanks&gt;=7</f>
        <v>0</v>
      </c>
      <c r="DV179" s="1" t="b">
        <f ca="1">MaxDivineSpellLevel&gt;=1</f>
        <v>0</v>
      </c>
      <c r="DW179" s="1" t="b">
        <f>IF(HRLivingGreyhawk,OR(Deity="Al'Akbar",Deity="Arvoreen",Deity="Azor'alq",Deity="Bahamut",Deity="Berronar Truesilver",Deity="Clangeddin Silverbeard",Deity="Fortubo",Deity="Gaerdal Ironhand",Deity="Garl Glittergold",Deity="Heironeous",Deity="Jascar",Deity="Kundo",Deity="Mayaheine",Deity="Moradin",Deity="St. Cuthbert",Deity="Stronmaus",Deity="Ulaa",Deity="Yondalla"),Deity="Heironeous")</f>
        <v>0</v>
      </c>
      <c r="EA179" s="1" t="b">
        <f t="shared" ca="1" si="168"/>
        <v>0</v>
      </c>
      <c r="EB179" s="11" t="s">
        <v>334</v>
      </c>
      <c r="EC179" s="1" t="str">
        <f ca="1">IF(DR179,"","• Lawful Good alignment.
")&amp;IF(DS179,"","• A base attack bonus of +7 or higher.
")&amp;IF(DT179,"","• A base Will save of +3 or higher.
")&amp;IF(DU179,"","• 7 ranks in Knowledge (religion).
")&amp;IF(DV179,"","• Ability to cast 1st-level divine spells.
")&amp;IF(DW179,"","• "&amp;IF(HRLivingGreyhawk,"Al'Akbar, Arvoreen, Azor'alq, Bahamut, Berronar Truesilver,
  Clangeddin Silverbeard, Fortubo, Gaerdal Ironhand, Garl Glittergold,
  Heironeous, Jascar, Kundo, Mayaheine, Moradin, St. Cuthbert,
  Stronmaus, Ulaa, Yondalla","Heironeous")&amp;" as your patron deity.")</f>
        <v>• A base attack bonus of +7 or higher.
• A base Will save of +3 or higher.
• 7 ranks in Knowledge (religion).
• Ability to cast 1st-level divine spells.
• Heironeous as your patron deity.</v>
      </c>
      <c r="ED179" s="11" t="s">
        <v>335</v>
      </c>
    </row>
    <row r="180" spans="1:145" ht="11.25" customHeight="1" x14ac:dyDescent="0.2">
      <c r="A180" s="1">
        <f t="shared" si="137"/>
        <v>177</v>
      </c>
      <c r="B180" s="1" t="s">
        <v>530</v>
      </c>
      <c r="C180" s="1" t="s">
        <v>531</v>
      </c>
      <c r="D180" s="1" t="s">
        <v>531</v>
      </c>
      <c r="E180" s="1">
        <f t="shared" si="143"/>
        <v>0</v>
      </c>
      <c r="G180" s="1">
        <f>StLLvl</f>
        <v>0</v>
      </c>
      <c r="K180" s="1">
        <v>2</v>
      </c>
      <c r="L180" s="1">
        <v>8</v>
      </c>
      <c r="V180" s="1">
        <v>0.75</v>
      </c>
      <c r="W180" s="1">
        <v>0.5</v>
      </c>
      <c r="X180" s="1">
        <v>0.34</v>
      </c>
      <c r="Y180" s="1">
        <v>0.5</v>
      </c>
      <c r="Z180" s="1" t="b">
        <f>FALSE</f>
        <v>0</v>
      </c>
      <c r="AA180" s="1" t="str">
        <f t="shared" si="147"/>
        <v/>
      </c>
      <c r="AB180" s="1" t="str">
        <f t="shared" si="148"/>
        <v/>
      </c>
      <c r="AC180" s="1">
        <f t="shared" si="144"/>
        <v>0</v>
      </c>
      <c r="AD180" s="1" t="str">
        <f t="shared" si="149"/>
        <v/>
      </c>
      <c r="AE180" s="1" t="str">
        <f t="shared" si="150"/>
        <v/>
      </c>
      <c r="AF180" s="1">
        <f t="shared" si="145"/>
        <v>0</v>
      </c>
      <c r="AG180" s="1">
        <f t="shared" si="151"/>
        <v>5</v>
      </c>
      <c r="AH180" s="1" t="str">
        <f t="shared" si="146"/>
        <v/>
      </c>
      <c r="AI180" s="1">
        <v>1</v>
      </c>
      <c r="AJ180" s="1">
        <f t="shared" si="153"/>
        <v>0</v>
      </c>
      <c r="AK180" s="1">
        <v>1</v>
      </c>
      <c r="AL180" s="1">
        <v>1</v>
      </c>
      <c r="AM180" s="1">
        <v>1</v>
      </c>
      <c r="AN180" s="1">
        <f t="shared" si="154"/>
        <v>0</v>
      </c>
      <c r="AO180" s="1">
        <v>2</v>
      </c>
      <c r="AP180" s="1">
        <v>1</v>
      </c>
      <c r="AQ180" s="1">
        <v>1</v>
      </c>
      <c r="AR180" s="1">
        <v>1</v>
      </c>
      <c r="AS180" s="1">
        <v>1</v>
      </c>
      <c r="AT180" s="1">
        <v>1</v>
      </c>
      <c r="AU180" s="1">
        <v>1</v>
      </c>
      <c r="AV180" s="1">
        <v>1</v>
      </c>
      <c r="AW180" s="1">
        <v>1</v>
      </c>
      <c r="AX180" s="1">
        <v>1</v>
      </c>
      <c r="AY180" s="1">
        <v>1</v>
      </c>
      <c r="AZ180" s="1">
        <v>2</v>
      </c>
      <c r="BA180" s="1">
        <v>1</v>
      </c>
      <c r="BB180" s="1">
        <v>1</v>
      </c>
      <c r="BC180" s="1">
        <v>2</v>
      </c>
      <c r="BD180" s="1">
        <v>1</v>
      </c>
      <c r="BE180" s="1">
        <v>1</v>
      </c>
      <c r="BF180" s="1">
        <v>1</v>
      </c>
      <c r="BG180" s="1">
        <f t="shared" si="155"/>
        <v>0</v>
      </c>
      <c r="BH180" s="1">
        <f t="shared" si="156"/>
        <v>0</v>
      </c>
      <c r="BI180" s="1">
        <v>2</v>
      </c>
      <c r="BJ180" s="1">
        <v>1</v>
      </c>
      <c r="BK180" s="1">
        <v>1</v>
      </c>
      <c r="BL180" s="1">
        <v>1</v>
      </c>
      <c r="BM180" s="1">
        <v>1</v>
      </c>
      <c r="BN180" s="1">
        <v>1</v>
      </c>
      <c r="BO180" s="1">
        <v>1</v>
      </c>
      <c r="BP180" s="1">
        <v>1</v>
      </c>
      <c r="BQ180" s="1">
        <f>IF(HRRVL,2,0)</f>
        <v>0</v>
      </c>
      <c r="BR180" s="1">
        <v>2</v>
      </c>
      <c r="BS180" s="1">
        <v>1</v>
      </c>
      <c r="BT180" s="1">
        <f t="shared" si="166"/>
        <v>0</v>
      </c>
      <c r="BU180" s="1">
        <f t="shared" si="169"/>
        <v>0</v>
      </c>
      <c r="BV180" s="1">
        <v>2</v>
      </c>
      <c r="BW180" s="1">
        <v>1</v>
      </c>
      <c r="BX180" s="1">
        <v>1</v>
      </c>
      <c r="BY180" s="1">
        <v>1</v>
      </c>
      <c r="BZ180" s="1">
        <v>1</v>
      </c>
      <c r="CA180" s="1">
        <v>1</v>
      </c>
      <c r="CB180" s="1">
        <v>1</v>
      </c>
      <c r="CC180" s="1">
        <v>1</v>
      </c>
      <c r="CD180" s="1">
        <v>1</v>
      </c>
      <c r="CE180" s="1">
        <v>1</v>
      </c>
      <c r="CF180" s="1">
        <v>1</v>
      </c>
      <c r="CG180" s="1">
        <f t="shared" si="158"/>
        <v>0</v>
      </c>
      <c r="CH180" s="1">
        <v>1</v>
      </c>
      <c r="CI180" s="1">
        <v>1</v>
      </c>
      <c r="CJ180" s="1">
        <v>1</v>
      </c>
      <c r="CK180" s="1">
        <v>1</v>
      </c>
      <c r="CL180" s="1">
        <v>1</v>
      </c>
      <c r="CM180" s="1">
        <v>1</v>
      </c>
      <c r="CN180" s="1">
        <v>1</v>
      </c>
      <c r="CO180" s="1">
        <v>1</v>
      </c>
      <c r="CP180" s="1">
        <v>1</v>
      </c>
      <c r="CQ180" s="1">
        <v>1</v>
      </c>
      <c r="CR180" s="1">
        <v>1</v>
      </c>
      <c r="CS180" s="1">
        <v>1</v>
      </c>
      <c r="CT180" s="1">
        <v>1</v>
      </c>
      <c r="CU180" s="1">
        <v>1</v>
      </c>
      <c r="CV180" s="1">
        <f t="shared" si="159"/>
        <v>0</v>
      </c>
      <c r="CW180" s="1">
        <v>1</v>
      </c>
      <c r="CX180" s="1">
        <v>1</v>
      </c>
      <c r="CY180" s="1">
        <v>1</v>
      </c>
      <c r="CZ180" s="1">
        <f t="shared" si="160"/>
        <v>0</v>
      </c>
      <c r="DA180" s="1">
        <v>1</v>
      </c>
      <c r="DB180" s="1">
        <v>1</v>
      </c>
      <c r="DC180" s="1">
        <v>1</v>
      </c>
      <c r="DD180" s="1">
        <v>1</v>
      </c>
      <c r="DE180" s="1">
        <v>2</v>
      </c>
      <c r="DF180" s="1">
        <v>2</v>
      </c>
      <c r="DG180" s="1">
        <v>1</v>
      </c>
      <c r="DH180" s="1">
        <v>1</v>
      </c>
      <c r="DI180" s="1">
        <f t="shared" si="161"/>
        <v>0</v>
      </c>
      <c r="DJ180" s="1">
        <v>1</v>
      </c>
      <c r="DK180" s="1" t="s">
        <v>140</v>
      </c>
      <c r="DL180" s="1" t="s">
        <v>40</v>
      </c>
      <c r="DR180" s="1" t="b">
        <f>BaseFort&gt;=4</f>
        <v>0</v>
      </c>
      <c r="DS180" s="1" t="b">
        <f>OR(FtEndurance,FtKoboldEndurance)</f>
        <v>0</v>
      </c>
      <c r="DT180" s="1" t="b">
        <f>OR(FtGreatFortitude,FreeGreatFortitude)</f>
        <v>0</v>
      </c>
      <c r="DU180" s="1" t="b">
        <f>IF(AND(HRLivingGreyhawk,OR(Deity="Osprem",Deity="Procan")),
      OR(NOT(ISNA(MATCH("Trident",TblWeaponFocusFeat,0)))),
      OR(NOT(ISNA(MATCH("Javelin",TblWeaponFocusFeat,0))),
            NOT(ISERROR(FIND("spear",LOWER(WeaponFocusFree1),1))),
            NOT(ISERROR(FIND("spear",LOWER(WeaponFocusFree2),1))),
            NOT(ISERROR(FIND("spear",LOWER(WeaponFocus1),1))),
            NOT(ISERROR(FIND("spear",LOWER(WeaponFocus2),1))),
            NOT(ISERROR(FIND("spear",LOWER(WeaponFocus3),1)))))</f>
        <v>0</v>
      </c>
      <c r="DV180" s="1" t="b">
        <f ca="1">MaxDivineSpellLevel&gt;=3</f>
        <v>0</v>
      </c>
      <c r="DW180" s="1" t="b">
        <f>IF(HRLivingGreyhawk,OR(Deity="Aerdrie Faenya",Deity="Hurakon",Deity="Osprem",Deity="Procan",Deity="Stronmaus",Deity="Tezcatlipoca",Deity="Velnius",Deity="Vogan"),Deity="Talos")</f>
        <v>0</v>
      </c>
      <c r="EA180" s="1" t="b">
        <f t="shared" ca="1" si="168"/>
        <v>0</v>
      </c>
      <c r="EB180" s="11" t="s">
        <v>338</v>
      </c>
      <c r="EC180" s="1" t="str">
        <f ca="1">IF(DR180,"","• Base Fort Save bonus +4 or greater.
")&amp;IF(DS180,"","• Endurance Feat.
")&amp;IF(DT180,"","• Great Fortitude Feat.
")&amp;IF(DU180,"","• Weapon Focus "&amp;IF(AND(HRLivingGreyhawk,OR(Deity="Osprem",Deity="Procan")),"(trident)","(any spear or javelin)")&amp;" Feat.
")&amp;IF(DV180,"","• Ability to cast 3rd-level divine spells.
")&amp;IF(DW180,"","• Patron Deity: "&amp;IF(HRLivingGreyhawk,"Aerdrie Faenya, Hurakon, Osprem, Procan, Stronmaus,
  Tezcatlipoca, Velnius, or Vogan","Talos")&amp;".
")&amp;"• You must hve been hit by a bolt of lightning, whether a natural bolt or
   one created by magic, and survived (not verified)."</f>
        <v>• Base Fort Save bonus +4 or greater.
• Endurance Feat.
• Great Fortitude Feat.
• Weapon Focus (any spear or javelin) Feat.
• Ability to cast 3rd-level divine spells.
• Patron Deity: Talos.
• You must hve been hit by a bolt of lightning, whether a natural bolt or
   one created by magic, and survived (not verified).</v>
      </c>
      <c r="ED180" s="11" t="s">
        <v>335</v>
      </c>
      <c r="EE180" s="1" t="s">
        <v>532</v>
      </c>
      <c r="EF180" s="1">
        <f>COUNTA($EE$149:$EE$178)</f>
        <v>23</v>
      </c>
      <c r="EN180" s="20" t="s">
        <v>134</v>
      </c>
      <c r="EO180" s="21">
        <f>IF(DoFeatAbilityAdj,SUMPRODUCT((($EG$150:INDEX(TblFeatAbilitiesAdj, FeatAbilitiesAdjRowsCnt,3))=$EN180)*(($EN$150:INDEX(TblFeatAbilitiesAdj, FeatAbilitiesAdjRowsCnt,10))&lt;=LvlCS)*($EH$150:INDEX(TblFeatAbilitiesAdj, FeatAbilitiesAdjRowsCnt,4)*($EI$150:$EI$171))),0)</f>
        <v>0</v>
      </c>
    </row>
    <row r="181" spans="1:145" ht="11.25" customHeight="1" x14ac:dyDescent="0.2">
      <c r="A181" s="1">
        <f t="shared" si="137"/>
        <v>178</v>
      </c>
      <c r="B181" s="1" t="str">
        <f>"Temple Raider of "&amp;IF(HRLivingGreyhawk,IF(DX181,Deity,"???"),"Olidammara")</f>
        <v>Temple Raider of Olidammara</v>
      </c>
      <c r="C181" s="1" t="s">
        <v>533</v>
      </c>
      <c r="D181" s="1" t="s">
        <v>533</v>
      </c>
      <c r="E181" s="1">
        <f t="shared" si="143"/>
        <v>0</v>
      </c>
      <c r="K181" s="1">
        <v>4</v>
      </c>
      <c r="L181" s="1">
        <v>6</v>
      </c>
      <c r="N181" s="1" t="b">
        <v>1</v>
      </c>
      <c r="O181" s="1" t="b">
        <v>1</v>
      </c>
      <c r="S181" s="1" t="b">
        <v>1</v>
      </c>
      <c r="V181" s="1">
        <v>0.75</v>
      </c>
      <c r="W181" s="1">
        <v>0.34</v>
      </c>
      <c r="X181" s="1">
        <v>0.5</v>
      </c>
      <c r="Y181" s="1">
        <v>0.5</v>
      </c>
      <c r="Z181" s="1" t="b">
        <f>FALSE</f>
        <v>0</v>
      </c>
      <c r="AA181" s="1" t="str">
        <f t="shared" si="147"/>
        <v/>
      </c>
      <c r="AB181" s="1" t="str">
        <f t="shared" si="148"/>
        <v/>
      </c>
      <c r="AC181" s="1">
        <f t="shared" si="144"/>
        <v>0</v>
      </c>
      <c r="AD181" s="1" t="str">
        <f t="shared" si="149"/>
        <v/>
      </c>
      <c r="AE181" s="1" t="str">
        <f t="shared" si="150"/>
        <v/>
      </c>
      <c r="AF181" s="1">
        <f t="shared" si="145"/>
        <v>0</v>
      </c>
      <c r="AG181" s="1">
        <f t="shared" si="151"/>
        <v>5</v>
      </c>
      <c r="AH181" s="1" t="str">
        <f t="shared" si="146"/>
        <v/>
      </c>
      <c r="AI181" s="1">
        <v>2</v>
      </c>
      <c r="AJ181" s="1">
        <f t="shared" si="153"/>
        <v>0</v>
      </c>
      <c r="AK181" s="1">
        <v>1</v>
      </c>
      <c r="AL181" s="1">
        <v>1</v>
      </c>
      <c r="AM181" s="1">
        <v>2</v>
      </c>
      <c r="AN181" s="1">
        <f t="shared" si="154"/>
        <v>0</v>
      </c>
      <c r="AO181" s="1">
        <v>1</v>
      </c>
      <c r="AP181" s="1">
        <v>2</v>
      </c>
      <c r="AQ181" s="1">
        <v>2</v>
      </c>
      <c r="AR181" s="1">
        <v>2</v>
      </c>
      <c r="AS181" s="1">
        <v>2</v>
      </c>
      <c r="AT181" s="1">
        <v>2</v>
      </c>
      <c r="AU181" s="1">
        <v>2</v>
      </c>
      <c r="AV181" s="1">
        <v>2</v>
      </c>
      <c r="AW181" s="1">
        <v>2</v>
      </c>
      <c r="AX181" s="1">
        <v>1</v>
      </c>
      <c r="AY181" s="1">
        <v>2</v>
      </c>
      <c r="AZ181" s="1">
        <v>1</v>
      </c>
      <c r="BA181" s="1">
        <v>1</v>
      </c>
      <c r="BB181" s="1">
        <v>1</v>
      </c>
      <c r="BC181" s="1">
        <v>1</v>
      </c>
      <c r="BD181" s="1">
        <v>1</v>
      </c>
      <c r="BE181" s="1">
        <v>1</v>
      </c>
      <c r="BF181" s="1">
        <v>2</v>
      </c>
      <c r="BG181" s="1">
        <f t="shared" si="155"/>
        <v>0</v>
      </c>
      <c r="BH181" s="1">
        <f t="shared" si="156"/>
        <v>0</v>
      </c>
      <c r="BI181" s="1">
        <v>1</v>
      </c>
      <c r="BJ181" s="1">
        <v>2</v>
      </c>
      <c r="BK181" s="1">
        <v>1</v>
      </c>
      <c r="BL181" s="1">
        <v>1</v>
      </c>
      <c r="BM181" s="1">
        <v>1</v>
      </c>
      <c r="BN181" s="1">
        <v>1</v>
      </c>
      <c r="BO181" s="1">
        <v>1</v>
      </c>
      <c r="BP181" s="1">
        <v>1</v>
      </c>
      <c r="BQ181" s="1">
        <f>IF(HRRVL,1,0)</f>
        <v>0</v>
      </c>
      <c r="BR181" s="1">
        <v>1</v>
      </c>
      <c r="BS181" s="1">
        <v>1</v>
      </c>
      <c r="BT181" s="1">
        <f t="shared" si="166"/>
        <v>0</v>
      </c>
      <c r="BU181" s="1">
        <f t="shared" si="169"/>
        <v>0</v>
      </c>
      <c r="BV181" s="1">
        <v>2</v>
      </c>
      <c r="BW181" s="1">
        <v>1</v>
      </c>
      <c r="BX181" s="1">
        <v>1</v>
      </c>
      <c r="BY181" s="1">
        <v>1</v>
      </c>
      <c r="BZ181" s="1">
        <v>1</v>
      </c>
      <c r="CA181" s="1">
        <v>1</v>
      </c>
      <c r="CB181" s="1">
        <v>1</v>
      </c>
      <c r="CC181" s="1">
        <v>1</v>
      </c>
      <c r="CD181" s="1">
        <v>1</v>
      </c>
      <c r="CE181" s="1">
        <v>1</v>
      </c>
      <c r="CF181" s="1">
        <v>2</v>
      </c>
      <c r="CG181" s="1">
        <f t="shared" si="158"/>
        <v>0</v>
      </c>
      <c r="CH181" s="1">
        <v>2</v>
      </c>
      <c r="CI181" s="1">
        <v>2</v>
      </c>
      <c r="CJ181" s="1">
        <v>1</v>
      </c>
      <c r="CK181" s="1">
        <v>1</v>
      </c>
      <c r="CL181" s="1">
        <v>1</v>
      </c>
      <c r="CM181" s="1">
        <v>1</v>
      </c>
      <c r="CN181" s="1">
        <v>1</v>
      </c>
      <c r="CO181" s="1">
        <v>1</v>
      </c>
      <c r="CP181" s="1">
        <v>1</v>
      </c>
      <c r="CQ181" s="1">
        <v>1</v>
      </c>
      <c r="CR181" s="1">
        <v>1</v>
      </c>
      <c r="CS181" s="1">
        <v>1</v>
      </c>
      <c r="CT181" s="1">
        <v>1</v>
      </c>
      <c r="CU181" s="1">
        <v>1</v>
      </c>
      <c r="CV181" s="1">
        <f t="shared" si="159"/>
        <v>0</v>
      </c>
      <c r="CW181" s="1">
        <v>1</v>
      </c>
      <c r="CX181" s="1">
        <v>2</v>
      </c>
      <c r="CY181" s="1">
        <v>1</v>
      </c>
      <c r="CZ181" s="1">
        <f t="shared" si="160"/>
        <v>0</v>
      </c>
      <c r="DA181" s="1">
        <v>1</v>
      </c>
      <c r="DB181" s="1">
        <v>1</v>
      </c>
      <c r="DC181" s="1">
        <v>1</v>
      </c>
      <c r="DD181" s="1">
        <v>2</v>
      </c>
      <c r="DE181" s="1">
        <v>1</v>
      </c>
      <c r="DF181" s="1">
        <v>1</v>
      </c>
      <c r="DG181" s="1">
        <v>2</v>
      </c>
      <c r="DH181" s="1">
        <v>2</v>
      </c>
      <c r="DI181" s="1">
        <f t="shared" si="161"/>
        <v>0</v>
      </c>
      <c r="DJ181" s="1">
        <v>2</v>
      </c>
      <c r="DK181" s="1" t="s">
        <v>140</v>
      </c>
      <c r="DL181" s="1" t="s">
        <v>40</v>
      </c>
      <c r="DR181" s="1" t="b">
        <f>AlignmentChaotic</f>
        <v>0</v>
      </c>
      <c r="DS181" s="1" t="b">
        <f>BaseAtk&gt;=5</f>
        <v>0</v>
      </c>
      <c r="DT181" s="1" t="b">
        <f>SkDisableDeviceRanks&gt;=4</f>
        <v>0</v>
      </c>
      <c r="DU181" s="1" t="b">
        <f>SkKnowledgeReligionRanks&gt;=1</f>
        <v>0</v>
      </c>
      <c r="DV181" s="1" t="b">
        <f>SkOpenLockRanks&gt;=4</f>
        <v>0</v>
      </c>
      <c r="DW181" s="1" t="b">
        <f>SkSearchRanks&gt;=8</f>
        <v>0</v>
      </c>
      <c r="DX181" s="1" t="b">
        <f>IF(HRLivingGreyhawk,OR(Deity="Brandobaris",Deity="Erevan Ilesere",Deity="Kuroth",Deity="Lirr",Deity="Lydia",Deity="Norebo",Deity="Olidammara",Deity="Shargaas",Deity="Vecna",Deity="Vergadain",Deity="Vhaeraun",Deity="Zagyg"),Deity="Olidammara")</f>
        <v>0</v>
      </c>
      <c r="EA181" s="1" t="b">
        <f t="shared" si="168"/>
        <v>0</v>
      </c>
      <c r="EB181" s="11" t="s">
        <v>338</v>
      </c>
      <c r="EC181" s="1" t="str">
        <f>IF(DR181,"","• Any chaotic alignment.
")&amp;IF(DS181,"","• A base attack bonus of +5 or higher.
")&amp;IF(DT181,"","• 4 ranks in Disable Device.
")&amp;IF(DU181,"","• 1 rank in Knowledge (religion).
")&amp;IF(DV181,"","• 4 ranks in Open Lock.
")&amp;IF(DW181,"","• 8 ranks in Search.
")&amp;IF(DX181,"","• You must worship "&amp;IF(HRLivingGreyhawk,"Brandobaris, Erevan Ilesere, Kuroth, Lirr, Lydia,
  Norebo, Olidammara, Shargaas, Vecna, Vergadain, Vhaeraun, or
  Zagyg","Olidammara")&amp;".
")&amp;"• You must be invited to join the ranks of the raiders by at least 3 current
   members (not verified)."</f>
        <v>• Any chaotic alignment.
• A base attack bonus of +5 or higher.
• 4 ranks in Disable Device.
• 1 rank in Knowledge (religion).
• 4 ranks in Open Lock.
• 8 ranks in Search.
• You must worship Olidammara.
• You must be invited to join the ranks of the raiders by at least 3 current
   members (not verified).</v>
      </c>
      <c r="ED181" s="11" t="s">
        <v>335</v>
      </c>
      <c r="EE181" s="1" t="s">
        <v>534</v>
      </c>
      <c r="EF181" s="1" t="b">
        <f>OR($EI$150:INDEX(TblFeatAbilitiesAdj,FeatAbilitiesAdjRowsCnt,5))</f>
        <v>0</v>
      </c>
      <c r="EN181" s="8" t="s">
        <v>126</v>
      </c>
      <c r="EO181" s="10">
        <f>IF(DoFeatAbilityAdj,SUMPRODUCT((($EG$150:INDEX(TblFeatAbilitiesAdj, FeatAbilitiesAdjRowsCnt,3))=$EN181)*(($EN$150:INDEX(TblFeatAbilitiesAdj, FeatAbilitiesAdjRowsCnt,10))&lt;=LvlCS)*($EH$150:INDEX(TblFeatAbilitiesAdj, FeatAbilitiesAdjRowsCnt,4)*($EI$150:$EI$171))),0)</f>
        <v>0</v>
      </c>
    </row>
    <row r="182" spans="1:145" ht="11.25" customHeight="1" x14ac:dyDescent="0.2">
      <c r="A182" s="1">
        <f t="shared" si="137"/>
        <v>179</v>
      </c>
      <c r="B182" s="1" t="s">
        <v>535</v>
      </c>
      <c r="C182" s="1" t="s">
        <v>536</v>
      </c>
      <c r="D182" s="1" t="s">
        <v>536</v>
      </c>
      <c r="E182" s="1">
        <f t="shared" si="143"/>
        <v>0</v>
      </c>
      <c r="K182" s="1">
        <v>2</v>
      </c>
      <c r="L182" s="1">
        <v>8</v>
      </c>
      <c r="M182" s="1">
        <f>(E182&gt;1)*(E182-1)</f>
        <v>0</v>
      </c>
      <c r="S182" s="1" t="b">
        <v>1</v>
      </c>
      <c r="V182" s="1">
        <v>0.75</v>
      </c>
      <c r="W182" s="1">
        <v>0.34</v>
      </c>
      <c r="X182" s="1">
        <v>0.34</v>
      </c>
      <c r="Y182" s="1">
        <v>0.5</v>
      </c>
      <c r="Z182" s="1" t="b">
        <f>FALSE</f>
        <v>0</v>
      </c>
      <c r="AA182" s="1" t="str">
        <f t="shared" si="147"/>
        <v/>
      </c>
      <c r="AB182" s="1" t="str">
        <f t="shared" si="148"/>
        <v/>
      </c>
      <c r="AC182" s="1">
        <f t="shared" si="144"/>
        <v>0</v>
      </c>
      <c r="AD182" s="1" t="str">
        <f t="shared" si="149"/>
        <v/>
      </c>
      <c r="AE182" s="1" t="str">
        <f t="shared" si="150"/>
        <v/>
      </c>
      <c r="AF182" s="1">
        <f t="shared" si="145"/>
        <v>0</v>
      </c>
      <c r="AG182" s="1">
        <f t="shared" si="151"/>
        <v>5</v>
      </c>
      <c r="AH182" s="1" t="str">
        <f t="shared" si="146"/>
        <v/>
      </c>
      <c r="AI182" s="1">
        <v>1</v>
      </c>
      <c r="AJ182" s="1">
        <f t="shared" si="153"/>
        <v>0</v>
      </c>
      <c r="AK182" s="1">
        <v>1</v>
      </c>
      <c r="AL182" s="1">
        <v>2</v>
      </c>
      <c r="AM182" s="1">
        <v>1</v>
      </c>
      <c r="AN182" s="1">
        <f t="shared" si="154"/>
        <v>0</v>
      </c>
      <c r="AO182" s="1">
        <v>2</v>
      </c>
      <c r="AP182" s="1">
        <v>2</v>
      </c>
      <c r="AQ182" s="1">
        <v>2</v>
      </c>
      <c r="AR182" s="1">
        <v>2</v>
      </c>
      <c r="AS182" s="1">
        <v>2</v>
      </c>
      <c r="AT182" s="1">
        <v>2</v>
      </c>
      <c r="AU182" s="1">
        <v>2</v>
      </c>
      <c r="AV182" s="1">
        <v>2</v>
      </c>
      <c r="AW182" s="1">
        <v>1</v>
      </c>
      <c r="AX182" s="1">
        <v>1</v>
      </c>
      <c r="AY182" s="1">
        <v>1</v>
      </c>
      <c r="AZ182" s="1">
        <v>1</v>
      </c>
      <c r="BA182" s="1">
        <v>1</v>
      </c>
      <c r="BB182" s="1">
        <v>1</v>
      </c>
      <c r="BC182" s="1">
        <v>1</v>
      </c>
      <c r="BD182" s="1">
        <v>1</v>
      </c>
      <c r="BE182" s="1">
        <v>1</v>
      </c>
      <c r="BF182" s="1">
        <v>1</v>
      </c>
      <c r="BG182" s="1">
        <f t="shared" si="155"/>
        <v>0</v>
      </c>
      <c r="BH182" s="1">
        <f t="shared" si="156"/>
        <v>0</v>
      </c>
      <c r="BI182" s="1">
        <v>1</v>
      </c>
      <c r="BJ182" s="1">
        <v>1</v>
      </c>
      <c r="BK182" s="1">
        <v>2</v>
      </c>
      <c r="BL182" s="1">
        <v>1</v>
      </c>
      <c r="BM182" s="1">
        <v>1</v>
      </c>
      <c r="BN182" s="1">
        <v>1</v>
      </c>
      <c r="BO182" s="1">
        <v>1</v>
      </c>
      <c r="BP182" s="1">
        <v>1</v>
      </c>
      <c r="BQ182" s="1">
        <f>IF(HRRVL,1,0)</f>
        <v>0</v>
      </c>
      <c r="BR182" s="1">
        <v>1</v>
      </c>
      <c r="BS182" s="1">
        <v>1</v>
      </c>
      <c r="BT182" s="1">
        <f t="shared" si="166"/>
        <v>0</v>
      </c>
      <c r="BU182" s="1">
        <f t="shared" si="169"/>
        <v>0</v>
      </c>
      <c r="BV182" s="1">
        <v>2</v>
      </c>
      <c r="BW182" s="1">
        <v>2</v>
      </c>
      <c r="BX182" s="1">
        <v>1</v>
      </c>
      <c r="BY182" s="1">
        <v>1</v>
      </c>
      <c r="BZ182" s="1">
        <v>1</v>
      </c>
      <c r="CA182" s="1">
        <v>1</v>
      </c>
      <c r="CB182" s="1">
        <v>1</v>
      </c>
      <c r="CC182" s="1">
        <v>1</v>
      </c>
      <c r="CD182" s="1">
        <v>1</v>
      </c>
      <c r="CE182" s="1">
        <v>1</v>
      </c>
      <c r="CF182" s="1">
        <v>1</v>
      </c>
      <c r="CG182" s="1">
        <f t="shared" si="158"/>
        <v>0</v>
      </c>
      <c r="CH182" s="1">
        <v>1</v>
      </c>
      <c r="CI182" s="1">
        <v>1</v>
      </c>
      <c r="CJ182" s="1">
        <v>1</v>
      </c>
      <c r="CK182" s="1">
        <v>1</v>
      </c>
      <c r="CL182" s="1">
        <v>1</v>
      </c>
      <c r="CM182" s="1">
        <v>1</v>
      </c>
      <c r="CN182" s="1">
        <v>1</v>
      </c>
      <c r="CO182" s="1">
        <v>1</v>
      </c>
      <c r="CP182" s="1">
        <v>2</v>
      </c>
      <c r="CQ182" s="1">
        <v>2</v>
      </c>
      <c r="CR182" s="1">
        <v>2</v>
      </c>
      <c r="CS182" s="1">
        <v>2</v>
      </c>
      <c r="CT182" s="1">
        <v>2</v>
      </c>
      <c r="CU182" s="1">
        <v>2</v>
      </c>
      <c r="CV182" s="1">
        <f t="shared" si="159"/>
        <v>0</v>
      </c>
      <c r="CW182" s="1">
        <v>1</v>
      </c>
      <c r="CX182" s="1">
        <v>1</v>
      </c>
      <c r="CY182" s="1">
        <v>1</v>
      </c>
      <c r="CZ182" s="1">
        <f t="shared" si="160"/>
        <v>0</v>
      </c>
      <c r="DA182" s="1">
        <v>1</v>
      </c>
      <c r="DB182" s="1">
        <v>1</v>
      </c>
      <c r="DC182" s="1">
        <v>2</v>
      </c>
      <c r="DD182" s="1">
        <v>1</v>
      </c>
      <c r="DE182" s="1">
        <v>1</v>
      </c>
      <c r="DF182" s="1">
        <v>1</v>
      </c>
      <c r="DG182" s="1">
        <v>1</v>
      </c>
      <c r="DH182" s="1">
        <v>1</v>
      </c>
      <c r="DI182" s="1">
        <f t="shared" si="161"/>
        <v>0</v>
      </c>
      <c r="DJ182" s="1">
        <v>1</v>
      </c>
      <c r="DK182" s="1" t="s">
        <v>140</v>
      </c>
      <c r="DL182" s="1" t="s">
        <v>150</v>
      </c>
      <c r="DQ182" s="1" t="b">
        <f ca="1">MaxDivineSpellLevel&lt;0</f>
        <v>1</v>
      </c>
      <c r="DR182" s="1" t="b">
        <f>AlignmentEvil</f>
        <v>0</v>
      </c>
      <c r="DS182" s="1" t="b">
        <f>AND(BaseFort&gt;=3,BaseWill&gt;=3)</f>
        <v>0</v>
      </c>
      <c r="DT182" s="1" t="b">
        <f>SkBluffRanks&gt;=6</f>
        <v>0</v>
      </c>
      <c r="DU182" s="1" t="b">
        <f>SkKnowledgeArcanaRanks&gt;=5</f>
        <v>0</v>
      </c>
      <c r="DV182" s="1" t="b">
        <f>SkKnowledgeReligionRanks&gt;=8</f>
        <v>0</v>
      </c>
      <c r="DW182" s="1" t="b">
        <f>SkKnowledgePlanesRanks&gt;=5</f>
        <v>0</v>
      </c>
      <c r="DX182" s="1" t="b">
        <f>SkSpellcraftRanks&gt;=8</f>
        <v>0</v>
      </c>
      <c r="DY182" s="1" t="b">
        <f>FtIronWill</f>
        <v>0</v>
      </c>
      <c r="DZ182" s="1" t="b">
        <f>NOT(ISNA(MATCH("Evil",TblSpellFocus,0)))</f>
        <v>0</v>
      </c>
      <c r="EA182" s="1" t="b">
        <f t="shared" ca="1" si="168"/>
        <v>0</v>
      </c>
      <c r="EB182" s="11" t="s">
        <v>338</v>
      </c>
      <c r="EC182" s="1" t="str">
        <f ca="1">IF(DR182,"","• Must be of Any Evil Alignment.
")&amp;IF(DS182,"","• Base Fort and Will save bonus of +3 or greater.
")&amp;IF(DT182,"","• 6 ranks in Bluff.
")&amp;IF(DU182,"","• 5 ranks in Knowledge (arcana).
")&amp;IF(DV182,"","• 8 ranks in Knowledge (religion).
")&amp;IF(DW182,"","• 5 ranks in Knowledge (the planes).
")&amp;IF(DX182,"","• 8 ranks in Spellcraft.
")&amp;IF(DY182,"","• Iron Will feat.
")&amp;IF(DZ182,"","• Spell Focus(Evil) feat.
")&amp;IF(DQ182,"","• You must have no ability to cast divine spells.
")&amp;"• You must be trained by another Ur-Priest (not verified)."</f>
        <v>• Must be of Any Evil Alignment.
• Base Fort and Will save bonus of +3 or greater.
• 6 ranks in Bluff.
• 5 ranks in Knowledge (arcana).
• 8 ranks in Knowledge (religion).
• 5 ranks in Knowledge (the planes).
• 8 ranks in Spellcraft.
• Iron Will feat.
• Spell Focus(Evil) feat.
• You must be trained by another Ur-Priest (not verified).</v>
      </c>
      <c r="ED182" s="11" t="s">
        <v>335</v>
      </c>
      <c r="EE182" s="1" t="s">
        <v>537</v>
      </c>
      <c r="EF182" s="1" t="b">
        <f>(FeatIntAdj&lt;&gt;0)</f>
        <v>0</v>
      </c>
      <c r="EN182" s="8" t="s">
        <v>129</v>
      </c>
      <c r="EO182" s="10">
        <f>IF(DoFeatAbilityAdj,SUMPRODUCT((($EG$150:INDEX(TblFeatAbilitiesAdj, FeatAbilitiesAdjRowsCnt,3))=$EN182)*(($EN$150:INDEX(TblFeatAbilitiesAdj, FeatAbilitiesAdjRowsCnt,10))&lt;=LvlCS)*($EH$150:INDEX(TblFeatAbilitiesAdj, FeatAbilitiesAdjRowsCnt,4)*($EI$150:$EI$171))),0)</f>
        <v>0</v>
      </c>
    </row>
    <row r="183" spans="1:145" ht="11.25" customHeight="1" x14ac:dyDescent="0.2">
      <c r="A183" s="1">
        <f t="shared" si="137"/>
        <v>180</v>
      </c>
      <c r="B183" s="1" t="s">
        <v>538</v>
      </c>
      <c r="C183" s="1" t="s">
        <v>539</v>
      </c>
      <c r="D183" s="1" t="s">
        <v>539</v>
      </c>
      <c r="E183" s="1">
        <f t="shared" si="143"/>
        <v>0</v>
      </c>
      <c r="G183" s="1">
        <f>VdDLvl-INT((VdDLvl+5)/6)-INT((VdDLvl+3)/6)</f>
        <v>0</v>
      </c>
      <c r="K183" s="1">
        <v>2</v>
      </c>
      <c r="L183" s="1">
        <v>6</v>
      </c>
      <c r="V183" s="1">
        <v>0.5</v>
      </c>
      <c r="W183" s="1">
        <v>0.34</v>
      </c>
      <c r="X183" s="1">
        <v>0.34</v>
      </c>
      <c r="Y183" s="1">
        <v>0.5</v>
      </c>
      <c r="Z183" s="1" t="b">
        <f>FALSE</f>
        <v>0</v>
      </c>
      <c r="AA183" s="1" t="str">
        <f t="shared" si="147"/>
        <v/>
      </c>
      <c r="AB183" s="1" t="str">
        <f t="shared" si="148"/>
        <v/>
      </c>
      <c r="AC183" s="1">
        <f t="shared" si="144"/>
        <v>0</v>
      </c>
      <c r="AD183" s="1" t="str">
        <f t="shared" si="149"/>
        <v/>
      </c>
      <c r="AE183" s="1" t="str">
        <f t="shared" si="150"/>
        <v/>
      </c>
      <c r="AF183" s="1">
        <f t="shared" si="145"/>
        <v>0</v>
      </c>
      <c r="AG183" s="1">
        <f t="shared" si="151"/>
        <v>5</v>
      </c>
      <c r="AH183" s="1" t="str">
        <f t="shared" si="146"/>
        <v/>
      </c>
      <c r="AI183" s="1">
        <v>1</v>
      </c>
      <c r="AJ183" s="1">
        <f t="shared" si="153"/>
        <v>0</v>
      </c>
      <c r="AK183" s="1">
        <v>1</v>
      </c>
      <c r="AL183" s="1">
        <v>1</v>
      </c>
      <c r="AM183" s="1">
        <v>1</v>
      </c>
      <c r="AN183" s="1">
        <f t="shared" si="154"/>
        <v>0</v>
      </c>
      <c r="AO183" s="1">
        <v>2</v>
      </c>
      <c r="AP183" s="1">
        <v>2</v>
      </c>
      <c r="AQ183" s="1">
        <v>2</v>
      </c>
      <c r="AR183" s="1">
        <v>2</v>
      </c>
      <c r="AS183" s="1">
        <v>2</v>
      </c>
      <c r="AT183" s="1">
        <v>2</v>
      </c>
      <c r="AU183" s="1">
        <v>2</v>
      </c>
      <c r="AV183" s="1">
        <v>2</v>
      </c>
      <c r="AW183" s="1">
        <v>1</v>
      </c>
      <c r="AX183" s="1">
        <v>2</v>
      </c>
      <c r="AY183" s="1">
        <v>1</v>
      </c>
      <c r="AZ183" s="1">
        <v>1</v>
      </c>
      <c r="BA183" s="1">
        <v>1</v>
      </c>
      <c r="BB183" s="1">
        <v>1</v>
      </c>
      <c r="BC183" s="1">
        <v>1</v>
      </c>
      <c r="BD183" s="1">
        <v>1</v>
      </c>
      <c r="BE183" s="1">
        <v>2</v>
      </c>
      <c r="BF183" s="1">
        <v>1</v>
      </c>
      <c r="BG183" s="1">
        <f t="shared" si="155"/>
        <v>0</v>
      </c>
      <c r="BH183" s="1">
        <f t="shared" si="156"/>
        <v>0</v>
      </c>
      <c r="BI183" s="1">
        <v>1</v>
      </c>
      <c r="BJ183" s="1">
        <v>1</v>
      </c>
      <c r="BK183" s="1">
        <v>2</v>
      </c>
      <c r="BL183" s="1">
        <v>2</v>
      </c>
      <c r="BM183" s="1">
        <v>2</v>
      </c>
      <c r="BN183" s="1">
        <v>2</v>
      </c>
      <c r="BO183" s="1">
        <v>2</v>
      </c>
      <c r="BP183" s="1">
        <f>1+NOT(HRLivingGreyhawk)</f>
        <v>2</v>
      </c>
      <c r="BQ183" s="1">
        <f>IF(HRRVL,2,0)</f>
        <v>0</v>
      </c>
      <c r="BR183" s="1">
        <v>2</v>
      </c>
      <c r="BS183" s="1">
        <v>2</v>
      </c>
      <c r="BT183" s="1">
        <f>IF(HRXPH,2,0)</f>
        <v>0</v>
      </c>
      <c r="BU183" s="1">
        <f t="shared" si="169"/>
        <v>0</v>
      </c>
      <c r="BV183" s="1">
        <v>2</v>
      </c>
      <c r="BW183" s="1">
        <v>2</v>
      </c>
      <c r="BX183" s="1">
        <v>2</v>
      </c>
      <c r="BY183" s="1">
        <v>2</v>
      </c>
      <c r="BZ183" s="1">
        <v>2</v>
      </c>
      <c r="CA183" s="1">
        <v>2</v>
      </c>
      <c r="CB183" s="1">
        <v>2</v>
      </c>
      <c r="CC183" s="1">
        <v>2</v>
      </c>
      <c r="CD183" s="1">
        <v>2</v>
      </c>
      <c r="CE183" s="1">
        <v>2</v>
      </c>
      <c r="CF183" s="1">
        <v>1</v>
      </c>
      <c r="CG183" s="1">
        <f t="shared" si="158"/>
        <v>0</v>
      </c>
      <c r="CH183" s="1">
        <v>1</v>
      </c>
      <c r="CI183" s="1">
        <v>1</v>
      </c>
      <c r="CJ183" s="1">
        <v>1</v>
      </c>
      <c r="CK183" s="1">
        <v>1</v>
      </c>
      <c r="CL183" s="1">
        <v>1</v>
      </c>
      <c r="CM183" s="1">
        <v>1</v>
      </c>
      <c r="CN183" s="1">
        <v>1</v>
      </c>
      <c r="CO183" s="1">
        <v>1</v>
      </c>
      <c r="CP183" s="1">
        <v>2</v>
      </c>
      <c r="CQ183" s="1">
        <v>2</v>
      </c>
      <c r="CR183" s="1">
        <v>2</v>
      </c>
      <c r="CS183" s="1">
        <v>2</v>
      </c>
      <c r="CT183" s="1">
        <v>2</v>
      </c>
      <c r="CU183" s="1">
        <v>2</v>
      </c>
      <c r="CV183" s="1">
        <f t="shared" si="159"/>
        <v>0</v>
      </c>
      <c r="CW183" s="1">
        <v>1</v>
      </c>
      <c r="CX183" s="1">
        <v>1</v>
      </c>
      <c r="CY183" s="1">
        <v>1</v>
      </c>
      <c r="CZ183" s="1">
        <f t="shared" si="160"/>
        <v>0</v>
      </c>
      <c r="DA183" s="1">
        <v>1</v>
      </c>
      <c r="DB183" s="1">
        <v>1</v>
      </c>
      <c r="DC183" s="1">
        <v>2</v>
      </c>
      <c r="DD183" s="1">
        <v>1</v>
      </c>
      <c r="DE183" s="1">
        <v>1</v>
      </c>
      <c r="DF183" s="1">
        <v>1</v>
      </c>
      <c r="DG183" s="1">
        <v>1</v>
      </c>
      <c r="DH183" s="1">
        <v>1</v>
      </c>
      <c r="DI183" s="1">
        <f t="shared" si="161"/>
        <v>0</v>
      </c>
      <c r="DJ183" s="1">
        <v>1</v>
      </c>
      <c r="DK183" s="1" t="s">
        <v>140</v>
      </c>
      <c r="DL183" s="1" t="s">
        <v>170</v>
      </c>
      <c r="DR183" s="1" t="b">
        <f>AlignmentNeutral</f>
        <v>0</v>
      </c>
      <c r="DS183" s="1" t="b">
        <f>SkSpellcraftRanks&gt;=10</f>
        <v>0</v>
      </c>
      <c r="DT183" s="1" t="b">
        <f>FtHeightenSpell</f>
        <v>0</v>
      </c>
      <c r="DU183" s="1" t="b">
        <f>FtSpellPenetration</f>
        <v>0</v>
      </c>
      <c r="DV183" s="1" t="b">
        <f ca="1">OR(MaxArcaneSpellLevel&gt;=3,MaxDivineSpellLevel&gt;=3)</f>
        <v>0</v>
      </c>
      <c r="EA183" s="1" t="b">
        <f t="shared" ca="1" si="168"/>
        <v>0</v>
      </c>
      <c r="EB183" s="11" t="s">
        <v>334</v>
      </c>
      <c r="EC183" s="1" t="str">
        <f ca="1">IF(DR183,"","• Any neutral alignment.
")&amp;IF(DS183,"","• 10 ranks in Spellcraft.
")&amp;IF(DT183,"","• Heighten Spell feat.
")&amp;IF(DU183,"","• Spell Penetration feat.
")&amp;IF(DV183,"","• Ability to cast 3rd-level arcane or 3rd-level divine spells.")</f>
        <v>• Any neutral alignment.
• 10 ranks in Spellcraft.
• Heighten Spell feat.
• Spell Penetration feat.
• Ability to cast 3rd-level arcane or 3rd-level divine spells.</v>
      </c>
      <c r="ED183" s="11" t="s">
        <v>335</v>
      </c>
      <c r="EN183" s="8" t="s">
        <v>153</v>
      </c>
      <c r="EO183" s="10">
        <f>IF(DoFeatAbilityAdj,SUMPRODUCT((($EG$150:INDEX(TblFeatAbilitiesAdj, FeatAbilitiesAdjRowsCnt,3))=$EN183)*(($EN$150:INDEX(TblFeatAbilitiesAdj, FeatAbilitiesAdjRowsCnt,10))&lt;=LvlCS)*($EH$150:INDEX(TblFeatAbilitiesAdj, FeatAbilitiesAdjRowsCnt,4)*($EI$150:$EI$171))),0)</f>
        <v>0</v>
      </c>
    </row>
    <row r="184" spans="1:145" ht="11.25" customHeight="1" x14ac:dyDescent="0.2">
      <c r="A184" s="1">
        <f t="shared" si="137"/>
        <v>181</v>
      </c>
      <c r="B184" s="1" t="s">
        <v>540</v>
      </c>
      <c r="C184" s="1" t="s">
        <v>478</v>
      </c>
      <c r="D184" s="1" t="s">
        <v>541</v>
      </c>
      <c r="E184" s="1">
        <f t="shared" si="143"/>
        <v>0</v>
      </c>
      <c r="G184" s="1">
        <f>INT(WaPLvl/2)</f>
        <v>0</v>
      </c>
      <c r="K184" s="1">
        <v>2</v>
      </c>
      <c r="L184" s="1">
        <v>10</v>
      </c>
      <c r="M184" s="1">
        <f>WaPLvl</f>
        <v>0</v>
      </c>
      <c r="N184" s="1" t="b">
        <v>1</v>
      </c>
      <c r="O184" s="1" t="b">
        <v>1</v>
      </c>
      <c r="P184" s="1" t="b">
        <v>1</v>
      </c>
      <c r="Q184" s="1" t="b">
        <v>1</v>
      </c>
      <c r="R184" s="1" t="b">
        <v>1</v>
      </c>
      <c r="S184" s="1" t="b">
        <v>1</v>
      </c>
      <c r="T184" s="1" t="b">
        <v>1</v>
      </c>
      <c r="V184" s="1">
        <v>1</v>
      </c>
      <c r="W184" s="1">
        <v>0.5</v>
      </c>
      <c r="X184" s="1">
        <v>0.34</v>
      </c>
      <c r="Y184" s="1">
        <v>0.34</v>
      </c>
      <c r="Z184" s="1" t="b">
        <f>FALSE</f>
        <v>0</v>
      </c>
      <c r="AA184" s="1" t="str">
        <f t="shared" si="147"/>
        <v/>
      </c>
      <c r="AB184" s="1" t="str">
        <f t="shared" si="148"/>
        <v/>
      </c>
      <c r="AC184" s="1">
        <f t="shared" si="144"/>
        <v>0</v>
      </c>
      <c r="AD184" s="1" t="str">
        <f t="shared" si="149"/>
        <v/>
      </c>
      <c r="AE184" s="1" t="str">
        <f t="shared" si="150"/>
        <v/>
      </c>
      <c r="AF184" s="1">
        <f t="shared" si="145"/>
        <v>0</v>
      </c>
      <c r="AG184" s="1">
        <f t="shared" si="151"/>
        <v>5</v>
      </c>
      <c r="AH184" s="1" t="str">
        <f t="shared" si="146"/>
        <v/>
      </c>
      <c r="AI184" s="1">
        <v>1</v>
      </c>
      <c r="AJ184" s="1">
        <f t="shared" si="153"/>
        <v>0</v>
      </c>
      <c r="AK184" s="1">
        <v>1</v>
      </c>
      <c r="AL184" s="1">
        <v>1</v>
      </c>
      <c r="AM184" s="1">
        <v>1</v>
      </c>
      <c r="AN184" s="1">
        <f t="shared" si="154"/>
        <v>0</v>
      </c>
      <c r="AO184" s="1">
        <v>2</v>
      </c>
      <c r="AP184" s="1">
        <v>2</v>
      </c>
      <c r="AQ184" s="1">
        <v>2</v>
      </c>
      <c r="AR184" s="1">
        <v>2</v>
      </c>
      <c r="AS184" s="1">
        <v>2</v>
      </c>
      <c r="AT184" s="1">
        <v>2</v>
      </c>
      <c r="AU184" s="1">
        <v>2</v>
      </c>
      <c r="AV184" s="1">
        <v>2</v>
      </c>
      <c r="AW184" s="1">
        <v>1</v>
      </c>
      <c r="AX184" s="1">
        <v>2</v>
      </c>
      <c r="AY184" s="1">
        <v>1</v>
      </c>
      <c r="AZ184" s="1">
        <v>1</v>
      </c>
      <c r="BA184" s="1">
        <v>1</v>
      </c>
      <c r="BB184" s="1">
        <v>1</v>
      </c>
      <c r="BC184" s="1">
        <v>1</v>
      </c>
      <c r="BD184" s="1">
        <v>2</v>
      </c>
      <c r="BE184" s="1">
        <v>1</v>
      </c>
      <c r="BF184" s="1">
        <v>1</v>
      </c>
      <c r="BG184" s="1">
        <f t="shared" si="155"/>
        <v>0</v>
      </c>
      <c r="BH184" s="1">
        <f t="shared" si="156"/>
        <v>0</v>
      </c>
      <c r="BI184" s="1">
        <v>1</v>
      </c>
      <c r="BJ184" s="1">
        <v>1</v>
      </c>
      <c r="BK184" s="1">
        <v>1</v>
      </c>
      <c r="BL184" s="1">
        <v>1</v>
      </c>
      <c r="BM184" s="1">
        <v>1</v>
      </c>
      <c r="BN184" s="1">
        <v>1</v>
      </c>
      <c r="BO184" s="1">
        <v>2</v>
      </c>
      <c r="BP184" s="1">
        <v>1</v>
      </c>
      <c r="BQ184" s="1">
        <f>IF(HRRVL,1,0)</f>
        <v>0</v>
      </c>
      <c r="BR184" s="1">
        <v>1</v>
      </c>
      <c r="BS184" s="1">
        <v>1</v>
      </c>
      <c r="BT184" s="1">
        <f>IF(HRXPH,1,0)</f>
        <v>0</v>
      </c>
      <c r="BU184" s="1">
        <f>IF(HRRVL,1,0)</f>
        <v>0</v>
      </c>
      <c r="BV184" s="1">
        <v>1</v>
      </c>
      <c r="BW184" s="1">
        <v>1</v>
      </c>
      <c r="BX184" s="1">
        <v>1</v>
      </c>
      <c r="BY184" s="1">
        <v>1</v>
      </c>
      <c r="BZ184" s="1">
        <v>1</v>
      </c>
      <c r="CA184" s="1">
        <v>1</v>
      </c>
      <c r="CB184" s="1">
        <v>1</v>
      </c>
      <c r="CC184" s="1">
        <v>1</v>
      </c>
      <c r="CD184" s="1">
        <v>1</v>
      </c>
      <c r="CE184" s="1">
        <v>1</v>
      </c>
      <c r="CF184" s="1">
        <v>1</v>
      </c>
      <c r="CG184" s="1">
        <f t="shared" si="158"/>
        <v>0</v>
      </c>
      <c r="CH184" s="1">
        <v>1</v>
      </c>
      <c r="CI184" s="1">
        <v>1</v>
      </c>
      <c r="CJ184" s="1">
        <v>1</v>
      </c>
      <c r="CK184" s="1">
        <v>1</v>
      </c>
      <c r="CL184" s="1">
        <v>1</v>
      </c>
      <c r="CM184" s="1">
        <v>1</v>
      </c>
      <c r="CN184" s="1">
        <v>1</v>
      </c>
      <c r="CO184" s="1">
        <v>1</v>
      </c>
      <c r="CP184" s="1">
        <v>1</v>
      </c>
      <c r="CQ184" s="1">
        <v>1</v>
      </c>
      <c r="CR184" s="1">
        <v>1</v>
      </c>
      <c r="CS184" s="1">
        <v>1</v>
      </c>
      <c r="CT184" s="1">
        <v>1</v>
      </c>
      <c r="CU184" s="1">
        <v>1</v>
      </c>
      <c r="CV184" s="1">
        <f t="shared" si="159"/>
        <v>0</v>
      </c>
      <c r="CW184" s="1">
        <v>2</v>
      </c>
      <c r="CX184" s="1">
        <v>1</v>
      </c>
      <c r="CY184" s="1">
        <v>2</v>
      </c>
      <c r="CZ184" s="1">
        <f t="shared" si="160"/>
        <v>0</v>
      </c>
      <c r="DA184" s="1">
        <v>1</v>
      </c>
      <c r="DB184" s="1">
        <v>1</v>
      </c>
      <c r="DC184" s="1">
        <v>2</v>
      </c>
      <c r="DD184" s="1">
        <v>1</v>
      </c>
      <c r="DE184" s="1">
        <v>1</v>
      </c>
      <c r="DF184" s="1">
        <v>2</v>
      </c>
      <c r="DG184" s="1">
        <v>1</v>
      </c>
      <c r="DH184" s="1">
        <v>1</v>
      </c>
      <c r="DI184" s="1">
        <f t="shared" si="161"/>
        <v>0</v>
      </c>
      <c r="DJ184" s="1">
        <v>1</v>
      </c>
      <c r="DK184" s="1" t="s">
        <v>140</v>
      </c>
      <c r="DL184" s="1" t="s">
        <v>40</v>
      </c>
      <c r="DR184" s="1" t="b">
        <f>BaseAtk&gt;=5</f>
        <v>0</v>
      </c>
      <c r="DS184" s="1" t="b">
        <f>SkDiplomacyRanks&gt;=8</f>
        <v>0</v>
      </c>
      <c r="DT184" s="1" t="b">
        <f>SkSenseMotiveRanks&gt;=5</f>
        <v>0</v>
      </c>
      <c r="DU184" s="1" t="b">
        <f>OR(FreeCombatCasting,FtCombatCasting)</f>
        <v>0</v>
      </c>
      <c r="DV184" s="1" t="b">
        <f>OR(NOT(ISNA(MATCH("Destruction",Domains,0))),NOT(ISNA(MATCH("Protection",Domains,0))),NOT(ISNA(MATCH("Strength",Domains,0))),NOT(ISNA(MATCH("War",Domains,0))))</f>
        <v>0</v>
      </c>
      <c r="DW184" s="1" t="b">
        <f>TurnLvl&gt;=1</f>
        <v>0</v>
      </c>
      <c r="EA184" s="1" t="b">
        <f t="shared" si="168"/>
        <v>0</v>
      </c>
      <c r="EB184" s="11" t="s">
        <v>334</v>
      </c>
      <c r="EC184" s="1" t="str">
        <f>IF(DR184,"","• A base attack bonus of +5 or higher.
")&amp;IF(DS184,"","• 8 ranks in Diplomacy.
")&amp;IF(DT184,"","• 5 ranks in Sense Motive.
")&amp;IF(DU184,"","• Combat Casting feat.
")&amp;IF(DV184,"","• Access to one of the following domains: Destruction, Protection,
   Strength, or War.
")&amp;IF(DW184,"","• Ability to turn or rebuke undead.")</f>
        <v>• A base attack bonus of +5 or higher.
• 8 ranks in Diplomacy.
• 5 ranks in Sense Motive.
• Combat Casting feat.
• Access to one of the following domains: Destruction, Protection,
   Strength, or War.
• Ability to turn or rebuke undead.</v>
      </c>
      <c r="ED184" s="11" t="s">
        <v>335</v>
      </c>
      <c r="EN184" s="8" t="s">
        <v>118</v>
      </c>
      <c r="EO184" s="10">
        <f>IF(DoFeatAbilityAdj,SUMPRODUCT((($EG$150:INDEX(TblFeatAbilitiesAdj, FeatAbilitiesAdjRowsCnt,3))=$EN184)*(($EN$150:INDEX(TblFeatAbilitiesAdj, FeatAbilitiesAdjRowsCnt,10))&lt;=LvlCS)*($EH$150:INDEX(TblFeatAbilitiesAdj, FeatAbilitiesAdjRowsCnt,4)*($EI$150:$EI$171))),0)</f>
        <v>0</v>
      </c>
    </row>
    <row r="185" spans="1:145" ht="11.25" customHeight="1" thickBot="1" x14ac:dyDescent="0.25">
      <c r="A185" s="1">
        <f t="shared" si="137"/>
        <v>182</v>
      </c>
      <c r="B185" s="1" t="s">
        <v>542</v>
      </c>
      <c r="E185" s="1">
        <f t="shared" si="143"/>
        <v>0</v>
      </c>
      <c r="F185" s="1">
        <v>1</v>
      </c>
      <c r="Z185" s="1" t="b">
        <f>FALSE</f>
        <v>0</v>
      </c>
      <c r="AA185" s="1" t="str">
        <f t="shared" si="147"/>
        <v/>
      </c>
      <c r="AB185" s="1" t="str">
        <f t="shared" si="148"/>
        <v/>
      </c>
      <c r="AC185" s="1">
        <f t="shared" si="144"/>
        <v>0</v>
      </c>
      <c r="AD185" s="1" t="str">
        <f t="shared" si="149"/>
        <v/>
      </c>
      <c r="AE185" s="1" t="str">
        <f t="shared" si="150"/>
        <v/>
      </c>
      <c r="AF185" s="1">
        <f t="shared" si="145"/>
        <v>0</v>
      </c>
      <c r="AG185" s="1">
        <f t="shared" si="151"/>
        <v>5</v>
      </c>
      <c r="AH185" s="1" t="str">
        <f t="shared" si="146"/>
        <v/>
      </c>
      <c r="EB185" s="11"/>
      <c r="ED185" s="11" t="s">
        <v>335</v>
      </c>
      <c r="EN185" s="23" t="s">
        <v>162</v>
      </c>
      <c r="EO185" s="24">
        <f>IF(DoFeatAbilityAdj,SUMPRODUCT((($EG$150:INDEX(TblFeatAbilitiesAdj, FeatAbilitiesAdjRowsCnt,3))=$EN185)*(($EN$150:INDEX(TblFeatAbilitiesAdj, FeatAbilitiesAdjRowsCnt,10))&lt;=LvlCS)*($EH$150:INDEX(TblFeatAbilitiesAdj, FeatAbilitiesAdjRowsCnt,4)*($EI$150:$EI$171))),0)</f>
        <v>0</v>
      </c>
    </row>
    <row r="186" spans="1:145" ht="11.25" customHeight="1" x14ac:dyDescent="0.2">
      <c r="A186" s="1">
        <f t="shared" si="137"/>
        <v>183</v>
      </c>
      <c r="B186" s="1" t="s">
        <v>543</v>
      </c>
      <c r="C186" s="1" t="s">
        <v>125</v>
      </c>
      <c r="D186" s="1" t="s">
        <v>125</v>
      </c>
      <c r="E186" s="1">
        <f t="shared" si="143"/>
        <v>0</v>
      </c>
      <c r="G186" s="1">
        <f>INT(AoSLvl/2)</f>
        <v>0</v>
      </c>
      <c r="K186" s="1">
        <v>2</v>
      </c>
      <c r="L186" s="1">
        <v>8</v>
      </c>
      <c r="V186" s="1">
        <v>0.75</v>
      </c>
      <c r="W186" s="1">
        <v>0.5</v>
      </c>
      <c r="X186" s="1">
        <v>0.34</v>
      </c>
      <c r="Y186" s="1">
        <v>0.5</v>
      </c>
      <c r="Z186" s="1" t="b">
        <f>FALSE</f>
        <v>0</v>
      </c>
      <c r="AA186" s="1" t="str">
        <f t="shared" si="147"/>
        <v/>
      </c>
      <c r="AB186" s="1" t="str">
        <f t="shared" si="148"/>
        <v/>
      </c>
      <c r="AC186" s="1">
        <f t="shared" si="144"/>
        <v>0</v>
      </c>
      <c r="AD186" s="1" t="str">
        <f t="shared" si="149"/>
        <v/>
      </c>
      <c r="AE186" s="1" t="str">
        <f t="shared" si="150"/>
        <v/>
      </c>
      <c r="AF186" s="1">
        <f t="shared" si="145"/>
        <v>0</v>
      </c>
      <c r="AG186" s="1">
        <f t="shared" si="151"/>
        <v>5</v>
      </c>
      <c r="AH186" s="1" t="str">
        <f t="shared" si="146"/>
        <v/>
      </c>
      <c r="AI186" s="1">
        <v>1</v>
      </c>
      <c r="AJ186" s="1">
        <f t="shared" ref="AJ186:AJ204" si="170">IF(HRXPH,1,0)</f>
        <v>0</v>
      </c>
      <c r="AK186" s="1">
        <v>1</v>
      </c>
      <c r="AL186" s="1">
        <v>1</v>
      </c>
      <c r="AM186" s="1">
        <v>1</v>
      </c>
      <c r="AN186" s="1">
        <f t="shared" ref="AN186:AN204" si="171">IF(IsLycanthrope,2,0)</f>
        <v>0</v>
      </c>
      <c r="AO186" s="1">
        <v>2</v>
      </c>
      <c r="AP186" s="1">
        <v>2</v>
      </c>
      <c r="AQ186" s="1">
        <v>2</v>
      </c>
      <c r="AR186" s="1">
        <v>2</v>
      </c>
      <c r="AS186" s="1">
        <v>2</v>
      </c>
      <c r="AT186" s="1">
        <v>2</v>
      </c>
      <c r="AU186" s="1">
        <v>2</v>
      </c>
      <c r="AV186" s="1">
        <v>2</v>
      </c>
      <c r="AW186" s="1">
        <v>1</v>
      </c>
      <c r="AX186" s="1">
        <v>1</v>
      </c>
      <c r="AY186" s="1">
        <v>1</v>
      </c>
      <c r="AZ186" s="1">
        <v>1</v>
      </c>
      <c r="BA186" s="1">
        <v>1</v>
      </c>
      <c r="BB186" s="1">
        <v>1</v>
      </c>
      <c r="BC186" s="1">
        <v>1</v>
      </c>
      <c r="BD186" s="1">
        <v>1</v>
      </c>
      <c r="BE186" s="1">
        <v>1</v>
      </c>
      <c r="BF186" s="1">
        <v>1</v>
      </c>
      <c r="BG186" s="1">
        <f t="shared" ref="BG186:BG204" si="172">IF(HRRVL,1,0)</f>
        <v>0</v>
      </c>
      <c r="BH186" s="1">
        <f t="shared" ref="BH186:BH204" si="173">IF(HROA,1,0)</f>
        <v>0</v>
      </c>
      <c r="BI186" s="1">
        <v>2</v>
      </c>
      <c r="BJ186" s="1">
        <v>1</v>
      </c>
      <c r="BK186" s="1">
        <v>2</v>
      </c>
      <c r="BL186" s="1">
        <v>1</v>
      </c>
      <c r="BM186" s="1">
        <v>1</v>
      </c>
      <c r="BN186" s="1">
        <v>1</v>
      </c>
      <c r="BO186" s="1">
        <v>1</v>
      </c>
      <c r="BP186" s="1">
        <v>1</v>
      </c>
      <c r="BQ186" s="1">
        <f>IF(HRRVL,1,0)</f>
        <v>0</v>
      </c>
      <c r="BR186" s="1">
        <v>1</v>
      </c>
      <c r="BS186" s="1">
        <v>1</v>
      </c>
      <c r="BT186" s="1">
        <f>IF(HRXPH,1,0)</f>
        <v>0</v>
      </c>
      <c r="BU186" s="1">
        <f>IF(HRRVL,1,0)</f>
        <v>0</v>
      </c>
      <c r="BV186" s="1">
        <v>1</v>
      </c>
      <c r="BW186" s="1">
        <v>2</v>
      </c>
      <c r="BX186" s="1">
        <v>1</v>
      </c>
      <c r="BY186" s="1">
        <v>1</v>
      </c>
      <c r="BZ186" s="1">
        <v>1</v>
      </c>
      <c r="CA186" s="1">
        <v>1</v>
      </c>
      <c r="CB186" s="1">
        <v>1</v>
      </c>
      <c r="CC186" s="1">
        <v>1</v>
      </c>
      <c r="CD186" s="1">
        <v>1</v>
      </c>
      <c r="CE186" s="1">
        <v>1</v>
      </c>
      <c r="CF186" s="1">
        <v>1</v>
      </c>
      <c r="CG186" s="1">
        <f t="shared" ref="CG186:CG204" si="174">IF(HRToB,1,0)</f>
        <v>0</v>
      </c>
      <c r="CH186" s="1">
        <v>1</v>
      </c>
      <c r="CI186" s="1">
        <v>1</v>
      </c>
      <c r="CJ186" s="1">
        <v>1</v>
      </c>
      <c r="CK186" s="1">
        <v>1</v>
      </c>
      <c r="CL186" s="1">
        <v>1</v>
      </c>
      <c r="CM186" s="1">
        <v>1</v>
      </c>
      <c r="CN186" s="1">
        <v>1</v>
      </c>
      <c r="CO186" s="1">
        <v>1</v>
      </c>
      <c r="CP186" s="1">
        <v>2</v>
      </c>
      <c r="CQ186" s="1">
        <v>2</v>
      </c>
      <c r="CR186" s="1">
        <v>2</v>
      </c>
      <c r="CS186" s="1">
        <v>2</v>
      </c>
      <c r="CT186" s="1">
        <v>2</v>
      </c>
      <c r="CU186" s="1">
        <v>2</v>
      </c>
      <c r="CV186" s="1">
        <f t="shared" ref="CV186:CV204" si="175">IF(HRXPH,1,0)</f>
        <v>0</v>
      </c>
      <c r="CW186" s="1">
        <v>1</v>
      </c>
      <c r="CX186" s="1">
        <v>1</v>
      </c>
      <c r="CY186" s="1">
        <v>1</v>
      </c>
      <c r="CZ186" s="1">
        <f t="shared" ref="CZ186:CZ204" si="176">IF(HRCS,1,0)</f>
        <v>0</v>
      </c>
      <c r="DA186" s="1">
        <v>1</v>
      </c>
      <c r="DB186" s="1">
        <v>1</v>
      </c>
      <c r="DC186" s="1">
        <v>2</v>
      </c>
      <c r="DD186" s="1">
        <v>1</v>
      </c>
      <c r="DE186" s="1">
        <v>1</v>
      </c>
      <c r="DF186" s="1">
        <v>1</v>
      </c>
      <c r="DG186" s="1">
        <v>1</v>
      </c>
      <c r="DH186" s="1">
        <v>1</v>
      </c>
      <c r="DI186" s="1">
        <f t="shared" ref="DI186:DI204" si="177">IF(HRXPH,1,0)</f>
        <v>0</v>
      </c>
      <c r="DJ186" s="1">
        <v>1</v>
      </c>
      <c r="DK186" s="1" t="s">
        <v>157</v>
      </c>
      <c r="DL186" s="1" t="s">
        <v>150</v>
      </c>
      <c r="DR186" s="1" t="b">
        <f>AlignmentNonGood</f>
        <v>0</v>
      </c>
      <c r="DS186" s="1" t="b">
        <f>SkKnowledgePlanesRanks&gt;=6</f>
        <v>0</v>
      </c>
      <c r="DT186" s="1" t="b">
        <f>MAX(MaxCasterLevel,MaxArtificerLevel)&gt;=5</f>
        <v>0</v>
      </c>
      <c r="EA186" s="1" t="b">
        <f>AND(DM186:DZ186)</f>
        <v>0</v>
      </c>
      <c r="EB186" s="11" t="s">
        <v>338</v>
      </c>
      <c r="EC186" s="1" t="str">
        <f>IF(DR186,"","• Any non-good alignment.
")&amp;IF(DS186,"","• 6 ranks in Knowledge (the planes).
")&amp;IF(DT186,"","• Caster level of 5th.
")&amp;"• Must have made peaceful contact with a summoned evil outsider
   (not verified).
"&amp;"• Must undergo the Ritual of Bonding (not verified)."</f>
        <v>• Any non-good alignment.
• 6 ranks in Knowledge (the planes).
• Caster level of 5th.
• Must have made peaceful contact with a summoned evil outsider
   (not verified).
• Must undergo the Ritual of Bonding (not verified).</v>
      </c>
      <c r="ED186" s="11" t="s">
        <v>335</v>
      </c>
    </row>
    <row r="187" spans="1:145" ht="11.25" customHeight="1" thickBot="1" x14ac:dyDescent="0.25">
      <c r="A187" s="1">
        <f t="shared" si="137"/>
        <v>184</v>
      </c>
      <c r="B187" s="1" t="s">
        <v>544</v>
      </c>
      <c r="C187" s="1" t="s">
        <v>117</v>
      </c>
      <c r="D187" s="1" t="s">
        <v>117</v>
      </c>
      <c r="E187" s="1">
        <f t="shared" si="143"/>
        <v>0</v>
      </c>
      <c r="G187" s="1">
        <f>AliLvl</f>
        <v>0</v>
      </c>
      <c r="K187" s="1">
        <v>2</v>
      </c>
      <c r="L187" s="1">
        <v>4</v>
      </c>
      <c r="V187" s="1">
        <v>0.5</v>
      </c>
      <c r="W187" s="1">
        <v>0.34</v>
      </c>
      <c r="X187" s="1">
        <v>0.34</v>
      </c>
      <c r="Y187" s="1">
        <v>0.5</v>
      </c>
      <c r="Z187" s="1" t="b">
        <f>FALSE</f>
        <v>0</v>
      </c>
      <c r="AA187" s="1" t="str">
        <f t="shared" si="147"/>
        <v/>
      </c>
      <c r="AB187" s="1" t="str">
        <f t="shared" si="148"/>
        <v/>
      </c>
      <c r="AC187" s="1">
        <f t="shared" si="144"/>
        <v>0</v>
      </c>
      <c r="AD187" s="1" t="str">
        <f t="shared" si="149"/>
        <v/>
      </c>
      <c r="AE187" s="1" t="str">
        <f t="shared" si="150"/>
        <v/>
      </c>
      <c r="AF187" s="1">
        <f t="shared" si="145"/>
        <v>0</v>
      </c>
      <c r="AG187" s="1">
        <f t="shared" si="151"/>
        <v>5</v>
      </c>
      <c r="AH187" s="1" t="str">
        <f t="shared" si="146"/>
        <v/>
      </c>
      <c r="AI187" s="1">
        <v>1</v>
      </c>
      <c r="AJ187" s="1">
        <f t="shared" si="170"/>
        <v>0</v>
      </c>
      <c r="AK187" s="1">
        <v>1</v>
      </c>
      <c r="AL187" s="1">
        <v>1</v>
      </c>
      <c r="AM187" s="1">
        <v>1</v>
      </c>
      <c r="AN187" s="1">
        <f t="shared" si="171"/>
        <v>0</v>
      </c>
      <c r="AO187" s="1">
        <v>2</v>
      </c>
      <c r="AP187" s="1">
        <v>1</v>
      </c>
      <c r="AQ187" s="1">
        <v>1</v>
      </c>
      <c r="AR187" s="1">
        <v>1</v>
      </c>
      <c r="AS187" s="1">
        <v>1</v>
      </c>
      <c r="AT187" s="1">
        <v>1</v>
      </c>
      <c r="AU187" s="1">
        <v>1</v>
      </c>
      <c r="AV187" s="1">
        <v>1</v>
      </c>
      <c r="AW187" s="1">
        <v>1</v>
      </c>
      <c r="AX187" s="1">
        <v>1</v>
      </c>
      <c r="AY187" s="1">
        <v>1</v>
      </c>
      <c r="AZ187" s="1">
        <v>1</v>
      </c>
      <c r="BA187" s="1">
        <v>1</v>
      </c>
      <c r="BB187" s="1">
        <v>1</v>
      </c>
      <c r="BC187" s="1">
        <v>2</v>
      </c>
      <c r="BD187" s="1">
        <v>1</v>
      </c>
      <c r="BE187" s="1">
        <v>1</v>
      </c>
      <c r="BF187" s="1">
        <v>1</v>
      </c>
      <c r="BG187" s="1">
        <f t="shared" si="172"/>
        <v>0</v>
      </c>
      <c r="BH187" s="1">
        <f t="shared" si="173"/>
        <v>0</v>
      </c>
      <c r="BI187" s="1">
        <v>1</v>
      </c>
      <c r="BJ187" s="1">
        <v>1</v>
      </c>
      <c r="BK187" s="1">
        <v>2</v>
      </c>
      <c r="BL187" s="1">
        <v>2</v>
      </c>
      <c r="BM187" s="1">
        <v>2</v>
      </c>
      <c r="BN187" s="1">
        <v>2</v>
      </c>
      <c r="BO187" s="1">
        <v>2</v>
      </c>
      <c r="BP187" s="1">
        <f>1+NOT(HRLivingGreyhawk)</f>
        <v>2</v>
      </c>
      <c r="BQ187" s="1">
        <f>IF(HRRVL,2,0)</f>
        <v>0</v>
      </c>
      <c r="BR187" s="1">
        <v>2</v>
      </c>
      <c r="BS187" s="1">
        <v>2</v>
      </c>
      <c r="BT187" s="1">
        <f>IF(HRXPH,2,0)</f>
        <v>0</v>
      </c>
      <c r="BU187" s="1">
        <f>IF(HRRVL,2,0)</f>
        <v>0</v>
      </c>
      <c r="BV187" s="1">
        <v>2</v>
      </c>
      <c r="BW187" s="1">
        <v>2</v>
      </c>
      <c r="BX187" s="1">
        <v>2</v>
      </c>
      <c r="BY187" s="1">
        <v>2</v>
      </c>
      <c r="BZ187" s="1">
        <v>2</v>
      </c>
      <c r="CA187" s="1">
        <v>2</v>
      </c>
      <c r="CB187" s="1">
        <v>2</v>
      </c>
      <c r="CC187" s="1">
        <v>2</v>
      </c>
      <c r="CD187" s="1">
        <v>2</v>
      </c>
      <c r="CE187" s="1">
        <v>2</v>
      </c>
      <c r="CF187" s="1">
        <v>2</v>
      </c>
      <c r="CG187" s="1">
        <f t="shared" si="174"/>
        <v>0</v>
      </c>
      <c r="CH187" s="1">
        <v>1</v>
      </c>
      <c r="CI187" s="1">
        <v>1</v>
      </c>
      <c r="CJ187" s="1">
        <v>1</v>
      </c>
      <c r="CK187" s="1">
        <v>1</v>
      </c>
      <c r="CL187" s="1">
        <v>1</v>
      </c>
      <c r="CM187" s="1">
        <v>1</v>
      </c>
      <c r="CN187" s="1">
        <v>1</v>
      </c>
      <c r="CO187" s="1">
        <v>1</v>
      </c>
      <c r="CP187" s="1">
        <v>2</v>
      </c>
      <c r="CQ187" s="1">
        <v>2</v>
      </c>
      <c r="CR187" s="1">
        <v>2</v>
      </c>
      <c r="CS187" s="1">
        <v>2</v>
      </c>
      <c r="CT187" s="1">
        <v>2</v>
      </c>
      <c r="CU187" s="1">
        <v>2</v>
      </c>
      <c r="CV187" s="1">
        <f t="shared" si="175"/>
        <v>0</v>
      </c>
      <c r="CW187" s="1">
        <v>1</v>
      </c>
      <c r="CX187" s="1">
        <v>1</v>
      </c>
      <c r="CY187" s="1">
        <v>1</v>
      </c>
      <c r="CZ187" s="1">
        <f t="shared" si="176"/>
        <v>0</v>
      </c>
      <c r="DA187" s="1">
        <v>1</v>
      </c>
      <c r="DB187" s="1">
        <v>1</v>
      </c>
      <c r="DC187" s="1">
        <v>2</v>
      </c>
      <c r="DD187" s="1">
        <v>2</v>
      </c>
      <c r="DE187" s="1">
        <v>1</v>
      </c>
      <c r="DF187" s="1">
        <v>1</v>
      </c>
      <c r="DG187" s="1">
        <v>1</v>
      </c>
      <c r="DH187" s="1">
        <v>1</v>
      </c>
      <c r="DI187" s="1">
        <f t="shared" si="177"/>
        <v>0</v>
      </c>
      <c r="DJ187" s="1">
        <v>1</v>
      </c>
      <c r="DK187" s="1" t="s">
        <v>157</v>
      </c>
      <c r="DL187" s="1" t="s">
        <v>101</v>
      </c>
      <c r="DR187" s="1" t="b">
        <f>AlignmentNonLawful</f>
        <v>0</v>
      </c>
      <c r="DS187" s="1" t="b">
        <f>SkKnowledgePlanesRanks&gt;=8</f>
        <v>0</v>
      </c>
      <c r="DT187" s="1" t="b">
        <f>OR(FtAugmentSummoning,FreeAugmentSummoning)</f>
        <v>0</v>
      </c>
      <c r="EA187" s="1" t="b">
        <f t="shared" ref="EA187:EA203" si="178">AND(DM187:DZ187)</f>
        <v>0</v>
      </c>
      <c r="EB187" s="11" t="s">
        <v>338</v>
      </c>
      <c r="EC187" s="1" t="str">
        <f>IF(DR187,"","• Any non-lawful alignment.
")&amp;IF(DS187,"","• 8 ranks in Knowledge (the planes).
")&amp;IF(DT187,"","• Augment Summoning feat.
")&amp;"• Able to cast at least one summoning spell of 3rd level or higher
   (not verified).
• Must have made peaceful contact with an alienist or a pseudonatural
   creature (not verified)."</f>
        <v>• Any non-lawful alignment.
• 8 ranks in Knowledge (the planes).
• Augment Summoning feat.
• Able to cast at least one summoning spell of 3rd level or higher
   (not verified).
• Must have made peaceful contact with an alienist or a pseudonatural
   creature (not verified).</v>
      </c>
      <c r="ED187" s="11" t="s">
        <v>335</v>
      </c>
      <c r="EE187" s="4" t="s">
        <v>545</v>
      </c>
    </row>
    <row r="188" spans="1:145" ht="11.25" customHeight="1" x14ac:dyDescent="0.2">
      <c r="A188" s="1">
        <f t="shared" si="137"/>
        <v>185</v>
      </c>
      <c r="B188" s="1" t="s">
        <v>546</v>
      </c>
      <c r="C188" s="1" t="s">
        <v>547</v>
      </c>
      <c r="D188" s="1" t="s">
        <v>547</v>
      </c>
      <c r="E188" s="1">
        <f t="shared" si="143"/>
        <v>0</v>
      </c>
      <c r="G188" s="1">
        <f>MAX(0,ArSLvl-1)</f>
        <v>0</v>
      </c>
      <c r="K188" s="1">
        <v>2</v>
      </c>
      <c r="L188" s="1">
        <v>4</v>
      </c>
      <c r="V188" s="1">
        <v>0.5</v>
      </c>
      <c r="W188" s="1">
        <v>0.34</v>
      </c>
      <c r="X188" s="1">
        <v>0.34</v>
      </c>
      <c r="Y188" s="1">
        <v>0.5</v>
      </c>
      <c r="Z188" s="1" t="b">
        <f>FALSE</f>
        <v>0</v>
      </c>
      <c r="AA188" s="1" t="str">
        <f t="shared" si="147"/>
        <v/>
      </c>
      <c r="AB188" s="1" t="str">
        <f t="shared" si="148"/>
        <v/>
      </c>
      <c r="AC188" s="1">
        <f t="shared" si="144"/>
        <v>0</v>
      </c>
      <c r="AD188" s="1" t="str">
        <f t="shared" si="149"/>
        <v/>
      </c>
      <c r="AE188" s="1" t="str">
        <f t="shared" si="150"/>
        <v/>
      </c>
      <c r="AF188" s="1">
        <f t="shared" si="145"/>
        <v>0</v>
      </c>
      <c r="AG188" s="1">
        <f t="shared" si="151"/>
        <v>5</v>
      </c>
      <c r="AH188" s="1" t="str">
        <f t="shared" si="146"/>
        <v/>
      </c>
      <c r="AI188" s="1">
        <v>1</v>
      </c>
      <c r="AJ188" s="1">
        <f t="shared" si="170"/>
        <v>0</v>
      </c>
      <c r="AK188" s="1">
        <v>1</v>
      </c>
      <c r="AL188" s="1">
        <v>1</v>
      </c>
      <c r="AM188" s="1">
        <v>1</v>
      </c>
      <c r="AN188" s="1">
        <f t="shared" si="171"/>
        <v>0</v>
      </c>
      <c r="AO188" s="1">
        <v>2</v>
      </c>
      <c r="AP188" s="1">
        <v>2</v>
      </c>
      <c r="AQ188" s="1">
        <v>2</v>
      </c>
      <c r="AR188" s="1">
        <v>2</v>
      </c>
      <c r="AS188" s="1">
        <v>2</v>
      </c>
      <c r="AT188" s="1">
        <v>2</v>
      </c>
      <c r="AU188" s="1">
        <v>2</v>
      </c>
      <c r="AV188" s="1">
        <v>2</v>
      </c>
      <c r="AW188" s="1">
        <v>1</v>
      </c>
      <c r="AX188" s="1">
        <v>1</v>
      </c>
      <c r="AY188" s="1">
        <v>1</v>
      </c>
      <c r="AZ188" s="1">
        <v>1</v>
      </c>
      <c r="BA188" s="1">
        <v>1</v>
      </c>
      <c r="BB188" s="1">
        <v>1</v>
      </c>
      <c r="BC188" s="1">
        <v>1</v>
      </c>
      <c r="BD188" s="1">
        <v>1</v>
      </c>
      <c r="BE188" s="1">
        <v>1</v>
      </c>
      <c r="BF188" s="1">
        <v>1</v>
      </c>
      <c r="BG188" s="1">
        <f t="shared" si="172"/>
        <v>0</v>
      </c>
      <c r="BH188" s="1">
        <f t="shared" si="173"/>
        <v>0</v>
      </c>
      <c r="BI188" s="1">
        <v>1</v>
      </c>
      <c r="BJ188" s="1">
        <v>1</v>
      </c>
      <c r="BK188" s="1">
        <v>2</v>
      </c>
      <c r="BL188" s="1">
        <v>2</v>
      </c>
      <c r="BM188" s="1">
        <v>2</v>
      </c>
      <c r="BN188" s="1">
        <v>2</v>
      </c>
      <c r="BO188" s="1">
        <v>2</v>
      </c>
      <c r="BP188" s="1">
        <f>1+NOT(HRLivingGreyhawk)</f>
        <v>2</v>
      </c>
      <c r="BQ188" s="1">
        <f>IF(HRRVL,2,0)</f>
        <v>0</v>
      </c>
      <c r="BR188" s="1">
        <v>2</v>
      </c>
      <c r="BS188" s="1">
        <v>2</v>
      </c>
      <c r="BT188" s="1">
        <f>IF(HRXPH,2,0)</f>
        <v>0</v>
      </c>
      <c r="BU188" s="1">
        <f>IF(HRRVL,2,0)</f>
        <v>0</v>
      </c>
      <c r="BV188" s="1">
        <v>2</v>
      </c>
      <c r="BW188" s="1">
        <v>2</v>
      </c>
      <c r="BX188" s="1">
        <v>2</v>
      </c>
      <c r="BY188" s="1">
        <v>2</v>
      </c>
      <c r="BZ188" s="1">
        <v>2</v>
      </c>
      <c r="CA188" s="1">
        <v>2</v>
      </c>
      <c r="CB188" s="1">
        <v>2</v>
      </c>
      <c r="CC188" s="1">
        <v>2</v>
      </c>
      <c r="CD188" s="1">
        <v>2</v>
      </c>
      <c r="CE188" s="1">
        <v>2</v>
      </c>
      <c r="CF188" s="1">
        <v>1</v>
      </c>
      <c r="CG188" s="1">
        <f t="shared" si="174"/>
        <v>0</v>
      </c>
      <c r="CH188" s="1">
        <v>1</v>
      </c>
      <c r="CI188" s="1">
        <v>1</v>
      </c>
      <c r="CJ188" s="1">
        <v>1</v>
      </c>
      <c r="CK188" s="1">
        <v>1</v>
      </c>
      <c r="CL188" s="1">
        <v>1</v>
      </c>
      <c r="CM188" s="1">
        <v>1</v>
      </c>
      <c r="CN188" s="1">
        <v>1</v>
      </c>
      <c r="CO188" s="1">
        <v>1</v>
      </c>
      <c r="CP188" s="1">
        <v>2</v>
      </c>
      <c r="CQ188" s="1">
        <v>2</v>
      </c>
      <c r="CR188" s="1">
        <v>2</v>
      </c>
      <c r="CS188" s="1">
        <v>2</v>
      </c>
      <c r="CT188" s="1">
        <v>2</v>
      </c>
      <c r="CU188" s="1">
        <v>2</v>
      </c>
      <c r="CV188" s="1">
        <f t="shared" si="175"/>
        <v>0</v>
      </c>
      <c r="CW188" s="1">
        <v>1</v>
      </c>
      <c r="CX188" s="1">
        <v>1</v>
      </c>
      <c r="CY188" s="1">
        <v>1</v>
      </c>
      <c r="CZ188" s="1">
        <f t="shared" si="176"/>
        <v>0</v>
      </c>
      <c r="DA188" s="1">
        <v>1</v>
      </c>
      <c r="DB188" s="1">
        <v>1</v>
      </c>
      <c r="DC188" s="1">
        <v>2</v>
      </c>
      <c r="DD188" s="1">
        <v>1</v>
      </c>
      <c r="DE188" s="1">
        <v>1</v>
      </c>
      <c r="DF188" s="1">
        <v>1</v>
      </c>
      <c r="DG188" s="1">
        <v>1</v>
      </c>
      <c r="DH188" s="1">
        <v>1</v>
      </c>
      <c r="DI188" s="1">
        <f t="shared" si="177"/>
        <v>0</v>
      </c>
      <c r="DJ188" s="1">
        <v>1</v>
      </c>
      <c r="DK188" s="1" t="s">
        <v>157</v>
      </c>
      <c r="DL188" s="1" t="s">
        <v>40</v>
      </c>
      <c r="DR188" s="1" t="b">
        <f>SkKnowledgeArcanaRanks&gt;=6</f>
        <v>0</v>
      </c>
      <c r="DS188" s="1" t="b">
        <f>SkSpellcraftRanks&gt;=12</f>
        <v>0</v>
      </c>
      <c r="EA188" s="1" t="b">
        <f t="shared" si="178"/>
        <v>0</v>
      </c>
      <c r="EB188" s="11" t="s">
        <v>338</v>
      </c>
      <c r="EC188" s="1" t="str">
        <f>IF(DR188,"","• 6 ranks in Knowledge (arcana).
")&amp;IF(DS188,"","• 12 ranks in Spellcraft.
")&amp;"• Ability to cast at least 5 spells with the Force descriptor, at least one
   of which must be 5th level or higher (not verified)."</f>
        <v>• 6 ranks in Knowledge (arcana).
• 12 ranks in Spellcraft.
• Ability to cast at least 5 spells with the Force descriptor, at least one
   of which must be 5th level or higher (not verified).</v>
      </c>
      <c r="ED188" s="11" t="s">
        <v>335</v>
      </c>
      <c r="EE188" s="5" t="s">
        <v>106</v>
      </c>
      <c r="EF188" s="6" t="s">
        <v>26</v>
      </c>
      <c r="EG188" s="6" t="s">
        <v>548</v>
      </c>
      <c r="EH188" s="6"/>
      <c r="EI188" s="6" t="s">
        <v>109</v>
      </c>
      <c r="EJ188" s="6" t="s">
        <v>52</v>
      </c>
      <c r="EK188" s="6" t="s">
        <v>110</v>
      </c>
      <c r="EL188" s="6" t="s">
        <v>111</v>
      </c>
      <c r="EM188" s="6" t="s">
        <v>112</v>
      </c>
      <c r="EN188" s="6" t="s">
        <v>113</v>
      </c>
      <c r="EO188" s="7" t="s">
        <v>549</v>
      </c>
    </row>
    <row r="189" spans="1:145" ht="11.25" customHeight="1" x14ac:dyDescent="0.2">
      <c r="A189" s="1">
        <f t="shared" si="137"/>
        <v>186</v>
      </c>
      <c r="B189" s="1" t="s">
        <v>550</v>
      </c>
      <c r="C189" s="1" t="s">
        <v>551</v>
      </c>
      <c r="D189" s="1" t="s">
        <v>551</v>
      </c>
      <c r="E189" s="1">
        <f t="shared" si="143"/>
        <v>0</v>
      </c>
      <c r="G189" s="1">
        <f>BloLvl-INT(BloLvl/5)</f>
        <v>0</v>
      </c>
      <c r="K189" s="1">
        <v>2</v>
      </c>
      <c r="L189" s="1">
        <v>6</v>
      </c>
      <c r="V189" s="1">
        <v>0.5</v>
      </c>
      <c r="W189" s="1">
        <v>0.5</v>
      </c>
      <c r="X189" s="1">
        <v>0.34</v>
      </c>
      <c r="Y189" s="1">
        <v>0.34</v>
      </c>
      <c r="Z189" s="1" t="b">
        <f>FALSE</f>
        <v>0</v>
      </c>
      <c r="AA189" s="1" t="str">
        <f t="shared" si="147"/>
        <v/>
      </c>
      <c r="AB189" s="1" t="str">
        <f t="shared" si="148"/>
        <v/>
      </c>
      <c r="AC189" s="1">
        <f t="shared" si="144"/>
        <v>0</v>
      </c>
      <c r="AD189" s="1" t="str">
        <f t="shared" si="149"/>
        <v/>
      </c>
      <c r="AE189" s="1" t="str">
        <f t="shared" si="150"/>
        <v/>
      </c>
      <c r="AF189" s="1">
        <f t="shared" si="145"/>
        <v>0</v>
      </c>
      <c r="AG189" s="1">
        <f t="shared" si="151"/>
        <v>5</v>
      </c>
      <c r="AH189" s="1" t="str">
        <f t="shared" si="146"/>
        <v/>
      </c>
      <c r="AI189" s="1">
        <v>1</v>
      </c>
      <c r="AJ189" s="1">
        <f t="shared" si="170"/>
        <v>0</v>
      </c>
      <c r="AK189" s="1">
        <v>1</v>
      </c>
      <c r="AL189" s="1">
        <v>2</v>
      </c>
      <c r="AM189" s="1">
        <v>1</v>
      </c>
      <c r="AN189" s="1">
        <f t="shared" si="171"/>
        <v>0</v>
      </c>
      <c r="AO189" s="1">
        <v>2</v>
      </c>
      <c r="AP189" s="1">
        <v>2</v>
      </c>
      <c r="AQ189" s="1">
        <v>2</v>
      </c>
      <c r="AR189" s="1">
        <v>2</v>
      </c>
      <c r="AS189" s="1">
        <v>2</v>
      </c>
      <c r="AT189" s="1">
        <v>2</v>
      </c>
      <c r="AU189" s="1">
        <v>2</v>
      </c>
      <c r="AV189" s="1">
        <v>2</v>
      </c>
      <c r="AW189" s="1">
        <v>1</v>
      </c>
      <c r="AX189" s="1">
        <v>1</v>
      </c>
      <c r="AY189" s="1">
        <v>1</v>
      </c>
      <c r="AZ189" s="1">
        <v>1</v>
      </c>
      <c r="BA189" s="1">
        <v>1</v>
      </c>
      <c r="BB189" s="1">
        <v>1</v>
      </c>
      <c r="BC189" s="1">
        <v>1</v>
      </c>
      <c r="BD189" s="1">
        <v>1</v>
      </c>
      <c r="BE189" s="1">
        <v>2</v>
      </c>
      <c r="BF189" s="1">
        <v>1</v>
      </c>
      <c r="BG189" s="1">
        <f t="shared" si="172"/>
        <v>0</v>
      </c>
      <c r="BH189" s="1">
        <f t="shared" si="173"/>
        <v>0</v>
      </c>
      <c r="BI189" s="1">
        <v>1</v>
      </c>
      <c r="BJ189" s="1">
        <v>1</v>
      </c>
      <c r="BK189" s="1">
        <v>1</v>
      </c>
      <c r="BL189" s="1">
        <v>1</v>
      </c>
      <c r="BM189" s="1">
        <v>1</v>
      </c>
      <c r="BN189" s="1">
        <v>1</v>
      </c>
      <c r="BO189" s="1">
        <v>1</v>
      </c>
      <c r="BP189" s="1">
        <v>1</v>
      </c>
      <c r="BQ189" s="1">
        <f>IF(HRRVL,1,0)</f>
        <v>0</v>
      </c>
      <c r="BR189" s="1">
        <v>1</v>
      </c>
      <c r="BS189" s="1">
        <v>1</v>
      </c>
      <c r="BT189" s="1">
        <f>IF(HRXPH,1,0)</f>
        <v>0</v>
      </c>
      <c r="BU189" s="1">
        <f>IF(HRRVL,1,0)</f>
        <v>0</v>
      </c>
      <c r="BV189" s="1">
        <v>1</v>
      </c>
      <c r="BW189" s="1">
        <v>1</v>
      </c>
      <c r="BX189" s="1">
        <v>1</v>
      </c>
      <c r="BY189" s="1">
        <v>1</v>
      </c>
      <c r="BZ189" s="1">
        <v>1</v>
      </c>
      <c r="CA189" s="1">
        <v>1</v>
      </c>
      <c r="CB189" s="1">
        <v>1</v>
      </c>
      <c r="CC189" s="1">
        <v>1</v>
      </c>
      <c r="CD189" s="1">
        <v>1</v>
      </c>
      <c r="CE189" s="1">
        <v>1</v>
      </c>
      <c r="CF189" s="1">
        <v>1</v>
      </c>
      <c r="CG189" s="1">
        <f t="shared" si="174"/>
        <v>0</v>
      </c>
      <c r="CH189" s="1">
        <v>1</v>
      </c>
      <c r="CI189" s="1">
        <v>1</v>
      </c>
      <c r="CJ189" s="1">
        <v>1</v>
      </c>
      <c r="CK189" s="1">
        <v>1</v>
      </c>
      <c r="CL189" s="1">
        <v>1</v>
      </c>
      <c r="CM189" s="1">
        <v>1</v>
      </c>
      <c r="CN189" s="1">
        <v>1</v>
      </c>
      <c r="CO189" s="1">
        <v>1</v>
      </c>
      <c r="CP189" s="1">
        <v>1</v>
      </c>
      <c r="CQ189" s="1">
        <v>1</v>
      </c>
      <c r="CR189" s="1">
        <v>1</v>
      </c>
      <c r="CS189" s="1">
        <v>1</v>
      </c>
      <c r="CT189" s="1">
        <v>1</v>
      </c>
      <c r="CU189" s="1">
        <v>1</v>
      </c>
      <c r="CV189" s="1">
        <f t="shared" si="175"/>
        <v>0</v>
      </c>
      <c r="CW189" s="1">
        <v>1</v>
      </c>
      <c r="CX189" s="1">
        <v>1</v>
      </c>
      <c r="CY189" s="1">
        <v>1</v>
      </c>
      <c r="CZ189" s="1">
        <f t="shared" si="176"/>
        <v>0</v>
      </c>
      <c r="DA189" s="1">
        <v>1</v>
      </c>
      <c r="DB189" s="1">
        <v>1</v>
      </c>
      <c r="DC189" s="1">
        <v>2</v>
      </c>
      <c r="DD189" s="1">
        <v>1</v>
      </c>
      <c r="DE189" s="1">
        <v>1</v>
      </c>
      <c r="DF189" s="1">
        <v>1</v>
      </c>
      <c r="DG189" s="1">
        <v>1</v>
      </c>
      <c r="DH189" s="1">
        <v>1</v>
      </c>
      <c r="DI189" s="1">
        <f t="shared" si="177"/>
        <v>0</v>
      </c>
      <c r="DJ189" s="1">
        <v>1</v>
      </c>
      <c r="DK189" s="1" t="s">
        <v>157</v>
      </c>
      <c r="DL189" s="1" t="s">
        <v>150</v>
      </c>
      <c r="DR189" s="1" t="b">
        <f>NOT(AND(AlignmentLawful,AlignmentGood))</f>
        <v>0</v>
      </c>
      <c r="DS189" s="1" t="b">
        <f>SkConcentrationRanks&gt;=4</f>
        <v>0</v>
      </c>
      <c r="DT189" s="1" t="b">
        <f>OR(FtGreatFortitude,FreeGreatFortitude)</f>
        <v>0</v>
      </c>
      <c r="DU189" s="1" t="b">
        <f>OR(FtToughnessEquiv)</f>
        <v>0</v>
      </c>
      <c r="DV189" s="1" t="b">
        <f>OR(MaxArcaneLevel&gt;=5,MaxArcaneSpellLikeLevel&gt;=5)</f>
        <v>0</v>
      </c>
      <c r="EA189" s="1" t="b">
        <f>AND(DM189:DZ189)</f>
        <v>0</v>
      </c>
      <c r="EB189" s="11" t="s">
        <v>338</v>
      </c>
      <c r="EC189" s="1" t="str">
        <f>IF(DR189,"","• Any alignment other than lawful good.
")&amp;IF(DS189,"","• 4 ranks in Concentration.
")&amp;IF(DT189,"","• Great Fortitude feat.
")&amp;IF(DU189,"","• Toughness feat.
")&amp;IF(DV189,"","• Arcane caster level of 5th.
")&amp;"• You must have been killed, then returned to life (not verified)."</f>
        <v>• Any alignment other than lawful good.
• 4 ranks in Concentration.
• Great Fortitude feat.
• Toughness feat.
• Arcane caster level of 5th.
• You must have been killed, then returned to life (not verified).</v>
      </c>
      <c r="ED189" s="11" t="s">
        <v>335</v>
      </c>
      <c r="EE189" s="8" t="s">
        <v>301</v>
      </c>
      <c r="EF189" s="9">
        <v>10</v>
      </c>
      <c r="EG189" s="9" t="s">
        <v>552</v>
      </c>
      <c r="EH189" s="9"/>
      <c r="EI189" s="9" t="b">
        <f t="shared" ref="EI189:EI215" si="179">(INDEX(TblClasses,MATCH($EE189,TblTLAList,0),ClassInfoLevelColumn)&gt;=$EF189)</f>
        <v>0</v>
      </c>
      <c r="EJ189" s="9" t="str">
        <f t="shared" ref="EJ189:EJ215" si="180">IF($EI189,$EE189&amp;$EF189,"")</f>
        <v/>
      </c>
      <c r="EK189" s="9">
        <f t="shared" ref="EK189:EK215" si="181">IF($EI189,MATCH($EJ189,TblClassN,0),99)</f>
        <v>99</v>
      </c>
      <c r="EL189" s="9">
        <f t="shared" ref="EL189:EL215" si="182">IF($EI189,IF(HRGestalt,MATCH($EJ189,TblGClassN,0),99),99)</f>
        <v>99</v>
      </c>
      <c r="EM189" s="9">
        <f t="shared" ref="EM189:EM215" si="183">IF($EI189,IF(HasVirtualClasses,MATCH($EJ189,TblClass3,0),99),99)</f>
        <v>99</v>
      </c>
      <c r="EN189" s="9">
        <f t="shared" ref="EN189:EN215" si="184">IF($EI189,MIN(IF(ISNA($EK189),99,$EK189),IF(ISNA($EL189),99,$EL189),IF(ISNA($EM189),99,$EM189)),99)</f>
        <v>99</v>
      </c>
      <c r="EO189" s="10">
        <f t="shared" ref="EO189:EO215" si="185">IF($EN189&lt;=LvlCS,INDEX(TblTypesPyramid,MATCH($EG189,TypePyramidList,0),2)-10*$EN189,-1)</f>
        <v>-1</v>
      </c>
    </row>
    <row r="190" spans="1:145" ht="11.25" customHeight="1" x14ac:dyDescent="0.2">
      <c r="A190" s="1">
        <f t="shared" si="137"/>
        <v>187</v>
      </c>
      <c r="B190" s="1" t="s">
        <v>553</v>
      </c>
      <c r="C190" s="1" t="s">
        <v>554</v>
      </c>
      <c r="D190" s="1" t="s">
        <v>554</v>
      </c>
      <c r="E190" s="1">
        <f t="shared" si="143"/>
        <v>0</v>
      </c>
      <c r="G190" s="1">
        <f>MAX(0,EfMLvl-1)</f>
        <v>0</v>
      </c>
      <c r="K190" s="1">
        <v>2</v>
      </c>
      <c r="L190" s="1">
        <v>4</v>
      </c>
      <c r="V190" s="1">
        <v>0.5</v>
      </c>
      <c r="W190" s="1">
        <v>0.34</v>
      </c>
      <c r="X190" s="1">
        <v>0.34</v>
      </c>
      <c r="Y190" s="1">
        <v>0.5</v>
      </c>
      <c r="Z190" s="1" t="b">
        <f>FALSE</f>
        <v>0</v>
      </c>
      <c r="AA190" s="1" t="str">
        <f t="shared" si="147"/>
        <v/>
      </c>
      <c r="AB190" s="1" t="str">
        <f t="shared" si="148"/>
        <v/>
      </c>
      <c r="AC190" s="1">
        <f t="shared" si="144"/>
        <v>0</v>
      </c>
      <c r="AD190" s="1" t="str">
        <f t="shared" si="149"/>
        <v/>
      </c>
      <c r="AE190" s="1" t="str">
        <f t="shared" si="150"/>
        <v/>
      </c>
      <c r="AF190" s="1">
        <f t="shared" si="145"/>
        <v>0</v>
      </c>
      <c r="AG190" s="1">
        <f t="shared" si="151"/>
        <v>5</v>
      </c>
      <c r="AH190" s="1" t="str">
        <f t="shared" si="146"/>
        <v/>
      </c>
      <c r="AI190" s="1">
        <v>1</v>
      </c>
      <c r="AJ190" s="1">
        <f t="shared" si="170"/>
        <v>0</v>
      </c>
      <c r="AK190" s="1">
        <v>1</v>
      </c>
      <c r="AL190" s="1">
        <v>1</v>
      </c>
      <c r="AM190" s="1">
        <v>1</v>
      </c>
      <c r="AN190" s="1">
        <f t="shared" si="171"/>
        <v>0</v>
      </c>
      <c r="AO190" s="1">
        <v>2</v>
      </c>
      <c r="AP190" s="1">
        <v>2</v>
      </c>
      <c r="AQ190" s="1">
        <v>2</v>
      </c>
      <c r="AR190" s="1">
        <v>2</v>
      </c>
      <c r="AS190" s="1">
        <v>2</v>
      </c>
      <c r="AT190" s="1">
        <v>2</v>
      </c>
      <c r="AU190" s="1">
        <v>2</v>
      </c>
      <c r="AV190" s="1">
        <v>2</v>
      </c>
      <c r="AW190" s="1">
        <v>1</v>
      </c>
      <c r="AX190" s="1">
        <v>1</v>
      </c>
      <c r="AY190" s="1">
        <v>1</v>
      </c>
      <c r="AZ190" s="1">
        <v>1</v>
      </c>
      <c r="BA190" s="1">
        <v>1</v>
      </c>
      <c r="BB190" s="1">
        <v>1</v>
      </c>
      <c r="BC190" s="1">
        <v>1</v>
      </c>
      <c r="BD190" s="1">
        <v>1</v>
      </c>
      <c r="BE190" s="1">
        <v>1</v>
      </c>
      <c r="BF190" s="1">
        <v>1</v>
      </c>
      <c r="BG190" s="1">
        <f t="shared" si="172"/>
        <v>0</v>
      </c>
      <c r="BH190" s="1">
        <f t="shared" si="173"/>
        <v>0</v>
      </c>
      <c r="BI190" s="1">
        <v>1</v>
      </c>
      <c r="BJ190" s="1">
        <v>1</v>
      </c>
      <c r="BK190" s="1">
        <v>2</v>
      </c>
      <c r="BL190" s="1">
        <v>2</v>
      </c>
      <c r="BM190" s="1">
        <v>2</v>
      </c>
      <c r="BN190" s="1">
        <v>2</v>
      </c>
      <c r="BO190" s="1">
        <v>2</v>
      </c>
      <c r="BP190" s="1">
        <f>1+NOT(HRLivingGreyhawk)</f>
        <v>2</v>
      </c>
      <c r="BQ190" s="1">
        <f>IF(HRRVL,2,0)</f>
        <v>0</v>
      </c>
      <c r="BR190" s="1">
        <v>2</v>
      </c>
      <c r="BS190" s="1">
        <v>2</v>
      </c>
      <c r="BT190" s="1">
        <f>IF(HRXPH,2,0)</f>
        <v>0</v>
      </c>
      <c r="BU190" s="1">
        <f>IF(HRRVL,2,0)</f>
        <v>0</v>
      </c>
      <c r="BV190" s="1">
        <v>2</v>
      </c>
      <c r="BW190" s="1">
        <v>2</v>
      </c>
      <c r="BX190" s="1">
        <v>2</v>
      </c>
      <c r="BY190" s="1">
        <v>2</v>
      </c>
      <c r="BZ190" s="1">
        <v>2</v>
      </c>
      <c r="CA190" s="1">
        <v>2</v>
      </c>
      <c r="CB190" s="1">
        <v>2</v>
      </c>
      <c r="CC190" s="1">
        <v>2</v>
      </c>
      <c r="CD190" s="1">
        <v>2</v>
      </c>
      <c r="CE190" s="1">
        <v>2</v>
      </c>
      <c r="CF190" s="1">
        <v>1</v>
      </c>
      <c r="CG190" s="1">
        <f t="shared" si="174"/>
        <v>0</v>
      </c>
      <c r="CH190" s="1">
        <v>1</v>
      </c>
      <c r="CI190" s="1">
        <v>1</v>
      </c>
      <c r="CJ190" s="1">
        <v>1</v>
      </c>
      <c r="CK190" s="1">
        <v>1</v>
      </c>
      <c r="CL190" s="1">
        <v>1</v>
      </c>
      <c r="CM190" s="1">
        <v>1</v>
      </c>
      <c r="CN190" s="1">
        <v>1</v>
      </c>
      <c r="CO190" s="1">
        <v>1</v>
      </c>
      <c r="CP190" s="1">
        <v>2</v>
      </c>
      <c r="CQ190" s="1">
        <v>2</v>
      </c>
      <c r="CR190" s="1">
        <v>2</v>
      </c>
      <c r="CS190" s="1">
        <v>2</v>
      </c>
      <c r="CT190" s="1">
        <v>2</v>
      </c>
      <c r="CU190" s="1">
        <v>2</v>
      </c>
      <c r="CV190" s="1">
        <f t="shared" si="175"/>
        <v>0</v>
      </c>
      <c r="CW190" s="1">
        <v>1</v>
      </c>
      <c r="CX190" s="1">
        <v>1</v>
      </c>
      <c r="CY190" s="1">
        <v>1</v>
      </c>
      <c r="CZ190" s="1">
        <f t="shared" si="176"/>
        <v>0</v>
      </c>
      <c r="DA190" s="1">
        <v>1</v>
      </c>
      <c r="DB190" s="1">
        <v>1</v>
      </c>
      <c r="DC190" s="1">
        <v>2</v>
      </c>
      <c r="DD190" s="1">
        <v>1</v>
      </c>
      <c r="DE190" s="1">
        <v>1</v>
      </c>
      <c r="DF190" s="1">
        <v>1</v>
      </c>
      <c r="DG190" s="1">
        <v>1</v>
      </c>
      <c r="DH190" s="1">
        <v>1</v>
      </c>
      <c r="DI190" s="1">
        <f t="shared" si="177"/>
        <v>0</v>
      </c>
      <c r="DJ190" s="1">
        <v>1</v>
      </c>
      <c r="DK190" s="1" t="s">
        <v>157</v>
      </c>
      <c r="DL190" s="1" t="s">
        <v>150</v>
      </c>
      <c r="DR190" s="1" t="b">
        <f>OR(IF(NOT(ISNA(MATCH("leatherworking",TblCraftSkills,0))),INDEX(TblCraftRanks,MATCH("leatherworking",TblCraftSkills,0),1)&gt;=10,FALSE),IF(NOT(ISNA(MATCH("metalworking",TblCraftSkills,0))),INDEX(TblCraftRanks,MATCH("metalworking",TblCraftSkills,0),1)&gt;=10,FALSE),IF(NOT(ISNA(MATCH("woodworking",TblCraftSkills,0))),INDEX(TblCraftRanks,MATCH("woodworking",TblCraftSkills,0),1)&gt;=10,FALSE))</f>
        <v>0</v>
      </c>
      <c r="DS190" s="1" t="b">
        <f>SkKnowledgeArcanaRanks&gt;=5</f>
        <v>0</v>
      </c>
      <c r="DT190" s="1" t="b">
        <f>SkSpellcraftRanks&gt;=5</f>
        <v>0</v>
      </c>
      <c r="DU190" s="1" t="b">
        <f>SkUseMagicDeviceRanks&gt;=2</f>
        <v>0</v>
      </c>
      <c r="DV190" s="1" t="b">
        <f>FtCraftWonderousItem</f>
        <v>0</v>
      </c>
      <c r="EA190" s="1" t="b">
        <f t="shared" si="178"/>
        <v>0</v>
      </c>
      <c r="EB190" s="11" t="s">
        <v>338</v>
      </c>
      <c r="EC190" s="1" t="str">
        <f>IF(DR190,"","• 10 ranks in Craft (leatherworking, metalworking, or woodworking).
")&amp;IF(DS190,"","• 5 ranks in Knowledge (arcana).
")&amp;IF(DT190,"","• 5 ranks in Spellcraft.
")&amp;IF(DU190,"","• 2 ranks in Use Magic Device.
")&amp;IF(DV190,"","• Craft Wondrous Item feat.
")&amp;"• Must have the spell simulacrum on a spell list, whether or not you are
   able to cast it (not verified)."</f>
        <v>• 10 ranks in Craft (leatherworking, metalworking, or woodworking).
• 5 ranks in Knowledge (arcana).
• 5 ranks in Spellcraft.
• 2 ranks in Use Magic Device.
• Craft Wondrous Item feat.
• Must have the spell simulacrum on a spell list, whether or not you are
   able to cast it (not verified).</v>
      </c>
      <c r="ED190" s="11" t="s">
        <v>335</v>
      </c>
      <c r="EE190" s="8" t="s">
        <v>555</v>
      </c>
      <c r="EF190" s="9">
        <v>9</v>
      </c>
      <c r="EG190" s="9" t="s">
        <v>556</v>
      </c>
      <c r="EH190" s="9"/>
      <c r="EI190" s="9" t="b">
        <f t="shared" si="179"/>
        <v>0</v>
      </c>
      <c r="EJ190" s="9" t="str">
        <f t="shared" si="180"/>
        <v/>
      </c>
      <c r="EK190" s="9">
        <f t="shared" si="181"/>
        <v>99</v>
      </c>
      <c r="EL190" s="9">
        <f t="shared" si="182"/>
        <v>99</v>
      </c>
      <c r="EM190" s="9">
        <f t="shared" si="183"/>
        <v>99</v>
      </c>
      <c r="EN190" s="9">
        <f t="shared" si="184"/>
        <v>99</v>
      </c>
      <c r="EO190" s="10">
        <f t="shared" si="185"/>
        <v>-1</v>
      </c>
    </row>
    <row r="191" spans="1:145" ht="11.25" customHeight="1" x14ac:dyDescent="0.2">
      <c r="A191" s="1">
        <f t="shared" si="137"/>
        <v>188</v>
      </c>
      <c r="B191" s="1" t="s">
        <v>557</v>
      </c>
      <c r="C191" s="1" t="s">
        <v>558</v>
      </c>
      <c r="D191" s="1" t="s">
        <v>558</v>
      </c>
      <c r="E191" s="1">
        <f t="shared" si="143"/>
        <v>0</v>
      </c>
      <c r="G191" s="1">
        <f>ElSLvl-INT(ElSLvl/5)</f>
        <v>0</v>
      </c>
      <c r="K191" s="1">
        <v>2</v>
      </c>
      <c r="L191" s="1">
        <v>4</v>
      </c>
      <c r="V191" s="1">
        <v>0.5</v>
      </c>
      <c r="W191" s="1">
        <v>0.34</v>
      </c>
      <c r="X191" s="1">
        <v>0.34</v>
      </c>
      <c r="Y191" s="1">
        <v>0.5</v>
      </c>
      <c r="Z191" s="1" t="b">
        <f>FALSE</f>
        <v>0</v>
      </c>
      <c r="AA191" s="1" t="str">
        <f t="shared" si="147"/>
        <v/>
      </c>
      <c r="AB191" s="1" t="str">
        <f t="shared" si="148"/>
        <v/>
      </c>
      <c r="AC191" s="1">
        <f t="shared" si="144"/>
        <v>0</v>
      </c>
      <c r="AD191" s="1" t="str">
        <f t="shared" si="149"/>
        <v/>
      </c>
      <c r="AE191" s="1" t="str">
        <f t="shared" si="150"/>
        <v/>
      </c>
      <c r="AF191" s="1">
        <f t="shared" si="145"/>
        <v>0</v>
      </c>
      <c r="AG191" s="1">
        <f t="shared" si="151"/>
        <v>5</v>
      </c>
      <c r="AH191" s="1" t="str">
        <f t="shared" si="146"/>
        <v/>
      </c>
      <c r="AI191" s="1">
        <v>1</v>
      </c>
      <c r="AJ191" s="1">
        <f t="shared" si="170"/>
        <v>0</v>
      </c>
      <c r="AK191" s="1">
        <v>1</v>
      </c>
      <c r="AL191" s="1">
        <v>1</v>
      </c>
      <c r="AM191" s="1">
        <v>1</v>
      </c>
      <c r="AN191" s="1">
        <f t="shared" si="171"/>
        <v>0</v>
      </c>
      <c r="AO191" s="1">
        <v>2</v>
      </c>
      <c r="AP191" s="1">
        <v>2</v>
      </c>
      <c r="AQ191" s="1">
        <v>2</v>
      </c>
      <c r="AR191" s="1">
        <v>2</v>
      </c>
      <c r="AS191" s="1">
        <v>2</v>
      </c>
      <c r="AT191" s="1">
        <v>2</v>
      </c>
      <c r="AU191" s="1">
        <v>2</v>
      </c>
      <c r="AV191" s="1">
        <v>2</v>
      </c>
      <c r="AW191" s="1">
        <v>1</v>
      </c>
      <c r="AX191" s="1">
        <v>1</v>
      </c>
      <c r="AY191" s="1">
        <v>1</v>
      </c>
      <c r="AZ191" s="1">
        <v>1</v>
      </c>
      <c r="BA191" s="1">
        <v>1</v>
      </c>
      <c r="BB191" s="1">
        <v>1</v>
      </c>
      <c r="BC191" s="1">
        <v>1</v>
      </c>
      <c r="BD191" s="1">
        <v>1</v>
      </c>
      <c r="BE191" s="1">
        <v>1</v>
      </c>
      <c r="BF191" s="1">
        <v>1</v>
      </c>
      <c r="BG191" s="1">
        <f t="shared" si="172"/>
        <v>0</v>
      </c>
      <c r="BH191" s="1">
        <f t="shared" si="173"/>
        <v>0</v>
      </c>
      <c r="BI191" s="1">
        <v>1</v>
      </c>
      <c r="BJ191" s="1">
        <v>1</v>
      </c>
      <c r="BK191" s="1">
        <v>2</v>
      </c>
      <c r="BL191" s="1">
        <v>1</v>
      </c>
      <c r="BM191" s="1">
        <v>1</v>
      </c>
      <c r="BN191" s="1">
        <v>1</v>
      </c>
      <c r="BO191" s="1">
        <v>1</v>
      </c>
      <c r="BP191" s="1">
        <v>1</v>
      </c>
      <c r="BQ191" s="1">
        <f>IF(HRRVL,1,0)</f>
        <v>0</v>
      </c>
      <c r="BR191" s="1">
        <v>1</v>
      </c>
      <c r="BS191" s="1">
        <v>1</v>
      </c>
      <c r="BT191" s="1">
        <f>IF(HRXPH,1,0)</f>
        <v>0</v>
      </c>
      <c r="BU191" s="1">
        <f>IF(HRRVL,1,0)</f>
        <v>0</v>
      </c>
      <c r="BV191" s="1">
        <v>1</v>
      </c>
      <c r="BW191" s="1">
        <v>2</v>
      </c>
      <c r="BX191" s="1">
        <v>1</v>
      </c>
      <c r="BY191" s="1">
        <v>1</v>
      </c>
      <c r="BZ191" s="1">
        <v>1</v>
      </c>
      <c r="CA191" s="1">
        <v>1</v>
      </c>
      <c r="CB191" s="1">
        <v>1</v>
      </c>
      <c r="CC191" s="1">
        <v>1</v>
      </c>
      <c r="CD191" s="1">
        <v>1</v>
      </c>
      <c r="CE191" s="1">
        <v>1</v>
      </c>
      <c r="CF191" s="1">
        <v>1</v>
      </c>
      <c r="CG191" s="1">
        <f t="shared" si="174"/>
        <v>0</v>
      </c>
      <c r="CH191" s="1">
        <v>1</v>
      </c>
      <c r="CI191" s="1">
        <v>1</v>
      </c>
      <c r="CJ191" s="1">
        <v>1</v>
      </c>
      <c r="CK191" s="1">
        <v>1</v>
      </c>
      <c r="CL191" s="1">
        <v>1</v>
      </c>
      <c r="CM191" s="1">
        <v>1</v>
      </c>
      <c r="CN191" s="1">
        <v>1</v>
      </c>
      <c r="CO191" s="1">
        <v>1</v>
      </c>
      <c r="CP191" s="1">
        <v>2</v>
      </c>
      <c r="CQ191" s="1">
        <v>2</v>
      </c>
      <c r="CR191" s="1">
        <v>2</v>
      </c>
      <c r="CS191" s="1">
        <v>2</v>
      </c>
      <c r="CT191" s="1">
        <v>2</v>
      </c>
      <c r="CU191" s="1">
        <v>2</v>
      </c>
      <c r="CV191" s="1">
        <f t="shared" si="175"/>
        <v>0</v>
      </c>
      <c r="CW191" s="1">
        <v>1</v>
      </c>
      <c r="CX191" s="1">
        <v>1</v>
      </c>
      <c r="CY191" s="1">
        <v>1</v>
      </c>
      <c r="CZ191" s="1">
        <f t="shared" si="176"/>
        <v>0</v>
      </c>
      <c r="DA191" s="1">
        <v>1</v>
      </c>
      <c r="DB191" s="1">
        <v>1</v>
      </c>
      <c r="DC191" s="1">
        <v>2</v>
      </c>
      <c r="DD191" s="1">
        <v>1</v>
      </c>
      <c r="DE191" s="1">
        <v>1</v>
      </c>
      <c r="DF191" s="1">
        <v>1</v>
      </c>
      <c r="DG191" s="1">
        <v>1</v>
      </c>
      <c r="DH191" s="1">
        <v>1</v>
      </c>
      <c r="DI191" s="1">
        <f t="shared" si="177"/>
        <v>0</v>
      </c>
      <c r="DJ191" s="1">
        <v>1</v>
      </c>
      <c r="DK191" s="1" t="s">
        <v>157</v>
      </c>
      <c r="DL191" s="1" t="s">
        <v>40</v>
      </c>
      <c r="DR191" s="1" t="b">
        <f>SkKnowledgeArcanaRanks&gt;=8</f>
        <v>0</v>
      </c>
      <c r="DS191" s="1" t="b">
        <f>SkKnowledgePlanesRanks&gt;=4</f>
        <v>0</v>
      </c>
      <c r="DT191" s="1" t="b">
        <f>OR(FtEnergySubstitution1,FtEnergySubstitution2,FtEnergySubstitution3)</f>
        <v>0</v>
      </c>
      <c r="EA191" s="1" t="b">
        <f t="shared" si="178"/>
        <v>0</v>
      </c>
      <c r="EB191" s="11" t="s">
        <v>338</v>
      </c>
      <c r="EC191" s="1" t="str">
        <f>IF(DR191,"","• 8 ranks in Knowledge (arcana).
")&amp;IF(DS191,"","• 4 ranks in Knowledge (the planes).
")&amp;IF(DT191,"","• Energy Substitution feat.
")&amp;"• Able to cast at least 3 spells that have one of the following descriptors
   in common: Acid, Cold, Electricity, Fire; one spell must be at least
   3rd level (not verified).
"&amp;"• Must have made peaceful contact with an elemental, or outsider that
   has an elemental subtype (air, earth, fire or water) (not verified)."</f>
        <v>• 8 ranks in Knowledge (arcana).
• 4 ranks in Knowledge (the planes).
• Energy Substitution feat.
• Able to cast at least 3 spells that have one of the following descriptors
   in common: Acid, Cold, Electricity, Fire; one spell must be at least
   3rd level (not verified).
• Must have made peaceful contact with an elemental, or outsider that
   has an elemental subtype (air, earth, fire or water) (not verified).</v>
      </c>
      <c r="ED191" s="11" t="s">
        <v>335</v>
      </c>
      <c r="EE191" s="8" t="s">
        <v>347</v>
      </c>
      <c r="EF191" s="9">
        <v>10</v>
      </c>
      <c r="EG191" s="9" t="s">
        <v>556</v>
      </c>
      <c r="EH191" s="9"/>
      <c r="EI191" s="9" t="b">
        <f t="shared" si="179"/>
        <v>0</v>
      </c>
      <c r="EJ191" s="9" t="str">
        <f t="shared" si="180"/>
        <v/>
      </c>
      <c r="EK191" s="9">
        <f t="shared" si="181"/>
        <v>99</v>
      </c>
      <c r="EL191" s="9">
        <f t="shared" si="182"/>
        <v>99</v>
      </c>
      <c r="EM191" s="9">
        <f t="shared" si="183"/>
        <v>99</v>
      </c>
      <c r="EN191" s="9">
        <f t="shared" si="184"/>
        <v>99</v>
      </c>
      <c r="EO191" s="10">
        <f t="shared" si="185"/>
        <v>-1</v>
      </c>
    </row>
    <row r="192" spans="1:145" ht="11.25" customHeight="1" x14ac:dyDescent="0.2">
      <c r="A192" s="1">
        <f t="shared" si="137"/>
        <v>189</v>
      </c>
      <c r="B192" s="1" t="s">
        <v>559</v>
      </c>
      <c r="C192" s="1" t="s">
        <v>560</v>
      </c>
      <c r="D192" s="1" t="s">
        <v>560</v>
      </c>
      <c r="E192" s="1">
        <f t="shared" si="143"/>
        <v>0</v>
      </c>
      <c r="G192" s="1">
        <f>INT(EnFLvl*4/5)</f>
        <v>0</v>
      </c>
      <c r="K192" s="1">
        <v>4</v>
      </c>
      <c r="L192" s="1">
        <v>8</v>
      </c>
      <c r="V192" s="1">
        <v>0.75</v>
      </c>
      <c r="W192" s="1">
        <v>0.34</v>
      </c>
      <c r="X192" s="1">
        <v>0.5</v>
      </c>
      <c r="Y192" s="1">
        <v>0.5</v>
      </c>
      <c r="Z192" s="1" t="b">
        <f>FALSE</f>
        <v>0</v>
      </c>
      <c r="AA192" s="1" t="str">
        <f t="shared" si="147"/>
        <v/>
      </c>
      <c r="AB192" s="1" t="str">
        <f t="shared" si="148"/>
        <v/>
      </c>
      <c r="AC192" s="1">
        <f t="shared" si="144"/>
        <v>0</v>
      </c>
      <c r="AD192" s="1" t="str">
        <f t="shared" si="149"/>
        <v/>
      </c>
      <c r="AE192" s="1" t="str">
        <f t="shared" si="150"/>
        <v/>
      </c>
      <c r="AF192" s="1">
        <f t="shared" si="145"/>
        <v>0</v>
      </c>
      <c r="AG192" s="1">
        <f t="shared" si="151"/>
        <v>5</v>
      </c>
      <c r="AH192" s="1" t="str">
        <f t="shared" si="146"/>
        <v/>
      </c>
      <c r="AI192" s="1">
        <v>1</v>
      </c>
      <c r="AJ192" s="1">
        <f t="shared" si="170"/>
        <v>0</v>
      </c>
      <c r="AK192" s="1">
        <v>2</v>
      </c>
      <c r="AL192" s="1">
        <v>1</v>
      </c>
      <c r="AM192" s="1">
        <v>2</v>
      </c>
      <c r="AN192" s="1">
        <f t="shared" si="171"/>
        <v>0</v>
      </c>
      <c r="AO192" s="1">
        <v>2</v>
      </c>
      <c r="AP192" s="1">
        <v>2</v>
      </c>
      <c r="AQ192" s="1">
        <v>2</v>
      </c>
      <c r="AR192" s="1">
        <v>2</v>
      </c>
      <c r="AS192" s="1">
        <v>2</v>
      </c>
      <c r="AT192" s="1">
        <v>2</v>
      </c>
      <c r="AU192" s="1">
        <v>2</v>
      </c>
      <c r="AV192" s="1">
        <v>2</v>
      </c>
      <c r="AW192" s="1">
        <v>1</v>
      </c>
      <c r="AX192" s="1">
        <v>1</v>
      </c>
      <c r="AY192" s="1">
        <v>1</v>
      </c>
      <c r="AZ192" s="1">
        <v>1</v>
      </c>
      <c r="BA192" s="1">
        <v>2</v>
      </c>
      <c r="BB192" s="1">
        <v>1</v>
      </c>
      <c r="BC192" s="1">
        <v>1</v>
      </c>
      <c r="BD192" s="1">
        <v>1</v>
      </c>
      <c r="BE192" s="1">
        <v>1</v>
      </c>
      <c r="BF192" s="1">
        <v>2</v>
      </c>
      <c r="BG192" s="1">
        <f t="shared" si="172"/>
        <v>0</v>
      </c>
      <c r="BH192" s="1">
        <f t="shared" si="173"/>
        <v>0</v>
      </c>
      <c r="BI192" s="1">
        <v>1</v>
      </c>
      <c r="BJ192" s="1">
        <v>2</v>
      </c>
      <c r="BK192" s="1">
        <v>2</v>
      </c>
      <c r="BL192" s="1">
        <v>1</v>
      </c>
      <c r="BM192" s="1">
        <v>1</v>
      </c>
      <c r="BN192" s="1">
        <v>1</v>
      </c>
      <c r="BO192" s="1">
        <v>1</v>
      </c>
      <c r="BP192" s="1">
        <v>1</v>
      </c>
      <c r="BQ192" s="1">
        <f>IF(HRRVL,1,0)</f>
        <v>0</v>
      </c>
      <c r="BR192" s="1">
        <v>1</v>
      </c>
      <c r="BS192" s="1">
        <v>1</v>
      </c>
      <c r="BT192" s="1">
        <f>IF(HRXPH,1,0)</f>
        <v>0</v>
      </c>
      <c r="BU192" s="1">
        <f>IF(HRRVL,2,0)</f>
        <v>0</v>
      </c>
      <c r="BV192" s="1">
        <v>2</v>
      </c>
      <c r="BW192" s="1">
        <v>1</v>
      </c>
      <c r="BX192" s="1">
        <v>1</v>
      </c>
      <c r="BY192" s="1">
        <v>1</v>
      </c>
      <c r="BZ192" s="1">
        <v>1</v>
      </c>
      <c r="CA192" s="1">
        <v>1</v>
      </c>
      <c r="CB192" s="1">
        <v>1</v>
      </c>
      <c r="CC192" s="1">
        <v>1</v>
      </c>
      <c r="CD192" s="1">
        <v>1</v>
      </c>
      <c r="CE192" s="1">
        <v>1</v>
      </c>
      <c r="CF192" s="1">
        <v>2</v>
      </c>
      <c r="CG192" s="1">
        <f t="shared" si="174"/>
        <v>0</v>
      </c>
      <c r="CH192" s="1">
        <v>2</v>
      </c>
      <c r="CI192" s="1">
        <v>1</v>
      </c>
      <c r="CJ192" s="1">
        <v>1</v>
      </c>
      <c r="CK192" s="1">
        <v>1</v>
      </c>
      <c r="CL192" s="1">
        <v>1</v>
      </c>
      <c r="CM192" s="1">
        <v>1</v>
      </c>
      <c r="CN192" s="1">
        <v>1</v>
      </c>
      <c r="CO192" s="1">
        <v>1</v>
      </c>
      <c r="CP192" s="1">
        <v>2</v>
      </c>
      <c r="CQ192" s="1">
        <v>2</v>
      </c>
      <c r="CR192" s="1">
        <v>2</v>
      </c>
      <c r="CS192" s="1">
        <v>2</v>
      </c>
      <c r="CT192" s="1">
        <v>2</v>
      </c>
      <c r="CU192" s="1">
        <v>2</v>
      </c>
      <c r="CV192" s="1">
        <f t="shared" si="175"/>
        <v>0</v>
      </c>
      <c r="CW192" s="1">
        <v>1</v>
      </c>
      <c r="CX192" s="1">
        <v>1</v>
      </c>
      <c r="CY192" s="1">
        <v>1</v>
      </c>
      <c r="CZ192" s="1">
        <f t="shared" si="176"/>
        <v>0</v>
      </c>
      <c r="DA192" s="1">
        <v>1</v>
      </c>
      <c r="DB192" s="1">
        <v>1</v>
      </c>
      <c r="DC192" s="1">
        <v>2</v>
      </c>
      <c r="DD192" s="1">
        <v>2</v>
      </c>
      <c r="DE192" s="1">
        <v>1</v>
      </c>
      <c r="DF192" s="1">
        <v>2</v>
      </c>
      <c r="DG192" s="1">
        <v>2</v>
      </c>
      <c r="DH192" s="1">
        <v>1</v>
      </c>
      <c r="DI192" s="1">
        <f t="shared" si="177"/>
        <v>0</v>
      </c>
      <c r="DJ192" s="1">
        <v>1</v>
      </c>
      <c r="DK192" s="1" t="s">
        <v>157</v>
      </c>
      <c r="DL192" s="1" t="s">
        <v>40</v>
      </c>
      <c r="DR192" s="1" t="b">
        <f>SkConcentrationRanks&gt;=8</f>
        <v>0</v>
      </c>
      <c r="DS192" s="1" t="b">
        <f>SkKnowledgeArcanaRanks&gt;=5</f>
        <v>0</v>
      </c>
      <c r="DT192" s="1" t="b">
        <f>SkSpellcraftRanks&gt;=5</f>
        <v>0</v>
      </c>
      <c r="DU192" s="1" t="b">
        <f>OR(FtCombatCasting,FreeCombatCasting)</f>
        <v>0</v>
      </c>
      <c r="DV192" s="1" t="b">
        <f>OR(FreeImprovedUnarmedStrike,FtImprovedUnarmed)</f>
        <v>0</v>
      </c>
      <c r="DW192" s="1" t="b">
        <f>OR(FtStunningFist,FreeStunningFist)</f>
        <v>0</v>
      </c>
      <c r="DX192" s="1" t="b">
        <f>OR(MaxArcaneLevel&gt;=3,MaxArcaneSpellLikeLevel&gt;=3)</f>
        <v>0</v>
      </c>
      <c r="EA192" s="1" t="b">
        <f>AND(DM192:DZ192)</f>
        <v>0</v>
      </c>
      <c r="EB192" s="11" t="s">
        <v>334</v>
      </c>
      <c r="EC192" s="1" t="str">
        <f>IF(DR192,"","• 8 ranks in Concentration.
")&amp;IF(DS192,"","• 5 ranks in Knowledge (arcana).
")&amp;IF(DT192,"","• 5 ranks in Spellcraft.
")&amp;IF(DU192,"","• Combat Casting feat.
")&amp;IF(DV192,"","• Improved Unarmed Strike feat.
")&amp;IF(DW192,"","• Stunning Fist feat.
")&amp;IF(DX192,"","• Arcane caster level of 3rd.")</f>
        <v>• 8 ranks in Concentration.
• 5 ranks in Knowledge (arcana).
• 5 ranks in Spellcraft.
• Combat Casting feat.
• Improved Unarmed Strike feat.
• Stunning Fist feat.
• Arcane caster level of 3rd.</v>
      </c>
      <c r="ED192" s="11" t="s">
        <v>335</v>
      </c>
      <c r="EE192" s="8" t="s">
        <v>283</v>
      </c>
      <c r="EF192" s="9">
        <v>10</v>
      </c>
      <c r="EG192" s="9" t="s">
        <v>556</v>
      </c>
      <c r="EH192" s="9"/>
      <c r="EI192" s="9" t="b">
        <f t="shared" si="179"/>
        <v>0</v>
      </c>
      <c r="EJ192" s="9" t="str">
        <f t="shared" si="180"/>
        <v/>
      </c>
      <c r="EK192" s="9">
        <f t="shared" si="181"/>
        <v>99</v>
      </c>
      <c r="EL192" s="9">
        <f t="shared" si="182"/>
        <v>99</v>
      </c>
      <c r="EM192" s="9">
        <f t="shared" si="183"/>
        <v>99</v>
      </c>
      <c r="EN192" s="9">
        <f t="shared" si="184"/>
        <v>99</v>
      </c>
      <c r="EO192" s="10">
        <f t="shared" si="185"/>
        <v>-1</v>
      </c>
    </row>
    <row r="193" spans="1:145" ht="11.25" customHeight="1" x14ac:dyDescent="0.2">
      <c r="A193" s="1">
        <f t="shared" si="137"/>
        <v>190</v>
      </c>
      <c r="B193" s="1" t="s">
        <v>561</v>
      </c>
      <c r="C193" s="1" t="s">
        <v>562</v>
      </c>
      <c r="D193" s="1" t="s">
        <v>562</v>
      </c>
      <c r="E193" s="1">
        <f t="shared" si="143"/>
        <v>0</v>
      </c>
      <c r="G193" s="1">
        <f>FtSLvl-INT(FtSLvl/5)</f>
        <v>0</v>
      </c>
      <c r="K193" s="1">
        <v>2</v>
      </c>
      <c r="L193" s="1">
        <v>4</v>
      </c>
      <c r="V193" s="1">
        <v>0.5</v>
      </c>
      <c r="W193" s="1">
        <v>0.34</v>
      </c>
      <c r="X193" s="1">
        <v>0.34</v>
      </c>
      <c r="Y193" s="1">
        <v>0.5</v>
      </c>
      <c r="Z193" s="1" t="b">
        <f>FALSE</f>
        <v>0</v>
      </c>
      <c r="AA193" s="1" t="str">
        <f t="shared" si="147"/>
        <v/>
      </c>
      <c r="AB193" s="1" t="str">
        <f t="shared" si="148"/>
        <v/>
      </c>
      <c r="AC193" s="1">
        <f t="shared" si="144"/>
        <v>0</v>
      </c>
      <c r="AD193" s="1" t="str">
        <f t="shared" si="149"/>
        <v/>
      </c>
      <c r="AE193" s="1" t="str">
        <f t="shared" si="150"/>
        <v/>
      </c>
      <c r="AF193" s="1">
        <f t="shared" si="145"/>
        <v>0</v>
      </c>
      <c r="AG193" s="1">
        <f t="shared" si="151"/>
        <v>5</v>
      </c>
      <c r="AH193" s="1" t="str">
        <f t="shared" si="146"/>
        <v/>
      </c>
      <c r="AI193" s="1">
        <v>2</v>
      </c>
      <c r="AJ193" s="1">
        <f t="shared" si="170"/>
        <v>0</v>
      </c>
      <c r="AK193" s="1">
        <v>1</v>
      </c>
      <c r="AL193" s="1">
        <v>1</v>
      </c>
      <c r="AM193" s="1">
        <v>1</v>
      </c>
      <c r="AN193" s="1">
        <f t="shared" si="171"/>
        <v>0</v>
      </c>
      <c r="AO193" s="1">
        <v>2</v>
      </c>
      <c r="AP193" s="1">
        <v>2</v>
      </c>
      <c r="AQ193" s="1">
        <v>2</v>
      </c>
      <c r="AR193" s="1">
        <v>2</v>
      </c>
      <c r="AS193" s="1">
        <v>2</v>
      </c>
      <c r="AT193" s="1">
        <v>2</v>
      </c>
      <c r="AU193" s="1">
        <v>2</v>
      </c>
      <c r="AV193" s="1">
        <v>2</v>
      </c>
      <c r="AW193" s="1">
        <v>1</v>
      </c>
      <c r="AX193" s="1">
        <v>1</v>
      </c>
      <c r="AY193" s="1">
        <v>1</v>
      </c>
      <c r="AZ193" s="1">
        <v>1</v>
      </c>
      <c r="BA193" s="1">
        <v>1</v>
      </c>
      <c r="BB193" s="1">
        <v>1</v>
      </c>
      <c r="BC193" s="1">
        <v>1</v>
      </c>
      <c r="BD193" s="1">
        <v>1</v>
      </c>
      <c r="BE193" s="1">
        <v>1</v>
      </c>
      <c r="BF193" s="1">
        <v>1</v>
      </c>
      <c r="BG193" s="1">
        <f t="shared" si="172"/>
        <v>0</v>
      </c>
      <c r="BH193" s="1">
        <f t="shared" si="173"/>
        <v>0</v>
      </c>
      <c r="BI193" s="1">
        <v>1</v>
      </c>
      <c r="BJ193" s="1">
        <v>1</v>
      </c>
      <c r="BK193" s="1">
        <v>2</v>
      </c>
      <c r="BL193" s="1">
        <v>1</v>
      </c>
      <c r="BM193" s="1">
        <v>1</v>
      </c>
      <c r="BN193" s="1">
        <v>1</v>
      </c>
      <c r="BO193" s="1">
        <v>1</v>
      </c>
      <c r="BP193" s="1">
        <v>1</v>
      </c>
      <c r="BQ193" s="1">
        <f>IF(HRRVL,1,0)</f>
        <v>0</v>
      </c>
      <c r="BR193" s="1">
        <v>1</v>
      </c>
      <c r="BS193" s="1">
        <v>1</v>
      </c>
      <c r="BT193" s="1">
        <f>IF(HRXPH,1,0)</f>
        <v>0</v>
      </c>
      <c r="BU193" s="1">
        <f>IF(HRRVL,1,0)</f>
        <v>0</v>
      </c>
      <c r="BV193" s="1">
        <v>1</v>
      </c>
      <c r="BW193" s="1">
        <v>1</v>
      </c>
      <c r="BX193" s="1">
        <v>1</v>
      </c>
      <c r="BY193" s="1">
        <v>1</v>
      </c>
      <c r="BZ193" s="1">
        <v>1</v>
      </c>
      <c r="CA193" s="1">
        <v>1</v>
      </c>
      <c r="CB193" s="1">
        <v>1</v>
      </c>
      <c r="CC193" s="1">
        <v>1</v>
      </c>
      <c r="CD193" s="1">
        <v>1</v>
      </c>
      <c r="CE193" s="1">
        <v>1</v>
      </c>
      <c r="CF193" s="1">
        <v>1</v>
      </c>
      <c r="CG193" s="1">
        <f t="shared" si="174"/>
        <v>0</v>
      </c>
      <c r="CH193" s="1">
        <v>1</v>
      </c>
      <c r="CI193" s="1">
        <v>1</v>
      </c>
      <c r="CJ193" s="1">
        <v>1</v>
      </c>
      <c r="CK193" s="1">
        <v>1</v>
      </c>
      <c r="CL193" s="1">
        <v>1</v>
      </c>
      <c r="CM193" s="1">
        <v>1</v>
      </c>
      <c r="CN193" s="1">
        <v>1</v>
      </c>
      <c r="CO193" s="1">
        <v>1</v>
      </c>
      <c r="CP193" s="1">
        <v>2</v>
      </c>
      <c r="CQ193" s="1">
        <v>2</v>
      </c>
      <c r="CR193" s="1">
        <v>2</v>
      </c>
      <c r="CS193" s="1">
        <v>2</v>
      </c>
      <c r="CT193" s="1">
        <v>2</v>
      </c>
      <c r="CU193" s="1">
        <v>2</v>
      </c>
      <c r="CV193" s="1">
        <f t="shared" si="175"/>
        <v>0</v>
      </c>
      <c r="CW193" s="1">
        <v>1</v>
      </c>
      <c r="CX193" s="1">
        <v>1</v>
      </c>
      <c r="CY193" s="1">
        <v>1</v>
      </c>
      <c r="CZ193" s="1">
        <f t="shared" si="176"/>
        <v>0</v>
      </c>
      <c r="DA193" s="1">
        <v>2</v>
      </c>
      <c r="DB193" s="1">
        <v>1</v>
      </c>
      <c r="DC193" s="1">
        <v>2</v>
      </c>
      <c r="DD193" s="1">
        <v>1</v>
      </c>
      <c r="DE193" s="1">
        <v>1</v>
      </c>
      <c r="DF193" s="1">
        <v>1</v>
      </c>
      <c r="DG193" s="1">
        <v>1</v>
      </c>
      <c r="DH193" s="1">
        <v>1</v>
      </c>
      <c r="DI193" s="1">
        <f t="shared" si="177"/>
        <v>0</v>
      </c>
      <c r="DJ193" s="1">
        <v>1</v>
      </c>
      <c r="DK193" s="1" t="s">
        <v>157</v>
      </c>
      <c r="DL193" s="1" t="s">
        <v>40</v>
      </c>
      <c r="DR193" s="1" t="b">
        <f>SkKnowledgeArcanaRanks&gt;=10</f>
        <v>0</v>
      </c>
      <c r="DS193" s="1" t="b">
        <f>IF(NOT(ISNA(MATCH("gambler",TblProfessionSkills,0))),INDEX(TblProfessionRanks,MATCH("gambler",TblProfessionSkills,0),1)&gt;=5,FALSE)</f>
        <v>0</v>
      </c>
      <c r="DT193" s="1" t="b">
        <f ca="1">MaxArcaneSpellLevel&gt;=4</f>
        <v>0</v>
      </c>
      <c r="EA193" s="1" t="b">
        <f ca="1">AND(DM193:DZ193)</f>
        <v>0</v>
      </c>
      <c r="EB193" s="11" t="s">
        <v>338</v>
      </c>
      <c r="EC193" s="1" t="str">
        <f ca="1">IF(DR193,"","• 10 ranks in Knowledge (arcana).
")&amp;IF(DS193,"","• 5 ranks in Profession (gambler).
")&amp;IF(DT193,"","• Ability to cast 4th level arcane spells.
")&amp;"•  Able to cast at least one divination spell of 1st level or higher (not
   checked)."</f>
        <v>• 10 ranks in Knowledge (arcana).
• 5 ranks in Profession (gambler).
• Ability to cast 4th level arcane spells.
•  Able to cast at least one divination spell of 1st level or higher (not
   checked).</v>
      </c>
      <c r="ED193" s="11" t="s">
        <v>335</v>
      </c>
      <c r="EE193" s="8" t="s">
        <v>563</v>
      </c>
      <c r="EF193" s="9">
        <v>10</v>
      </c>
      <c r="EG193" s="9" t="s">
        <v>556</v>
      </c>
      <c r="EH193" s="9"/>
      <c r="EI193" s="9" t="b">
        <f t="shared" si="179"/>
        <v>0</v>
      </c>
      <c r="EJ193" s="9" t="str">
        <f t="shared" si="180"/>
        <v/>
      </c>
      <c r="EK193" s="9">
        <f t="shared" si="181"/>
        <v>99</v>
      </c>
      <c r="EL193" s="9">
        <f t="shared" si="182"/>
        <v>99</v>
      </c>
      <c r="EM193" s="9">
        <f t="shared" si="183"/>
        <v>99</v>
      </c>
      <c r="EN193" s="9">
        <f t="shared" si="184"/>
        <v>99</v>
      </c>
      <c r="EO193" s="10">
        <f t="shared" si="185"/>
        <v>-1</v>
      </c>
    </row>
    <row r="194" spans="1:145" ht="11.25" customHeight="1" x14ac:dyDescent="0.2">
      <c r="A194" s="1">
        <f t="shared" si="137"/>
        <v>191</v>
      </c>
      <c r="B194" s="1" t="s">
        <v>564</v>
      </c>
      <c r="C194" s="1" t="s">
        <v>565</v>
      </c>
      <c r="D194" s="1" t="s">
        <v>565</v>
      </c>
      <c r="E194" s="1">
        <f t="shared" si="143"/>
        <v>0</v>
      </c>
      <c r="G194" s="1">
        <f>GmtLvl</f>
        <v>0</v>
      </c>
      <c r="K194" s="1">
        <v>2</v>
      </c>
      <c r="L194" s="1">
        <v>4</v>
      </c>
      <c r="V194" s="1">
        <v>0.5</v>
      </c>
      <c r="W194" s="1">
        <v>0.34</v>
      </c>
      <c r="X194" s="1">
        <v>0.34</v>
      </c>
      <c r="Y194" s="1">
        <v>0.5</v>
      </c>
      <c r="Z194" s="1" t="b">
        <f>FALSE</f>
        <v>0</v>
      </c>
      <c r="AA194" s="1" t="str">
        <f t="shared" si="147"/>
        <v/>
      </c>
      <c r="AB194" s="1" t="str">
        <f t="shared" si="148"/>
        <v/>
      </c>
      <c r="AC194" s="1">
        <f t="shared" si="144"/>
        <v>0</v>
      </c>
      <c r="AD194" s="1" t="str">
        <f t="shared" si="149"/>
        <v/>
      </c>
      <c r="AE194" s="1" t="str">
        <f t="shared" si="150"/>
        <v/>
      </c>
      <c r="AF194" s="1">
        <f t="shared" si="145"/>
        <v>0</v>
      </c>
      <c r="AG194" s="1">
        <f t="shared" si="151"/>
        <v>5</v>
      </c>
      <c r="AH194" s="1" t="str">
        <f t="shared" si="146"/>
        <v/>
      </c>
      <c r="AI194" s="1">
        <v>1</v>
      </c>
      <c r="AJ194" s="1">
        <f t="shared" si="170"/>
        <v>0</v>
      </c>
      <c r="AK194" s="1">
        <v>1</v>
      </c>
      <c r="AL194" s="1">
        <v>1</v>
      </c>
      <c r="AM194" s="1">
        <v>1</v>
      </c>
      <c r="AN194" s="1">
        <f t="shared" si="171"/>
        <v>0</v>
      </c>
      <c r="AO194" s="1">
        <v>2</v>
      </c>
      <c r="AP194" s="1">
        <v>2</v>
      </c>
      <c r="AQ194" s="1">
        <v>2</v>
      </c>
      <c r="AR194" s="1">
        <v>2</v>
      </c>
      <c r="AS194" s="1">
        <v>2</v>
      </c>
      <c r="AT194" s="1">
        <v>2</v>
      </c>
      <c r="AU194" s="1">
        <v>2</v>
      </c>
      <c r="AV194" s="1">
        <v>2</v>
      </c>
      <c r="AW194" s="1">
        <v>2</v>
      </c>
      <c r="AX194" s="1">
        <v>1</v>
      </c>
      <c r="AY194" s="1">
        <v>2</v>
      </c>
      <c r="AZ194" s="1">
        <v>1</v>
      </c>
      <c r="BA194" s="1">
        <v>1</v>
      </c>
      <c r="BB194" s="1">
        <v>1</v>
      </c>
      <c r="BC194" s="1">
        <v>1</v>
      </c>
      <c r="BD194" s="1">
        <v>1</v>
      </c>
      <c r="BE194" s="1">
        <v>1</v>
      </c>
      <c r="BF194" s="1">
        <v>1</v>
      </c>
      <c r="BG194" s="1">
        <f t="shared" si="172"/>
        <v>0</v>
      </c>
      <c r="BH194" s="1">
        <f t="shared" si="173"/>
        <v>0</v>
      </c>
      <c r="BI194" s="1">
        <v>1</v>
      </c>
      <c r="BJ194" s="1">
        <v>1</v>
      </c>
      <c r="BK194" s="1">
        <v>2</v>
      </c>
      <c r="BL194" s="1">
        <v>2</v>
      </c>
      <c r="BM194" s="1">
        <v>2</v>
      </c>
      <c r="BN194" s="1">
        <v>2</v>
      </c>
      <c r="BO194" s="1">
        <v>2</v>
      </c>
      <c r="BP194" s="1">
        <f>1+NOT(HRLivingGreyhawk)</f>
        <v>2</v>
      </c>
      <c r="BQ194" s="1">
        <f>IF(HRRVL,2,0)</f>
        <v>0</v>
      </c>
      <c r="BR194" s="1">
        <v>2</v>
      </c>
      <c r="BS194" s="1">
        <v>2</v>
      </c>
      <c r="BT194" s="1">
        <f>IF(HRXPH,2,0)</f>
        <v>0</v>
      </c>
      <c r="BU194" s="1">
        <f>IF(HRRVL,2,0)</f>
        <v>0</v>
      </c>
      <c r="BV194" s="1">
        <v>2</v>
      </c>
      <c r="BW194" s="1">
        <v>2</v>
      </c>
      <c r="BX194" s="1">
        <v>2</v>
      </c>
      <c r="BY194" s="1">
        <v>2</v>
      </c>
      <c r="BZ194" s="1">
        <v>2</v>
      </c>
      <c r="CA194" s="1">
        <v>2</v>
      </c>
      <c r="CB194" s="1">
        <v>2</v>
      </c>
      <c r="CC194" s="1">
        <v>2</v>
      </c>
      <c r="CD194" s="1">
        <v>2</v>
      </c>
      <c r="CE194" s="1">
        <v>2</v>
      </c>
      <c r="CF194" s="1">
        <v>1</v>
      </c>
      <c r="CG194" s="1">
        <f t="shared" si="174"/>
        <v>0</v>
      </c>
      <c r="CH194" s="1">
        <v>1</v>
      </c>
      <c r="CI194" s="1">
        <v>1</v>
      </c>
      <c r="CJ194" s="1">
        <v>1</v>
      </c>
      <c r="CK194" s="1">
        <v>1</v>
      </c>
      <c r="CL194" s="1">
        <v>1</v>
      </c>
      <c r="CM194" s="1">
        <v>1</v>
      </c>
      <c r="CN194" s="1">
        <v>1</v>
      </c>
      <c r="CO194" s="1">
        <v>1</v>
      </c>
      <c r="CP194" s="1">
        <v>2</v>
      </c>
      <c r="CQ194" s="1">
        <v>2</v>
      </c>
      <c r="CR194" s="1">
        <v>2</v>
      </c>
      <c r="CS194" s="1">
        <v>2</v>
      </c>
      <c r="CT194" s="1">
        <v>2</v>
      </c>
      <c r="CU194" s="1">
        <v>2</v>
      </c>
      <c r="CV194" s="1">
        <f t="shared" si="175"/>
        <v>0</v>
      </c>
      <c r="CW194" s="1">
        <v>1</v>
      </c>
      <c r="CX194" s="1">
        <v>2</v>
      </c>
      <c r="CY194" s="1">
        <v>1</v>
      </c>
      <c r="CZ194" s="1">
        <f t="shared" si="176"/>
        <v>0</v>
      </c>
      <c r="DA194" s="1">
        <v>1</v>
      </c>
      <c r="DB194" s="1">
        <v>1</v>
      </c>
      <c r="DC194" s="1">
        <v>2</v>
      </c>
      <c r="DD194" s="1">
        <v>1</v>
      </c>
      <c r="DE194" s="1">
        <v>1</v>
      </c>
      <c r="DF194" s="1">
        <v>1</v>
      </c>
      <c r="DG194" s="1">
        <v>1</v>
      </c>
      <c r="DH194" s="1">
        <v>1</v>
      </c>
      <c r="DI194" s="1">
        <f t="shared" si="177"/>
        <v>0</v>
      </c>
      <c r="DJ194" s="1">
        <v>1</v>
      </c>
      <c r="DK194" s="1" t="s">
        <v>157</v>
      </c>
      <c r="DL194" s="1" t="s">
        <v>40</v>
      </c>
      <c r="DR194" s="1" t="b">
        <f>SkDecipherScriptRanks&gt;=9</f>
        <v>0</v>
      </c>
      <c r="DS194" s="1" t="b">
        <f>SkDisableDeviceRanks&gt;=4</f>
        <v>0</v>
      </c>
      <c r="DT194" s="1" t="b">
        <f>SkKnowledgeArcanaRanks&gt;=9</f>
        <v>0</v>
      </c>
      <c r="DU194" s="1" t="b">
        <f>SkSearchRanks&gt;=4</f>
        <v>0</v>
      </c>
      <c r="DV194" s="1" t="b">
        <f>OR(FreeScribeScroll,FtScribeScroll)</f>
        <v>1</v>
      </c>
      <c r="EA194" s="1" t="b">
        <f t="shared" si="178"/>
        <v>0</v>
      </c>
      <c r="EB194" s="11" t="s">
        <v>338</v>
      </c>
      <c r="EC194" s="1" t="str">
        <f>IF(DR194,"","• 9 ranks in Decipher Script.
")&amp;IF(DS194,"","• 4 ranks in Disable Device.
")&amp;IF(DT194,"","• 9 ranks in Knowledge (arcana).
")&amp;IF(DU194,"","• 4 ranks in Search.
")&amp;IF(DV194,"","• Scribe Scroll feat.
")&amp;IF(DW194,"","• Ability to prepare and cast 3rd level arcane spells (not verified).")</f>
        <v>• 9 ranks in Decipher Script.
• 4 ranks in Disable Device.
• 9 ranks in Knowledge (arcana).
• 4 ranks in Search.
• Ability to prepare and cast 3rd level arcane spells (not verified).</v>
      </c>
      <c r="ED194" s="11" t="s">
        <v>335</v>
      </c>
      <c r="EE194" s="8" t="s">
        <v>191</v>
      </c>
      <c r="EF194" s="9">
        <v>10</v>
      </c>
      <c r="EG194" s="9" t="s">
        <v>566</v>
      </c>
      <c r="EH194" s="9"/>
      <c r="EI194" s="9" t="b">
        <f t="shared" si="179"/>
        <v>0</v>
      </c>
      <c r="EJ194" s="9" t="str">
        <f t="shared" si="180"/>
        <v/>
      </c>
      <c r="EK194" s="9">
        <f t="shared" si="181"/>
        <v>99</v>
      </c>
      <c r="EL194" s="9">
        <f t="shared" si="182"/>
        <v>99</v>
      </c>
      <c r="EM194" s="9">
        <f t="shared" si="183"/>
        <v>99</v>
      </c>
      <c r="EN194" s="9">
        <f t="shared" si="184"/>
        <v>99</v>
      </c>
      <c r="EO194" s="10">
        <f t="shared" si="185"/>
        <v>-1</v>
      </c>
    </row>
    <row r="195" spans="1:145" ht="11.25" customHeight="1" x14ac:dyDescent="0.2">
      <c r="A195" s="1">
        <f t="shared" si="137"/>
        <v>192</v>
      </c>
      <c r="B195" s="1" t="s">
        <v>567</v>
      </c>
      <c r="C195" s="1" t="s">
        <v>262</v>
      </c>
      <c r="D195" s="1" t="s">
        <v>262</v>
      </c>
      <c r="E195" s="1">
        <f t="shared" si="143"/>
        <v>0</v>
      </c>
      <c r="G195" s="1">
        <f>INT(GSALvl/2)</f>
        <v>0</v>
      </c>
      <c r="K195" s="1">
        <v>2</v>
      </c>
      <c r="L195" s="1">
        <v>8</v>
      </c>
      <c r="S195" s="1" t="b">
        <v>1</v>
      </c>
      <c r="V195" s="1">
        <v>0.75</v>
      </c>
      <c r="W195" s="1">
        <v>0.34</v>
      </c>
      <c r="X195" s="1">
        <v>0.34</v>
      </c>
      <c r="Y195" s="1">
        <v>0.5</v>
      </c>
      <c r="Z195" s="1" t="b">
        <f>FALSE</f>
        <v>0</v>
      </c>
      <c r="AA195" s="1" t="str">
        <f t="shared" si="147"/>
        <v/>
      </c>
      <c r="AB195" s="1" t="str">
        <f t="shared" si="148"/>
        <v/>
      </c>
      <c r="AC195" s="1">
        <f t="shared" si="144"/>
        <v>0</v>
      </c>
      <c r="AD195" s="1" t="str">
        <f t="shared" si="149"/>
        <v/>
      </c>
      <c r="AE195" s="1" t="str">
        <f t="shared" si="150"/>
        <v/>
      </c>
      <c r="AF195" s="1">
        <f t="shared" si="145"/>
        <v>0</v>
      </c>
      <c r="AG195" s="1">
        <f t="shared" si="151"/>
        <v>5</v>
      </c>
      <c r="AH195" s="1" t="str">
        <f t="shared" si="146"/>
        <v/>
      </c>
      <c r="AI195" s="1">
        <v>2</v>
      </c>
      <c r="AJ195" s="1">
        <f t="shared" si="170"/>
        <v>0</v>
      </c>
      <c r="AK195" s="1">
        <v>1</v>
      </c>
      <c r="AL195" s="1">
        <v>1</v>
      </c>
      <c r="AM195" s="1">
        <v>1</v>
      </c>
      <c r="AN195" s="1">
        <f t="shared" si="171"/>
        <v>0</v>
      </c>
      <c r="AO195" s="1">
        <v>2</v>
      </c>
      <c r="AP195" s="1">
        <v>2</v>
      </c>
      <c r="AQ195" s="1">
        <v>2</v>
      </c>
      <c r="AR195" s="1">
        <v>2</v>
      </c>
      <c r="AS195" s="1">
        <v>2</v>
      </c>
      <c r="AT195" s="1">
        <v>2</v>
      </c>
      <c r="AU195" s="1">
        <v>2</v>
      </c>
      <c r="AV195" s="1">
        <v>2</v>
      </c>
      <c r="AW195" s="1">
        <v>2</v>
      </c>
      <c r="AX195" s="1">
        <v>1</v>
      </c>
      <c r="AY195" s="1">
        <v>1</v>
      </c>
      <c r="AZ195" s="1">
        <v>1</v>
      </c>
      <c r="BA195" s="1">
        <v>1</v>
      </c>
      <c r="BB195" s="1">
        <v>1</v>
      </c>
      <c r="BC195" s="1">
        <v>1</v>
      </c>
      <c r="BD195" s="1">
        <v>1</v>
      </c>
      <c r="BE195" s="1">
        <v>1</v>
      </c>
      <c r="BF195" s="1">
        <v>1</v>
      </c>
      <c r="BG195" s="1">
        <f t="shared" si="172"/>
        <v>0</v>
      </c>
      <c r="BH195" s="1">
        <f t="shared" si="173"/>
        <v>0</v>
      </c>
      <c r="BI195" s="1">
        <v>1</v>
      </c>
      <c r="BJ195" s="1">
        <v>1</v>
      </c>
      <c r="BK195" s="1">
        <v>2</v>
      </c>
      <c r="BL195" s="1">
        <v>2</v>
      </c>
      <c r="BM195" s="1">
        <v>1</v>
      </c>
      <c r="BN195" s="1">
        <v>2</v>
      </c>
      <c r="BO195" s="1">
        <v>2</v>
      </c>
      <c r="BP195" s="1">
        <v>1</v>
      </c>
      <c r="BQ195" s="1">
        <f>IF(HRRVL,1,0)</f>
        <v>0</v>
      </c>
      <c r="BR195" s="1">
        <v>1</v>
      </c>
      <c r="BS195" s="1">
        <v>1</v>
      </c>
      <c r="BT195" s="1">
        <f>IF(HRXPH,1,0)</f>
        <v>0</v>
      </c>
      <c r="BU195" s="1">
        <f>IF(HRRVL,1,0)</f>
        <v>0</v>
      </c>
      <c r="BV195" s="1">
        <v>1</v>
      </c>
      <c r="BW195" s="1">
        <v>1</v>
      </c>
      <c r="BX195" s="1">
        <v>1</v>
      </c>
      <c r="BY195" s="1">
        <v>1</v>
      </c>
      <c r="BZ195" s="1">
        <v>1</v>
      </c>
      <c r="CA195" s="1">
        <v>1</v>
      </c>
      <c r="CB195" s="1">
        <v>1</v>
      </c>
      <c r="CC195" s="1">
        <v>1</v>
      </c>
      <c r="CD195" s="1">
        <v>1</v>
      </c>
      <c r="CE195" s="1">
        <v>1</v>
      </c>
      <c r="CF195" s="1">
        <v>1</v>
      </c>
      <c r="CG195" s="1">
        <f t="shared" si="174"/>
        <v>0</v>
      </c>
      <c r="CH195" s="1">
        <v>1</v>
      </c>
      <c r="CI195" s="1">
        <v>1</v>
      </c>
      <c r="CJ195" s="1">
        <v>1</v>
      </c>
      <c r="CK195" s="1">
        <v>1</v>
      </c>
      <c r="CL195" s="1">
        <v>1</v>
      </c>
      <c r="CM195" s="1">
        <v>1</v>
      </c>
      <c r="CN195" s="1">
        <v>1</v>
      </c>
      <c r="CO195" s="1">
        <v>1</v>
      </c>
      <c r="CP195" s="1">
        <v>2</v>
      </c>
      <c r="CQ195" s="1">
        <v>2</v>
      </c>
      <c r="CR195" s="1">
        <v>2</v>
      </c>
      <c r="CS195" s="1">
        <v>2</v>
      </c>
      <c r="CT195" s="1">
        <v>2</v>
      </c>
      <c r="CU195" s="1">
        <v>2</v>
      </c>
      <c r="CV195" s="1">
        <f t="shared" si="175"/>
        <v>0</v>
      </c>
      <c r="CW195" s="1">
        <v>1</v>
      </c>
      <c r="CX195" s="1">
        <v>1</v>
      </c>
      <c r="CY195" s="1">
        <v>1</v>
      </c>
      <c r="CZ195" s="1">
        <f t="shared" si="176"/>
        <v>0</v>
      </c>
      <c r="DA195" s="1">
        <v>1</v>
      </c>
      <c r="DB195" s="1">
        <v>1</v>
      </c>
      <c r="DC195" s="1">
        <v>2</v>
      </c>
      <c r="DD195" s="1">
        <v>1</v>
      </c>
      <c r="DE195" s="1">
        <v>1</v>
      </c>
      <c r="DF195" s="1">
        <v>1</v>
      </c>
      <c r="DG195" s="1">
        <v>1</v>
      </c>
      <c r="DH195" s="1">
        <v>1</v>
      </c>
      <c r="DI195" s="1">
        <f t="shared" si="177"/>
        <v>0</v>
      </c>
      <c r="DJ195" s="1">
        <v>1</v>
      </c>
      <c r="DK195" s="1" t="s">
        <v>157</v>
      </c>
      <c r="DL195" s="1" t="s">
        <v>101</v>
      </c>
      <c r="DR195" s="1" t="b">
        <f>BaseAtk&gt;=4</f>
        <v>0</v>
      </c>
      <c r="DS195" s="1" t="b">
        <f>SkDecipherScriptRanks&gt;=2</f>
        <v>0</v>
      </c>
      <c r="DT195" s="1" t="b">
        <f>SkKnowledgeArcanaRanks&gt;=8</f>
        <v>0</v>
      </c>
      <c r="DU195" s="1" t="b">
        <f>SkKnowledgeArchitectureRanks&gt;=2</f>
        <v>0</v>
      </c>
      <c r="DV195" s="1" t="b">
        <f>SkKnowledgeGeographyRanks&gt;=2</f>
        <v>0</v>
      </c>
      <c r="DW195" s="1" t="b">
        <f>SkKnowledgeHistoryRanks&gt;=2</f>
        <v>0</v>
      </c>
      <c r="DX195" s="1" t="b">
        <f>OR(FtCombatCasting,FreeCombatCasting)</f>
        <v>0</v>
      </c>
      <c r="DY195" s="1" t="b">
        <f>OR(MaxArcaneLevel&gt;=1,MaxArcaneSpellLikeLevel&gt;=1)</f>
        <v>1</v>
      </c>
      <c r="EA195" s="1" t="b">
        <f>AND(DM195:DZ195)</f>
        <v>0</v>
      </c>
      <c r="EB195" s="11" t="s">
        <v>338</v>
      </c>
      <c r="EC195" s="1" t="str">
        <f>IF(DR195,"","• A base attack bonus of +4 or higher.
")&amp;IF(DS195,"","• 2 ranks in Decipher Script.
")&amp;IF(DT195,"","• 8 ranks in Knowledge (arcana).
")&amp;IF(DU195,"","• 2 ranks in Knowledge (architecture and engineering).
")&amp;IF(DV195,"","• 2 ranks in Knowledge (geography)
")&amp;IF(DW195,"","• 2 ranks in Knowledge (history).
")&amp;IF(DX195,"","• Combat Casting feat.
")&amp;IF(DY195,"","• Arcane caster level of 1st.
")&amp;"• Must acquire a piece of starmetal weighing at least 2 ounces,
   powder it, and consume it in a specially prepared infusion costing
   at least 1000gp and taking one week to prepare (not verified)."</f>
        <v>• A base attack bonus of +4 or higher.
• 2 ranks in Decipher Script.
• 8 ranks in Knowledge (arcana).
• 2 ranks in Knowledge (architecture and engineering).
• 2 ranks in Knowledge (geography)
• 2 ranks in Knowledge (history).
• Combat Casting feat.
• Must acquire a piece of starmetal weighing at least 2 ounces,
   powder it, and consume it in a specially prepared infusion costing
   at least 1000gp and taking one week to prepare (not verified).</v>
      </c>
      <c r="ED195" s="11" t="s">
        <v>335</v>
      </c>
      <c r="EE195" s="8" t="s">
        <v>246</v>
      </c>
      <c r="EF195" s="9">
        <v>10</v>
      </c>
      <c r="EG195" s="9" t="s">
        <v>568</v>
      </c>
      <c r="EH195" s="9"/>
      <c r="EI195" s="9" t="b">
        <f t="shared" si="179"/>
        <v>0</v>
      </c>
      <c r="EJ195" s="9" t="str">
        <f t="shared" si="180"/>
        <v/>
      </c>
      <c r="EK195" s="9">
        <f t="shared" si="181"/>
        <v>99</v>
      </c>
      <c r="EL195" s="9">
        <f t="shared" si="182"/>
        <v>99</v>
      </c>
      <c r="EM195" s="9">
        <f t="shared" si="183"/>
        <v>99</v>
      </c>
      <c r="EN195" s="9">
        <f t="shared" si="184"/>
        <v>99</v>
      </c>
      <c r="EO195" s="10">
        <f t="shared" si="185"/>
        <v>-1</v>
      </c>
    </row>
    <row r="196" spans="1:145" ht="11.25" customHeight="1" x14ac:dyDescent="0.2">
      <c r="A196" s="1">
        <f t="shared" si="137"/>
        <v>193</v>
      </c>
      <c r="B196" s="1" t="s">
        <v>569</v>
      </c>
      <c r="C196" s="1" t="s">
        <v>570</v>
      </c>
      <c r="D196" s="1" t="s">
        <v>570</v>
      </c>
      <c r="E196" s="1">
        <f t="shared" si="143"/>
        <v>0</v>
      </c>
      <c r="G196" s="1">
        <f>ISVLvL</f>
        <v>0</v>
      </c>
      <c r="K196" s="1">
        <v>2</v>
      </c>
      <c r="L196" s="1">
        <v>4</v>
      </c>
      <c r="V196" s="1">
        <v>0.5</v>
      </c>
      <c r="W196" s="1">
        <v>0.34</v>
      </c>
      <c r="X196" s="1">
        <v>0.34</v>
      </c>
      <c r="Y196" s="1">
        <v>0.5</v>
      </c>
      <c r="Z196" s="1" t="b">
        <f>FALSE</f>
        <v>0</v>
      </c>
      <c r="AA196" s="1" t="str">
        <f t="shared" si="147"/>
        <v/>
      </c>
      <c r="AB196" s="1" t="str">
        <f t="shared" si="148"/>
        <v/>
      </c>
      <c r="AC196" s="1">
        <f t="shared" si="144"/>
        <v>0</v>
      </c>
      <c r="AD196" s="1" t="str">
        <f t="shared" si="149"/>
        <v/>
      </c>
      <c r="AE196" s="1" t="str">
        <f t="shared" si="150"/>
        <v/>
      </c>
      <c r="AF196" s="1">
        <f t="shared" si="145"/>
        <v>0</v>
      </c>
      <c r="AG196" s="1">
        <f t="shared" si="151"/>
        <v>5</v>
      </c>
      <c r="AH196" s="1" t="str">
        <f t="shared" si="146"/>
        <v/>
      </c>
      <c r="AI196" s="1">
        <v>2</v>
      </c>
      <c r="AJ196" s="1">
        <f t="shared" si="170"/>
        <v>0</v>
      </c>
      <c r="AK196" s="1">
        <v>1</v>
      </c>
      <c r="AL196" s="1">
        <v>1</v>
      </c>
      <c r="AM196" s="1">
        <v>1</v>
      </c>
      <c r="AN196" s="1">
        <f t="shared" si="171"/>
        <v>0</v>
      </c>
      <c r="AO196" s="1">
        <v>2</v>
      </c>
      <c r="AP196" s="1">
        <v>2</v>
      </c>
      <c r="AQ196" s="1">
        <v>2</v>
      </c>
      <c r="AR196" s="1">
        <v>2</v>
      </c>
      <c r="AS196" s="1">
        <v>2</v>
      </c>
      <c r="AT196" s="1">
        <v>2</v>
      </c>
      <c r="AU196" s="1">
        <v>2</v>
      </c>
      <c r="AV196" s="1">
        <v>2</v>
      </c>
      <c r="AW196" s="1">
        <v>2</v>
      </c>
      <c r="AX196" s="1">
        <v>1</v>
      </c>
      <c r="AY196" s="1">
        <v>1</v>
      </c>
      <c r="AZ196" s="1">
        <v>1</v>
      </c>
      <c r="BA196" s="1">
        <v>1</v>
      </c>
      <c r="BB196" s="1">
        <v>1</v>
      </c>
      <c r="BC196" s="1">
        <v>1</v>
      </c>
      <c r="BD196" s="1">
        <v>1</v>
      </c>
      <c r="BE196" s="1">
        <v>1</v>
      </c>
      <c r="BF196" s="1">
        <v>1</v>
      </c>
      <c r="BG196" s="1">
        <f t="shared" si="172"/>
        <v>0</v>
      </c>
      <c r="BH196" s="1">
        <f t="shared" si="173"/>
        <v>0</v>
      </c>
      <c r="BI196" s="1">
        <v>1</v>
      </c>
      <c r="BJ196" s="1">
        <v>1</v>
      </c>
      <c r="BK196" s="1">
        <v>2</v>
      </c>
      <c r="BL196" s="1">
        <v>2</v>
      </c>
      <c r="BM196" s="1">
        <v>2</v>
      </c>
      <c r="BN196" s="1">
        <v>2</v>
      </c>
      <c r="BO196" s="1">
        <v>2</v>
      </c>
      <c r="BP196" s="1">
        <f>1+NOT(HRLivingGreyhawk)</f>
        <v>2</v>
      </c>
      <c r="BQ196" s="1">
        <f>IF(HRRVL,2,0)</f>
        <v>0</v>
      </c>
      <c r="BR196" s="1">
        <v>2</v>
      </c>
      <c r="BS196" s="1">
        <v>2</v>
      </c>
      <c r="BT196" s="1">
        <f>IF(HRXPH,2,0)</f>
        <v>0</v>
      </c>
      <c r="BU196" s="1">
        <f>IF(HRRVL,2,0)</f>
        <v>0</v>
      </c>
      <c r="BV196" s="1">
        <v>2</v>
      </c>
      <c r="BW196" s="1">
        <v>2</v>
      </c>
      <c r="BX196" s="1">
        <v>2</v>
      </c>
      <c r="BY196" s="1">
        <v>2</v>
      </c>
      <c r="BZ196" s="1">
        <v>2</v>
      </c>
      <c r="CA196" s="1">
        <v>2</v>
      </c>
      <c r="CB196" s="1">
        <v>2</v>
      </c>
      <c r="CC196" s="1">
        <v>2</v>
      </c>
      <c r="CD196" s="1">
        <v>2</v>
      </c>
      <c r="CE196" s="1">
        <v>2</v>
      </c>
      <c r="CF196" s="1">
        <v>1</v>
      </c>
      <c r="CG196" s="1">
        <f t="shared" si="174"/>
        <v>0</v>
      </c>
      <c r="CH196" s="1">
        <v>1</v>
      </c>
      <c r="CI196" s="1">
        <v>1</v>
      </c>
      <c r="CJ196" s="1">
        <v>1</v>
      </c>
      <c r="CK196" s="1">
        <v>1</v>
      </c>
      <c r="CL196" s="1">
        <v>1</v>
      </c>
      <c r="CM196" s="1">
        <v>1</v>
      </c>
      <c r="CN196" s="1">
        <v>1</v>
      </c>
      <c r="CO196" s="1">
        <v>1</v>
      </c>
      <c r="CP196" s="1">
        <v>2</v>
      </c>
      <c r="CQ196" s="1">
        <v>2</v>
      </c>
      <c r="CR196" s="1">
        <v>2</v>
      </c>
      <c r="CS196" s="1">
        <v>2</v>
      </c>
      <c r="CT196" s="1">
        <v>2</v>
      </c>
      <c r="CU196" s="1">
        <v>2</v>
      </c>
      <c r="CV196" s="1">
        <f t="shared" si="175"/>
        <v>0</v>
      </c>
      <c r="CW196" s="1">
        <v>1</v>
      </c>
      <c r="CX196" s="1">
        <v>1</v>
      </c>
      <c r="CY196" s="1">
        <v>1</v>
      </c>
      <c r="CZ196" s="1">
        <f t="shared" si="176"/>
        <v>0</v>
      </c>
      <c r="DA196" s="1">
        <v>1</v>
      </c>
      <c r="DB196" s="1">
        <v>1</v>
      </c>
      <c r="DC196" s="1">
        <v>2</v>
      </c>
      <c r="DD196" s="1">
        <v>1</v>
      </c>
      <c r="DE196" s="1">
        <v>1</v>
      </c>
      <c r="DF196" s="1">
        <v>1</v>
      </c>
      <c r="DG196" s="1">
        <v>1</v>
      </c>
      <c r="DH196" s="1">
        <v>1</v>
      </c>
      <c r="DI196" s="1">
        <f t="shared" si="177"/>
        <v>0</v>
      </c>
      <c r="DJ196" s="1">
        <v>1</v>
      </c>
      <c r="DK196" s="1" t="s">
        <v>157</v>
      </c>
      <c r="DL196" s="1" t="s">
        <v>40</v>
      </c>
      <c r="DR196" s="1" t="b">
        <f>SkKnowledgeArcanaRanks&gt;=12</f>
        <v>0</v>
      </c>
      <c r="DS196" s="1" t="b">
        <f>SkKnowledgeNatureRanks&gt;=4</f>
        <v>0</v>
      </c>
      <c r="DT196" s="1" t="b">
        <f>SkSpellcraftRanks&gt;=12</f>
        <v>0</v>
      </c>
      <c r="DU196" s="1" t="b">
        <f>NOT(ISNA(MATCH("Abjuration",TblGreaterSpellFocus,0)))</f>
        <v>0</v>
      </c>
      <c r="DV196" s="1" t="b">
        <f>NOT(ISNA(MATCH("Abjuration",TblSpellFocus,0)))</f>
        <v>0</v>
      </c>
      <c r="DW196" s="1" t="b">
        <f>NOT(ISNA(MATCH("Spellcraft*",TblSkillFocus,0)))</f>
        <v>0</v>
      </c>
      <c r="EA196" s="1" t="b">
        <f>AND(DM196:DZ196)</f>
        <v>0</v>
      </c>
      <c r="EB196" s="11" t="s">
        <v>338</v>
      </c>
      <c r="EC196" s="1" t="str">
        <f>IF(DR196,"","• 12 ranks in Knowledge (arcana).
")&amp;IF(DS196,"","• 4 ranks in Knowledge (nature).
")&amp;IF(DT196,"","• 12 ranks in Spellcraft.
")&amp;IF(DU196,"","• Greater Spell Focus (Abjuration) feat.
")&amp;IF(DV196,"","• Spell Focus (Abjuration) feat.
")&amp;IF(DW196,"","• Skill Focus (Spellcraft) feat
.")&amp;"• Ability to cast at least 5 abjuration spells, including at least 2 of 4th
   level or higher (not verified)."</f>
        <v>• 12 ranks in Knowledge (arcana).
• 4 ranks in Knowledge (nature).
• 12 ranks in Spellcraft.
• Greater Spell Focus (Abjuration) feat.
• Spell Focus (Abjuration) feat.
• Skill Focus (Spellcraft) feat
.• Ability to cast at least 5 abjuration spells, including at least 2 of 4th
   level or higher (not verified).</v>
      </c>
      <c r="ED196" s="11" t="s">
        <v>335</v>
      </c>
      <c r="EE196" s="8" t="s">
        <v>571</v>
      </c>
      <c r="EF196" s="9">
        <v>9</v>
      </c>
      <c r="EG196" s="9" t="s">
        <v>568</v>
      </c>
      <c r="EH196" s="9"/>
      <c r="EI196" s="9" t="b">
        <f t="shared" si="179"/>
        <v>0</v>
      </c>
      <c r="EJ196" s="9" t="str">
        <f t="shared" si="180"/>
        <v/>
      </c>
      <c r="EK196" s="9">
        <f t="shared" si="181"/>
        <v>99</v>
      </c>
      <c r="EL196" s="9">
        <f t="shared" si="182"/>
        <v>99</v>
      </c>
      <c r="EM196" s="9">
        <f t="shared" si="183"/>
        <v>99</v>
      </c>
      <c r="EN196" s="9">
        <f t="shared" si="184"/>
        <v>99</v>
      </c>
      <c r="EO196" s="10">
        <f t="shared" si="185"/>
        <v>-1</v>
      </c>
    </row>
    <row r="197" spans="1:145" ht="11.25" customHeight="1" x14ac:dyDescent="0.2">
      <c r="A197" s="1">
        <f t="shared" si="137"/>
        <v>194</v>
      </c>
      <c r="B197" s="1" t="s">
        <v>572</v>
      </c>
      <c r="C197" s="1" t="s">
        <v>573</v>
      </c>
      <c r="D197" s="1" t="s">
        <v>573</v>
      </c>
      <c r="E197" s="1">
        <f t="shared" si="143"/>
        <v>0</v>
      </c>
      <c r="G197" s="1">
        <f>MoALvl</f>
        <v>0</v>
      </c>
      <c r="K197" s="1">
        <v>2</v>
      </c>
      <c r="L197" s="1">
        <v>4</v>
      </c>
      <c r="V197" s="1">
        <v>0.5</v>
      </c>
      <c r="W197" s="1">
        <v>0.34</v>
      </c>
      <c r="X197" s="1">
        <v>0.34</v>
      </c>
      <c r="Y197" s="1">
        <v>0.5</v>
      </c>
      <c r="Z197" s="1" t="b">
        <f>FALSE</f>
        <v>0</v>
      </c>
      <c r="AA197" s="1" t="str">
        <f t="shared" si="147"/>
        <v/>
      </c>
      <c r="AB197" s="1" t="str">
        <f t="shared" si="148"/>
        <v/>
      </c>
      <c r="AC197" s="1">
        <f t="shared" si="144"/>
        <v>0</v>
      </c>
      <c r="AD197" s="1" t="str">
        <f t="shared" si="149"/>
        <v/>
      </c>
      <c r="AE197" s="1" t="str">
        <f t="shared" si="150"/>
        <v/>
      </c>
      <c r="AF197" s="1">
        <f t="shared" si="145"/>
        <v>0</v>
      </c>
      <c r="AG197" s="1">
        <f t="shared" si="151"/>
        <v>5</v>
      </c>
      <c r="AH197" s="1" t="str">
        <f t="shared" si="146"/>
        <v/>
      </c>
      <c r="AI197" s="1">
        <v>1</v>
      </c>
      <c r="AJ197" s="1">
        <f t="shared" si="170"/>
        <v>0</v>
      </c>
      <c r="AK197" s="1">
        <v>1</v>
      </c>
      <c r="AL197" s="1">
        <v>1</v>
      </c>
      <c r="AM197" s="1">
        <v>1</v>
      </c>
      <c r="AN197" s="1">
        <f t="shared" si="171"/>
        <v>0</v>
      </c>
      <c r="AO197" s="1">
        <v>2</v>
      </c>
      <c r="AP197" s="1">
        <v>2</v>
      </c>
      <c r="AQ197" s="1">
        <v>2</v>
      </c>
      <c r="AR197" s="1">
        <v>2</v>
      </c>
      <c r="AS197" s="1">
        <v>2</v>
      </c>
      <c r="AT197" s="1">
        <v>2</v>
      </c>
      <c r="AU197" s="1">
        <v>2</v>
      </c>
      <c r="AV197" s="1">
        <v>2</v>
      </c>
      <c r="AW197" s="1">
        <v>2</v>
      </c>
      <c r="AX197" s="1">
        <v>1</v>
      </c>
      <c r="AY197" s="1">
        <v>1</v>
      </c>
      <c r="AZ197" s="1">
        <v>1</v>
      </c>
      <c r="BA197" s="1">
        <v>1</v>
      </c>
      <c r="BB197" s="1">
        <v>1</v>
      </c>
      <c r="BC197" s="1">
        <v>1</v>
      </c>
      <c r="BD197" s="1">
        <v>1</v>
      </c>
      <c r="BE197" s="1">
        <v>1</v>
      </c>
      <c r="BF197" s="1">
        <v>1</v>
      </c>
      <c r="BG197" s="1">
        <f t="shared" si="172"/>
        <v>0</v>
      </c>
      <c r="BH197" s="1">
        <f t="shared" si="173"/>
        <v>0</v>
      </c>
      <c r="BI197" s="1">
        <v>1</v>
      </c>
      <c r="BJ197" s="1">
        <v>1</v>
      </c>
      <c r="BK197" s="1">
        <v>2</v>
      </c>
      <c r="BL197" s="1">
        <v>2</v>
      </c>
      <c r="BM197" s="1">
        <v>2</v>
      </c>
      <c r="BN197" s="1">
        <v>2</v>
      </c>
      <c r="BO197" s="1">
        <v>2</v>
      </c>
      <c r="BP197" s="1">
        <f>1+NOT(HRLivingGreyhawk)</f>
        <v>2</v>
      </c>
      <c r="BQ197" s="1">
        <f>IF(HRRVL,2,0)</f>
        <v>0</v>
      </c>
      <c r="BR197" s="1">
        <v>2</v>
      </c>
      <c r="BS197" s="1">
        <v>2</v>
      </c>
      <c r="BT197" s="1">
        <f>IF(HRXPH,2,0)</f>
        <v>0</v>
      </c>
      <c r="BU197" s="1">
        <f>IF(HRRVL,2,0)</f>
        <v>0</v>
      </c>
      <c r="BV197" s="1">
        <v>2</v>
      </c>
      <c r="BW197" s="1">
        <v>2</v>
      </c>
      <c r="BX197" s="1">
        <v>2</v>
      </c>
      <c r="BY197" s="1">
        <v>2</v>
      </c>
      <c r="BZ197" s="1">
        <v>2</v>
      </c>
      <c r="CA197" s="1">
        <v>2</v>
      </c>
      <c r="CB197" s="1">
        <v>2</v>
      </c>
      <c r="CC197" s="1">
        <v>2</v>
      </c>
      <c r="CD197" s="1">
        <v>2</v>
      </c>
      <c r="CE197" s="1">
        <v>2</v>
      </c>
      <c r="CF197" s="1">
        <v>1</v>
      </c>
      <c r="CG197" s="1">
        <f t="shared" si="174"/>
        <v>0</v>
      </c>
      <c r="CH197" s="1">
        <v>1</v>
      </c>
      <c r="CI197" s="1">
        <v>1</v>
      </c>
      <c r="CJ197" s="1">
        <v>1</v>
      </c>
      <c r="CK197" s="1">
        <v>1</v>
      </c>
      <c r="CL197" s="1">
        <v>1</v>
      </c>
      <c r="CM197" s="1">
        <v>1</v>
      </c>
      <c r="CN197" s="1">
        <v>1</v>
      </c>
      <c r="CO197" s="1">
        <v>1</v>
      </c>
      <c r="CP197" s="1">
        <v>2</v>
      </c>
      <c r="CQ197" s="1">
        <v>2</v>
      </c>
      <c r="CR197" s="1">
        <v>2</v>
      </c>
      <c r="CS197" s="1">
        <v>2</v>
      </c>
      <c r="CT197" s="1">
        <v>2</v>
      </c>
      <c r="CU197" s="1">
        <v>2</v>
      </c>
      <c r="CV197" s="1">
        <f t="shared" si="175"/>
        <v>0</v>
      </c>
      <c r="CW197" s="1">
        <v>1</v>
      </c>
      <c r="CX197" s="1">
        <v>1</v>
      </c>
      <c r="CY197" s="1">
        <v>1</v>
      </c>
      <c r="CZ197" s="1">
        <f t="shared" si="176"/>
        <v>0</v>
      </c>
      <c r="DA197" s="1">
        <v>1</v>
      </c>
      <c r="DB197" s="1">
        <v>2</v>
      </c>
      <c r="DC197" s="1">
        <v>2</v>
      </c>
      <c r="DD197" s="1">
        <v>1</v>
      </c>
      <c r="DE197" s="1">
        <v>1</v>
      </c>
      <c r="DF197" s="1">
        <v>1</v>
      </c>
      <c r="DG197" s="1">
        <v>1</v>
      </c>
      <c r="DH197" s="1">
        <v>1</v>
      </c>
      <c r="DI197" s="1">
        <f t="shared" si="177"/>
        <v>0</v>
      </c>
      <c r="DJ197" s="1">
        <v>1</v>
      </c>
      <c r="DK197" s="1" t="s">
        <v>157</v>
      </c>
      <c r="DL197" s="1" t="s">
        <v>101</v>
      </c>
      <c r="DR197" s="1" t="b">
        <f>SkKnowledgeArcanaRanks&gt;=8</f>
        <v>0</v>
      </c>
      <c r="DS197" s="1" t="b">
        <f>FtCooperativeSpell</f>
        <v>0</v>
      </c>
      <c r="DT197" s="1" t="b">
        <f>MetamagicSelected&gt;=2</f>
        <v>0</v>
      </c>
      <c r="EA197" s="1" t="b">
        <f t="shared" si="178"/>
        <v>0</v>
      </c>
      <c r="EB197" s="11" t="s">
        <v>338</v>
      </c>
      <c r="EC197" s="1" t="str">
        <f>IF(DR197,"","• 8 ranks in Knowledge (arcana).
")&amp;IF(DS197,"","• Cooperative Spell feat.
")&amp;IF(DT197,"","• Any one other metamagic feat.
")&amp;IF(DU197,"","• Ability to prepare and cast 2nd level arcane spells (not verified).
")&amp;"• You must pay an initiation fee of 750 gp (not verified)."</f>
        <v>• 8 ranks in Knowledge (arcana).
• Cooperative Spell feat.
• Any one other metamagic feat.
• Ability to prepare and cast 2nd level arcane spells (not verified).
• You must pay an initiation fee of 750 gp (not verified).</v>
      </c>
      <c r="ED197" s="11" t="s">
        <v>335</v>
      </c>
      <c r="EE197" s="8" t="s">
        <v>558</v>
      </c>
      <c r="EF197" s="9">
        <v>10</v>
      </c>
      <c r="EG197" s="9" t="s">
        <v>574</v>
      </c>
      <c r="EH197" s="9"/>
      <c r="EI197" s="9" t="b">
        <f t="shared" si="179"/>
        <v>0</v>
      </c>
      <c r="EJ197" s="9" t="str">
        <f t="shared" si="180"/>
        <v/>
      </c>
      <c r="EK197" s="9">
        <f t="shared" si="181"/>
        <v>99</v>
      </c>
      <c r="EL197" s="9">
        <f t="shared" si="182"/>
        <v>99</v>
      </c>
      <c r="EM197" s="9">
        <f t="shared" si="183"/>
        <v>99</v>
      </c>
      <c r="EN197" s="9">
        <f t="shared" si="184"/>
        <v>99</v>
      </c>
      <c r="EO197" s="10">
        <f t="shared" si="185"/>
        <v>-1</v>
      </c>
    </row>
    <row r="198" spans="1:145" ht="11.25" customHeight="1" x14ac:dyDescent="0.2">
      <c r="A198" s="1">
        <f t="shared" ref="A198:A261" si="186">A197+1</f>
        <v>195</v>
      </c>
      <c r="B198" s="1" t="s">
        <v>575</v>
      </c>
      <c r="C198" s="1" t="s">
        <v>576</v>
      </c>
      <c r="D198" s="1" t="s">
        <v>576</v>
      </c>
      <c r="E198" s="1">
        <f t="shared" si="143"/>
        <v>0</v>
      </c>
      <c r="G198" s="1">
        <f>INT(MTrLvl*2/3)</f>
        <v>0</v>
      </c>
      <c r="K198" s="1">
        <v>2</v>
      </c>
      <c r="L198" s="1">
        <v>4</v>
      </c>
      <c r="V198" s="1">
        <v>0.5</v>
      </c>
      <c r="W198" s="1">
        <v>0.34</v>
      </c>
      <c r="X198" s="1">
        <v>0.34</v>
      </c>
      <c r="Y198" s="1">
        <v>0.5</v>
      </c>
      <c r="Z198" s="1" t="b">
        <f>FALSE</f>
        <v>0</v>
      </c>
      <c r="AA198" s="1" t="str">
        <f t="shared" si="147"/>
        <v/>
      </c>
      <c r="AB198" s="1" t="str">
        <f t="shared" si="148"/>
        <v/>
      </c>
      <c r="AC198" s="1">
        <f t="shared" si="144"/>
        <v>0</v>
      </c>
      <c r="AD198" s="1" t="str">
        <f t="shared" si="149"/>
        <v/>
      </c>
      <c r="AE198" s="1" t="str">
        <f t="shared" si="150"/>
        <v/>
      </c>
      <c r="AF198" s="1">
        <f t="shared" si="145"/>
        <v>0</v>
      </c>
      <c r="AG198" s="1">
        <f t="shared" si="151"/>
        <v>5</v>
      </c>
      <c r="AH198" s="1" t="str">
        <f t="shared" si="146"/>
        <v/>
      </c>
      <c r="AI198" s="1">
        <v>1</v>
      </c>
      <c r="AJ198" s="1">
        <f t="shared" si="170"/>
        <v>0</v>
      </c>
      <c r="AK198" s="1">
        <v>1</v>
      </c>
      <c r="AL198" s="1">
        <v>2</v>
      </c>
      <c r="AM198" s="1">
        <v>1</v>
      </c>
      <c r="AN198" s="1">
        <f t="shared" si="171"/>
        <v>0</v>
      </c>
      <c r="AO198" s="1">
        <v>2</v>
      </c>
      <c r="AP198" s="1">
        <v>2</v>
      </c>
      <c r="AQ198" s="1">
        <v>2</v>
      </c>
      <c r="AR198" s="1">
        <v>2</v>
      </c>
      <c r="AS198" s="1">
        <v>2</v>
      </c>
      <c r="AT198" s="1">
        <v>2</v>
      </c>
      <c r="AU198" s="1">
        <v>2</v>
      </c>
      <c r="AV198" s="1">
        <v>2</v>
      </c>
      <c r="AW198" s="1">
        <v>1</v>
      </c>
      <c r="AX198" s="1">
        <v>1</v>
      </c>
      <c r="AY198" s="1">
        <v>1</v>
      </c>
      <c r="AZ198" s="1">
        <v>2</v>
      </c>
      <c r="BA198" s="1">
        <v>1</v>
      </c>
      <c r="BB198" s="1">
        <v>1</v>
      </c>
      <c r="BC198" s="1">
        <v>1</v>
      </c>
      <c r="BD198" s="1">
        <v>1</v>
      </c>
      <c r="BE198" s="1">
        <v>1</v>
      </c>
      <c r="BF198" s="1">
        <v>1</v>
      </c>
      <c r="BG198" s="1">
        <f t="shared" si="172"/>
        <v>0</v>
      </c>
      <c r="BH198" s="1">
        <f t="shared" si="173"/>
        <v>0</v>
      </c>
      <c r="BI198" s="1">
        <v>1</v>
      </c>
      <c r="BJ198" s="1">
        <v>1</v>
      </c>
      <c r="BK198" s="1">
        <v>2</v>
      </c>
      <c r="BL198" s="1">
        <v>1</v>
      </c>
      <c r="BM198" s="1">
        <v>1</v>
      </c>
      <c r="BN198" s="1">
        <v>1</v>
      </c>
      <c r="BO198" s="1">
        <v>1</v>
      </c>
      <c r="BP198" s="1">
        <v>1</v>
      </c>
      <c r="BQ198" s="1">
        <f>IF(HRRVL,1,0)</f>
        <v>0</v>
      </c>
      <c r="BR198" s="1">
        <v>1</v>
      </c>
      <c r="BS198" s="1">
        <v>1</v>
      </c>
      <c r="BT198" s="1">
        <f>IF(HRXPH,1,0)</f>
        <v>0</v>
      </c>
      <c r="BU198" s="1">
        <f>IF(HRRVL,1,0)</f>
        <v>0</v>
      </c>
      <c r="BV198" s="1">
        <v>1</v>
      </c>
      <c r="BW198" s="1">
        <v>1</v>
      </c>
      <c r="BX198" s="1">
        <v>1</v>
      </c>
      <c r="BY198" s="1">
        <v>1</v>
      </c>
      <c r="BZ198" s="1">
        <v>1</v>
      </c>
      <c r="CA198" s="1">
        <v>1</v>
      </c>
      <c r="CB198" s="1">
        <v>1</v>
      </c>
      <c r="CC198" s="1">
        <v>1</v>
      </c>
      <c r="CD198" s="1">
        <v>1</v>
      </c>
      <c r="CE198" s="1">
        <v>1</v>
      </c>
      <c r="CF198" s="1">
        <v>1</v>
      </c>
      <c r="CG198" s="1">
        <f t="shared" si="174"/>
        <v>0</v>
      </c>
      <c r="CH198" s="1">
        <v>1</v>
      </c>
      <c r="CI198" s="1">
        <v>1</v>
      </c>
      <c r="CJ198" s="1">
        <v>1</v>
      </c>
      <c r="CK198" s="1">
        <v>1</v>
      </c>
      <c r="CL198" s="1">
        <v>1</v>
      </c>
      <c r="CM198" s="1">
        <v>1</v>
      </c>
      <c r="CN198" s="1">
        <v>1</v>
      </c>
      <c r="CO198" s="1">
        <v>1</v>
      </c>
      <c r="CP198" s="1">
        <v>2</v>
      </c>
      <c r="CQ198" s="1">
        <v>2</v>
      </c>
      <c r="CR198" s="1">
        <v>2</v>
      </c>
      <c r="CS198" s="1">
        <v>2</v>
      </c>
      <c r="CT198" s="1">
        <v>2</v>
      </c>
      <c r="CU198" s="1">
        <v>2</v>
      </c>
      <c r="CV198" s="1">
        <f t="shared" si="175"/>
        <v>0</v>
      </c>
      <c r="CW198" s="1">
        <v>1</v>
      </c>
      <c r="CX198" s="1">
        <v>1</v>
      </c>
      <c r="CY198" s="1">
        <v>1</v>
      </c>
      <c r="CZ198" s="1">
        <f t="shared" si="176"/>
        <v>0</v>
      </c>
      <c r="DA198" s="1">
        <v>1</v>
      </c>
      <c r="DB198" s="1">
        <v>1</v>
      </c>
      <c r="DC198" s="1">
        <v>2</v>
      </c>
      <c r="DD198" s="1">
        <v>1</v>
      </c>
      <c r="DE198" s="1">
        <v>1</v>
      </c>
      <c r="DF198" s="1">
        <v>1</v>
      </c>
      <c r="DG198" s="1">
        <v>1</v>
      </c>
      <c r="DH198" s="1">
        <v>1</v>
      </c>
      <c r="DI198" s="1">
        <f t="shared" si="177"/>
        <v>0</v>
      </c>
      <c r="DJ198" s="1">
        <v>1</v>
      </c>
      <c r="DK198" s="1" t="s">
        <v>157</v>
      </c>
      <c r="DL198" s="1" t="s">
        <v>150</v>
      </c>
      <c r="DR198" s="1" t="b">
        <f>AlignmentNonLawful</f>
        <v>0</v>
      </c>
      <c r="DS198" s="1" t="b">
        <f>SkBluffRanks&gt;=2</f>
        <v>0</v>
      </c>
      <c r="DT198" s="1" t="b">
        <f>SkDisguiseRanks&gt;=5</f>
        <v>0</v>
      </c>
      <c r="DU198" s="1" t="b">
        <f>OR(FtEschewMaterials,FreeEschewMaterials)</f>
        <v>0</v>
      </c>
      <c r="EA198" s="1" t="b">
        <f>AND(DM198:DZ198)</f>
        <v>0</v>
      </c>
      <c r="EB198" s="11" t="s">
        <v>338</v>
      </c>
      <c r="EC198" s="1" t="str">
        <f>IF(DR198,"","• Any non-lawful alignment.
")&amp;IF(DS198,"","• 2 ranks in Bluff.
")&amp;IF(DT198,"","• 5 ranks in Disguise.
")&amp;IF(DU198,"","• Eschew Materials feat.
")&amp;"• Ability to cast alter self and polymorph (not verified)."</f>
        <v>• Any non-lawful alignment.
• 2 ranks in Bluff.
• 5 ranks in Disguise.
• Eschew Materials feat.
• Ability to cast alter self and polymorph (not verified).</v>
      </c>
      <c r="ED198" s="11" t="s">
        <v>335</v>
      </c>
      <c r="EE198" s="8" t="s">
        <v>577</v>
      </c>
      <c r="EF198" s="9">
        <v>10</v>
      </c>
      <c r="EG198" s="9" t="s">
        <v>574</v>
      </c>
      <c r="EH198" s="9"/>
      <c r="EI198" s="9" t="b">
        <f t="shared" si="179"/>
        <v>0</v>
      </c>
      <c r="EJ198" s="9" t="str">
        <f t="shared" si="180"/>
        <v/>
      </c>
      <c r="EK198" s="9">
        <f t="shared" si="181"/>
        <v>99</v>
      </c>
      <c r="EL198" s="9">
        <f t="shared" si="182"/>
        <v>99</v>
      </c>
      <c r="EM198" s="9">
        <f t="shared" si="183"/>
        <v>99</v>
      </c>
      <c r="EN198" s="9">
        <f t="shared" si="184"/>
        <v>99</v>
      </c>
      <c r="EO198" s="10">
        <f t="shared" si="185"/>
        <v>-1</v>
      </c>
    </row>
    <row r="199" spans="1:145" ht="11.25" customHeight="1" x14ac:dyDescent="0.2">
      <c r="A199" s="1">
        <f t="shared" si="186"/>
        <v>196</v>
      </c>
      <c r="B199" s="1" t="s">
        <v>578</v>
      </c>
      <c r="C199" s="1" t="s">
        <v>579</v>
      </c>
      <c r="D199" s="1" t="s">
        <v>579</v>
      </c>
      <c r="E199" s="1">
        <f t="shared" si="143"/>
        <v>0</v>
      </c>
      <c r="G199" s="1">
        <f>MnbLvl-INT(MnbLvl/2)</f>
        <v>0</v>
      </c>
      <c r="K199" s="1">
        <v>2</v>
      </c>
      <c r="L199" s="1">
        <v>4</v>
      </c>
      <c r="V199" s="1">
        <v>0.5</v>
      </c>
      <c r="W199" s="1">
        <v>0.5</v>
      </c>
      <c r="X199" s="1">
        <v>0.34</v>
      </c>
      <c r="Y199" s="1">
        <v>0.5</v>
      </c>
      <c r="Z199" s="1" t="b">
        <f>FALSE</f>
        <v>0</v>
      </c>
      <c r="AA199" s="1" t="str">
        <f t="shared" si="147"/>
        <v/>
      </c>
      <c r="AB199" s="1" t="str">
        <f t="shared" si="148"/>
        <v/>
      </c>
      <c r="AC199" s="1">
        <f t="shared" si="144"/>
        <v>0</v>
      </c>
      <c r="AD199" s="1" t="str">
        <f t="shared" si="149"/>
        <v/>
      </c>
      <c r="AE199" s="1" t="str">
        <f t="shared" si="150"/>
        <v/>
      </c>
      <c r="AF199" s="1">
        <f t="shared" si="145"/>
        <v>0</v>
      </c>
      <c r="AG199" s="1">
        <f t="shared" si="151"/>
        <v>5</v>
      </c>
      <c r="AH199" s="1" t="str">
        <f t="shared" si="146"/>
        <v/>
      </c>
      <c r="AI199" s="1">
        <v>1</v>
      </c>
      <c r="AJ199" s="1">
        <f t="shared" si="170"/>
        <v>0</v>
      </c>
      <c r="AK199" s="1">
        <v>1</v>
      </c>
      <c r="AL199" s="1">
        <v>2</v>
      </c>
      <c r="AM199" s="1">
        <v>1</v>
      </c>
      <c r="AN199" s="1">
        <f t="shared" si="171"/>
        <v>0</v>
      </c>
      <c r="AO199" s="1">
        <v>2</v>
      </c>
      <c r="AP199" s="1">
        <v>1</v>
      </c>
      <c r="AQ199" s="1">
        <v>1</v>
      </c>
      <c r="AR199" s="1">
        <v>1</v>
      </c>
      <c r="AS199" s="1">
        <v>1</v>
      </c>
      <c r="AT199" s="1">
        <v>1</v>
      </c>
      <c r="AU199" s="1">
        <v>1</v>
      </c>
      <c r="AV199" s="1">
        <v>1</v>
      </c>
      <c r="AW199" s="1">
        <v>1</v>
      </c>
      <c r="AX199" s="1">
        <v>2</v>
      </c>
      <c r="AY199" s="1">
        <v>1</v>
      </c>
      <c r="AZ199" s="1">
        <v>1</v>
      </c>
      <c r="BA199" s="1">
        <v>1</v>
      </c>
      <c r="BB199" s="1">
        <v>1</v>
      </c>
      <c r="BC199" s="1">
        <v>1</v>
      </c>
      <c r="BD199" s="1">
        <v>1</v>
      </c>
      <c r="BE199" s="1">
        <v>1</v>
      </c>
      <c r="BF199" s="1">
        <v>1</v>
      </c>
      <c r="BG199" s="1">
        <f t="shared" si="172"/>
        <v>0</v>
      </c>
      <c r="BH199" s="1">
        <f t="shared" si="173"/>
        <v>0</v>
      </c>
      <c r="BI199" s="1">
        <v>2</v>
      </c>
      <c r="BJ199" s="1">
        <v>1</v>
      </c>
      <c r="BK199" s="1">
        <v>2</v>
      </c>
      <c r="BL199" s="1">
        <v>2</v>
      </c>
      <c r="BM199" s="1">
        <v>2</v>
      </c>
      <c r="BN199" s="1">
        <v>2</v>
      </c>
      <c r="BO199" s="1">
        <v>2</v>
      </c>
      <c r="BP199" s="1">
        <f>1+NOT(HRLivingGreyhawk)</f>
        <v>2</v>
      </c>
      <c r="BQ199" s="1">
        <f>IF(HRRVL,2,0)</f>
        <v>0</v>
      </c>
      <c r="BR199" s="1">
        <v>2</v>
      </c>
      <c r="BS199" s="1">
        <v>2</v>
      </c>
      <c r="BT199" s="1">
        <f>IF(HRXPH,2,0)</f>
        <v>0</v>
      </c>
      <c r="BU199" s="1">
        <f>IF(HRRVL,2,0)</f>
        <v>0</v>
      </c>
      <c r="BV199" s="1">
        <v>2</v>
      </c>
      <c r="BW199" s="1">
        <v>2</v>
      </c>
      <c r="BX199" s="1">
        <v>2</v>
      </c>
      <c r="BY199" s="1">
        <v>2</v>
      </c>
      <c r="BZ199" s="1">
        <v>2</v>
      </c>
      <c r="CA199" s="1">
        <v>2</v>
      </c>
      <c r="CB199" s="1">
        <v>2</v>
      </c>
      <c r="CC199" s="1">
        <v>2</v>
      </c>
      <c r="CD199" s="1">
        <v>2</v>
      </c>
      <c r="CE199" s="1">
        <v>2</v>
      </c>
      <c r="CF199" s="1">
        <v>1</v>
      </c>
      <c r="CG199" s="1">
        <f t="shared" si="174"/>
        <v>0</v>
      </c>
      <c r="CH199" s="1">
        <v>1</v>
      </c>
      <c r="CI199" s="1">
        <v>1</v>
      </c>
      <c r="CJ199" s="1">
        <v>1</v>
      </c>
      <c r="CK199" s="1">
        <v>1</v>
      </c>
      <c r="CL199" s="1">
        <v>1</v>
      </c>
      <c r="CM199" s="1">
        <v>1</v>
      </c>
      <c r="CN199" s="1">
        <v>1</v>
      </c>
      <c r="CO199" s="1">
        <v>1</v>
      </c>
      <c r="CP199" s="1">
        <v>2</v>
      </c>
      <c r="CQ199" s="1">
        <v>2</v>
      </c>
      <c r="CR199" s="1">
        <v>2</v>
      </c>
      <c r="CS199" s="1">
        <v>2</v>
      </c>
      <c r="CT199" s="1">
        <v>2</v>
      </c>
      <c r="CU199" s="1">
        <v>2</v>
      </c>
      <c r="CV199" s="1">
        <f t="shared" si="175"/>
        <v>0</v>
      </c>
      <c r="CW199" s="1">
        <v>1</v>
      </c>
      <c r="CX199" s="1">
        <v>1</v>
      </c>
      <c r="CY199" s="1">
        <v>2</v>
      </c>
      <c r="CZ199" s="1">
        <f t="shared" si="176"/>
        <v>0</v>
      </c>
      <c r="DA199" s="1">
        <v>1</v>
      </c>
      <c r="DB199" s="1">
        <v>1</v>
      </c>
      <c r="DC199" s="1">
        <v>2</v>
      </c>
      <c r="DD199" s="1">
        <v>1</v>
      </c>
      <c r="DE199" s="1">
        <v>1</v>
      </c>
      <c r="DF199" s="1">
        <v>1</v>
      </c>
      <c r="DG199" s="1">
        <v>1</v>
      </c>
      <c r="DH199" s="1">
        <v>1</v>
      </c>
      <c r="DI199" s="1">
        <f t="shared" si="177"/>
        <v>0</v>
      </c>
      <c r="DJ199" s="1">
        <v>1</v>
      </c>
      <c r="DK199" s="1" t="s">
        <v>157</v>
      </c>
      <c r="DL199" s="1" t="s">
        <v>101</v>
      </c>
      <c r="DR199" s="1" t="b">
        <f>AlignmentNonGood</f>
        <v>0</v>
      </c>
      <c r="DS199" s="1" t="b">
        <f>SkBluffRanks&gt;=4</f>
        <v>0</v>
      </c>
      <c r="DT199" s="1" t="b">
        <f>SkDiplomacyRanks&gt;=4</f>
        <v>0</v>
      </c>
      <c r="DU199" s="1" t="b">
        <f>SkIntimidateRanks&gt;=4</f>
        <v>0</v>
      </c>
      <c r="DV199" s="1" t="b">
        <f>SkSenseMotiveRanks&gt;=4</f>
        <v>0</v>
      </c>
      <c r="DX199" s="1" t="b">
        <f>OR(MaxArcaneLevel&gt;=5,MaxArcaneSpellLikeLevel&gt;=5)</f>
        <v>0</v>
      </c>
      <c r="EA199" s="1" t="b">
        <f>AND(DM199:DZ199)</f>
        <v>0</v>
      </c>
      <c r="EB199" s="11" t="s">
        <v>338</v>
      </c>
      <c r="EC199" s="1" t="str">
        <f>IF(DR199,"","• Any non-good alignment.
")&amp;IF(DS199,"","• 4 ranks in Bluff.
")&amp;IF(DT199,"","• 4 ranks in Diplomacy.
")&amp;IF(DU199,"","• 4 ranks in Intimidate.
")&amp;IF(DV199,"","• 4 ranks in Sense Motive.
")&amp;"• Ability to cast charm person, use charm person as a spell-like ability,
   or use the charm person invocation (not verified).
"&amp;IF(DX199,"","• Arcane caster level 5th.")</f>
        <v>• Any non-good alignment.
• 4 ranks in Bluff.
• 4 ranks in Diplomacy.
• 4 ranks in Intimidate.
• 4 ranks in Sense Motive.
• Ability to cast charm person, use charm person as a spell-like ability,
   or use the charm person invocation (not verified).
• Arcane caster level 5th.</v>
      </c>
      <c r="ED199" s="11" t="s">
        <v>335</v>
      </c>
      <c r="EE199" s="8" t="s">
        <v>580</v>
      </c>
      <c r="EF199" s="9">
        <v>10</v>
      </c>
      <c r="EG199" s="9" t="s">
        <v>574</v>
      </c>
      <c r="EH199" s="9"/>
      <c r="EI199" s="9" t="b">
        <f t="shared" si="179"/>
        <v>0</v>
      </c>
      <c r="EJ199" s="9" t="str">
        <f t="shared" si="180"/>
        <v/>
      </c>
      <c r="EK199" s="9">
        <f t="shared" si="181"/>
        <v>99</v>
      </c>
      <c r="EL199" s="9">
        <f t="shared" si="182"/>
        <v>99</v>
      </c>
      <c r="EM199" s="9">
        <f t="shared" si="183"/>
        <v>99</v>
      </c>
      <c r="EN199" s="9">
        <f t="shared" si="184"/>
        <v>99</v>
      </c>
      <c r="EO199" s="10">
        <f t="shared" si="185"/>
        <v>-1</v>
      </c>
    </row>
    <row r="200" spans="1:145" ht="11.25" customHeight="1" x14ac:dyDescent="0.2">
      <c r="A200" s="1">
        <f t="shared" si="186"/>
        <v>197</v>
      </c>
      <c r="B200" s="1" t="s">
        <v>581</v>
      </c>
      <c r="C200" s="1" t="s">
        <v>582</v>
      </c>
      <c r="D200" s="1" t="s">
        <v>582</v>
      </c>
      <c r="E200" s="1">
        <f t="shared" si="143"/>
        <v>0</v>
      </c>
      <c r="K200" s="1">
        <v>4</v>
      </c>
      <c r="L200" s="1">
        <v>6</v>
      </c>
      <c r="V200" s="1">
        <v>0.75</v>
      </c>
      <c r="W200" s="1">
        <v>0.34</v>
      </c>
      <c r="X200" s="1">
        <v>0.34</v>
      </c>
      <c r="Y200" s="1">
        <v>0.5</v>
      </c>
      <c r="Z200" s="1" t="b">
        <f>FALSE</f>
        <v>0</v>
      </c>
      <c r="AA200" s="1" t="str">
        <f t="shared" si="147"/>
        <v/>
      </c>
      <c r="AB200" s="1" t="str">
        <f t="shared" si="148"/>
        <v/>
      </c>
      <c r="AC200" s="1">
        <f t="shared" si="144"/>
        <v>0</v>
      </c>
      <c r="AD200" s="1" t="str">
        <f t="shared" si="149"/>
        <v/>
      </c>
      <c r="AE200" s="1" t="str">
        <f t="shared" si="150"/>
        <v/>
      </c>
      <c r="AF200" s="1">
        <f t="shared" si="145"/>
        <v>0</v>
      </c>
      <c r="AG200" s="1">
        <f t="shared" si="151"/>
        <v>5</v>
      </c>
      <c r="AH200" s="1" t="str">
        <f t="shared" si="146"/>
        <v/>
      </c>
      <c r="AI200" s="1">
        <v>1</v>
      </c>
      <c r="AJ200" s="1">
        <f t="shared" si="170"/>
        <v>0</v>
      </c>
      <c r="AK200" s="1">
        <v>1</v>
      </c>
      <c r="AL200" s="1">
        <v>1</v>
      </c>
      <c r="AM200" s="1">
        <v>2</v>
      </c>
      <c r="AN200" s="1">
        <f t="shared" si="171"/>
        <v>0</v>
      </c>
      <c r="AO200" s="1">
        <v>2</v>
      </c>
      <c r="AP200" s="1">
        <v>2</v>
      </c>
      <c r="AQ200" s="1">
        <v>2</v>
      </c>
      <c r="AR200" s="1">
        <v>2</v>
      </c>
      <c r="AS200" s="1">
        <v>2</v>
      </c>
      <c r="AT200" s="1">
        <v>2</v>
      </c>
      <c r="AU200" s="1">
        <v>2</v>
      </c>
      <c r="AV200" s="1">
        <v>2</v>
      </c>
      <c r="AW200" s="1">
        <v>1</v>
      </c>
      <c r="AX200" s="1">
        <v>2</v>
      </c>
      <c r="AY200" s="1">
        <v>1</v>
      </c>
      <c r="AZ200" s="1">
        <v>1</v>
      </c>
      <c r="BA200" s="1">
        <v>1</v>
      </c>
      <c r="BB200" s="1">
        <v>1</v>
      </c>
      <c r="BC200" s="1">
        <v>1</v>
      </c>
      <c r="BD200" s="1">
        <v>1</v>
      </c>
      <c r="BE200" s="1">
        <v>1</v>
      </c>
      <c r="BF200" s="1">
        <v>1</v>
      </c>
      <c r="BG200" s="1">
        <f t="shared" si="172"/>
        <v>0</v>
      </c>
      <c r="BH200" s="1">
        <f t="shared" si="173"/>
        <v>0</v>
      </c>
      <c r="BI200" s="1">
        <v>1</v>
      </c>
      <c r="BJ200" s="1">
        <v>2</v>
      </c>
      <c r="BK200" s="1">
        <v>2</v>
      </c>
      <c r="BL200" s="1">
        <v>1</v>
      </c>
      <c r="BM200" s="1">
        <v>1</v>
      </c>
      <c r="BN200" s="1">
        <v>1</v>
      </c>
      <c r="BO200" s="1">
        <v>1</v>
      </c>
      <c r="BP200" s="1">
        <v>1</v>
      </c>
      <c r="BQ200" s="1">
        <f>IF(HRRVL,1,0)</f>
        <v>0</v>
      </c>
      <c r="BR200" s="1">
        <v>1</v>
      </c>
      <c r="BS200" s="1">
        <v>1</v>
      </c>
      <c r="BT200" s="1">
        <f>IF(HRXPH,1,0)</f>
        <v>0</v>
      </c>
      <c r="BU200" s="1">
        <f>IF(HRRVL,1,0)</f>
        <v>0</v>
      </c>
      <c r="BV200" s="1">
        <v>1</v>
      </c>
      <c r="BW200" s="1">
        <v>1</v>
      </c>
      <c r="BX200" s="1">
        <v>1</v>
      </c>
      <c r="BY200" s="1">
        <v>1</v>
      </c>
      <c r="BZ200" s="1">
        <v>1</v>
      </c>
      <c r="CA200" s="1">
        <v>1</v>
      </c>
      <c r="CB200" s="1">
        <v>1</v>
      </c>
      <c r="CC200" s="1">
        <v>1</v>
      </c>
      <c r="CD200" s="1">
        <v>1</v>
      </c>
      <c r="CE200" s="1">
        <v>1</v>
      </c>
      <c r="CF200" s="1">
        <v>2</v>
      </c>
      <c r="CG200" s="1">
        <f t="shared" si="174"/>
        <v>0</v>
      </c>
      <c r="CH200" s="1">
        <v>1</v>
      </c>
      <c r="CI200" s="1">
        <v>1</v>
      </c>
      <c r="CJ200" s="1">
        <v>2</v>
      </c>
      <c r="CK200" s="1">
        <v>2</v>
      </c>
      <c r="CL200" s="1">
        <v>2</v>
      </c>
      <c r="CM200" s="1">
        <v>2</v>
      </c>
      <c r="CN200" s="1">
        <v>2</v>
      </c>
      <c r="CO200" s="1">
        <v>2</v>
      </c>
      <c r="CP200" s="1">
        <v>2</v>
      </c>
      <c r="CQ200" s="1">
        <v>2</v>
      </c>
      <c r="CR200" s="1">
        <v>2</v>
      </c>
      <c r="CS200" s="1">
        <v>2</v>
      </c>
      <c r="CT200" s="1">
        <v>2</v>
      </c>
      <c r="CU200" s="1">
        <v>2</v>
      </c>
      <c r="CV200" s="1">
        <f t="shared" si="175"/>
        <v>0</v>
      </c>
      <c r="CW200" s="1">
        <v>2</v>
      </c>
      <c r="CX200" s="1">
        <v>1</v>
      </c>
      <c r="CY200" s="1">
        <v>2</v>
      </c>
      <c r="CZ200" s="1">
        <f t="shared" si="176"/>
        <v>0</v>
      </c>
      <c r="DA200" s="1">
        <v>1</v>
      </c>
      <c r="DB200" s="1">
        <v>1</v>
      </c>
      <c r="DC200" s="1">
        <v>1</v>
      </c>
      <c r="DD200" s="1">
        <v>2</v>
      </c>
      <c r="DE200" s="1">
        <v>1</v>
      </c>
      <c r="DF200" s="1">
        <v>2</v>
      </c>
      <c r="DG200" s="1">
        <v>1</v>
      </c>
      <c r="DH200" s="1">
        <v>1</v>
      </c>
      <c r="DI200" s="1">
        <f t="shared" si="177"/>
        <v>0</v>
      </c>
      <c r="DJ200" s="1">
        <v>1</v>
      </c>
      <c r="DK200" s="1" t="s">
        <v>157</v>
      </c>
      <c r="DL200" s="1" t="s">
        <v>40</v>
      </c>
      <c r="DR200" s="1" t="b">
        <f>SkKnowledgeArcanaRanks&gt;=13</f>
        <v>0</v>
      </c>
      <c r="DS200" s="1" t="b">
        <f>SkPerformRanks&gt;=13</f>
        <v>0</v>
      </c>
      <c r="DT200" s="1" t="b">
        <f>NOT(ISERROR(SEARCH("Perform",SkillFocusList,1)))</f>
        <v>0</v>
      </c>
      <c r="DU200" s="1" t="b">
        <f>BrdLvl&gt;=1</f>
        <v>0</v>
      </c>
      <c r="EA200" s="1" t="b">
        <f t="shared" si="178"/>
        <v>0</v>
      </c>
      <c r="EB200" s="11" t="s">
        <v>338</v>
      </c>
      <c r="EC200" s="1" t="str">
        <f>IF(DR200,"","• 13 ranks in Knowledge (arcana).
")&amp;IF(DS200,"","• 13 ranks in Perform (any one).
")&amp;IF(DT200,"","• Skill Focus (Perform [any one]).
")&amp;IF(DU200,"","• Bardic music ability.
")&amp;"• You must have been exposed to the primal msuc by hearing another
   Seeker of the Song use a seeker music ability (not verified)."</f>
        <v>• 13 ranks in Knowledge (arcana).
• 13 ranks in Perform (any one).
• Skill Focus (Perform [any one]).
• Bardic music ability.
• You must have been exposed to the primal msuc by hearing another
   Seeker of the Song use a seeker music ability (not verified).</v>
      </c>
      <c r="ED200" s="11" t="s">
        <v>335</v>
      </c>
      <c r="EE200" s="8" t="s">
        <v>583</v>
      </c>
      <c r="EF200" s="9">
        <v>10</v>
      </c>
      <c r="EG200" s="9" t="s">
        <v>574</v>
      </c>
      <c r="EH200" s="9"/>
      <c r="EI200" s="9" t="b">
        <f t="shared" si="179"/>
        <v>0</v>
      </c>
      <c r="EJ200" s="9" t="str">
        <f t="shared" si="180"/>
        <v/>
      </c>
      <c r="EK200" s="9">
        <f t="shared" si="181"/>
        <v>99</v>
      </c>
      <c r="EL200" s="9">
        <f t="shared" si="182"/>
        <v>99</v>
      </c>
      <c r="EM200" s="9">
        <f t="shared" si="183"/>
        <v>99</v>
      </c>
      <c r="EN200" s="9">
        <f t="shared" si="184"/>
        <v>99</v>
      </c>
      <c r="EO200" s="10">
        <f t="shared" si="185"/>
        <v>-1</v>
      </c>
    </row>
    <row r="201" spans="1:145" ht="11.25" customHeight="1" x14ac:dyDescent="0.2">
      <c r="A201" s="1">
        <f t="shared" si="186"/>
        <v>198</v>
      </c>
      <c r="B201" s="1" t="s">
        <v>584</v>
      </c>
      <c r="C201" s="1" t="s">
        <v>585</v>
      </c>
      <c r="D201" s="1" t="s">
        <v>585</v>
      </c>
      <c r="E201" s="1">
        <f t="shared" si="143"/>
        <v>0</v>
      </c>
      <c r="K201" s="1">
        <v>4</v>
      </c>
      <c r="L201" s="1">
        <v>6</v>
      </c>
      <c r="V201" s="1">
        <v>0.5</v>
      </c>
      <c r="W201" s="1">
        <v>0.34</v>
      </c>
      <c r="X201" s="1">
        <v>0.34</v>
      </c>
      <c r="Y201" s="1">
        <v>0.5</v>
      </c>
      <c r="Z201" s="1" t="b">
        <f>FALSE</f>
        <v>0</v>
      </c>
      <c r="AA201" s="1" t="str">
        <f t="shared" si="147"/>
        <v/>
      </c>
      <c r="AB201" s="1" t="str">
        <f t="shared" si="148"/>
        <v/>
      </c>
      <c r="AC201" s="1">
        <f t="shared" si="144"/>
        <v>0</v>
      </c>
      <c r="AD201" s="1" t="str">
        <f t="shared" si="149"/>
        <v/>
      </c>
      <c r="AE201" s="1" t="str">
        <f t="shared" si="150"/>
        <v/>
      </c>
      <c r="AF201" s="1">
        <f t="shared" si="145"/>
        <v>0</v>
      </c>
      <c r="AG201" s="1">
        <f t="shared" si="151"/>
        <v>5</v>
      </c>
      <c r="AH201" s="1" t="str">
        <f t="shared" si="146"/>
        <v/>
      </c>
      <c r="AI201" s="1">
        <v>1</v>
      </c>
      <c r="AJ201" s="1">
        <f t="shared" si="170"/>
        <v>0</v>
      </c>
      <c r="AK201" s="1">
        <v>1</v>
      </c>
      <c r="AL201" s="1">
        <v>1</v>
      </c>
      <c r="AM201" s="1">
        <v>1</v>
      </c>
      <c r="AN201" s="1">
        <f t="shared" si="171"/>
        <v>0</v>
      </c>
      <c r="AO201" s="1">
        <v>2</v>
      </c>
      <c r="AP201" s="1">
        <v>2</v>
      </c>
      <c r="AQ201" s="1">
        <v>2</v>
      </c>
      <c r="AR201" s="1">
        <v>2</v>
      </c>
      <c r="AS201" s="1">
        <v>2</v>
      </c>
      <c r="AT201" s="1">
        <v>2</v>
      </c>
      <c r="AU201" s="1">
        <v>2</v>
      </c>
      <c r="AV201" s="1">
        <v>2</v>
      </c>
      <c r="AW201" s="1">
        <v>2</v>
      </c>
      <c r="AX201" s="1">
        <v>2</v>
      </c>
      <c r="AY201" s="1">
        <v>1</v>
      </c>
      <c r="AZ201" s="1">
        <v>1</v>
      </c>
      <c r="BA201" s="1">
        <v>1</v>
      </c>
      <c r="BB201" s="1">
        <v>1</v>
      </c>
      <c r="BC201" s="1">
        <v>1</v>
      </c>
      <c r="BD201" s="1">
        <v>1</v>
      </c>
      <c r="BE201" s="1">
        <v>1</v>
      </c>
      <c r="BF201" s="1">
        <v>1</v>
      </c>
      <c r="BG201" s="1">
        <f t="shared" si="172"/>
        <v>0</v>
      </c>
      <c r="BH201" s="1">
        <f t="shared" si="173"/>
        <v>0</v>
      </c>
      <c r="BI201" s="1">
        <v>1</v>
      </c>
      <c r="BJ201" s="1">
        <v>1</v>
      </c>
      <c r="BK201" s="1">
        <v>2</v>
      </c>
      <c r="BL201" s="1">
        <v>2</v>
      </c>
      <c r="BM201" s="1">
        <v>2</v>
      </c>
      <c r="BN201" s="1">
        <v>2</v>
      </c>
      <c r="BO201" s="1">
        <v>2</v>
      </c>
      <c r="BP201" s="1">
        <f>1+NOT(HRLivingGreyhawk)</f>
        <v>2</v>
      </c>
      <c r="BQ201" s="1">
        <f>IF(HRRVL,2,0)</f>
        <v>0</v>
      </c>
      <c r="BR201" s="1">
        <v>2</v>
      </c>
      <c r="BS201" s="1">
        <v>2</v>
      </c>
      <c r="BT201" s="1">
        <f>IF(HRXPH,2,0)</f>
        <v>0</v>
      </c>
      <c r="BU201" s="1">
        <f>IF(HRRVL,2,0)</f>
        <v>0</v>
      </c>
      <c r="BV201" s="1">
        <v>2</v>
      </c>
      <c r="BW201" s="1">
        <v>2</v>
      </c>
      <c r="BX201" s="1">
        <v>2</v>
      </c>
      <c r="BY201" s="1">
        <v>2</v>
      </c>
      <c r="BZ201" s="1">
        <v>2</v>
      </c>
      <c r="CA201" s="1">
        <v>2</v>
      </c>
      <c r="CB201" s="1">
        <v>2</v>
      </c>
      <c r="CC201" s="1">
        <v>2</v>
      </c>
      <c r="CD201" s="1">
        <v>2</v>
      </c>
      <c r="CE201" s="1">
        <v>2</v>
      </c>
      <c r="CF201" s="1">
        <v>2</v>
      </c>
      <c r="CG201" s="1">
        <f t="shared" si="174"/>
        <v>0</v>
      </c>
      <c r="CH201" s="1">
        <v>1</v>
      </c>
      <c r="CI201" s="1">
        <v>1</v>
      </c>
      <c r="CJ201" s="1">
        <v>2</v>
      </c>
      <c r="CK201" s="1">
        <v>2</v>
      </c>
      <c r="CL201" s="1">
        <v>2</v>
      </c>
      <c r="CM201" s="1">
        <v>2</v>
      </c>
      <c r="CN201" s="1">
        <v>2</v>
      </c>
      <c r="CO201" s="1">
        <v>2</v>
      </c>
      <c r="CP201" s="1">
        <v>2</v>
      </c>
      <c r="CQ201" s="1">
        <v>2</v>
      </c>
      <c r="CR201" s="1">
        <v>2</v>
      </c>
      <c r="CS201" s="1">
        <v>2</v>
      </c>
      <c r="CT201" s="1">
        <v>2</v>
      </c>
      <c r="CU201" s="1">
        <v>2</v>
      </c>
      <c r="CV201" s="1">
        <f t="shared" si="175"/>
        <v>0</v>
      </c>
      <c r="CW201" s="1">
        <v>1</v>
      </c>
      <c r="CX201" s="1">
        <v>2</v>
      </c>
      <c r="CY201" s="1">
        <v>1</v>
      </c>
      <c r="CZ201" s="1">
        <f t="shared" si="176"/>
        <v>0</v>
      </c>
      <c r="DA201" s="1">
        <v>1</v>
      </c>
      <c r="DB201" s="1">
        <v>2</v>
      </c>
      <c r="DC201" s="1">
        <v>2</v>
      </c>
      <c r="DD201" s="1">
        <v>2</v>
      </c>
      <c r="DE201" s="1">
        <v>1</v>
      </c>
      <c r="DF201" s="1">
        <v>1</v>
      </c>
      <c r="DG201" s="1">
        <v>1</v>
      </c>
      <c r="DH201" s="1">
        <v>1</v>
      </c>
      <c r="DI201" s="1">
        <f t="shared" si="177"/>
        <v>0</v>
      </c>
      <c r="DJ201" s="1">
        <v>1</v>
      </c>
      <c r="DK201" s="1" t="s">
        <v>157</v>
      </c>
      <c r="DL201" s="1" t="s">
        <v>40</v>
      </c>
      <c r="DR201" s="1" t="b">
        <f>SkKnowledgeArcanaRanks&gt;=13</f>
        <v>0</v>
      </c>
      <c r="DS201" s="1" t="b">
        <f>SkListenRanks&gt;=13</f>
        <v>0</v>
      </c>
      <c r="DT201" s="1" t="b">
        <f>SkPerformRanks&gt;=10</f>
        <v>0</v>
      </c>
      <c r="DU201" s="1" t="b">
        <f>IF(NOT(ISNA(MATCH("astrologer",TblProfessionSkills,0))),INDEX(TblProfessionRanks,MATCH("astrologer",TblProfessionSkills,0),1)&gt;=6,FALSE)</f>
        <v>0</v>
      </c>
      <c r="DV201" s="1" t="b">
        <f>SkSpellcraftRanks&gt;=6</f>
        <v>0</v>
      </c>
      <c r="DW201" s="1" t="b">
        <f ca="1">MaxArcaneSpellLevel&gt;=3</f>
        <v>0</v>
      </c>
      <c r="DX201" s="1" t="b">
        <f>BrdLvl&gt;=1</f>
        <v>0</v>
      </c>
      <c r="EA201" s="1" t="b">
        <f ca="1">AND(DM201:DZ201)</f>
        <v>0</v>
      </c>
      <c r="EB201" s="11" t="s">
        <v>334</v>
      </c>
      <c r="EC201" s="1" t="str">
        <f ca="1">IF(DR201,"","• 13 ranks in Knowledge (arcana).
")&amp;IF(DS201,"","• 13 ranks in Listen.
")&amp;IF(DT201,"","• 10 ranks in Perform (any).
")&amp;IF(DU201,"","• 6 ranks in Profession (astrologer).
")&amp;IF(DV201,"","• 6 ranks in Spellcraft.
")&amp;IF(DW201,"","• Ability to cast 3rd level arcane spells.
")&amp;IF(DX201,"","• Bardic music ability.")</f>
        <v>• 13 ranks in Knowledge (arcana).
• 13 ranks in Listen.
• 10 ranks in Perform (any).
• 6 ranks in Profession (astrologer).
• 6 ranks in Spellcraft.
• Ability to cast 3rd level arcane spells.
• Bardic music ability.</v>
      </c>
      <c r="ED201" s="11" t="s">
        <v>335</v>
      </c>
      <c r="EE201" s="8" t="s">
        <v>255</v>
      </c>
      <c r="EF201" s="9">
        <v>6</v>
      </c>
      <c r="EG201" s="9" t="s">
        <v>586</v>
      </c>
      <c r="EH201" s="9"/>
      <c r="EI201" s="9" t="b">
        <f t="shared" si="179"/>
        <v>0</v>
      </c>
      <c r="EJ201" s="9" t="str">
        <f t="shared" si="180"/>
        <v/>
      </c>
      <c r="EK201" s="9">
        <f t="shared" si="181"/>
        <v>99</v>
      </c>
      <c r="EL201" s="9">
        <f t="shared" si="182"/>
        <v>99</v>
      </c>
      <c r="EM201" s="9">
        <f t="shared" si="183"/>
        <v>99</v>
      </c>
      <c r="EN201" s="9">
        <f t="shared" si="184"/>
        <v>99</v>
      </c>
      <c r="EO201" s="10">
        <f t="shared" si="185"/>
        <v>-1</v>
      </c>
    </row>
    <row r="202" spans="1:145" ht="11.25" customHeight="1" x14ac:dyDescent="0.2">
      <c r="A202" s="1">
        <f t="shared" si="186"/>
        <v>199</v>
      </c>
      <c r="B202" s="1" t="s">
        <v>587</v>
      </c>
      <c r="C202" s="1" t="s">
        <v>588</v>
      </c>
      <c r="D202" s="1" t="s">
        <v>588</v>
      </c>
      <c r="E202" s="1">
        <f t="shared" si="143"/>
        <v>0</v>
      </c>
      <c r="K202" s="1">
        <v>4</v>
      </c>
      <c r="L202" s="1">
        <v>8</v>
      </c>
      <c r="V202" s="1">
        <v>0.75</v>
      </c>
      <c r="W202" s="1">
        <v>0.34</v>
      </c>
      <c r="X202" s="1">
        <v>0.5</v>
      </c>
      <c r="Y202" s="1">
        <v>0.5</v>
      </c>
      <c r="Z202" s="1" t="b">
        <f>FALSE</f>
        <v>0</v>
      </c>
      <c r="AA202" s="1" t="str">
        <f t="shared" si="147"/>
        <v/>
      </c>
      <c r="AB202" s="1" t="str">
        <f t="shared" si="148"/>
        <v/>
      </c>
      <c r="AC202" s="1">
        <f t="shared" si="144"/>
        <v>0</v>
      </c>
      <c r="AD202" s="1" t="str">
        <f t="shared" si="149"/>
        <v/>
      </c>
      <c r="AE202" s="1" t="str">
        <f t="shared" si="150"/>
        <v/>
      </c>
      <c r="AF202" s="1">
        <f t="shared" si="145"/>
        <v>0</v>
      </c>
      <c r="AG202" s="1">
        <f t="shared" si="151"/>
        <v>5</v>
      </c>
      <c r="AH202" s="1" t="str">
        <f t="shared" si="146"/>
        <v/>
      </c>
      <c r="AI202" s="1">
        <v>1</v>
      </c>
      <c r="AJ202" s="1">
        <f t="shared" si="170"/>
        <v>0</v>
      </c>
      <c r="AK202" s="1">
        <v>1</v>
      </c>
      <c r="AL202" s="1">
        <v>2</v>
      </c>
      <c r="AM202" s="1">
        <v>2</v>
      </c>
      <c r="AN202" s="1">
        <f t="shared" si="171"/>
        <v>0</v>
      </c>
      <c r="AO202" s="1">
        <v>2</v>
      </c>
      <c r="AP202" s="1">
        <v>2</v>
      </c>
      <c r="AQ202" s="1">
        <v>2</v>
      </c>
      <c r="AR202" s="1">
        <v>2</v>
      </c>
      <c r="AS202" s="1">
        <v>2</v>
      </c>
      <c r="AT202" s="1">
        <v>2</v>
      </c>
      <c r="AU202" s="1">
        <v>2</v>
      </c>
      <c r="AV202" s="1">
        <v>2</v>
      </c>
      <c r="AW202" s="1">
        <v>1</v>
      </c>
      <c r="AX202" s="1">
        <v>1</v>
      </c>
      <c r="AY202" s="1">
        <v>1</v>
      </c>
      <c r="AZ202" s="1">
        <v>2</v>
      </c>
      <c r="BA202" s="1">
        <v>2</v>
      </c>
      <c r="BB202" s="1">
        <v>1</v>
      </c>
      <c r="BC202" s="1">
        <v>1</v>
      </c>
      <c r="BD202" s="1">
        <v>1</v>
      </c>
      <c r="BE202" s="1">
        <v>1</v>
      </c>
      <c r="BF202" s="1">
        <v>2</v>
      </c>
      <c r="BG202" s="1">
        <f t="shared" si="172"/>
        <v>0</v>
      </c>
      <c r="BH202" s="1">
        <f t="shared" si="173"/>
        <v>0</v>
      </c>
      <c r="BI202" s="1">
        <v>1</v>
      </c>
      <c r="BJ202" s="1">
        <v>2</v>
      </c>
      <c r="BK202" s="1">
        <v>2</v>
      </c>
      <c r="BL202" s="1">
        <v>1</v>
      </c>
      <c r="BM202" s="1">
        <v>1</v>
      </c>
      <c r="BN202" s="1">
        <v>1</v>
      </c>
      <c r="BO202" s="1">
        <v>2</v>
      </c>
      <c r="BP202" s="1">
        <v>1</v>
      </c>
      <c r="BQ202" s="1">
        <f>IF(HRRVL,1,0)</f>
        <v>0</v>
      </c>
      <c r="BR202" s="1">
        <v>1</v>
      </c>
      <c r="BS202" s="1">
        <v>1</v>
      </c>
      <c r="BT202" s="1">
        <f>IF(HRXPH,1,0)</f>
        <v>0</v>
      </c>
      <c r="BU202" s="1">
        <f>IF(HRRVL,1,0)</f>
        <v>0</v>
      </c>
      <c r="BV202" s="1">
        <v>1</v>
      </c>
      <c r="BW202" s="1">
        <v>2</v>
      </c>
      <c r="BX202" s="1">
        <v>1</v>
      </c>
      <c r="BY202" s="1">
        <v>1</v>
      </c>
      <c r="BZ202" s="1">
        <v>1</v>
      </c>
      <c r="CA202" s="1">
        <v>1</v>
      </c>
      <c r="CB202" s="1">
        <v>1</v>
      </c>
      <c r="CC202" s="1">
        <v>1</v>
      </c>
      <c r="CD202" s="1">
        <v>1</v>
      </c>
      <c r="CE202" s="1">
        <v>1</v>
      </c>
      <c r="CF202" s="1">
        <v>2</v>
      </c>
      <c r="CG202" s="1">
        <f t="shared" si="174"/>
        <v>0</v>
      </c>
      <c r="CH202" s="1">
        <v>2</v>
      </c>
      <c r="CI202" s="1">
        <v>1</v>
      </c>
      <c r="CJ202" s="1">
        <v>1</v>
      </c>
      <c r="CK202" s="1">
        <v>1</v>
      </c>
      <c r="CL202" s="1">
        <v>1</v>
      </c>
      <c r="CM202" s="1">
        <v>1</v>
      </c>
      <c r="CN202" s="1">
        <v>1</v>
      </c>
      <c r="CO202" s="1">
        <v>1</v>
      </c>
      <c r="CP202" s="1">
        <v>2</v>
      </c>
      <c r="CQ202" s="1">
        <v>2</v>
      </c>
      <c r="CR202" s="1">
        <v>2</v>
      </c>
      <c r="CS202" s="1">
        <v>2</v>
      </c>
      <c r="CT202" s="1">
        <v>2</v>
      </c>
      <c r="CU202" s="1">
        <v>2</v>
      </c>
      <c r="CV202" s="1">
        <f t="shared" si="175"/>
        <v>0</v>
      </c>
      <c r="CW202" s="1">
        <v>1</v>
      </c>
      <c r="CX202" s="1">
        <v>2</v>
      </c>
      <c r="CY202" s="1">
        <v>1</v>
      </c>
      <c r="CZ202" s="1">
        <f t="shared" si="176"/>
        <v>0</v>
      </c>
      <c r="DA202" s="1">
        <v>1</v>
      </c>
      <c r="DB202" s="1">
        <v>1</v>
      </c>
      <c r="DC202" s="1">
        <v>2</v>
      </c>
      <c r="DD202" s="1">
        <v>2</v>
      </c>
      <c r="DE202" s="1">
        <v>1</v>
      </c>
      <c r="DF202" s="1">
        <v>2</v>
      </c>
      <c r="DG202" s="1">
        <v>2</v>
      </c>
      <c r="DH202" s="1">
        <v>1</v>
      </c>
      <c r="DI202" s="1">
        <f t="shared" si="177"/>
        <v>0</v>
      </c>
      <c r="DJ202" s="1">
        <v>2</v>
      </c>
      <c r="DK202" s="1" t="s">
        <v>157</v>
      </c>
      <c r="DL202" s="1" t="s">
        <v>101</v>
      </c>
      <c r="DR202" s="1" t="b">
        <f>BaseAtk&gt;=6</f>
        <v>0</v>
      </c>
      <c r="DS202" s="1" t="b">
        <f>SkConcentrationRanks&gt;=4</f>
        <v>0</v>
      </c>
      <c r="DT202" s="1" t="b">
        <f>SkJumpRanks&gt;=4</f>
        <v>0</v>
      </c>
      <c r="DU202" s="1" t="b">
        <f>SkSpellcraftRanks&gt;=5</f>
        <v>0</v>
      </c>
      <c r="DV202" s="1" t="b">
        <f>SkTumbleRanks&gt;=4</f>
        <v>0</v>
      </c>
      <c r="DW202" s="1" t="b">
        <f>FtCombatCasting</f>
        <v>0</v>
      </c>
      <c r="DX202" s="1" t="b">
        <f>FtIronWill</f>
        <v>0</v>
      </c>
      <c r="DY202" s="1" t="b">
        <f>NOT(ISNA(MATCH("Suloise, Ancient",TblLangKnown,0)))</f>
        <v>0</v>
      </c>
      <c r="EA202" s="1" t="b">
        <f>AND(DM202:DZ202)</f>
        <v>0</v>
      </c>
      <c r="EB202" s="11" t="s">
        <v>338</v>
      </c>
      <c r="EC202" s="1" t="str">
        <f>IF(DR202,"","• A base attack bonus of +6 or higher.
")&amp;IF(DS202,"","• 4 ranks in Concentration.
")&amp;IF(DT202,"","• 4 ranks in Jump.
")&amp;IF(DU202,"","• 5 ranks in Spellcraft.
")&amp;IF(DV202,"","• 4 ranks in Tumble.
")&amp;IF(DW202,"","• Combat Casting feat.
")&amp;IF(DX202,"","• Iron Will feat.
")&amp;IF(DY202,"","• Speak Ancient Suloise.
")&amp;"• Proficiency with at least 4 martial or exotic weapons (not verified).
"&amp;"• Must read the Grimoire Arcanamacha, which requires one full week
   and the ability to speak Ancient Suloise; or study with an instructor
   who has done so, which requires four weeks (not verified)."</f>
        <v>• A base attack bonus of +6 or higher.
• 4 ranks in Concentration.
• 4 ranks in Jump.
• 5 ranks in Spellcraft.
• 4 ranks in Tumble.
• Combat Casting feat.
• Iron Will feat.
• Speak Ancient Suloise.
• Proficiency with at least 4 martial or exotic weapons (not verified).
• Must read the Grimoire Arcanamacha, which requires one full week
   and the ability to speak Ancient Suloise; or study with an instructor
   who has done so, which requires four weeks (not verified).</v>
      </c>
      <c r="ED202" s="11" t="s">
        <v>335</v>
      </c>
      <c r="EE202" s="8" t="s">
        <v>589</v>
      </c>
      <c r="EF202" s="9">
        <v>3</v>
      </c>
      <c r="EG202" s="9" t="s">
        <v>590</v>
      </c>
      <c r="EH202" s="9"/>
      <c r="EI202" s="9" t="b">
        <f t="shared" si="179"/>
        <v>0</v>
      </c>
      <c r="EJ202" s="9" t="str">
        <f t="shared" si="180"/>
        <v/>
      </c>
      <c r="EK202" s="9">
        <f t="shared" si="181"/>
        <v>99</v>
      </c>
      <c r="EL202" s="9">
        <f t="shared" si="182"/>
        <v>99</v>
      </c>
      <c r="EM202" s="9">
        <f t="shared" si="183"/>
        <v>99</v>
      </c>
      <c r="EN202" s="9">
        <f t="shared" si="184"/>
        <v>99</v>
      </c>
      <c r="EO202" s="10">
        <f t="shared" si="185"/>
        <v>-1</v>
      </c>
    </row>
    <row r="203" spans="1:145" ht="11.25" customHeight="1" x14ac:dyDescent="0.2">
      <c r="A203" s="1">
        <f t="shared" si="186"/>
        <v>200</v>
      </c>
      <c r="B203" s="1" t="s">
        <v>591</v>
      </c>
      <c r="C203" s="1" t="s">
        <v>592</v>
      </c>
      <c r="D203" s="1" t="s">
        <v>592</v>
      </c>
      <c r="E203" s="1">
        <f t="shared" si="143"/>
        <v>0</v>
      </c>
      <c r="G203" s="1">
        <f>WayLvl-INT(WayLvl/2)</f>
        <v>0</v>
      </c>
      <c r="K203" s="1">
        <v>2</v>
      </c>
      <c r="L203" s="1">
        <v>6</v>
      </c>
      <c r="V203" s="1">
        <v>0.5</v>
      </c>
      <c r="W203" s="1">
        <v>0.34</v>
      </c>
      <c r="X203" s="1">
        <v>0.34</v>
      </c>
      <c r="Y203" s="1">
        <v>0.5</v>
      </c>
      <c r="Z203" s="1" t="b">
        <f>FALSE</f>
        <v>0</v>
      </c>
      <c r="AA203" s="1" t="str">
        <f t="shared" si="147"/>
        <v/>
      </c>
      <c r="AB203" s="1" t="str">
        <f t="shared" si="148"/>
        <v/>
      </c>
      <c r="AC203" s="1">
        <f t="shared" si="144"/>
        <v>0</v>
      </c>
      <c r="AD203" s="1" t="str">
        <f t="shared" si="149"/>
        <v/>
      </c>
      <c r="AE203" s="1" t="str">
        <f t="shared" si="150"/>
        <v/>
      </c>
      <c r="AF203" s="1">
        <f t="shared" si="145"/>
        <v>0</v>
      </c>
      <c r="AG203" s="1">
        <f t="shared" si="151"/>
        <v>5</v>
      </c>
      <c r="AH203" s="1" t="str">
        <f t="shared" si="146"/>
        <v/>
      </c>
      <c r="AI203" s="1">
        <v>1</v>
      </c>
      <c r="AJ203" s="1">
        <f t="shared" si="170"/>
        <v>0</v>
      </c>
      <c r="AK203" s="1">
        <v>1</v>
      </c>
      <c r="AL203" s="1">
        <v>1</v>
      </c>
      <c r="AM203" s="1">
        <v>1</v>
      </c>
      <c r="AN203" s="1">
        <f t="shared" si="171"/>
        <v>0</v>
      </c>
      <c r="AO203" s="1">
        <v>2</v>
      </c>
      <c r="AP203" s="1">
        <v>2</v>
      </c>
      <c r="AQ203" s="1">
        <v>2</v>
      </c>
      <c r="AR203" s="1">
        <v>2</v>
      </c>
      <c r="AS203" s="1">
        <v>2</v>
      </c>
      <c r="AT203" s="1">
        <v>2</v>
      </c>
      <c r="AU203" s="1">
        <v>2</v>
      </c>
      <c r="AV203" s="1">
        <v>2</v>
      </c>
      <c r="AW203" s="1">
        <v>1</v>
      </c>
      <c r="AX203" s="1">
        <v>1</v>
      </c>
      <c r="AY203" s="1">
        <v>1</v>
      </c>
      <c r="AZ203" s="1">
        <v>1</v>
      </c>
      <c r="BA203" s="1">
        <v>1</v>
      </c>
      <c r="BB203" s="1">
        <v>1</v>
      </c>
      <c r="BC203" s="1">
        <v>1</v>
      </c>
      <c r="BD203" s="1">
        <v>1</v>
      </c>
      <c r="BE203" s="1">
        <v>1</v>
      </c>
      <c r="BF203" s="1">
        <v>1</v>
      </c>
      <c r="BG203" s="1">
        <f t="shared" si="172"/>
        <v>0</v>
      </c>
      <c r="BH203" s="1">
        <f t="shared" si="173"/>
        <v>0</v>
      </c>
      <c r="BI203" s="1">
        <v>1</v>
      </c>
      <c r="BJ203" s="1">
        <v>1</v>
      </c>
      <c r="BK203" s="1">
        <v>2</v>
      </c>
      <c r="BL203" s="1">
        <v>2</v>
      </c>
      <c r="BM203" s="1">
        <v>2</v>
      </c>
      <c r="BN203" s="1">
        <v>2</v>
      </c>
      <c r="BO203" s="1">
        <v>2</v>
      </c>
      <c r="BP203" s="1">
        <f>1+NOT(HRLivingGreyhawk)</f>
        <v>2</v>
      </c>
      <c r="BQ203" s="1">
        <f>IF(HRRVL,2,0)</f>
        <v>0</v>
      </c>
      <c r="BR203" s="1">
        <v>2</v>
      </c>
      <c r="BS203" s="1">
        <v>2</v>
      </c>
      <c r="BT203" s="1">
        <f>IF(HRXPH,2,0)</f>
        <v>0</v>
      </c>
      <c r="BU203" s="1">
        <f>IF(HRRVL,2,0)</f>
        <v>0</v>
      </c>
      <c r="BV203" s="1">
        <v>2</v>
      </c>
      <c r="BW203" s="1">
        <v>2</v>
      </c>
      <c r="BX203" s="1">
        <v>2</v>
      </c>
      <c r="BY203" s="1">
        <v>2</v>
      </c>
      <c r="BZ203" s="1">
        <v>2</v>
      </c>
      <c r="CA203" s="1">
        <v>2</v>
      </c>
      <c r="CB203" s="1">
        <v>2</v>
      </c>
      <c r="CC203" s="1">
        <v>2</v>
      </c>
      <c r="CD203" s="1">
        <v>2</v>
      </c>
      <c r="CE203" s="1">
        <v>2</v>
      </c>
      <c r="CF203" s="1">
        <v>1</v>
      </c>
      <c r="CG203" s="1">
        <f t="shared" si="174"/>
        <v>0</v>
      </c>
      <c r="CH203" s="1">
        <v>1</v>
      </c>
      <c r="CI203" s="1">
        <v>1</v>
      </c>
      <c r="CJ203" s="1">
        <v>1</v>
      </c>
      <c r="CK203" s="1">
        <v>1</v>
      </c>
      <c r="CL203" s="1">
        <v>1</v>
      </c>
      <c r="CM203" s="1">
        <v>1</v>
      </c>
      <c r="CN203" s="1">
        <v>1</v>
      </c>
      <c r="CO203" s="1">
        <v>1</v>
      </c>
      <c r="CP203" s="1">
        <v>2</v>
      </c>
      <c r="CQ203" s="1">
        <v>2</v>
      </c>
      <c r="CR203" s="1">
        <v>2</v>
      </c>
      <c r="CS203" s="1">
        <v>2</v>
      </c>
      <c r="CT203" s="1">
        <v>2</v>
      </c>
      <c r="CU203" s="1">
        <v>2</v>
      </c>
      <c r="CV203" s="1">
        <f t="shared" si="175"/>
        <v>0</v>
      </c>
      <c r="CW203" s="1">
        <v>1</v>
      </c>
      <c r="CX203" s="1">
        <v>1</v>
      </c>
      <c r="CY203" s="1">
        <v>1</v>
      </c>
      <c r="CZ203" s="1">
        <f t="shared" si="176"/>
        <v>0</v>
      </c>
      <c r="DA203" s="1">
        <v>1</v>
      </c>
      <c r="DB203" s="1">
        <v>2</v>
      </c>
      <c r="DC203" s="1">
        <v>2</v>
      </c>
      <c r="DD203" s="1">
        <v>1</v>
      </c>
      <c r="DE203" s="1">
        <v>1</v>
      </c>
      <c r="DF203" s="1">
        <v>1</v>
      </c>
      <c r="DG203" s="1">
        <v>1</v>
      </c>
      <c r="DH203" s="1">
        <v>1</v>
      </c>
      <c r="DI203" s="1">
        <f t="shared" si="177"/>
        <v>0</v>
      </c>
      <c r="DJ203" s="1">
        <v>1</v>
      </c>
      <c r="DK203" s="1" t="s">
        <v>157</v>
      </c>
      <c r="DL203" s="1" t="s">
        <v>101</v>
      </c>
      <c r="DR203" s="1" t="b">
        <f>SkKnowledgeArcanaRanks&gt;=10</f>
        <v>0</v>
      </c>
      <c r="DS203" s="1" t="b">
        <f>SkKnowledgeGeographyRanks&gt;=10</f>
        <v>0</v>
      </c>
      <c r="EA203" s="1" t="b">
        <f t="shared" si="178"/>
        <v>0</v>
      </c>
      <c r="EB203" s="11" t="s">
        <v>338</v>
      </c>
      <c r="EC203" s="1" t="str">
        <f>IF(DR203,"","• 10 ranks in Knowledge (arcana).
")&amp;IF(DS203,"","• 10 ranks in Knowledge (geography).
")&amp;"• Ability to cast teleport (not verified).
"&amp;"• You must join the Wayfarers Union (not verified)."</f>
        <v>• 10 ranks in Knowledge (arcana).
• 10 ranks in Knowledge (geography).
• Ability to cast teleport (not verified).
• You must join the Wayfarers Union (not verified).</v>
      </c>
      <c r="ED203" s="11" t="s">
        <v>335</v>
      </c>
      <c r="EE203" s="8" t="s">
        <v>593</v>
      </c>
      <c r="EF203" s="9">
        <v>10</v>
      </c>
      <c r="EG203" s="9" t="s">
        <v>590</v>
      </c>
      <c r="EH203" s="9"/>
      <c r="EI203" s="9" t="b">
        <f t="shared" si="179"/>
        <v>0</v>
      </c>
      <c r="EJ203" s="9" t="str">
        <f t="shared" si="180"/>
        <v/>
      </c>
      <c r="EK203" s="9">
        <f t="shared" si="181"/>
        <v>99</v>
      </c>
      <c r="EL203" s="9">
        <f t="shared" si="182"/>
        <v>99</v>
      </c>
      <c r="EM203" s="9">
        <f t="shared" si="183"/>
        <v>99</v>
      </c>
      <c r="EN203" s="9">
        <f t="shared" si="184"/>
        <v>99</v>
      </c>
      <c r="EO203" s="10">
        <f t="shared" si="185"/>
        <v>-1</v>
      </c>
    </row>
    <row r="204" spans="1:145" ht="11.25" customHeight="1" x14ac:dyDescent="0.2">
      <c r="A204" s="1">
        <f t="shared" si="186"/>
        <v>201</v>
      </c>
      <c r="B204" s="1" t="s">
        <v>594</v>
      </c>
      <c r="C204" s="1" t="s">
        <v>595</v>
      </c>
      <c r="D204" s="1" t="s">
        <v>595</v>
      </c>
      <c r="E204" s="1">
        <f t="shared" si="143"/>
        <v>0</v>
      </c>
      <c r="G204" s="1">
        <f>WiMLvl</f>
        <v>0</v>
      </c>
      <c r="K204" s="1">
        <v>2</v>
      </c>
      <c r="L204" s="1">
        <v>4</v>
      </c>
      <c r="V204" s="1">
        <v>0.5</v>
      </c>
      <c r="W204" s="1">
        <v>0.34</v>
      </c>
      <c r="X204" s="1">
        <v>0.5</v>
      </c>
      <c r="Y204" s="1">
        <v>0.34</v>
      </c>
      <c r="Z204" s="1" t="b">
        <f>FALSE</f>
        <v>0</v>
      </c>
      <c r="AA204" s="1" t="str">
        <f t="shared" si="147"/>
        <v/>
      </c>
      <c r="AB204" s="1" t="str">
        <f t="shared" si="148"/>
        <v/>
      </c>
      <c r="AC204" s="1">
        <f t="shared" si="144"/>
        <v>0</v>
      </c>
      <c r="AD204" s="1" t="str">
        <f t="shared" si="149"/>
        <v/>
      </c>
      <c r="AE204" s="1" t="str">
        <f t="shared" si="150"/>
        <v/>
      </c>
      <c r="AF204" s="1">
        <f t="shared" si="145"/>
        <v>0</v>
      </c>
      <c r="AG204" s="1">
        <f t="shared" si="151"/>
        <v>5</v>
      </c>
      <c r="AH204" s="1" t="str">
        <f t="shared" si="146"/>
        <v/>
      </c>
      <c r="AI204" s="1">
        <v>1</v>
      </c>
      <c r="AJ204" s="1">
        <f t="shared" si="170"/>
        <v>0</v>
      </c>
      <c r="AK204" s="1">
        <v>1</v>
      </c>
      <c r="AL204" s="1">
        <v>2</v>
      </c>
      <c r="AM204" s="1">
        <v>1</v>
      </c>
      <c r="AN204" s="1">
        <f t="shared" si="171"/>
        <v>0</v>
      </c>
      <c r="AO204" s="1">
        <v>2</v>
      </c>
      <c r="AP204" s="1">
        <v>2</v>
      </c>
      <c r="AQ204" s="1">
        <v>2</v>
      </c>
      <c r="AR204" s="1">
        <v>2</v>
      </c>
      <c r="AS204" s="1">
        <v>2</v>
      </c>
      <c r="AT204" s="1">
        <v>2</v>
      </c>
      <c r="AU204" s="1">
        <v>2</v>
      </c>
      <c r="AV204" s="1">
        <v>2</v>
      </c>
      <c r="AW204" s="1">
        <v>1</v>
      </c>
      <c r="AX204" s="1">
        <v>1</v>
      </c>
      <c r="AY204" s="1">
        <v>1</v>
      </c>
      <c r="AZ204" s="1">
        <v>1</v>
      </c>
      <c r="BA204" s="1">
        <v>1</v>
      </c>
      <c r="BB204" s="1">
        <v>1</v>
      </c>
      <c r="BC204" s="1">
        <v>1</v>
      </c>
      <c r="BD204" s="1">
        <v>1</v>
      </c>
      <c r="BE204" s="1">
        <v>1</v>
      </c>
      <c r="BF204" s="1">
        <v>1</v>
      </c>
      <c r="BG204" s="1">
        <f t="shared" si="172"/>
        <v>0</v>
      </c>
      <c r="BH204" s="1">
        <f t="shared" si="173"/>
        <v>0</v>
      </c>
      <c r="BI204" s="1">
        <v>2</v>
      </c>
      <c r="BJ204" s="1">
        <v>1</v>
      </c>
      <c r="BK204" s="1">
        <v>2</v>
      </c>
      <c r="BL204" s="1">
        <v>2</v>
      </c>
      <c r="BM204" s="1">
        <v>2</v>
      </c>
      <c r="BN204" s="1">
        <v>2</v>
      </c>
      <c r="BO204" s="1">
        <v>2</v>
      </c>
      <c r="BP204" s="1">
        <f>1+NOT(HRLivingGreyhawk)</f>
        <v>2</v>
      </c>
      <c r="BQ204" s="1">
        <f>IF(HRRVL,2,0)</f>
        <v>0</v>
      </c>
      <c r="BR204" s="1">
        <v>2</v>
      </c>
      <c r="BS204" s="1">
        <v>2</v>
      </c>
      <c r="BT204" s="1">
        <f>IF(HRXPH,2,0)</f>
        <v>0</v>
      </c>
      <c r="BU204" s="1">
        <f>IF(HRRVL,2,0)</f>
        <v>0</v>
      </c>
      <c r="BV204" s="1">
        <v>2</v>
      </c>
      <c r="BW204" s="1">
        <v>2</v>
      </c>
      <c r="BX204" s="1">
        <v>2</v>
      </c>
      <c r="BY204" s="1">
        <v>2</v>
      </c>
      <c r="BZ204" s="1">
        <v>2</v>
      </c>
      <c r="CA204" s="1">
        <v>2</v>
      </c>
      <c r="CB204" s="1">
        <v>2</v>
      </c>
      <c r="CC204" s="1">
        <v>2</v>
      </c>
      <c r="CD204" s="1">
        <v>2</v>
      </c>
      <c r="CE204" s="1">
        <v>2</v>
      </c>
      <c r="CF204" s="1">
        <v>1</v>
      </c>
      <c r="CG204" s="1">
        <f t="shared" si="174"/>
        <v>0</v>
      </c>
      <c r="CH204" s="1">
        <v>1</v>
      </c>
      <c r="CI204" s="1">
        <v>1</v>
      </c>
      <c r="CJ204" s="1">
        <v>1</v>
      </c>
      <c r="CK204" s="1">
        <v>1</v>
      </c>
      <c r="CL204" s="1">
        <v>1</v>
      </c>
      <c r="CM204" s="1">
        <v>1</v>
      </c>
      <c r="CN204" s="1">
        <v>1</v>
      </c>
      <c r="CO204" s="1">
        <v>1</v>
      </c>
      <c r="CP204" s="1">
        <v>2</v>
      </c>
      <c r="CQ204" s="1">
        <v>2</v>
      </c>
      <c r="CR204" s="1">
        <v>2</v>
      </c>
      <c r="CS204" s="1">
        <v>2</v>
      </c>
      <c r="CT204" s="1">
        <v>2</v>
      </c>
      <c r="CU204" s="1">
        <v>2</v>
      </c>
      <c r="CV204" s="1">
        <f t="shared" si="175"/>
        <v>0</v>
      </c>
      <c r="CW204" s="1">
        <v>1</v>
      </c>
      <c r="CX204" s="1">
        <v>1</v>
      </c>
      <c r="CY204" s="1">
        <v>1</v>
      </c>
      <c r="CZ204" s="1">
        <f t="shared" si="176"/>
        <v>0</v>
      </c>
      <c r="DA204" s="1">
        <v>1</v>
      </c>
      <c r="DB204" s="1">
        <v>1</v>
      </c>
      <c r="DC204" s="1">
        <v>2</v>
      </c>
      <c r="DD204" s="1">
        <v>1</v>
      </c>
      <c r="DE204" s="1">
        <v>1</v>
      </c>
      <c r="DF204" s="1">
        <v>1</v>
      </c>
      <c r="DG204" s="1">
        <v>1</v>
      </c>
      <c r="DH204" s="1">
        <v>2</v>
      </c>
      <c r="DI204" s="1">
        <f t="shared" si="177"/>
        <v>0</v>
      </c>
      <c r="DJ204" s="1">
        <v>1</v>
      </c>
      <c r="DK204" s="1" t="s">
        <v>157</v>
      </c>
      <c r="DL204" s="1" t="s">
        <v>101</v>
      </c>
      <c r="DR204" s="1" t="b">
        <f>AlignmentChaotic</f>
        <v>0</v>
      </c>
      <c r="DS204" s="1" t="b">
        <f>SkKnowledgePlanesRanks&gt;=4</f>
        <v>0</v>
      </c>
      <c r="DT204" s="1" t="b">
        <f>SkSpellcraftRanks&gt;=8</f>
        <v>0</v>
      </c>
      <c r="DU204" s="1" t="b">
        <f>SkUseMagicDeviceRanks&gt;=4</f>
        <v>0</v>
      </c>
      <c r="DV204" s="1" t="b">
        <f>FtMagicalAptitude</f>
        <v>0</v>
      </c>
      <c r="DW204" s="1" t="b">
        <f>MetamagicSelected&gt;=1</f>
        <v>0</v>
      </c>
      <c r="DX204" s="1" t="b">
        <f>OR(MaxArcaneLevel&gt;=1,MaxArcaneSpellLikeLevel&gt;=1)</f>
        <v>1</v>
      </c>
      <c r="EA204" s="1" t="b">
        <f>AND(DM204:DZ204)</f>
        <v>0</v>
      </c>
      <c r="EB204" s="11" t="s">
        <v>334</v>
      </c>
      <c r="EC204" s="1" t="str">
        <f>IF(DR204,"","• Any chaotic alignment.
")&amp;IF(DS204,"","• 4 ranks in Knowledge (the planes).
")&amp;IF(DT204,"","• 8 ranks in Spellcraft.
")&amp;IF(DU204,"","• 4 ranks in Use Magic Device.
")&amp;IF(DV204,"","• Magical Aptitude feat.
")&amp;IF(DW204,"","• Any metamagic feat.
")&amp;IF(DX204,"","• Arcane caster level 1st.")</f>
        <v xml:space="preserve">• Any chaotic alignment.
• 4 ranks in Knowledge (the planes).
• 8 ranks in Spellcraft.
• 4 ranks in Use Magic Device.
• Magical Aptitude feat.
• Any metamagic feat.
</v>
      </c>
      <c r="ED204" s="11" t="s">
        <v>335</v>
      </c>
      <c r="EE204" s="8" t="s">
        <v>498</v>
      </c>
      <c r="EF204" s="9">
        <v>10</v>
      </c>
      <c r="EG204" s="9" t="s">
        <v>590</v>
      </c>
      <c r="EH204" s="9"/>
      <c r="EI204" s="9" t="b">
        <f t="shared" si="179"/>
        <v>0</v>
      </c>
      <c r="EJ204" s="9" t="str">
        <f t="shared" si="180"/>
        <v/>
      </c>
      <c r="EK204" s="9">
        <f t="shared" si="181"/>
        <v>99</v>
      </c>
      <c r="EL204" s="9">
        <f t="shared" si="182"/>
        <v>99</v>
      </c>
      <c r="EM204" s="9">
        <f t="shared" si="183"/>
        <v>99</v>
      </c>
      <c r="EN204" s="9">
        <f t="shared" si="184"/>
        <v>99</v>
      </c>
      <c r="EO204" s="10">
        <f t="shared" si="185"/>
        <v>-1</v>
      </c>
    </row>
    <row r="205" spans="1:145" ht="11.25" customHeight="1" x14ac:dyDescent="0.2">
      <c r="A205" s="1">
        <f t="shared" si="186"/>
        <v>202</v>
      </c>
      <c r="B205" s="1" t="s">
        <v>596</v>
      </c>
      <c r="E205" s="1">
        <f t="shared" si="143"/>
        <v>0</v>
      </c>
      <c r="F205" s="1">
        <v>1</v>
      </c>
      <c r="Z205" s="1" t="b">
        <f>FALSE</f>
        <v>0</v>
      </c>
      <c r="AA205" s="1" t="str">
        <f t="shared" si="147"/>
        <v/>
      </c>
      <c r="AB205" s="1" t="str">
        <f t="shared" si="148"/>
        <v/>
      </c>
      <c r="AC205" s="1">
        <f t="shared" si="144"/>
        <v>0</v>
      </c>
      <c r="AD205" s="1" t="str">
        <f t="shared" si="149"/>
        <v/>
      </c>
      <c r="AE205" s="1" t="str">
        <f t="shared" si="150"/>
        <v/>
      </c>
      <c r="AF205" s="1">
        <f t="shared" si="145"/>
        <v>0</v>
      </c>
      <c r="AG205" s="1">
        <f t="shared" si="151"/>
        <v>5</v>
      </c>
      <c r="AH205" s="1" t="str">
        <f t="shared" si="146"/>
        <v/>
      </c>
      <c r="EB205" s="11"/>
      <c r="ED205" s="11" t="s">
        <v>335</v>
      </c>
      <c r="EE205" s="8" t="s">
        <v>125</v>
      </c>
      <c r="EF205" s="9">
        <v>10</v>
      </c>
      <c r="EG205" s="9" t="s">
        <v>590</v>
      </c>
      <c r="EH205" s="9"/>
      <c r="EI205" s="9" t="b">
        <f t="shared" si="179"/>
        <v>0</v>
      </c>
      <c r="EJ205" s="9" t="str">
        <f t="shared" si="180"/>
        <v/>
      </c>
      <c r="EK205" s="9">
        <f t="shared" si="181"/>
        <v>99</v>
      </c>
      <c r="EL205" s="9">
        <f t="shared" si="182"/>
        <v>99</v>
      </c>
      <c r="EM205" s="9">
        <f t="shared" si="183"/>
        <v>99</v>
      </c>
      <c r="EN205" s="9">
        <f t="shared" si="184"/>
        <v>99</v>
      </c>
      <c r="EO205" s="10">
        <f t="shared" si="185"/>
        <v>-1</v>
      </c>
    </row>
    <row r="206" spans="1:145" ht="11.25" customHeight="1" x14ac:dyDescent="0.2">
      <c r="A206" s="1">
        <f t="shared" si="186"/>
        <v>203</v>
      </c>
      <c r="B206" s="1" t="s">
        <v>597</v>
      </c>
      <c r="C206" s="1" t="s">
        <v>133</v>
      </c>
      <c r="D206" s="1" t="s">
        <v>133</v>
      </c>
      <c r="E206" s="1">
        <f t="shared" si="143"/>
        <v>0</v>
      </c>
      <c r="K206" s="1">
        <v>4</v>
      </c>
      <c r="L206" s="1">
        <v>10</v>
      </c>
      <c r="V206" s="1">
        <v>1</v>
      </c>
      <c r="W206" s="1">
        <v>0.5</v>
      </c>
      <c r="X206" s="1">
        <v>0.5</v>
      </c>
      <c r="Y206" s="1">
        <v>0.34</v>
      </c>
      <c r="Z206" s="1" t="b">
        <f>FALSE</f>
        <v>0</v>
      </c>
      <c r="AA206" s="1" t="str">
        <f t="shared" si="147"/>
        <v/>
      </c>
      <c r="AB206" s="1" t="str">
        <f t="shared" si="148"/>
        <v/>
      </c>
      <c r="AC206" s="1">
        <f t="shared" si="144"/>
        <v>0</v>
      </c>
      <c r="AD206" s="1" t="str">
        <f t="shared" si="149"/>
        <v/>
      </c>
      <c r="AE206" s="1" t="str">
        <f t="shared" si="150"/>
        <v/>
      </c>
      <c r="AF206" s="1">
        <f t="shared" si="145"/>
        <v>0</v>
      </c>
      <c r="AG206" s="1">
        <f t="shared" si="151"/>
        <v>5</v>
      </c>
      <c r="AH206" s="1" t="str">
        <f t="shared" si="146"/>
        <v/>
      </c>
      <c r="AI206" s="1">
        <v>1</v>
      </c>
      <c r="AJ206" s="1">
        <f t="shared" ref="AJ206:AJ238" si="187">IF(HRXPH,1,0)</f>
        <v>0</v>
      </c>
      <c r="AK206" s="1">
        <v>1</v>
      </c>
      <c r="AL206" s="1">
        <v>1</v>
      </c>
      <c r="AM206" s="1">
        <v>2</v>
      </c>
      <c r="AN206" s="1">
        <f t="shared" ref="AN206:AN238" si="188">IF(IsLycanthrope,2,0)</f>
        <v>0</v>
      </c>
      <c r="AO206" s="1">
        <v>1</v>
      </c>
      <c r="AP206" s="1">
        <v>1</v>
      </c>
      <c r="AQ206" s="1">
        <v>1</v>
      </c>
      <c r="AR206" s="1">
        <v>1</v>
      </c>
      <c r="AS206" s="1">
        <v>1</v>
      </c>
      <c r="AT206" s="1">
        <v>1</v>
      </c>
      <c r="AU206" s="1">
        <v>1</v>
      </c>
      <c r="AV206" s="1">
        <v>1</v>
      </c>
      <c r="AW206" s="1">
        <v>1</v>
      </c>
      <c r="AX206" s="1">
        <v>1</v>
      </c>
      <c r="AY206" s="1">
        <v>1</v>
      </c>
      <c r="AZ206" s="1">
        <v>1</v>
      </c>
      <c r="BA206" s="1">
        <v>2</v>
      </c>
      <c r="BB206" s="1">
        <v>1</v>
      </c>
      <c r="BC206" s="1">
        <v>1</v>
      </c>
      <c r="BD206" s="1">
        <v>2</v>
      </c>
      <c r="BE206" s="1">
        <v>2</v>
      </c>
      <c r="BF206" s="1">
        <v>2</v>
      </c>
      <c r="BG206" s="1">
        <f t="shared" ref="BG206:BG238" si="189">IF(HRRVL,1,0)</f>
        <v>0</v>
      </c>
      <c r="BH206" s="1">
        <f t="shared" ref="BH206:BH238" si="190">IF(HROA,1,0)</f>
        <v>0</v>
      </c>
      <c r="BI206" s="1">
        <v>2</v>
      </c>
      <c r="BJ206" s="1">
        <v>2</v>
      </c>
      <c r="BK206" s="1">
        <v>1</v>
      </c>
      <c r="BL206" s="1">
        <v>1</v>
      </c>
      <c r="BM206" s="1">
        <v>1</v>
      </c>
      <c r="BN206" s="1">
        <v>1</v>
      </c>
      <c r="BO206" s="1">
        <v>1</v>
      </c>
      <c r="BP206" s="1">
        <v>1</v>
      </c>
      <c r="BQ206" s="1">
        <f t="shared" ref="BQ206:BQ214" si="191">IF(HRRVL,2,0)</f>
        <v>0</v>
      </c>
      <c r="BR206" s="1">
        <v>2</v>
      </c>
      <c r="BS206" s="1">
        <v>1</v>
      </c>
      <c r="BT206" s="1">
        <f t="shared" ref="BT206:BT219" si="192">IF(HRXPH,1,0)</f>
        <v>0</v>
      </c>
      <c r="BU206" s="1">
        <f t="shared" ref="BU206:BU219" si="193">IF(HRRVL,1,0)</f>
        <v>0</v>
      </c>
      <c r="BV206" s="1">
        <v>1</v>
      </c>
      <c r="BW206" s="1">
        <v>1</v>
      </c>
      <c r="BX206" s="1">
        <v>1</v>
      </c>
      <c r="BY206" s="1">
        <v>1</v>
      </c>
      <c r="BZ206" s="1">
        <v>1</v>
      </c>
      <c r="CA206" s="1">
        <v>1</v>
      </c>
      <c r="CB206" s="1">
        <v>1</v>
      </c>
      <c r="CC206" s="1">
        <v>1</v>
      </c>
      <c r="CD206" s="1">
        <v>1</v>
      </c>
      <c r="CE206" s="1">
        <v>1</v>
      </c>
      <c r="CF206" s="1">
        <v>2</v>
      </c>
      <c r="CG206" s="1">
        <f t="shared" ref="CG206:CG238" si="194">IF(HRToB,1,0)</f>
        <v>0</v>
      </c>
      <c r="CH206" s="1">
        <v>2</v>
      </c>
      <c r="CI206" s="1">
        <v>1</v>
      </c>
      <c r="CJ206" s="1">
        <v>1</v>
      </c>
      <c r="CK206" s="1">
        <v>1</v>
      </c>
      <c r="CL206" s="1">
        <v>1</v>
      </c>
      <c r="CM206" s="1">
        <v>1</v>
      </c>
      <c r="CN206" s="1">
        <v>1</v>
      </c>
      <c r="CO206" s="1">
        <v>1</v>
      </c>
      <c r="CP206" s="1">
        <v>1</v>
      </c>
      <c r="CQ206" s="1">
        <v>1</v>
      </c>
      <c r="CR206" s="1">
        <v>1</v>
      </c>
      <c r="CS206" s="1">
        <v>1</v>
      </c>
      <c r="CT206" s="1">
        <v>1</v>
      </c>
      <c r="CU206" s="1">
        <v>1</v>
      </c>
      <c r="CV206" s="1">
        <f t="shared" ref="CV206:CV238" si="195">IF(HRXPH,1,0)</f>
        <v>0</v>
      </c>
      <c r="CW206" s="1">
        <v>1</v>
      </c>
      <c r="CX206" s="1">
        <v>1</v>
      </c>
      <c r="CY206" s="1">
        <v>1</v>
      </c>
      <c r="CZ206" s="1">
        <f t="shared" ref="CZ206:CZ238" si="196">IF(HRCS,1,0)</f>
        <v>0</v>
      </c>
      <c r="DA206" s="1">
        <v>1</v>
      </c>
      <c r="DB206" s="1">
        <v>1</v>
      </c>
      <c r="DC206" s="1">
        <v>1</v>
      </c>
      <c r="DD206" s="1">
        <v>2</v>
      </c>
      <c r="DE206" s="1">
        <v>2</v>
      </c>
      <c r="DF206" s="1">
        <v>2</v>
      </c>
      <c r="DG206" s="1">
        <v>1</v>
      </c>
      <c r="DH206" s="1">
        <v>1</v>
      </c>
      <c r="DI206" s="1">
        <f t="shared" ref="DI206:DI238" si="197">IF(HRXPH,1,0)</f>
        <v>0</v>
      </c>
      <c r="DJ206" s="1">
        <v>1</v>
      </c>
      <c r="DK206" s="1" t="s">
        <v>169</v>
      </c>
      <c r="DL206" s="1" t="s">
        <v>40</v>
      </c>
      <c r="DR206" s="1" t="b">
        <f t="shared" ref="DR206:DR213" si="198">AlignmentNeutral</f>
        <v>0</v>
      </c>
      <c r="DS206" s="1" t="b">
        <f t="shared" ref="DS206:DS213" si="199">BaseAtk&gt;=5</f>
        <v>0</v>
      </c>
      <c r="DT206" s="1" t="b">
        <f t="shared" ref="DT206:DT213" si="200">SkHandleAnimalRanks&gt;=4</f>
        <v>0</v>
      </c>
      <c r="DU206" s="1" t="b">
        <f t="shared" ref="DU206:DU213" si="201">SkKnowledgeNatureRanks&gt;=2</f>
        <v>0</v>
      </c>
      <c r="DV206" s="1" t="b">
        <f>SkClimbRanks&gt;=4</f>
        <v>0</v>
      </c>
      <c r="DW206" s="1" t="b">
        <f>FtToughnessEquiv</f>
        <v>0</v>
      </c>
      <c r="EA206" s="1" t="b">
        <f t="shared" ref="EA206:EA238" si="202">AND(DM206:DZ206)</f>
        <v>0</v>
      </c>
      <c r="EB206" s="11" t="s">
        <v>334</v>
      </c>
      <c r="EC206" s="1" t="str">
        <f>IF(DR206,"","• Must be of any neutral alignment.
")&amp;IF(DS206,"","• A base attack bonus of +5 or higher.
")&amp;IF(DT206,"","• 4 ranks in Handle Animal.
")&amp;IF(DU206,"","• 2 ranks in Knowledge (nature).
")&amp;IF(DV206,"","• 4 ranks in Climb.
")&amp;IF(DW206,"","• Toughness feat.")</f>
        <v>• Must be of any neutral alignment.
• A base attack bonus of +5 or higher.
• 4 ranks in Handle Animal.
• 2 ranks in Knowledge (nature).
• 4 ranks in Climb.
• Toughness feat.</v>
      </c>
      <c r="ED206" s="11" t="s">
        <v>335</v>
      </c>
      <c r="EE206" s="8" t="s">
        <v>598</v>
      </c>
      <c r="EF206" s="9">
        <v>10</v>
      </c>
      <c r="EG206" s="9" t="s">
        <v>590</v>
      </c>
      <c r="EH206" s="9"/>
      <c r="EI206" s="9" t="b">
        <f t="shared" si="179"/>
        <v>0</v>
      </c>
      <c r="EJ206" s="9" t="str">
        <f t="shared" si="180"/>
        <v/>
      </c>
      <c r="EK206" s="9">
        <f t="shared" si="181"/>
        <v>99</v>
      </c>
      <c r="EL206" s="9">
        <f t="shared" si="182"/>
        <v>99</v>
      </c>
      <c r="EM206" s="9">
        <f t="shared" si="183"/>
        <v>99</v>
      </c>
      <c r="EN206" s="9">
        <f t="shared" si="184"/>
        <v>99</v>
      </c>
      <c r="EO206" s="10">
        <f t="shared" si="185"/>
        <v>-1</v>
      </c>
    </row>
    <row r="207" spans="1:145" ht="11.25" customHeight="1" x14ac:dyDescent="0.2">
      <c r="A207" s="1">
        <f t="shared" si="186"/>
        <v>204</v>
      </c>
      <c r="B207" s="1" t="s">
        <v>599</v>
      </c>
      <c r="C207" s="1" t="s">
        <v>136</v>
      </c>
      <c r="D207" s="1" t="s">
        <v>136</v>
      </c>
      <c r="E207" s="1">
        <f t="shared" si="143"/>
        <v>0</v>
      </c>
      <c r="K207" s="1">
        <v>4</v>
      </c>
      <c r="L207" s="1">
        <v>10</v>
      </c>
      <c r="V207" s="1">
        <v>1</v>
      </c>
      <c r="W207" s="1">
        <v>0.5</v>
      </c>
      <c r="X207" s="1">
        <v>0.5</v>
      </c>
      <c r="Y207" s="1">
        <v>0.34</v>
      </c>
      <c r="Z207" s="1" t="b">
        <f>FALSE</f>
        <v>0</v>
      </c>
      <c r="AA207" s="1" t="str">
        <f t="shared" si="147"/>
        <v/>
      </c>
      <c r="AB207" s="1" t="str">
        <f t="shared" si="148"/>
        <v/>
      </c>
      <c r="AC207" s="1">
        <f t="shared" si="144"/>
        <v>0</v>
      </c>
      <c r="AD207" s="1" t="str">
        <f t="shared" si="149"/>
        <v/>
      </c>
      <c r="AE207" s="1" t="str">
        <f t="shared" si="150"/>
        <v/>
      </c>
      <c r="AF207" s="1">
        <f t="shared" si="145"/>
        <v>0</v>
      </c>
      <c r="AG207" s="1">
        <f t="shared" si="151"/>
        <v>5</v>
      </c>
      <c r="AH207" s="1" t="str">
        <f t="shared" si="146"/>
        <v/>
      </c>
      <c r="AI207" s="1">
        <v>1</v>
      </c>
      <c r="AJ207" s="1">
        <f t="shared" si="187"/>
        <v>0</v>
      </c>
      <c r="AK207" s="1">
        <v>1</v>
      </c>
      <c r="AL207" s="1">
        <v>1</v>
      </c>
      <c r="AM207" s="1">
        <v>2</v>
      </c>
      <c r="AN207" s="1">
        <f t="shared" si="188"/>
        <v>0</v>
      </c>
      <c r="AO207" s="1">
        <v>1</v>
      </c>
      <c r="AP207" s="1">
        <v>1</v>
      </c>
      <c r="AQ207" s="1">
        <v>1</v>
      </c>
      <c r="AR207" s="1">
        <v>1</v>
      </c>
      <c r="AS207" s="1">
        <v>1</v>
      </c>
      <c r="AT207" s="1">
        <v>1</v>
      </c>
      <c r="AU207" s="1">
        <v>1</v>
      </c>
      <c r="AV207" s="1">
        <v>1</v>
      </c>
      <c r="AW207" s="1">
        <v>1</v>
      </c>
      <c r="AX207" s="1">
        <v>1</v>
      </c>
      <c r="AY207" s="1">
        <v>1</v>
      </c>
      <c r="AZ207" s="1">
        <v>1</v>
      </c>
      <c r="BA207" s="1">
        <v>2</v>
      </c>
      <c r="BB207" s="1">
        <v>1</v>
      </c>
      <c r="BC207" s="1">
        <v>1</v>
      </c>
      <c r="BD207" s="1">
        <v>2</v>
      </c>
      <c r="BE207" s="1">
        <v>2</v>
      </c>
      <c r="BF207" s="1">
        <v>2</v>
      </c>
      <c r="BG207" s="1">
        <f t="shared" si="189"/>
        <v>0</v>
      </c>
      <c r="BH207" s="1">
        <f t="shared" si="190"/>
        <v>0</v>
      </c>
      <c r="BI207" s="1">
        <v>2</v>
      </c>
      <c r="BJ207" s="1">
        <v>2</v>
      </c>
      <c r="BK207" s="1">
        <v>1</v>
      </c>
      <c r="BL207" s="1">
        <v>1</v>
      </c>
      <c r="BM207" s="1">
        <v>1</v>
      </c>
      <c r="BN207" s="1">
        <v>1</v>
      </c>
      <c r="BO207" s="1">
        <v>1</v>
      </c>
      <c r="BP207" s="1">
        <v>1</v>
      </c>
      <c r="BQ207" s="1">
        <f t="shared" si="191"/>
        <v>0</v>
      </c>
      <c r="BR207" s="1">
        <v>2</v>
      </c>
      <c r="BS207" s="1">
        <v>1</v>
      </c>
      <c r="BT207" s="1">
        <f t="shared" si="192"/>
        <v>0</v>
      </c>
      <c r="BU207" s="1">
        <f t="shared" si="193"/>
        <v>0</v>
      </c>
      <c r="BV207" s="1">
        <v>1</v>
      </c>
      <c r="BW207" s="1">
        <v>1</v>
      </c>
      <c r="BX207" s="1">
        <v>1</v>
      </c>
      <c r="BY207" s="1">
        <v>1</v>
      </c>
      <c r="BZ207" s="1">
        <v>1</v>
      </c>
      <c r="CA207" s="1">
        <v>1</v>
      </c>
      <c r="CB207" s="1">
        <v>1</v>
      </c>
      <c r="CC207" s="1">
        <v>1</v>
      </c>
      <c r="CD207" s="1">
        <v>1</v>
      </c>
      <c r="CE207" s="1">
        <v>1</v>
      </c>
      <c r="CF207" s="1">
        <v>2</v>
      </c>
      <c r="CG207" s="1">
        <f t="shared" si="194"/>
        <v>0</v>
      </c>
      <c r="CH207" s="1">
        <v>2</v>
      </c>
      <c r="CI207" s="1">
        <v>1</v>
      </c>
      <c r="CJ207" s="1">
        <v>1</v>
      </c>
      <c r="CK207" s="1">
        <v>1</v>
      </c>
      <c r="CL207" s="1">
        <v>1</v>
      </c>
      <c r="CM207" s="1">
        <v>1</v>
      </c>
      <c r="CN207" s="1">
        <v>1</v>
      </c>
      <c r="CO207" s="1">
        <v>1</v>
      </c>
      <c r="CP207" s="1">
        <v>1</v>
      </c>
      <c r="CQ207" s="1">
        <v>1</v>
      </c>
      <c r="CR207" s="1">
        <v>1</v>
      </c>
      <c r="CS207" s="1">
        <v>1</v>
      </c>
      <c r="CT207" s="1">
        <v>1</v>
      </c>
      <c r="CU207" s="1">
        <v>1</v>
      </c>
      <c r="CV207" s="1">
        <f t="shared" si="195"/>
        <v>0</v>
      </c>
      <c r="CW207" s="1">
        <v>1</v>
      </c>
      <c r="CX207" s="1">
        <v>1</v>
      </c>
      <c r="CY207" s="1">
        <v>1</v>
      </c>
      <c r="CZ207" s="1">
        <f t="shared" si="196"/>
        <v>0</v>
      </c>
      <c r="DA207" s="1">
        <v>1</v>
      </c>
      <c r="DB207" s="1">
        <v>1</v>
      </c>
      <c r="DC207" s="1">
        <v>1</v>
      </c>
      <c r="DD207" s="1">
        <v>2</v>
      </c>
      <c r="DE207" s="1">
        <v>2</v>
      </c>
      <c r="DF207" s="1">
        <v>2</v>
      </c>
      <c r="DG207" s="1">
        <v>1</v>
      </c>
      <c r="DH207" s="1">
        <v>1</v>
      </c>
      <c r="DI207" s="1">
        <f t="shared" si="197"/>
        <v>0</v>
      </c>
      <c r="DJ207" s="1">
        <v>1</v>
      </c>
      <c r="DK207" s="1" t="s">
        <v>169</v>
      </c>
      <c r="DL207" s="1" t="s">
        <v>40</v>
      </c>
      <c r="DR207" s="1" t="b">
        <f t="shared" si="198"/>
        <v>0</v>
      </c>
      <c r="DS207" s="1" t="b">
        <f t="shared" si="199"/>
        <v>0</v>
      </c>
      <c r="DT207" s="1" t="b">
        <f t="shared" si="200"/>
        <v>0</v>
      </c>
      <c r="DU207" s="1" t="b">
        <f t="shared" si="201"/>
        <v>0</v>
      </c>
      <c r="DV207" s="1" t="b">
        <f>SkIntimidateRanks&gt;=4</f>
        <v>0</v>
      </c>
      <c r="DW207" s="1" t="b">
        <f>OR(FtEndurance,FtKoboldEndurance)</f>
        <v>0</v>
      </c>
      <c r="EA207" s="1" t="b">
        <f t="shared" si="202"/>
        <v>0</v>
      </c>
      <c r="EB207" s="11" t="s">
        <v>334</v>
      </c>
      <c r="EC207" s="1" t="str">
        <f>IF(DR207,"","• Must be of any Neutral alignment.
")&amp;IF(DS207,"","• A base attack bonus of +5 or higher.
")&amp;IF(DT207,"","• 4 ranks in Handle Animal.
")&amp;IF(DU207,"","• 2 ranks in Knowledge (nature).
")&amp;IF(DV207,"","• 4 ranks in Intimidate.
")&amp;IF(DW207,"","• Endurance feat.")</f>
        <v>• Must be of any Neutral alignment.
• A base attack bonus of +5 or higher.
• 4 ranks in Handle Animal.
• 2 ranks in Knowledge (nature).
• 4 ranks in Intimidate.
• Endurance feat.</v>
      </c>
      <c r="ED207" s="11" t="s">
        <v>335</v>
      </c>
      <c r="EE207" s="8" t="s">
        <v>600</v>
      </c>
      <c r="EF207" s="9">
        <v>5</v>
      </c>
      <c r="EG207" s="9" t="s">
        <v>590</v>
      </c>
      <c r="EH207" s="9"/>
      <c r="EI207" s="9" t="b">
        <f t="shared" si="179"/>
        <v>0</v>
      </c>
      <c r="EJ207" s="9" t="str">
        <f t="shared" si="180"/>
        <v/>
      </c>
      <c r="EK207" s="9">
        <f t="shared" si="181"/>
        <v>99</v>
      </c>
      <c r="EL207" s="9">
        <f t="shared" si="182"/>
        <v>99</v>
      </c>
      <c r="EM207" s="9">
        <f t="shared" si="183"/>
        <v>99</v>
      </c>
      <c r="EN207" s="9">
        <f t="shared" si="184"/>
        <v>99</v>
      </c>
      <c r="EO207" s="10">
        <f t="shared" si="185"/>
        <v>-1</v>
      </c>
    </row>
    <row r="208" spans="1:145" ht="11.25" customHeight="1" x14ac:dyDescent="0.2">
      <c r="A208" s="1">
        <f t="shared" si="186"/>
        <v>205</v>
      </c>
      <c r="B208" s="1" t="s">
        <v>601</v>
      </c>
      <c r="C208" s="1" t="s">
        <v>141</v>
      </c>
      <c r="D208" s="1" t="s">
        <v>141</v>
      </c>
      <c r="E208" s="1">
        <f t="shared" si="143"/>
        <v>0</v>
      </c>
      <c r="K208" s="1">
        <v>4</v>
      </c>
      <c r="L208" s="1">
        <v>10</v>
      </c>
      <c r="V208" s="1">
        <v>1</v>
      </c>
      <c r="W208" s="1">
        <v>0.5</v>
      </c>
      <c r="X208" s="1">
        <v>0.5</v>
      </c>
      <c r="Y208" s="1">
        <v>0.34</v>
      </c>
      <c r="Z208" s="1" t="b">
        <f>FALSE</f>
        <v>0</v>
      </c>
      <c r="AA208" s="1" t="str">
        <f t="shared" si="147"/>
        <v/>
      </c>
      <c r="AB208" s="1" t="str">
        <f t="shared" si="148"/>
        <v/>
      </c>
      <c r="AC208" s="1">
        <f t="shared" si="144"/>
        <v>0</v>
      </c>
      <c r="AD208" s="1" t="str">
        <f t="shared" si="149"/>
        <v/>
      </c>
      <c r="AE208" s="1" t="str">
        <f t="shared" si="150"/>
        <v/>
      </c>
      <c r="AF208" s="1">
        <f t="shared" si="145"/>
        <v>0</v>
      </c>
      <c r="AG208" s="1">
        <f t="shared" si="151"/>
        <v>5</v>
      </c>
      <c r="AH208" s="1" t="str">
        <f t="shared" si="146"/>
        <v/>
      </c>
      <c r="AI208" s="1">
        <v>1</v>
      </c>
      <c r="AJ208" s="1">
        <f t="shared" si="187"/>
        <v>0</v>
      </c>
      <c r="AK208" s="1">
        <v>1</v>
      </c>
      <c r="AL208" s="1">
        <v>1</v>
      </c>
      <c r="AM208" s="1">
        <v>2</v>
      </c>
      <c r="AN208" s="1">
        <f t="shared" si="188"/>
        <v>0</v>
      </c>
      <c r="AO208" s="1">
        <v>1</v>
      </c>
      <c r="AP208" s="1">
        <v>1</v>
      </c>
      <c r="AQ208" s="1">
        <v>1</v>
      </c>
      <c r="AR208" s="1">
        <v>1</v>
      </c>
      <c r="AS208" s="1">
        <v>1</v>
      </c>
      <c r="AT208" s="1">
        <v>1</v>
      </c>
      <c r="AU208" s="1">
        <v>1</v>
      </c>
      <c r="AV208" s="1">
        <v>1</v>
      </c>
      <c r="AW208" s="1">
        <v>1</v>
      </c>
      <c r="AX208" s="1">
        <v>1</v>
      </c>
      <c r="AY208" s="1">
        <v>1</v>
      </c>
      <c r="AZ208" s="1">
        <v>1</v>
      </c>
      <c r="BA208" s="1">
        <v>2</v>
      </c>
      <c r="BB208" s="1">
        <v>1</v>
      </c>
      <c r="BC208" s="1">
        <v>1</v>
      </c>
      <c r="BD208" s="1">
        <v>2</v>
      </c>
      <c r="BE208" s="1">
        <v>2</v>
      </c>
      <c r="BF208" s="1">
        <v>2</v>
      </c>
      <c r="BG208" s="1">
        <f t="shared" si="189"/>
        <v>0</v>
      </c>
      <c r="BH208" s="1">
        <f t="shared" si="190"/>
        <v>0</v>
      </c>
      <c r="BI208" s="1">
        <v>2</v>
      </c>
      <c r="BJ208" s="1">
        <v>2</v>
      </c>
      <c r="BK208" s="1">
        <v>1</v>
      </c>
      <c r="BL208" s="1">
        <v>1</v>
      </c>
      <c r="BM208" s="1">
        <v>1</v>
      </c>
      <c r="BN208" s="1">
        <v>1</v>
      </c>
      <c r="BO208" s="1">
        <v>1</v>
      </c>
      <c r="BP208" s="1">
        <v>1</v>
      </c>
      <c r="BQ208" s="1">
        <f t="shared" si="191"/>
        <v>0</v>
      </c>
      <c r="BR208" s="1">
        <v>2</v>
      </c>
      <c r="BS208" s="1">
        <v>1</v>
      </c>
      <c r="BT208" s="1">
        <f t="shared" si="192"/>
        <v>0</v>
      </c>
      <c r="BU208" s="1">
        <f t="shared" si="193"/>
        <v>0</v>
      </c>
      <c r="BV208" s="1">
        <v>1</v>
      </c>
      <c r="BW208" s="1">
        <v>1</v>
      </c>
      <c r="BX208" s="1">
        <v>1</v>
      </c>
      <c r="BY208" s="1">
        <v>1</v>
      </c>
      <c r="BZ208" s="1">
        <v>1</v>
      </c>
      <c r="CA208" s="1">
        <v>1</v>
      </c>
      <c r="CB208" s="1">
        <v>1</v>
      </c>
      <c r="CC208" s="1">
        <v>1</v>
      </c>
      <c r="CD208" s="1">
        <v>1</v>
      </c>
      <c r="CE208" s="1">
        <v>1</v>
      </c>
      <c r="CF208" s="1">
        <v>2</v>
      </c>
      <c r="CG208" s="1">
        <f t="shared" si="194"/>
        <v>0</v>
      </c>
      <c r="CH208" s="1">
        <v>2</v>
      </c>
      <c r="CI208" s="1">
        <v>1</v>
      </c>
      <c r="CJ208" s="1">
        <v>1</v>
      </c>
      <c r="CK208" s="1">
        <v>1</v>
      </c>
      <c r="CL208" s="1">
        <v>1</v>
      </c>
      <c r="CM208" s="1">
        <v>1</v>
      </c>
      <c r="CN208" s="1">
        <v>1</v>
      </c>
      <c r="CO208" s="1">
        <v>1</v>
      </c>
      <c r="CP208" s="1">
        <v>1</v>
      </c>
      <c r="CQ208" s="1">
        <v>1</v>
      </c>
      <c r="CR208" s="1">
        <v>1</v>
      </c>
      <c r="CS208" s="1">
        <v>1</v>
      </c>
      <c r="CT208" s="1">
        <v>1</v>
      </c>
      <c r="CU208" s="1">
        <v>1</v>
      </c>
      <c r="CV208" s="1">
        <f t="shared" si="195"/>
        <v>0</v>
      </c>
      <c r="CW208" s="1">
        <v>1</v>
      </c>
      <c r="CX208" s="1">
        <v>1</v>
      </c>
      <c r="CY208" s="1">
        <v>1</v>
      </c>
      <c r="CZ208" s="1">
        <f t="shared" si="196"/>
        <v>0</v>
      </c>
      <c r="DA208" s="1">
        <v>1</v>
      </c>
      <c r="DB208" s="1">
        <v>1</v>
      </c>
      <c r="DC208" s="1">
        <v>1</v>
      </c>
      <c r="DD208" s="1">
        <v>2</v>
      </c>
      <c r="DE208" s="1">
        <v>2</v>
      </c>
      <c r="DF208" s="1">
        <v>2</v>
      </c>
      <c r="DG208" s="1">
        <v>1</v>
      </c>
      <c r="DH208" s="1">
        <v>1</v>
      </c>
      <c r="DI208" s="1">
        <f t="shared" si="197"/>
        <v>0</v>
      </c>
      <c r="DJ208" s="1">
        <v>1</v>
      </c>
      <c r="DK208" s="1" t="s">
        <v>169</v>
      </c>
      <c r="DL208" s="1" t="s">
        <v>40</v>
      </c>
      <c r="DR208" s="1" t="b">
        <f t="shared" si="198"/>
        <v>0</v>
      </c>
      <c r="DS208" s="1" t="b">
        <f t="shared" si="199"/>
        <v>0</v>
      </c>
      <c r="DT208" s="1" t="b">
        <f t="shared" si="200"/>
        <v>0</v>
      </c>
      <c r="DU208" s="1" t="b">
        <f t="shared" si="201"/>
        <v>0</v>
      </c>
      <c r="DV208" s="1" t="b">
        <f>SkSpotRanks&gt;=4</f>
        <v>0</v>
      </c>
      <c r="DW208" s="1" t="b">
        <f>FtImprovedFlight</f>
        <v>0</v>
      </c>
      <c r="EA208" s="1" t="b">
        <f t="shared" si="202"/>
        <v>0</v>
      </c>
      <c r="EB208" s="11" t="s">
        <v>334</v>
      </c>
      <c r="EC208" s="1" t="str">
        <f>IF(DR208,"","• Must be of any neutral alignment.
")&amp;IF(DS208,"","• A base attack bonus of +5 or higher.
")&amp;IF(DT208,"","• 4 ranks in Handle Animal.
")&amp;IF(DU208,"","• 2 ranks in Knowledge (nature).
")&amp;IF(DV208,"","• 4 ranks in Spot.
")&amp;IF(DW208,"","• Improved Flight feat.")</f>
        <v>• Must be of any neutral alignment.
• A base attack bonus of +5 or higher.
• 4 ranks in Handle Animal.
• 2 ranks in Knowledge (nature).
• 4 ranks in Spot.
• Improved Flight feat.</v>
      </c>
      <c r="ED208" s="11" t="s">
        <v>335</v>
      </c>
      <c r="EE208" s="8" t="s">
        <v>117</v>
      </c>
      <c r="EF208" s="9">
        <v>10</v>
      </c>
      <c r="EG208" s="9" t="s">
        <v>590</v>
      </c>
      <c r="EH208" s="9"/>
      <c r="EI208" s="9" t="b">
        <f t="shared" si="179"/>
        <v>0</v>
      </c>
      <c r="EJ208" s="9" t="str">
        <f t="shared" si="180"/>
        <v/>
      </c>
      <c r="EK208" s="9">
        <f t="shared" si="181"/>
        <v>99</v>
      </c>
      <c r="EL208" s="9">
        <f t="shared" si="182"/>
        <v>99</v>
      </c>
      <c r="EM208" s="9">
        <f t="shared" si="183"/>
        <v>99</v>
      </c>
      <c r="EN208" s="9">
        <f t="shared" si="184"/>
        <v>99</v>
      </c>
      <c r="EO208" s="10">
        <f t="shared" si="185"/>
        <v>-1</v>
      </c>
    </row>
    <row r="209" spans="1:145" ht="11.25" customHeight="1" x14ac:dyDescent="0.2">
      <c r="A209" s="1">
        <f t="shared" si="186"/>
        <v>206</v>
      </c>
      <c r="B209" s="1" t="s">
        <v>602</v>
      </c>
      <c r="C209" s="1" t="s">
        <v>145</v>
      </c>
      <c r="D209" s="1" t="s">
        <v>145</v>
      </c>
      <c r="E209" s="1">
        <f t="shared" si="143"/>
        <v>0</v>
      </c>
      <c r="K209" s="1">
        <v>4</v>
      </c>
      <c r="L209" s="1">
        <v>10</v>
      </c>
      <c r="V209" s="1">
        <v>1</v>
      </c>
      <c r="W209" s="1">
        <v>0.5</v>
      </c>
      <c r="X209" s="1">
        <v>0.5</v>
      </c>
      <c r="Y209" s="1">
        <v>0.34</v>
      </c>
      <c r="Z209" s="1" t="b">
        <f>FALSE</f>
        <v>0</v>
      </c>
      <c r="AA209" s="1" t="str">
        <f t="shared" si="147"/>
        <v/>
      </c>
      <c r="AB209" s="1" t="str">
        <f t="shared" si="148"/>
        <v/>
      </c>
      <c r="AC209" s="1">
        <f t="shared" si="144"/>
        <v>0</v>
      </c>
      <c r="AD209" s="1" t="str">
        <f t="shared" si="149"/>
        <v/>
      </c>
      <c r="AE209" s="1" t="str">
        <f t="shared" si="150"/>
        <v/>
      </c>
      <c r="AF209" s="1">
        <f t="shared" si="145"/>
        <v>0</v>
      </c>
      <c r="AG209" s="1">
        <f t="shared" si="151"/>
        <v>5</v>
      </c>
      <c r="AH209" s="1" t="str">
        <f t="shared" si="146"/>
        <v/>
      </c>
      <c r="AI209" s="1">
        <v>1</v>
      </c>
      <c r="AJ209" s="1">
        <f t="shared" si="187"/>
        <v>0</v>
      </c>
      <c r="AK209" s="1">
        <v>1</v>
      </c>
      <c r="AL209" s="1">
        <v>1</v>
      </c>
      <c r="AM209" s="1">
        <v>2</v>
      </c>
      <c r="AN209" s="1">
        <f t="shared" si="188"/>
        <v>0</v>
      </c>
      <c r="AO209" s="1">
        <v>1</v>
      </c>
      <c r="AP209" s="1">
        <v>1</v>
      </c>
      <c r="AQ209" s="1">
        <v>1</v>
      </c>
      <c r="AR209" s="1">
        <v>1</v>
      </c>
      <c r="AS209" s="1">
        <v>1</v>
      </c>
      <c r="AT209" s="1">
        <v>1</v>
      </c>
      <c r="AU209" s="1">
        <v>1</v>
      </c>
      <c r="AV209" s="1">
        <v>1</v>
      </c>
      <c r="AW209" s="1">
        <v>1</v>
      </c>
      <c r="AX209" s="1">
        <v>1</v>
      </c>
      <c r="AY209" s="1">
        <v>1</v>
      </c>
      <c r="AZ209" s="1">
        <v>1</v>
      </c>
      <c r="BA209" s="1">
        <v>2</v>
      </c>
      <c r="BB209" s="1">
        <v>1</v>
      </c>
      <c r="BC209" s="1">
        <v>1</v>
      </c>
      <c r="BD209" s="1">
        <v>2</v>
      </c>
      <c r="BE209" s="1">
        <v>2</v>
      </c>
      <c r="BF209" s="1">
        <v>2</v>
      </c>
      <c r="BG209" s="1">
        <f t="shared" si="189"/>
        <v>0</v>
      </c>
      <c r="BH209" s="1">
        <f t="shared" si="190"/>
        <v>0</v>
      </c>
      <c r="BI209" s="1">
        <v>2</v>
      </c>
      <c r="BJ209" s="1">
        <v>2</v>
      </c>
      <c r="BK209" s="1">
        <v>1</v>
      </c>
      <c r="BL209" s="1">
        <v>1</v>
      </c>
      <c r="BM209" s="1">
        <v>1</v>
      </c>
      <c r="BN209" s="1">
        <v>1</v>
      </c>
      <c r="BO209" s="1">
        <v>1</v>
      </c>
      <c r="BP209" s="1">
        <v>1</v>
      </c>
      <c r="BQ209" s="1">
        <f t="shared" si="191"/>
        <v>0</v>
      </c>
      <c r="BR209" s="1">
        <v>2</v>
      </c>
      <c r="BS209" s="1">
        <v>1</v>
      </c>
      <c r="BT209" s="1">
        <f t="shared" si="192"/>
        <v>0</v>
      </c>
      <c r="BU209" s="1">
        <f t="shared" si="193"/>
        <v>0</v>
      </c>
      <c r="BV209" s="1">
        <v>1</v>
      </c>
      <c r="BW209" s="1">
        <v>1</v>
      </c>
      <c r="BX209" s="1">
        <v>1</v>
      </c>
      <c r="BY209" s="1">
        <v>1</v>
      </c>
      <c r="BZ209" s="1">
        <v>1</v>
      </c>
      <c r="CA209" s="1">
        <v>1</v>
      </c>
      <c r="CB209" s="1">
        <v>1</v>
      </c>
      <c r="CC209" s="1">
        <v>1</v>
      </c>
      <c r="CD209" s="1">
        <v>1</v>
      </c>
      <c r="CE209" s="1">
        <v>1</v>
      </c>
      <c r="CF209" s="1">
        <v>2</v>
      </c>
      <c r="CG209" s="1">
        <f t="shared" si="194"/>
        <v>0</v>
      </c>
      <c r="CH209" s="1">
        <v>2</v>
      </c>
      <c r="CI209" s="1">
        <v>1</v>
      </c>
      <c r="CJ209" s="1">
        <v>1</v>
      </c>
      <c r="CK209" s="1">
        <v>1</v>
      </c>
      <c r="CL209" s="1">
        <v>1</v>
      </c>
      <c r="CM209" s="1">
        <v>1</v>
      </c>
      <c r="CN209" s="1">
        <v>1</v>
      </c>
      <c r="CO209" s="1">
        <v>1</v>
      </c>
      <c r="CP209" s="1">
        <v>1</v>
      </c>
      <c r="CQ209" s="1">
        <v>1</v>
      </c>
      <c r="CR209" s="1">
        <v>1</v>
      </c>
      <c r="CS209" s="1">
        <v>1</v>
      </c>
      <c r="CT209" s="1">
        <v>1</v>
      </c>
      <c r="CU209" s="1">
        <v>1</v>
      </c>
      <c r="CV209" s="1">
        <f t="shared" si="195"/>
        <v>0</v>
      </c>
      <c r="CW209" s="1">
        <v>1</v>
      </c>
      <c r="CX209" s="1">
        <v>1</v>
      </c>
      <c r="CY209" s="1">
        <v>1</v>
      </c>
      <c r="CZ209" s="1">
        <f t="shared" si="196"/>
        <v>0</v>
      </c>
      <c r="DA209" s="1">
        <v>1</v>
      </c>
      <c r="DB209" s="1">
        <v>1</v>
      </c>
      <c r="DC209" s="1">
        <v>1</v>
      </c>
      <c r="DD209" s="1">
        <v>2</v>
      </c>
      <c r="DE209" s="1">
        <v>2</v>
      </c>
      <c r="DF209" s="1">
        <v>2</v>
      </c>
      <c r="DG209" s="1">
        <v>1</v>
      </c>
      <c r="DH209" s="1">
        <v>1</v>
      </c>
      <c r="DI209" s="1">
        <f t="shared" si="197"/>
        <v>0</v>
      </c>
      <c r="DJ209" s="1">
        <v>1</v>
      </c>
      <c r="DK209" s="1" t="s">
        <v>169</v>
      </c>
      <c r="DL209" s="1" t="s">
        <v>40</v>
      </c>
      <c r="DR209" s="1" t="b">
        <f t="shared" si="198"/>
        <v>0</v>
      </c>
      <c r="DS209" s="1" t="b">
        <f t="shared" si="199"/>
        <v>0</v>
      </c>
      <c r="DT209" s="1" t="b">
        <f t="shared" si="200"/>
        <v>0</v>
      </c>
      <c r="DU209" s="1" t="b">
        <f t="shared" si="201"/>
        <v>0</v>
      </c>
      <c r="DV209" s="1" t="b">
        <f>SkMoveSilentlyRanks&gt;=4</f>
        <v>0</v>
      </c>
      <c r="DW209" s="1" t="b">
        <f>OR(FtWeaponFinesse,FtShadowBlade)</f>
        <v>0</v>
      </c>
      <c r="EA209" s="1" t="b">
        <f t="shared" si="202"/>
        <v>0</v>
      </c>
      <c r="EB209" s="11" t="s">
        <v>334</v>
      </c>
      <c r="EC209" s="1" t="str">
        <f>IF(DR209,"","• Must be of any neutral alignment.
")&amp;IF(DS209,"","• A base attack bonus of +5 or higher.
")&amp;IF(DT209,"","• 4 ranks in Handle Animal.
")&amp;IF(DU209,"","• 2 ranks in Knowledge (nature).
")&amp;IF(DV209,"","• 4 ranks in Move Silently.
")&amp;IF(DW209,"","• Weapon Finesse feat.")</f>
        <v>• Must be of any neutral alignment.
• A base attack bonus of +5 or higher.
• 4 ranks in Handle Animal.
• 2 ranks in Knowledge (nature).
• 4 ranks in Move Silently.
• Weapon Finesse feat.</v>
      </c>
      <c r="ED209" s="11" t="s">
        <v>335</v>
      </c>
      <c r="EE209" s="8" t="s">
        <v>129</v>
      </c>
      <c r="EF209" s="9">
        <v>10</v>
      </c>
      <c r="EG209" s="9" t="s">
        <v>590</v>
      </c>
      <c r="EH209" s="9"/>
      <c r="EI209" s="9" t="b">
        <f t="shared" si="179"/>
        <v>0</v>
      </c>
      <c r="EJ209" s="9" t="str">
        <f t="shared" si="180"/>
        <v/>
      </c>
      <c r="EK209" s="9">
        <f t="shared" si="181"/>
        <v>99</v>
      </c>
      <c r="EL209" s="9">
        <f t="shared" si="182"/>
        <v>99</v>
      </c>
      <c r="EM209" s="9">
        <f t="shared" si="183"/>
        <v>99</v>
      </c>
      <c r="EN209" s="9">
        <f t="shared" si="184"/>
        <v>99</v>
      </c>
      <c r="EO209" s="10">
        <f t="shared" si="185"/>
        <v>-1</v>
      </c>
    </row>
    <row r="210" spans="1:145" ht="11.25" customHeight="1" x14ac:dyDescent="0.2">
      <c r="A210" s="1">
        <f t="shared" si="186"/>
        <v>207</v>
      </c>
      <c r="B210" s="1" t="s">
        <v>603</v>
      </c>
      <c r="C210" s="1" t="s">
        <v>281</v>
      </c>
      <c r="D210" s="1" t="s">
        <v>281</v>
      </c>
      <c r="E210" s="1">
        <f t="shared" si="143"/>
        <v>0</v>
      </c>
      <c r="K210" s="1">
        <v>4</v>
      </c>
      <c r="L210" s="1">
        <v>10</v>
      </c>
      <c r="V210" s="1">
        <v>1</v>
      </c>
      <c r="W210" s="1">
        <v>0.5</v>
      </c>
      <c r="X210" s="1">
        <v>0.5</v>
      </c>
      <c r="Y210" s="1">
        <v>0.34</v>
      </c>
      <c r="Z210" s="1" t="b">
        <f>FALSE</f>
        <v>0</v>
      </c>
      <c r="AA210" s="1" t="str">
        <f t="shared" si="147"/>
        <v/>
      </c>
      <c r="AB210" s="1" t="str">
        <f t="shared" si="148"/>
        <v/>
      </c>
      <c r="AC210" s="1">
        <f t="shared" si="144"/>
        <v>0</v>
      </c>
      <c r="AD210" s="1" t="str">
        <f t="shared" si="149"/>
        <v/>
      </c>
      <c r="AE210" s="1" t="str">
        <f t="shared" si="150"/>
        <v/>
      </c>
      <c r="AF210" s="1">
        <f t="shared" si="145"/>
        <v>0</v>
      </c>
      <c r="AG210" s="1">
        <f t="shared" si="151"/>
        <v>5</v>
      </c>
      <c r="AH210" s="1" t="str">
        <f t="shared" si="146"/>
        <v/>
      </c>
      <c r="AI210" s="1">
        <v>1</v>
      </c>
      <c r="AJ210" s="1">
        <f t="shared" si="187"/>
        <v>0</v>
      </c>
      <c r="AK210" s="1">
        <v>1</v>
      </c>
      <c r="AL210" s="1">
        <v>1</v>
      </c>
      <c r="AM210" s="1">
        <v>2</v>
      </c>
      <c r="AN210" s="1">
        <f t="shared" si="188"/>
        <v>0</v>
      </c>
      <c r="AO210" s="1">
        <v>1</v>
      </c>
      <c r="AP210" s="1">
        <v>1</v>
      </c>
      <c r="AQ210" s="1">
        <v>1</v>
      </c>
      <c r="AR210" s="1">
        <v>1</v>
      </c>
      <c r="AS210" s="1">
        <v>1</v>
      </c>
      <c r="AT210" s="1">
        <v>1</v>
      </c>
      <c r="AU210" s="1">
        <v>1</v>
      </c>
      <c r="AV210" s="1">
        <v>1</v>
      </c>
      <c r="AW210" s="1">
        <v>1</v>
      </c>
      <c r="AX210" s="1">
        <v>1</v>
      </c>
      <c r="AY210" s="1">
        <v>1</v>
      </c>
      <c r="AZ210" s="1">
        <v>1</v>
      </c>
      <c r="BA210" s="1">
        <v>2</v>
      </c>
      <c r="BB210" s="1">
        <v>1</v>
      </c>
      <c r="BC210" s="1">
        <v>1</v>
      </c>
      <c r="BD210" s="1">
        <v>2</v>
      </c>
      <c r="BE210" s="1">
        <v>2</v>
      </c>
      <c r="BF210" s="1">
        <v>2</v>
      </c>
      <c r="BG210" s="1">
        <f t="shared" si="189"/>
        <v>0</v>
      </c>
      <c r="BH210" s="1">
        <f t="shared" si="190"/>
        <v>0</v>
      </c>
      <c r="BI210" s="1">
        <v>2</v>
      </c>
      <c r="BJ210" s="1">
        <v>2</v>
      </c>
      <c r="BK210" s="1">
        <v>1</v>
      </c>
      <c r="BL210" s="1">
        <v>1</v>
      </c>
      <c r="BM210" s="1">
        <v>1</v>
      </c>
      <c r="BN210" s="1">
        <v>1</v>
      </c>
      <c r="BO210" s="1">
        <v>1</v>
      </c>
      <c r="BP210" s="1">
        <v>1</v>
      </c>
      <c r="BQ210" s="1">
        <f t="shared" si="191"/>
        <v>0</v>
      </c>
      <c r="BR210" s="1">
        <v>2</v>
      </c>
      <c r="BS210" s="1">
        <v>1</v>
      </c>
      <c r="BT210" s="1">
        <f t="shared" si="192"/>
        <v>0</v>
      </c>
      <c r="BU210" s="1">
        <f t="shared" si="193"/>
        <v>0</v>
      </c>
      <c r="BV210" s="1">
        <v>1</v>
      </c>
      <c r="BW210" s="1">
        <v>1</v>
      </c>
      <c r="BX210" s="1">
        <v>1</v>
      </c>
      <c r="BY210" s="1">
        <v>1</v>
      </c>
      <c r="BZ210" s="1">
        <v>1</v>
      </c>
      <c r="CA210" s="1">
        <v>1</v>
      </c>
      <c r="CB210" s="1">
        <v>1</v>
      </c>
      <c r="CC210" s="1">
        <v>1</v>
      </c>
      <c r="CD210" s="1">
        <v>1</v>
      </c>
      <c r="CE210" s="1">
        <v>1</v>
      </c>
      <c r="CF210" s="1">
        <v>2</v>
      </c>
      <c r="CG210" s="1">
        <f t="shared" si="194"/>
        <v>0</v>
      </c>
      <c r="CH210" s="1">
        <v>2</v>
      </c>
      <c r="CI210" s="1">
        <v>1</v>
      </c>
      <c r="CJ210" s="1">
        <v>1</v>
      </c>
      <c r="CK210" s="1">
        <v>1</v>
      </c>
      <c r="CL210" s="1">
        <v>1</v>
      </c>
      <c r="CM210" s="1">
        <v>1</v>
      </c>
      <c r="CN210" s="1">
        <v>1</v>
      </c>
      <c r="CO210" s="1">
        <v>1</v>
      </c>
      <c r="CP210" s="1">
        <v>1</v>
      </c>
      <c r="CQ210" s="1">
        <v>1</v>
      </c>
      <c r="CR210" s="1">
        <v>1</v>
      </c>
      <c r="CS210" s="1">
        <v>1</v>
      </c>
      <c r="CT210" s="1">
        <v>1</v>
      </c>
      <c r="CU210" s="1">
        <v>1</v>
      </c>
      <c r="CV210" s="1">
        <f t="shared" si="195"/>
        <v>0</v>
      </c>
      <c r="CW210" s="1">
        <v>1</v>
      </c>
      <c r="CX210" s="1">
        <v>1</v>
      </c>
      <c r="CY210" s="1">
        <v>1</v>
      </c>
      <c r="CZ210" s="1">
        <f t="shared" si="196"/>
        <v>0</v>
      </c>
      <c r="DA210" s="1">
        <v>1</v>
      </c>
      <c r="DB210" s="1">
        <v>1</v>
      </c>
      <c r="DC210" s="1">
        <v>1</v>
      </c>
      <c r="DD210" s="1">
        <v>2</v>
      </c>
      <c r="DE210" s="1">
        <v>2</v>
      </c>
      <c r="DF210" s="1">
        <v>2</v>
      </c>
      <c r="DG210" s="1">
        <v>1</v>
      </c>
      <c r="DH210" s="1">
        <v>1</v>
      </c>
      <c r="DI210" s="1">
        <f t="shared" si="197"/>
        <v>0</v>
      </c>
      <c r="DJ210" s="1">
        <v>1</v>
      </c>
      <c r="DK210" s="1" t="s">
        <v>169</v>
      </c>
      <c r="DL210" s="1" t="s">
        <v>40</v>
      </c>
      <c r="DR210" s="1" t="b">
        <f t="shared" si="198"/>
        <v>0</v>
      </c>
      <c r="DS210" s="1" t="b">
        <f t="shared" si="199"/>
        <v>0</v>
      </c>
      <c r="DT210" s="1" t="b">
        <f t="shared" si="200"/>
        <v>0</v>
      </c>
      <c r="DU210" s="1" t="b">
        <f t="shared" si="201"/>
        <v>0</v>
      </c>
      <c r="DV210" s="1" t="b">
        <f>SkJumpRanks&gt;=4</f>
        <v>0</v>
      </c>
      <c r="DW210" s="1" t="b">
        <f>FtRun</f>
        <v>0</v>
      </c>
      <c r="EA210" s="1" t="b">
        <f t="shared" si="202"/>
        <v>0</v>
      </c>
      <c r="EB210" s="11" t="s">
        <v>334</v>
      </c>
      <c r="EC210" s="1" t="str">
        <f>IF(DR210,"","• Must be of any neutral alignment.
")&amp;IF(DS210,"","• A base attack bonus of +5 or higher.
")&amp;IF(DT210,"","• 4 ranks in Handle Animal.
")&amp;IF(DU210,"","• 2 ranks in Knowledge (nature).
")&amp;IF(DV210,"","• 4 ranks in Jump.
")&amp;IF(DW210,"","• Run feat.")</f>
        <v>• Must be of any neutral alignment.
• A base attack bonus of +5 or higher.
• 4 ranks in Handle Animal.
• 2 ranks in Knowledge (nature).
• 4 ranks in Jump.
• Run feat.</v>
      </c>
      <c r="ED210" s="11" t="s">
        <v>335</v>
      </c>
      <c r="EE210" s="8" t="s">
        <v>604</v>
      </c>
      <c r="EF210" s="9">
        <v>10</v>
      </c>
      <c r="EG210" s="9" t="s">
        <v>590</v>
      </c>
      <c r="EH210" s="9"/>
      <c r="EI210" s="9" t="b">
        <f t="shared" si="179"/>
        <v>0</v>
      </c>
      <c r="EJ210" s="9" t="str">
        <f t="shared" si="180"/>
        <v/>
      </c>
      <c r="EK210" s="9">
        <f t="shared" si="181"/>
        <v>99</v>
      </c>
      <c r="EL210" s="9">
        <f t="shared" si="182"/>
        <v>99</v>
      </c>
      <c r="EM210" s="9">
        <f t="shared" si="183"/>
        <v>99</v>
      </c>
      <c r="EN210" s="9">
        <f t="shared" si="184"/>
        <v>99</v>
      </c>
      <c r="EO210" s="10">
        <f t="shared" si="185"/>
        <v>-1</v>
      </c>
    </row>
    <row r="211" spans="1:145" ht="11.25" customHeight="1" x14ac:dyDescent="0.2">
      <c r="A211" s="1">
        <f t="shared" si="186"/>
        <v>208</v>
      </c>
      <c r="B211" s="1" t="s">
        <v>605</v>
      </c>
      <c r="C211" s="1" t="s">
        <v>356</v>
      </c>
      <c r="D211" s="1" t="s">
        <v>356</v>
      </c>
      <c r="E211" s="1">
        <f t="shared" si="143"/>
        <v>0</v>
      </c>
      <c r="K211" s="1">
        <v>4</v>
      </c>
      <c r="L211" s="1">
        <v>10</v>
      </c>
      <c r="V211" s="1">
        <v>1</v>
      </c>
      <c r="W211" s="1">
        <v>0.5</v>
      </c>
      <c r="X211" s="1">
        <v>0.5</v>
      </c>
      <c r="Y211" s="1">
        <v>0.34</v>
      </c>
      <c r="Z211" s="1" t="b">
        <f>FALSE</f>
        <v>0</v>
      </c>
      <c r="AA211" s="1" t="str">
        <f t="shared" si="147"/>
        <v/>
      </c>
      <c r="AB211" s="1" t="str">
        <f t="shared" si="148"/>
        <v/>
      </c>
      <c r="AC211" s="1">
        <f t="shared" si="144"/>
        <v>0</v>
      </c>
      <c r="AD211" s="1" t="str">
        <f t="shared" si="149"/>
        <v/>
      </c>
      <c r="AE211" s="1" t="str">
        <f t="shared" si="150"/>
        <v/>
      </c>
      <c r="AF211" s="1">
        <f t="shared" si="145"/>
        <v>0</v>
      </c>
      <c r="AG211" s="1">
        <f t="shared" si="151"/>
        <v>5</v>
      </c>
      <c r="AH211" s="1" t="str">
        <f t="shared" ref="AH211:AH274" si="203">IF(ROW()&gt;$AG$2,"",INDEX($B$5:$B$794,MATCH(ROW(),$AG$5:$AG$794,0)))</f>
        <v/>
      </c>
      <c r="AI211" s="1">
        <v>1</v>
      </c>
      <c r="AJ211" s="1">
        <f t="shared" si="187"/>
        <v>0</v>
      </c>
      <c r="AK211" s="1">
        <v>1</v>
      </c>
      <c r="AL211" s="1">
        <v>1</v>
      </c>
      <c r="AM211" s="1">
        <v>2</v>
      </c>
      <c r="AN211" s="1">
        <f t="shared" si="188"/>
        <v>0</v>
      </c>
      <c r="AO211" s="1">
        <v>1</v>
      </c>
      <c r="AP211" s="1">
        <v>1</v>
      </c>
      <c r="AQ211" s="1">
        <v>1</v>
      </c>
      <c r="AR211" s="1">
        <v>1</v>
      </c>
      <c r="AS211" s="1">
        <v>1</v>
      </c>
      <c r="AT211" s="1">
        <v>1</v>
      </c>
      <c r="AU211" s="1">
        <v>1</v>
      </c>
      <c r="AV211" s="1">
        <v>1</v>
      </c>
      <c r="AW211" s="1">
        <v>1</v>
      </c>
      <c r="AX211" s="1">
        <v>1</v>
      </c>
      <c r="AY211" s="1">
        <v>1</v>
      </c>
      <c r="AZ211" s="1">
        <v>1</v>
      </c>
      <c r="BA211" s="1">
        <v>2</v>
      </c>
      <c r="BB211" s="1">
        <v>1</v>
      </c>
      <c r="BC211" s="1">
        <v>1</v>
      </c>
      <c r="BD211" s="1">
        <v>2</v>
      </c>
      <c r="BE211" s="1">
        <v>2</v>
      </c>
      <c r="BF211" s="1">
        <v>2</v>
      </c>
      <c r="BG211" s="1">
        <f t="shared" si="189"/>
        <v>0</v>
      </c>
      <c r="BH211" s="1">
        <f t="shared" si="190"/>
        <v>0</v>
      </c>
      <c r="BI211" s="1">
        <v>2</v>
      </c>
      <c r="BJ211" s="1">
        <v>2</v>
      </c>
      <c r="BK211" s="1">
        <v>1</v>
      </c>
      <c r="BL211" s="1">
        <v>1</v>
      </c>
      <c r="BM211" s="1">
        <v>1</v>
      </c>
      <c r="BN211" s="1">
        <v>1</v>
      </c>
      <c r="BO211" s="1">
        <v>1</v>
      </c>
      <c r="BP211" s="1">
        <v>1</v>
      </c>
      <c r="BQ211" s="1">
        <f t="shared" si="191"/>
        <v>0</v>
      </c>
      <c r="BR211" s="1">
        <v>2</v>
      </c>
      <c r="BS211" s="1">
        <v>1</v>
      </c>
      <c r="BT211" s="1">
        <f t="shared" si="192"/>
        <v>0</v>
      </c>
      <c r="BU211" s="1">
        <f t="shared" si="193"/>
        <v>0</v>
      </c>
      <c r="BV211" s="1">
        <v>1</v>
      </c>
      <c r="BW211" s="1">
        <v>1</v>
      </c>
      <c r="BX211" s="1">
        <v>1</v>
      </c>
      <c r="BY211" s="1">
        <v>1</v>
      </c>
      <c r="BZ211" s="1">
        <v>1</v>
      </c>
      <c r="CA211" s="1">
        <v>1</v>
      </c>
      <c r="CB211" s="1">
        <v>1</v>
      </c>
      <c r="CC211" s="1">
        <v>1</v>
      </c>
      <c r="CD211" s="1">
        <v>1</v>
      </c>
      <c r="CE211" s="1">
        <v>1</v>
      </c>
      <c r="CF211" s="1">
        <v>2</v>
      </c>
      <c r="CG211" s="1">
        <f t="shared" si="194"/>
        <v>0</v>
      </c>
      <c r="CH211" s="1">
        <v>2</v>
      </c>
      <c r="CI211" s="1">
        <v>1</v>
      </c>
      <c r="CJ211" s="1">
        <v>1</v>
      </c>
      <c r="CK211" s="1">
        <v>1</v>
      </c>
      <c r="CL211" s="1">
        <v>1</v>
      </c>
      <c r="CM211" s="1">
        <v>1</v>
      </c>
      <c r="CN211" s="1">
        <v>1</v>
      </c>
      <c r="CO211" s="1">
        <v>1</v>
      </c>
      <c r="CP211" s="1">
        <v>1</v>
      </c>
      <c r="CQ211" s="1">
        <v>1</v>
      </c>
      <c r="CR211" s="1">
        <v>1</v>
      </c>
      <c r="CS211" s="1">
        <v>1</v>
      </c>
      <c r="CT211" s="1">
        <v>1</v>
      </c>
      <c r="CU211" s="1">
        <v>1</v>
      </c>
      <c r="CV211" s="1">
        <f t="shared" si="195"/>
        <v>0</v>
      </c>
      <c r="CW211" s="1">
        <v>1</v>
      </c>
      <c r="CX211" s="1">
        <v>1</v>
      </c>
      <c r="CY211" s="1">
        <v>1</v>
      </c>
      <c r="CZ211" s="1">
        <f t="shared" si="196"/>
        <v>0</v>
      </c>
      <c r="DA211" s="1">
        <v>1</v>
      </c>
      <c r="DB211" s="1">
        <v>1</v>
      </c>
      <c r="DC211" s="1">
        <v>1</v>
      </c>
      <c r="DD211" s="1">
        <v>2</v>
      </c>
      <c r="DE211" s="1">
        <v>2</v>
      </c>
      <c r="DF211" s="1">
        <v>2</v>
      </c>
      <c r="DG211" s="1">
        <v>1</v>
      </c>
      <c r="DH211" s="1">
        <v>1</v>
      </c>
      <c r="DI211" s="1">
        <f t="shared" si="197"/>
        <v>0</v>
      </c>
      <c r="DJ211" s="1">
        <v>1</v>
      </c>
      <c r="DK211" s="1" t="s">
        <v>169</v>
      </c>
      <c r="DL211" s="1" t="s">
        <v>40</v>
      </c>
      <c r="DR211" s="1" t="b">
        <f t="shared" si="198"/>
        <v>0</v>
      </c>
      <c r="DS211" s="1" t="b">
        <f t="shared" si="199"/>
        <v>0</v>
      </c>
      <c r="DT211" s="1" t="b">
        <f t="shared" si="200"/>
        <v>0</v>
      </c>
      <c r="DU211" s="1" t="b">
        <f t="shared" si="201"/>
        <v>0</v>
      </c>
      <c r="DV211" s="1" t="b">
        <f>SkSwimRanks&gt;=4</f>
        <v>0</v>
      </c>
      <c r="DW211" s="1" t="b">
        <f>FtImprovedSwimming</f>
        <v>0</v>
      </c>
      <c r="EA211" s="1" t="b">
        <f t="shared" si="202"/>
        <v>0</v>
      </c>
      <c r="EB211" s="11" t="s">
        <v>334</v>
      </c>
      <c r="EC211" s="1" t="str">
        <f>IF(DR211,"","• Must be of any neutral alignment.
")&amp;IF(DS211,"","• A base attack bonus of +5 or higher.
")&amp;IF(DT211,"","• 4 ranks in Handle Animal.
")&amp;IF(DU211,"","• 2 ranks in Knowledge (nature).
")&amp;IF(DV211,"","• 4 ranks in Swim.
")&amp;IF(DW211,"","• Improved Swimming feat.")</f>
        <v>• Must be of any neutral alignment.
• A base attack bonus of +5 or higher.
• 4 ranks in Handle Animal.
• 2 ranks in Knowledge (nature).
• 4 ranks in Swim.
• Improved Swimming feat.</v>
      </c>
      <c r="ED211" s="11" t="s">
        <v>335</v>
      </c>
      <c r="EE211" s="8" t="s">
        <v>68</v>
      </c>
      <c r="EF211" s="9">
        <v>20</v>
      </c>
      <c r="EG211" s="9" t="s">
        <v>590</v>
      </c>
      <c r="EH211" s="9"/>
      <c r="EI211" s="9" t="b">
        <f t="shared" si="179"/>
        <v>0</v>
      </c>
      <c r="EJ211" s="9" t="str">
        <f t="shared" si="180"/>
        <v/>
      </c>
      <c r="EK211" s="9">
        <f t="shared" si="181"/>
        <v>99</v>
      </c>
      <c r="EL211" s="9">
        <f t="shared" si="182"/>
        <v>99</v>
      </c>
      <c r="EM211" s="9">
        <f t="shared" si="183"/>
        <v>99</v>
      </c>
      <c r="EN211" s="9">
        <f t="shared" si="184"/>
        <v>99</v>
      </c>
      <c r="EO211" s="10">
        <f t="shared" si="185"/>
        <v>-1</v>
      </c>
    </row>
    <row r="212" spans="1:145" ht="11.25" customHeight="1" x14ac:dyDescent="0.2">
      <c r="A212" s="1">
        <f t="shared" si="186"/>
        <v>209</v>
      </c>
      <c r="B212" s="1" t="s">
        <v>606</v>
      </c>
      <c r="C212" s="1" t="s">
        <v>359</v>
      </c>
      <c r="D212" s="1" t="s">
        <v>359</v>
      </c>
      <c r="E212" s="1">
        <f t="shared" ref="E212:E275" si="204">$AC212+$AF212+IF(HasVirtualClasses,COUNTIF(TblVClassesAtLvlCS,$A212),0)</f>
        <v>0</v>
      </c>
      <c r="K212" s="1">
        <v>4</v>
      </c>
      <c r="L212" s="1">
        <v>10</v>
      </c>
      <c r="V212" s="1">
        <v>1</v>
      </c>
      <c r="W212" s="1">
        <v>0.5</v>
      </c>
      <c r="X212" s="1">
        <v>0.5</v>
      </c>
      <c r="Y212" s="1">
        <v>0.34</v>
      </c>
      <c r="Z212" s="1" t="b">
        <f>FALSE</f>
        <v>0</v>
      </c>
      <c r="AA212" s="1" t="str">
        <f t="shared" si="147"/>
        <v/>
      </c>
      <c r="AB212" s="1" t="str">
        <f t="shared" si="148"/>
        <v/>
      </c>
      <c r="AC212" s="1">
        <f t="shared" ref="AC212:AC275" si="205">COUNTIF(TblClassesAtLvlCS,$A212)</f>
        <v>0</v>
      </c>
      <c r="AD212" s="1" t="str">
        <f t="shared" si="149"/>
        <v/>
      </c>
      <c r="AE212" s="1" t="str">
        <f t="shared" si="150"/>
        <v/>
      </c>
      <c r="AF212" s="1">
        <f t="shared" ref="AF212:AF275" si="206">IF(HRGestalt,COUNTIF(TblGClassesAtLvlCS,$A212),0)</f>
        <v>0</v>
      </c>
      <c r="AG212" s="1">
        <f t="shared" si="151"/>
        <v>5</v>
      </c>
      <c r="AH212" s="1" t="str">
        <f t="shared" si="203"/>
        <v/>
      </c>
      <c r="AI212" s="1">
        <v>1</v>
      </c>
      <c r="AJ212" s="1">
        <f t="shared" si="187"/>
        <v>0</v>
      </c>
      <c r="AK212" s="1">
        <v>1</v>
      </c>
      <c r="AL212" s="1">
        <v>1</v>
      </c>
      <c r="AM212" s="1">
        <v>2</v>
      </c>
      <c r="AN212" s="1">
        <f t="shared" si="188"/>
        <v>0</v>
      </c>
      <c r="AO212" s="1">
        <v>1</v>
      </c>
      <c r="AP212" s="1">
        <v>1</v>
      </c>
      <c r="AQ212" s="1">
        <v>1</v>
      </c>
      <c r="AR212" s="1">
        <v>1</v>
      </c>
      <c r="AS212" s="1">
        <v>1</v>
      </c>
      <c r="AT212" s="1">
        <v>1</v>
      </c>
      <c r="AU212" s="1">
        <v>1</v>
      </c>
      <c r="AV212" s="1">
        <v>1</v>
      </c>
      <c r="AW212" s="1">
        <v>1</v>
      </c>
      <c r="AX212" s="1">
        <v>1</v>
      </c>
      <c r="AY212" s="1">
        <v>1</v>
      </c>
      <c r="AZ212" s="1">
        <v>1</v>
      </c>
      <c r="BA212" s="1">
        <v>2</v>
      </c>
      <c r="BB212" s="1">
        <v>1</v>
      </c>
      <c r="BC212" s="1">
        <v>1</v>
      </c>
      <c r="BD212" s="1">
        <v>2</v>
      </c>
      <c r="BE212" s="1">
        <v>2</v>
      </c>
      <c r="BF212" s="1">
        <v>2</v>
      </c>
      <c r="BG212" s="1">
        <f t="shared" si="189"/>
        <v>0</v>
      </c>
      <c r="BH212" s="1">
        <f t="shared" si="190"/>
        <v>0</v>
      </c>
      <c r="BI212" s="1">
        <v>2</v>
      </c>
      <c r="BJ212" s="1">
        <v>2</v>
      </c>
      <c r="BK212" s="1">
        <v>1</v>
      </c>
      <c r="BL212" s="1">
        <v>1</v>
      </c>
      <c r="BM212" s="1">
        <v>1</v>
      </c>
      <c r="BN212" s="1">
        <v>1</v>
      </c>
      <c r="BO212" s="1">
        <v>1</v>
      </c>
      <c r="BP212" s="1">
        <v>1</v>
      </c>
      <c r="BQ212" s="1">
        <f t="shared" si="191"/>
        <v>0</v>
      </c>
      <c r="BR212" s="1">
        <v>2</v>
      </c>
      <c r="BS212" s="1">
        <v>1</v>
      </c>
      <c r="BT212" s="1">
        <f t="shared" si="192"/>
        <v>0</v>
      </c>
      <c r="BU212" s="1">
        <f t="shared" si="193"/>
        <v>0</v>
      </c>
      <c r="BV212" s="1">
        <v>1</v>
      </c>
      <c r="BW212" s="1">
        <v>1</v>
      </c>
      <c r="BX212" s="1">
        <v>1</v>
      </c>
      <c r="BY212" s="1">
        <v>1</v>
      </c>
      <c r="BZ212" s="1">
        <v>1</v>
      </c>
      <c r="CA212" s="1">
        <v>1</v>
      </c>
      <c r="CB212" s="1">
        <v>1</v>
      </c>
      <c r="CC212" s="1">
        <v>1</v>
      </c>
      <c r="CD212" s="1">
        <v>1</v>
      </c>
      <c r="CE212" s="1">
        <v>1</v>
      </c>
      <c r="CF212" s="1">
        <v>2</v>
      </c>
      <c r="CG212" s="1">
        <f t="shared" si="194"/>
        <v>0</v>
      </c>
      <c r="CH212" s="1">
        <v>2</v>
      </c>
      <c r="CI212" s="1">
        <v>1</v>
      </c>
      <c r="CJ212" s="1">
        <v>1</v>
      </c>
      <c r="CK212" s="1">
        <v>1</v>
      </c>
      <c r="CL212" s="1">
        <v>1</v>
      </c>
      <c r="CM212" s="1">
        <v>1</v>
      </c>
      <c r="CN212" s="1">
        <v>1</v>
      </c>
      <c r="CO212" s="1">
        <v>1</v>
      </c>
      <c r="CP212" s="1">
        <v>1</v>
      </c>
      <c r="CQ212" s="1">
        <v>1</v>
      </c>
      <c r="CR212" s="1">
        <v>1</v>
      </c>
      <c r="CS212" s="1">
        <v>1</v>
      </c>
      <c r="CT212" s="1">
        <v>1</v>
      </c>
      <c r="CU212" s="1">
        <v>1</v>
      </c>
      <c r="CV212" s="1">
        <f t="shared" si="195"/>
        <v>0</v>
      </c>
      <c r="CW212" s="1">
        <v>1</v>
      </c>
      <c r="CX212" s="1">
        <v>1</v>
      </c>
      <c r="CY212" s="1">
        <v>1</v>
      </c>
      <c r="CZ212" s="1">
        <f t="shared" si="196"/>
        <v>0</v>
      </c>
      <c r="DA212" s="1">
        <v>1</v>
      </c>
      <c r="DB212" s="1">
        <v>1</v>
      </c>
      <c r="DC212" s="1">
        <v>1</v>
      </c>
      <c r="DD212" s="1">
        <v>2</v>
      </c>
      <c r="DE212" s="1">
        <v>2</v>
      </c>
      <c r="DF212" s="1">
        <v>2</v>
      </c>
      <c r="DG212" s="1">
        <v>1</v>
      </c>
      <c r="DH212" s="1">
        <v>1</v>
      </c>
      <c r="DI212" s="1">
        <f t="shared" si="197"/>
        <v>0</v>
      </c>
      <c r="DJ212" s="1">
        <v>1</v>
      </c>
      <c r="DK212" s="1" t="s">
        <v>169</v>
      </c>
      <c r="DL212" s="1" t="s">
        <v>40</v>
      </c>
      <c r="DR212" s="1" t="b">
        <f t="shared" si="198"/>
        <v>0</v>
      </c>
      <c r="DS212" s="1" t="b">
        <f t="shared" si="199"/>
        <v>0</v>
      </c>
      <c r="DT212" s="1" t="b">
        <f t="shared" si="200"/>
        <v>0</v>
      </c>
      <c r="DU212" s="1" t="b">
        <f t="shared" si="201"/>
        <v>0</v>
      </c>
      <c r="DV212" s="1" t="b">
        <f>SkEscapeArtistRanks&gt;=4</f>
        <v>0</v>
      </c>
      <c r="DW212" s="1" t="b">
        <f>OR(FtCombatReflexes,FtEvasiveReflexes)</f>
        <v>0</v>
      </c>
      <c r="EA212" s="1" t="b">
        <f t="shared" si="202"/>
        <v>0</v>
      </c>
      <c r="EB212" s="11" t="s">
        <v>334</v>
      </c>
      <c r="EC212" s="1" t="str">
        <f>IF(DR212,"","• Must be of any neutral alignment.
")&amp;IF(DS212,"","• A base attack bonus of +5 or higher.
")&amp;IF(DT212,"","• 4 ranks in Handle Animal.
")&amp;IF(DU212,"","• 2 ranks in Knowledge (nature).
")&amp;IF(DV212,"","• 4 ranks in Escape Artist.
")&amp;IF(DW212,"","• Combat Reflexes feat.")</f>
        <v>• Must be of any neutral alignment.
• A base attack bonus of +5 or higher.
• 4 ranks in Handle Animal.
• 2 ranks in Knowledge (nature).
• 4 ranks in Escape Artist.
• Combat Reflexes feat.</v>
      </c>
      <c r="ED212" s="11" t="s">
        <v>335</v>
      </c>
      <c r="EE212" s="8" t="s">
        <v>607</v>
      </c>
      <c r="EF212" s="9">
        <v>5</v>
      </c>
      <c r="EG212" s="9" t="s">
        <v>590</v>
      </c>
      <c r="EH212" s="9"/>
      <c r="EI212" s="9" t="b">
        <f t="shared" si="179"/>
        <v>0</v>
      </c>
      <c r="EJ212" s="9" t="str">
        <f t="shared" si="180"/>
        <v/>
      </c>
      <c r="EK212" s="9">
        <f t="shared" si="181"/>
        <v>99</v>
      </c>
      <c r="EL212" s="9">
        <f t="shared" si="182"/>
        <v>99</v>
      </c>
      <c r="EM212" s="9">
        <f t="shared" si="183"/>
        <v>99</v>
      </c>
      <c r="EN212" s="9">
        <f t="shared" si="184"/>
        <v>99</v>
      </c>
      <c r="EO212" s="10">
        <f t="shared" si="185"/>
        <v>-1</v>
      </c>
    </row>
    <row r="213" spans="1:145" ht="11.25" customHeight="1" x14ac:dyDescent="0.2">
      <c r="A213" s="1">
        <f t="shared" si="186"/>
        <v>210</v>
      </c>
      <c r="B213" s="1" t="s">
        <v>608</v>
      </c>
      <c r="C213" s="1" t="s">
        <v>383</v>
      </c>
      <c r="D213" s="1" t="s">
        <v>383</v>
      </c>
      <c r="E213" s="1">
        <f t="shared" si="204"/>
        <v>0</v>
      </c>
      <c r="K213" s="1">
        <v>4</v>
      </c>
      <c r="L213" s="1">
        <v>10</v>
      </c>
      <c r="V213" s="1">
        <v>1</v>
      </c>
      <c r="W213" s="1">
        <v>0.5</v>
      </c>
      <c r="X213" s="1">
        <v>0.5</v>
      </c>
      <c r="Y213" s="1">
        <v>0.34</v>
      </c>
      <c r="Z213" s="1" t="b">
        <f>FALSE</f>
        <v>0</v>
      </c>
      <c r="AA213" s="1" t="str">
        <f t="shared" ref="AA213:AA276" si="207">IF($AC213=0,"",IF($Z213,"Ex-","")&amp;$B213)</f>
        <v/>
      </c>
      <c r="AB213" s="1" t="str">
        <f t="shared" ref="AB213:AB276" si="208">IF($AC213=0,"",IF($Z213,"Ex-","")&amp;$C213)</f>
        <v/>
      </c>
      <c r="AC213" s="1">
        <f t="shared" si="205"/>
        <v>0</v>
      </c>
      <c r="AD213" s="1" t="str">
        <f t="shared" ref="AD213:AD276" si="209">IF($AF213=0,"",IF($Z213,"Ex-","")&amp;$B213)</f>
        <v/>
      </c>
      <c r="AE213" s="1" t="str">
        <f t="shared" ref="AE213:AE276" si="210">IF($AF213=0,"",IF($Z213,"Ex-","")&amp;$C213)</f>
        <v/>
      </c>
      <c r="AF213" s="1">
        <f t="shared" si="206"/>
        <v>0</v>
      </c>
      <c r="AG213" s="1">
        <f t="shared" ref="AG213:AG276" si="211">IF($AC213&gt;0,$AG212+1,$AG212)</f>
        <v>5</v>
      </c>
      <c r="AH213" s="1" t="str">
        <f t="shared" si="203"/>
        <v/>
      </c>
      <c r="AI213" s="1">
        <v>1</v>
      </c>
      <c r="AJ213" s="1">
        <f t="shared" si="187"/>
        <v>0</v>
      </c>
      <c r="AK213" s="1">
        <v>1</v>
      </c>
      <c r="AL213" s="1">
        <v>1</v>
      </c>
      <c r="AM213" s="1">
        <v>2</v>
      </c>
      <c r="AN213" s="1">
        <f t="shared" si="188"/>
        <v>0</v>
      </c>
      <c r="AO213" s="1">
        <v>1</v>
      </c>
      <c r="AP213" s="1">
        <v>1</v>
      </c>
      <c r="AQ213" s="1">
        <v>1</v>
      </c>
      <c r="AR213" s="1">
        <v>1</v>
      </c>
      <c r="AS213" s="1">
        <v>1</v>
      </c>
      <c r="AT213" s="1">
        <v>1</v>
      </c>
      <c r="AU213" s="1">
        <v>1</v>
      </c>
      <c r="AV213" s="1">
        <v>1</v>
      </c>
      <c r="AW213" s="1">
        <v>1</v>
      </c>
      <c r="AX213" s="1">
        <v>1</v>
      </c>
      <c r="AY213" s="1">
        <v>1</v>
      </c>
      <c r="AZ213" s="1">
        <v>1</v>
      </c>
      <c r="BA213" s="1">
        <v>2</v>
      </c>
      <c r="BB213" s="1">
        <v>1</v>
      </c>
      <c r="BC213" s="1">
        <v>1</v>
      </c>
      <c r="BD213" s="1">
        <v>2</v>
      </c>
      <c r="BE213" s="1">
        <v>2</v>
      </c>
      <c r="BF213" s="1">
        <v>2</v>
      </c>
      <c r="BG213" s="1">
        <f t="shared" si="189"/>
        <v>0</v>
      </c>
      <c r="BH213" s="1">
        <f t="shared" si="190"/>
        <v>0</v>
      </c>
      <c r="BI213" s="1">
        <v>2</v>
      </c>
      <c r="BJ213" s="1">
        <v>2</v>
      </c>
      <c r="BK213" s="1">
        <v>1</v>
      </c>
      <c r="BL213" s="1">
        <v>1</v>
      </c>
      <c r="BM213" s="1">
        <v>1</v>
      </c>
      <c r="BN213" s="1">
        <v>1</v>
      </c>
      <c r="BO213" s="1">
        <v>1</v>
      </c>
      <c r="BP213" s="1">
        <v>1</v>
      </c>
      <c r="BQ213" s="1">
        <f t="shared" si="191"/>
        <v>0</v>
      </c>
      <c r="BR213" s="1">
        <v>2</v>
      </c>
      <c r="BS213" s="1">
        <v>1</v>
      </c>
      <c r="BT213" s="1">
        <f t="shared" si="192"/>
        <v>0</v>
      </c>
      <c r="BU213" s="1">
        <f t="shared" si="193"/>
        <v>0</v>
      </c>
      <c r="BV213" s="1">
        <v>1</v>
      </c>
      <c r="BW213" s="1">
        <v>1</v>
      </c>
      <c r="BX213" s="1">
        <v>1</v>
      </c>
      <c r="BY213" s="1">
        <v>1</v>
      </c>
      <c r="BZ213" s="1">
        <v>1</v>
      </c>
      <c r="CA213" s="1">
        <v>1</v>
      </c>
      <c r="CB213" s="1">
        <v>1</v>
      </c>
      <c r="CC213" s="1">
        <v>1</v>
      </c>
      <c r="CD213" s="1">
        <v>1</v>
      </c>
      <c r="CE213" s="1">
        <v>1</v>
      </c>
      <c r="CF213" s="1">
        <v>2</v>
      </c>
      <c r="CG213" s="1">
        <f t="shared" si="194"/>
        <v>0</v>
      </c>
      <c r="CH213" s="1">
        <v>2</v>
      </c>
      <c r="CI213" s="1">
        <v>1</v>
      </c>
      <c r="CJ213" s="1">
        <v>1</v>
      </c>
      <c r="CK213" s="1">
        <v>1</v>
      </c>
      <c r="CL213" s="1">
        <v>1</v>
      </c>
      <c r="CM213" s="1">
        <v>1</v>
      </c>
      <c r="CN213" s="1">
        <v>1</v>
      </c>
      <c r="CO213" s="1">
        <v>1</v>
      </c>
      <c r="CP213" s="1">
        <v>1</v>
      </c>
      <c r="CQ213" s="1">
        <v>1</v>
      </c>
      <c r="CR213" s="1">
        <v>1</v>
      </c>
      <c r="CS213" s="1">
        <v>1</v>
      </c>
      <c r="CT213" s="1">
        <v>1</v>
      </c>
      <c r="CU213" s="1">
        <v>1</v>
      </c>
      <c r="CV213" s="1">
        <f t="shared" si="195"/>
        <v>0</v>
      </c>
      <c r="CW213" s="1">
        <v>1</v>
      </c>
      <c r="CX213" s="1">
        <v>1</v>
      </c>
      <c r="CY213" s="1">
        <v>1</v>
      </c>
      <c r="CZ213" s="1">
        <f t="shared" si="196"/>
        <v>0</v>
      </c>
      <c r="DA213" s="1">
        <v>1</v>
      </c>
      <c r="DB213" s="1">
        <v>1</v>
      </c>
      <c r="DC213" s="1">
        <v>1</v>
      </c>
      <c r="DD213" s="1">
        <v>2</v>
      </c>
      <c r="DE213" s="1">
        <v>2</v>
      </c>
      <c r="DF213" s="1">
        <v>2</v>
      </c>
      <c r="DG213" s="1">
        <v>1</v>
      </c>
      <c r="DH213" s="1">
        <v>1</v>
      </c>
      <c r="DI213" s="1">
        <f t="shared" si="197"/>
        <v>0</v>
      </c>
      <c r="DJ213" s="1">
        <v>1</v>
      </c>
      <c r="DK213" s="1" t="s">
        <v>169</v>
      </c>
      <c r="DL213" s="1" t="s">
        <v>40</v>
      </c>
      <c r="DR213" s="1" t="b">
        <f t="shared" si="198"/>
        <v>0</v>
      </c>
      <c r="DS213" s="1" t="b">
        <f t="shared" si="199"/>
        <v>0</v>
      </c>
      <c r="DT213" s="1" t="b">
        <f t="shared" si="200"/>
        <v>0</v>
      </c>
      <c r="DU213" s="1" t="b">
        <f t="shared" si="201"/>
        <v>0</v>
      </c>
      <c r="DV213" s="1" t="b">
        <f>SkSurvivalRanks&gt;=4</f>
        <v>0</v>
      </c>
      <c r="DW213" s="1" t="b">
        <f>FtTrack</f>
        <v>0</v>
      </c>
      <c r="EA213" s="1" t="b">
        <f t="shared" si="202"/>
        <v>0</v>
      </c>
      <c r="EB213" s="11" t="s">
        <v>334</v>
      </c>
      <c r="EC213" s="1" t="str">
        <f>IF(DR213,"","• Must be of any neutral alignment.
")&amp;IF(DS213,"","• A base attack bonus of +5 or higher.
")&amp;IF(DT213,"","• 4 ranks in Handle Animal.
")&amp;IF(DU213,"","• 2 ranks in Knowledge (nature).
")&amp;IF(DV213,"","• 4 ranks in Survival.
")&amp;IF(DW213,"","• Track feat.")</f>
        <v>• Must be of any neutral alignment.
• A base attack bonus of +5 or higher.
• 4 ranks in Handle Animal.
• 2 ranks in Knowledge (nature).
• 4 ranks in Survival.
• Track feat.</v>
      </c>
      <c r="ED213" s="11" t="s">
        <v>335</v>
      </c>
      <c r="EE213" s="8" t="s">
        <v>609</v>
      </c>
      <c r="EF213" s="9">
        <v>10</v>
      </c>
      <c r="EG213" s="9" t="s">
        <v>610</v>
      </c>
      <c r="EH213" s="9"/>
      <c r="EI213" s="9" t="b">
        <f t="shared" si="179"/>
        <v>0</v>
      </c>
      <c r="EJ213" s="9" t="str">
        <f t="shared" si="180"/>
        <v/>
      </c>
      <c r="EK213" s="9">
        <f t="shared" si="181"/>
        <v>99</v>
      </c>
      <c r="EL213" s="9">
        <f t="shared" si="182"/>
        <v>99</v>
      </c>
      <c r="EM213" s="9">
        <f t="shared" si="183"/>
        <v>99</v>
      </c>
      <c r="EN213" s="9">
        <f t="shared" si="184"/>
        <v>99</v>
      </c>
      <c r="EO213" s="10">
        <f t="shared" si="185"/>
        <v>-1</v>
      </c>
    </row>
    <row r="214" spans="1:145" ht="11.25" customHeight="1" x14ac:dyDescent="0.2">
      <c r="A214" s="1">
        <f t="shared" si="186"/>
        <v>211</v>
      </c>
      <c r="B214" s="1" t="s">
        <v>611</v>
      </c>
      <c r="C214" s="1" t="s">
        <v>612</v>
      </c>
      <c r="D214" s="1" t="s">
        <v>612</v>
      </c>
      <c r="E214" s="1">
        <f t="shared" si="204"/>
        <v>0</v>
      </c>
      <c r="K214" s="1">
        <v>4</v>
      </c>
      <c r="L214" s="1">
        <v>10</v>
      </c>
      <c r="V214" s="1">
        <v>1</v>
      </c>
      <c r="W214" s="1">
        <v>0.5</v>
      </c>
      <c r="X214" s="1">
        <v>0.5</v>
      </c>
      <c r="Y214" s="1">
        <v>0.34</v>
      </c>
      <c r="Z214" s="1" t="b">
        <f>FALSE</f>
        <v>0</v>
      </c>
      <c r="AA214" s="1" t="str">
        <f t="shared" si="207"/>
        <v/>
      </c>
      <c r="AB214" s="1" t="str">
        <f t="shared" si="208"/>
        <v/>
      </c>
      <c r="AC214" s="1">
        <f t="shared" si="205"/>
        <v>0</v>
      </c>
      <c r="AD214" s="1" t="str">
        <f t="shared" si="209"/>
        <v/>
      </c>
      <c r="AE214" s="1" t="str">
        <f t="shared" si="210"/>
        <v/>
      </c>
      <c r="AF214" s="1">
        <f t="shared" si="206"/>
        <v>0</v>
      </c>
      <c r="AG214" s="1">
        <f t="shared" si="211"/>
        <v>5</v>
      </c>
      <c r="AH214" s="1" t="str">
        <f t="shared" si="203"/>
        <v/>
      </c>
      <c r="AI214" s="1">
        <v>1</v>
      </c>
      <c r="AJ214" s="1">
        <f t="shared" si="187"/>
        <v>0</v>
      </c>
      <c r="AK214" s="1">
        <v>1</v>
      </c>
      <c r="AL214" s="1">
        <v>1</v>
      </c>
      <c r="AM214" s="1">
        <v>2</v>
      </c>
      <c r="AN214" s="1">
        <f t="shared" si="188"/>
        <v>0</v>
      </c>
      <c r="AO214" s="1">
        <v>1</v>
      </c>
      <c r="AP214" s="1">
        <v>1</v>
      </c>
      <c r="AQ214" s="1">
        <v>1</v>
      </c>
      <c r="AR214" s="1">
        <v>1</v>
      </c>
      <c r="AS214" s="1">
        <v>1</v>
      </c>
      <c r="AT214" s="1">
        <v>1</v>
      </c>
      <c r="AU214" s="1">
        <v>1</v>
      </c>
      <c r="AV214" s="1">
        <v>1</v>
      </c>
      <c r="AW214" s="1">
        <v>1</v>
      </c>
      <c r="AX214" s="1">
        <v>1</v>
      </c>
      <c r="AY214" s="1">
        <v>1</v>
      </c>
      <c r="AZ214" s="1">
        <v>1</v>
      </c>
      <c r="BA214" s="1">
        <v>1</v>
      </c>
      <c r="BB214" s="1">
        <v>1</v>
      </c>
      <c r="BC214" s="1">
        <v>1</v>
      </c>
      <c r="BD214" s="1">
        <v>2</v>
      </c>
      <c r="BE214" s="1">
        <v>2</v>
      </c>
      <c r="BF214" s="1">
        <v>2</v>
      </c>
      <c r="BG214" s="1">
        <f t="shared" si="189"/>
        <v>0</v>
      </c>
      <c r="BH214" s="1">
        <f t="shared" si="190"/>
        <v>0</v>
      </c>
      <c r="BI214" s="1">
        <v>1</v>
      </c>
      <c r="BJ214" s="1">
        <v>2</v>
      </c>
      <c r="BK214" s="1">
        <v>1</v>
      </c>
      <c r="BL214" s="1">
        <v>1</v>
      </c>
      <c r="BM214" s="1">
        <v>1</v>
      </c>
      <c r="BN214" s="1">
        <v>1</v>
      </c>
      <c r="BO214" s="1">
        <v>1</v>
      </c>
      <c r="BP214" s="1">
        <v>1</v>
      </c>
      <c r="BQ214" s="1">
        <f t="shared" si="191"/>
        <v>0</v>
      </c>
      <c r="BR214" s="1">
        <v>2</v>
      </c>
      <c r="BS214" s="1">
        <v>1</v>
      </c>
      <c r="BT214" s="1">
        <f t="shared" si="192"/>
        <v>0</v>
      </c>
      <c r="BU214" s="1">
        <f t="shared" si="193"/>
        <v>0</v>
      </c>
      <c r="BV214" s="1">
        <v>1</v>
      </c>
      <c r="BW214" s="1">
        <v>1</v>
      </c>
      <c r="BX214" s="1">
        <v>1</v>
      </c>
      <c r="BY214" s="1">
        <v>1</v>
      </c>
      <c r="BZ214" s="1">
        <v>1</v>
      </c>
      <c r="CA214" s="1">
        <v>1</v>
      </c>
      <c r="CB214" s="1">
        <v>1</v>
      </c>
      <c r="CC214" s="1">
        <v>1</v>
      </c>
      <c r="CD214" s="1">
        <v>1</v>
      </c>
      <c r="CE214" s="1">
        <v>1</v>
      </c>
      <c r="CF214" s="1">
        <v>2</v>
      </c>
      <c r="CG214" s="1">
        <f t="shared" si="194"/>
        <v>0</v>
      </c>
      <c r="CH214" s="1">
        <v>1</v>
      </c>
      <c r="CI214" s="1">
        <v>1</v>
      </c>
      <c r="CJ214" s="1">
        <v>1</v>
      </c>
      <c r="CK214" s="1">
        <v>1</v>
      </c>
      <c r="CL214" s="1">
        <v>1</v>
      </c>
      <c r="CM214" s="1">
        <v>1</v>
      </c>
      <c r="CN214" s="1">
        <v>1</v>
      </c>
      <c r="CO214" s="1">
        <v>1</v>
      </c>
      <c r="CP214" s="1">
        <v>1</v>
      </c>
      <c r="CQ214" s="1">
        <v>1</v>
      </c>
      <c r="CR214" s="1">
        <v>1</v>
      </c>
      <c r="CS214" s="1">
        <v>1</v>
      </c>
      <c r="CT214" s="1">
        <v>1</v>
      </c>
      <c r="CU214" s="1">
        <v>1</v>
      </c>
      <c r="CV214" s="1">
        <f t="shared" si="195"/>
        <v>0</v>
      </c>
      <c r="CW214" s="1">
        <v>2</v>
      </c>
      <c r="CX214" s="1">
        <v>1</v>
      </c>
      <c r="CY214" s="1">
        <v>1</v>
      </c>
      <c r="CZ214" s="1">
        <f t="shared" si="196"/>
        <v>0</v>
      </c>
      <c r="DA214" s="1">
        <v>1</v>
      </c>
      <c r="DB214" s="1">
        <v>1</v>
      </c>
      <c r="DC214" s="1">
        <v>1</v>
      </c>
      <c r="DD214" s="1">
        <v>2</v>
      </c>
      <c r="DE214" s="1">
        <v>2</v>
      </c>
      <c r="DF214" s="1">
        <v>2</v>
      </c>
      <c r="DG214" s="1">
        <v>1</v>
      </c>
      <c r="DH214" s="1">
        <v>1</v>
      </c>
      <c r="DI214" s="1">
        <f t="shared" si="197"/>
        <v>0</v>
      </c>
      <c r="DJ214" s="1">
        <v>1</v>
      </c>
      <c r="DK214" s="1" t="s">
        <v>169</v>
      </c>
      <c r="DL214" s="1" t="s">
        <v>40</v>
      </c>
      <c r="DR214" s="1" t="b">
        <f>SkHandleAnimalRanks&gt;=8</f>
        <v>0</v>
      </c>
      <c r="DS214" s="1" t="b">
        <f>SkSurvivalRanks&gt;=4</f>
        <v>0</v>
      </c>
      <c r="DT214" s="1" t="b">
        <f>NOT(ISNA(MATCH("Handle Animal",TblSkillFocus,0)))</f>
        <v>0</v>
      </c>
      <c r="EA214" s="1" t="b">
        <f t="shared" si="202"/>
        <v>0</v>
      </c>
      <c r="EB214" s="11" t="s">
        <v>334</v>
      </c>
      <c r="EC214" s="1" t="str">
        <f>IF(DR214,"","• 8 ranks in Handle Animal.
")&amp;IF(DS214,"","• 4 ranks in Survival.
")&amp;IF(DT214,"","• Skill Focus (Handle Animal) feat.")</f>
        <v>• 8 ranks in Handle Animal.
• 4 ranks in Survival.
• Skill Focus (Handle Animal) feat.</v>
      </c>
      <c r="ED214" s="11" t="s">
        <v>335</v>
      </c>
      <c r="EE214" s="8" t="s">
        <v>217</v>
      </c>
      <c r="EF214" s="1">
        <v>20</v>
      </c>
      <c r="EG214" s="1" t="s">
        <v>590</v>
      </c>
      <c r="EI214" s="9" t="b">
        <f t="shared" si="179"/>
        <v>0</v>
      </c>
      <c r="EJ214" s="9" t="str">
        <f t="shared" si="180"/>
        <v/>
      </c>
      <c r="EK214" s="9">
        <f t="shared" si="181"/>
        <v>99</v>
      </c>
      <c r="EL214" s="9">
        <f t="shared" si="182"/>
        <v>99</v>
      </c>
      <c r="EM214" s="9">
        <f t="shared" si="183"/>
        <v>99</v>
      </c>
      <c r="EN214" s="9">
        <f t="shared" si="184"/>
        <v>99</v>
      </c>
      <c r="EO214" s="10">
        <f t="shared" si="185"/>
        <v>-1</v>
      </c>
    </row>
    <row r="215" spans="1:145" ht="11.25" customHeight="1" x14ac:dyDescent="0.2">
      <c r="A215" s="1">
        <f t="shared" si="186"/>
        <v>212</v>
      </c>
      <c r="B215" s="1" t="s">
        <v>613</v>
      </c>
      <c r="C215" s="1" t="s">
        <v>381</v>
      </c>
      <c r="D215" s="1" t="s">
        <v>381</v>
      </c>
      <c r="E215" s="1">
        <f t="shared" si="204"/>
        <v>0</v>
      </c>
      <c r="K215" s="1">
        <v>6</v>
      </c>
      <c r="L215" s="1">
        <v>10</v>
      </c>
      <c r="N215" s="1" t="b">
        <v>1</v>
      </c>
      <c r="S215" s="1" t="b">
        <v>1</v>
      </c>
      <c r="T215" s="1" t="b">
        <v>1</v>
      </c>
      <c r="V215" s="1">
        <v>1</v>
      </c>
      <c r="W215" s="1">
        <v>0.5</v>
      </c>
      <c r="X215" s="1">
        <v>0.5</v>
      </c>
      <c r="Y215" s="1">
        <v>0.34</v>
      </c>
      <c r="Z215" s="1" t="b">
        <f>FALSE</f>
        <v>0</v>
      </c>
      <c r="AA215" s="1" t="str">
        <f t="shared" si="207"/>
        <v/>
      </c>
      <c r="AB215" s="1" t="str">
        <f t="shared" si="208"/>
        <v/>
      </c>
      <c r="AC215" s="1">
        <f t="shared" si="205"/>
        <v>0</v>
      </c>
      <c r="AD215" s="1" t="str">
        <f t="shared" si="209"/>
        <v/>
      </c>
      <c r="AE215" s="1" t="str">
        <f t="shared" si="210"/>
        <v/>
      </c>
      <c r="AF215" s="1">
        <f t="shared" si="206"/>
        <v>0</v>
      </c>
      <c r="AG215" s="1">
        <f t="shared" si="211"/>
        <v>5</v>
      </c>
      <c r="AH215" s="1" t="str">
        <f t="shared" si="203"/>
        <v/>
      </c>
      <c r="AI215" s="1">
        <v>1</v>
      </c>
      <c r="AJ215" s="1">
        <f t="shared" si="187"/>
        <v>0</v>
      </c>
      <c r="AK215" s="1">
        <v>1</v>
      </c>
      <c r="AL215" s="1">
        <v>2</v>
      </c>
      <c r="AM215" s="1">
        <v>2</v>
      </c>
      <c r="AN215" s="1">
        <f t="shared" si="188"/>
        <v>0</v>
      </c>
      <c r="AO215" s="1">
        <v>1</v>
      </c>
      <c r="AP215" s="1">
        <v>1</v>
      </c>
      <c r="AQ215" s="1">
        <v>1</v>
      </c>
      <c r="AR215" s="1">
        <v>1</v>
      </c>
      <c r="AS215" s="1">
        <v>1</v>
      </c>
      <c r="AT215" s="1">
        <v>1</v>
      </c>
      <c r="AU215" s="1">
        <v>1</v>
      </c>
      <c r="AV215" s="1">
        <v>1</v>
      </c>
      <c r="AW215" s="1">
        <v>1</v>
      </c>
      <c r="AX215" s="1">
        <v>2</v>
      </c>
      <c r="AY215" s="1">
        <v>1</v>
      </c>
      <c r="AZ215" s="1">
        <v>2</v>
      </c>
      <c r="BA215" s="1">
        <v>1</v>
      </c>
      <c r="BB215" s="1">
        <v>1</v>
      </c>
      <c r="BC215" s="1">
        <v>2</v>
      </c>
      <c r="BD215" s="1">
        <v>1</v>
      </c>
      <c r="BE215" s="1">
        <v>2</v>
      </c>
      <c r="BF215" s="1">
        <v>2</v>
      </c>
      <c r="BG215" s="1">
        <f t="shared" si="189"/>
        <v>0</v>
      </c>
      <c r="BH215" s="1">
        <f t="shared" si="190"/>
        <v>0</v>
      </c>
      <c r="BI215" s="1">
        <v>2</v>
      </c>
      <c r="BJ215" s="1">
        <v>2</v>
      </c>
      <c r="BK215" s="1">
        <v>1</v>
      </c>
      <c r="BL215" s="1">
        <v>1</v>
      </c>
      <c r="BM215" s="1">
        <v>1</v>
      </c>
      <c r="BN215" s="1">
        <v>1</v>
      </c>
      <c r="BO215" s="1">
        <v>1</v>
      </c>
      <c r="BP215" s="1">
        <v>1</v>
      </c>
      <c r="BQ215" s="1">
        <f>IF(HRRVL,1,0)</f>
        <v>0</v>
      </c>
      <c r="BR215" s="1">
        <v>1</v>
      </c>
      <c r="BS215" s="1">
        <v>1</v>
      </c>
      <c r="BT215" s="1">
        <f t="shared" si="192"/>
        <v>0</v>
      </c>
      <c r="BU215" s="1">
        <f t="shared" si="193"/>
        <v>0</v>
      </c>
      <c r="BV215" s="1">
        <v>1</v>
      </c>
      <c r="BW215" s="1">
        <v>1</v>
      </c>
      <c r="BX215" s="1">
        <v>1</v>
      </c>
      <c r="BY215" s="1">
        <v>1</v>
      </c>
      <c r="BZ215" s="1">
        <v>1</v>
      </c>
      <c r="CA215" s="1">
        <v>1</v>
      </c>
      <c r="CB215" s="1">
        <v>1</v>
      </c>
      <c r="CC215" s="1">
        <v>1</v>
      </c>
      <c r="CD215" s="1">
        <v>1</v>
      </c>
      <c r="CE215" s="1">
        <v>1</v>
      </c>
      <c r="CF215" s="1">
        <v>2</v>
      </c>
      <c r="CG215" s="1">
        <f t="shared" si="194"/>
        <v>0</v>
      </c>
      <c r="CH215" s="1">
        <v>2</v>
      </c>
      <c r="CI215" s="1">
        <v>2</v>
      </c>
      <c r="CJ215" s="1">
        <v>1</v>
      </c>
      <c r="CK215" s="1">
        <v>1</v>
      </c>
      <c r="CL215" s="1">
        <v>1</v>
      </c>
      <c r="CM215" s="1">
        <v>1</v>
      </c>
      <c r="CN215" s="1">
        <v>1</v>
      </c>
      <c r="CO215" s="1">
        <v>1</v>
      </c>
      <c r="CP215" s="1">
        <v>1</v>
      </c>
      <c r="CQ215" s="1">
        <v>1</v>
      </c>
      <c r="CR215" s="1">
        <v>1</v>
      </c>
      <c r="CS215" s="1">
        <v>1</v>
      </c>
      <c r="CT215" s="1">
        <v>1</v>
      </c>
      <c r="CU215" s="1">
        <v>1</v>
      </c>
      <c r="CV215" s="1">
        <f t="shared" si="195"/>
        <v>0</v>
      </c>
      <c r="CW215" s="1">
        <v>2</v>
      </c>
      <c r="CX215" s="1">
        <v>2</v>
      </c>
      <c r="CY215" s="1">
        <v>2</v>
      </c>
      <c r="CZ215" s="1">
        <f t="shared" si="196"/>
        <v>0</v>
      </c>
      <c r="DA215" s="1">
        <v>1</v>
      </c>
      <c r="DB215" s="1">
        <v>1</v>
      </c>
      <c r="DC215" s="1">
        <v>1</v>
      </c>
      <c r="DD215" s="1">
        <v>2</v>
      </c>
      <c r="DE215" s="1">
        <v>2</v>
      </c>
      <c r="DF215" s="1">
        <v>2</v>
      </c>
      <c r="DG215" s="1">
        <v>1</v>
      </c>
      <c r="DH215" s="1">
        <v>1</v>
      </c>
      <c r="DI215" s="1">
        <f t="shared" si="197"/>
        <v>0</v>
      </c>
      <c r="DJ215" s="1">
        <v>2</v>
      </c>
      <c r="DK215" s="1" t="s">
        <v>169</v>
      </c>
      <c r="DL215" s="1" t="s">
        <v>40</v>
      </c>
      <c r="DR215" s="1" t="b">
        <f>BaseAtk&gt;=4</f>
        <v>0</v>
      </c>
      <c r="DS215" s="1" t="b">
        <f>SkGatherInformationRanks&gt;=4</f>
        <v>0</v>
      </c>
      <c r="DT215" s="1" t="b">
        <f>SkMoveSilentlyRanks&gt;=4</f>
        <v>0</v>
      </c>
      <c r="DU215" s="1" t="b">
        <f>SkSurvivalRanks&gt;=4</f>
        <v>0</v>
      </c>
      <c r="DV215" s="1" t="b">
        <f>OR(FtEndurance,FtKoboldEndurance)</f>
        <v>0</v>
      </c>
      <c r="DW215" s="1" t="b">
        <f>FtTrack</f>
        <v>0</v>
      </c>
      <c r="EA215" s="1" t="b">
        <f t="shared" si="202"/>
        <v>0</v>
      </c>
      <c r="EB215" s="11" t="s">
        <v>334</v>
      </c>
      <c r="EC215" s="1" t="str">
        <f>IF(DR215,"","• A base attack bonus of +4 or higher.
")&amp;IF(DS215,"","• 4 ranks in Gather Information.
")&amp;IF(DT215,"","• 4 ranks in Move Silently.
")&amp;IF(DU215,"","• 4 ranks in Survival.
")&amp;IF(DV215,"","• Endurance feat.
")&amp;IF(DW215,"","• Track feat.")</f>
        <v>• A base attack bonus of +4 or higher.
• 4 ranks in Gather Information.
• 4 ranks in Move Silently.
• 4 ranks in Survival.
• Endurance feat.
• Track feat.</v>
      </c>
      <c r="ED215" s="11" t="s">
        <v>335</v>
      </c>
      <c r="EE215" s="8" t="s">
        <v>614</v>
      </c>
      <c r="EF215" s="1">
        <v>10</v>
      </c>
      <c r="EG215" s="1" t="s">
        <v>590</v>
      </c>
      <c r="EI215" s="9" t="b">
        <f t="shared" si="179"/>
        <v>0</v>
      </c>
      <c r="EJ215" s="9" t="str">
        <f t="shared" si="180"/>
        <v/>
      </c>
      <c r="EK215" s="9">
        <f t="shared" si="181"/>
        <v>99</v>
      </c>
      <c r="EL215" s="9">
        <f t="shared" si="182"/>
        <v>99</v>
      </c>
      <c r="EM215" s="9">
        <f t="shared" si="183"/>
        <v>99</v>
      </c>
      <c r="EN215" s="9">
        <f t="shared" si="184"/>
        <v>99</v>
      </c>
      <c r="EO215" s="10">
        <f t="shared" si="185"/>
        <v>-1</v>
      </c>
    </row>
    <row r="216" spans="1:145" ht="11.25" customHeight="1" x14ac:dyDescent="0.2">
      <c r="A216" s="1">
        <f t="shared" si="186"/>
        <v>213</v>
      </c>
      <c r="B216" s="1" t="s">
        <v>615</v>
      </c>
      <c r="C216" s="1" t="s">
        <v>616</v>
      </c>
      <c r="D216" s="1" t="s">
        <v>616</v>
      </c>
      <c r="E216" s="1">
        <f t="shared" si="204"/>
        <v>0</v>
      </c>
      <c r="G216" s="1">
        <f>MAX(DaMLvl-1,0)</f>
        <v>0</v>
      </c>
      <c r="K216" s="1">
        <v>6</v>
      </c>
      <c r="L216" s="1">
        <v>6</v>
      </c>
      <c r="V216" s="1">
        <v>0.75</v>
      </c>
      <c r="W216" s="1">
        <v>0.34</v>
      </c>
      <c r="X216" s="1">
        <v>0.5</v>
      </c>
      <c r="Y216" s="1">
        <v>0.5</v>
      </c>
      <c r="Z216" s="1" t="b">
        <f>FALSE</f>
        <v>0</v>
      </c>
      <c r="AA216" s="1" t="str">
        <f t="shared" si="207"/>
        <v/>
      </c>
      <c r="AB216" s="1" t="str">
        <f t="shared" si="208"/>
        <v/>
      </c>
      <c r="AC216" s="1">
        <f t="shared" si="205"/>
        <v>0</v>
      </c>
      <c r="AD216" s="1" t="str">
        <f t="shared" si="209"/>
        <v/>
      </c>
      <c r="AE216" s="1" t="str">
        <f t="shared" si="210"/>
        <v/>
      </c>
      <c r="AF216" s="1">
        <f t="shared" si="206"/>
        <v>0</v>
      </c>
      <c r="AG216" s="1">
        <f t="shared" si="211"/>
        <v>5</v>
      </c>
      <c r="AH216" s="1" t="str">
        <f t="shared" si="203"/>
        <v/>
      </c>
      <c r="AI216" s="1">
        <v>1</v>
      </c>
      <c r="AJ216" s="1">
        <f t="shared" si="187"/>
        <v>0</v>
      </c>
      <c r="AK216" s="1">
        <v>2</v>
      </c>
      <c r="AL216" s="1">
        <v>1</v>
      </c>
      <c r="AM216" s="1">
        <v>2</v>
      </c>
      <c r="AN216" s="1">
        <f t="shared" si="188"/>
        <v>0</v>
      </c>
      <c r="AO216" s="1">
        <v>2</v>
      </c>
      <c r="AP216" s="1">
        <v>2</v>
      </c>
      <c r="AQ216" s="1">
        <v>2</v>
      </c>
      <c r="AR216" s="1">
        <v>2</v>
      </c>
      <c r="AS216" s="1">
        <v>2</v>
      </c>
      <c r="AT216" s="1">
        <v>2</v>
      </c>
      <c r="AU216" s="1">
        <v>2</v>
      </c>
      <c r="AV216" s="1">
        <v>2</v>
      </c>
      <c r="AW216" s="1">
        <v>1</v>
      </c>
      <c r="AX216" s="1">
        <v>1</v>
      </c>
      <c r="AY216" s="1">
        <v>1</v>
      </c>
      <c r="AZ216" s="1">
        <v>1</v>
      </c>
      <c r="BA216" s="1">
        <v>1</v>
      </c>
      <c r="BB216" s="1">
        <v>1</v>
      </c>
      <c r="BC216" s="1">
        <v>1</v>
      </c>
      <c r="BD216" s="1">
        <v>2</v>
      </c>
      <c r="BE216" s="1">
        <v>2</v>
      </c>
      <c r="BF216" s="1">
        <v>2</v>
      </c>
      <c r="BG216" s="1">
        <f t="shared" si="189"/>
        <v>0</v>
      </c>
      <c r="BH216" s="1">
        <f t="shared" si="190"/>
        <v>0</v>
      </c>
      <c r="BI216" s="1">
        <v>1</v>
      </c>
      <c r="BJ216" s="1">
        <v>2</v>
      </c>
      <c r="BK216" s="1">
        <v>2</v>
      </c>
      <c r="BL216" s="1">
        <v>1</v>
      </c>
      <c r="BM216" s="1">
        <v>1</v>
      </c>
      <c r="BN216" s="1">
        <v>1</v>
      </c>
      <c r="BO216" s="1">
        <v>1</v>
      </c>
      <c r="BP216" s="1">
        <v>1</v>
      </c>
      <c r="BQ216" s="1">
        <f>IF(HRRVL,1,0)</f>
        <v>0</v>
      </c>
      <c r="BR216" s="1">
        <v>1</v>
      </c>
      <c r="BS216" s="1">
        <v>1</v>
      </c>
      <c r="BT216" s="1">
        <f t="shared" si="192"/>
        <v>0</v>
      </c>
      <c r="BU216" s="1">
        <f t="shared" si="193"/>
        <v>0</v>
      </c>
      <c r="BV216" s="1">
        <v>1</v>
      </c>
      <c r="BW216" s="1">
        <v>1</v>
      </c>
      <c r="BX216" s="1">
        <v>1</v>
      </c>
      <c r="BY216" s="1">
        <v>1</v>
      </c>
      <c r="BZ216" s="1">
        <v>1</v>
      </c>
      <c r="CA216" s="1">
        <v>1</v>
      </c>
      <c r="CB216" s="1">
        <v>1</v>
      </c>
      <c r="CC216" s="1">
        <v>1</v>
      </c>
      <c r="CD216" s="1">
        <v>1</v>
      </c>
      <c r="CE216" s="1">
        <v>1</v>
      </c>
      <c r="CF216" s="1">
        <v>2</v>
      </c>
      <c r="CG216" s="1">
        <f t="shared" si="194"/>
        <v>0</v>
      </c>
      <c r="CH216" s="1">
        <v>2</v>
      </c>
      <c r="CI216" s="1">
        <v>1</v>
      </c>
      <c r="CJ216" s="1">
        <v>1</v>
      </c>
      <c r="CK216" s="1">
        <v>1</v>
      </c>
      <c r="CL216" s="1">
        <v>1</v>
      </c>
      <c r="CM216" s="1">
        <v>1</v>
      </c>
      <c r="CN216" s="1">
        <v>1</v>
      </c>
      <c r="CO216" s="1">
        <v>1</v>
      </c>
      <c r="CP216" s="1">
        <v>2</v>
      </c>
      <c r="CQ216" s="1">
        <v>2</v>
      </c>
      <c r="CR216" s="1">
        <v>2</v>
      </c>
      <c r="CS216" s="1">
        <v>2</v>
      </c>
      <c r="CT216" s="1">
        <v>2</v>
      </c>
      <c r="CU216" s="1">
        <v>2</v>
      </c>
      <c r="CV216" s="1">
        <f t="shared" si="195"/>
        <v>0</v>
      </c>
      <c r="CW216" s="1">
        <v>2</v>
      </c>
      <c r="CX216" s="1">
        <v>1</v>
      </c>
      <c r="CY216" s="1">
        <v>1</v>
      </c>
      <c r="CZ216" s="1">
        <f t="shared" si="196"/>
        <v>0</v>
      </c>
      <c r="DA216" s="1">
        <v>1</v>
      </c>
      <c r="DB216" s="1">
        <v>1</v>
      </c>
      <c r="DC216" s="1">
        <v>2</v>
      </c>
      <c r="DD216" s="1">
        <v>2</v>
      </c>
      <c r="DE216" s="1">
        <v>2</v>
      </c>
      <c r="DF216" s="1">
        <v>2</v>
      </c>
      <c r="DG216" s="1">
        <v>2</v>
      </c>
      <c r="DH216" s="1">
        <v>1</v>
      </c>
      <c r="DI216" s="1">
        <f t="shared" si="197"/>
        <v>0</v>
      </c>
      <c r="DJ216" s="1">
        <v>1</v>
      </c>
      <c r="DK216" s="1" t="s">
        <v>169</v>
      </c>
      <c r="DL216" s="1" t="s">
        <v>101</v>
      </c>
      <c r="DR216" s="1" t="b">
        <f>AlignmentNonEvil</f>
        <v>1</v>
      </c>
      <c r="DS216" s="1" t="b">
        <f>SkConcentrationRanks&gt;=8</f>
        <v>0</v>
      </c>
      <c r="DT216" s="1" t="b">
        <f>OR(FtTwoWeaponFighting,RslHeFtr2)</f>
        <v>0</v>
      </c>
      <c r="DU216" s="1" t="b">
        <f>NOT(ISNA(MATCH("Dagger",TblWeaponFocusFeat,0)))</f>
        <v>0</v>
      </c>
      <c r="DV216" s="1" t="b">
        <f>OR(MaxArcaneLevel&gt;=5,MaxArcaneSpellLikeLevel&gt;=5)</f>
        <v>0</v>
      </c>
      <c r="DW216" s="1" t="b">
        <f>(SneakAttack+SuddenStrike+PsionicSneakAttack)&gt;=1</f>
        <v>0</v>
      </c>
      <c r="EA216" s="1" t="b">
        <f t="shared" si="202"/>
        <v>0</v>
      </c>
      <c r="EB216" s="11" t="s">
        <v>334</v>
      </c>
      <c r="EC216" s="1" t="str">
        <f>IF(DR216,"","• Must be of any non-Evil alignment.
")&amp;IF(DS216,"","• 8 ranks in Concentration.
")&amp;IF(DT216,"","• Two-Weapon Fighting feat.
")&amp;IF(DU216,"","• Weapon Focus (dagger) feat.
")&amp;IF(DV216,"","• 5th level arcane caster.
")&amp;IF(DW216,"","• Sneak attack +1d6.")</f>
        <v>• 8 ranks in Concentration.
• Two-Weapon Fighting feat.
• Weapon Focus (dagger) feat.
• 5th level arcane caster.
• Sneak attack +1d6.</v>
      </c>
      <c r="ED216" s="11" t="s">
        <v>335</v>
      </c>
      <c r="EE216" s="8" t="s">
        <v>190</v>
      </c>
      <c r="EF216" s="9">
        <v>20</v>
      </c>
      <c r="EG216" s="9" t="s">
        <v>617</v>
      </c>
      <c r="EH216" s="9"/>
      <c r="EI216" s="9" t="b">
        <f>(INDEX(TblClasses,MATCH($EE216,TblTLAList,0),ClassInfoLevelColumn)&gt;=$EF216)</f>
        <v>0</v>
      </c>
      <c r="EJ216" s="9" t="str">
        <f>IF($EI216,$EE216&amp;$EF216,"")</f>
        <v/>
      </c>
      <c r="EK216" s="9">
        <f>IF($EI216,MATCH($EJ216,TblClassN,0),99)</f>
        <v>99</v>
      </c>
      <c r="EL216" s="9">
        <f>IF($EI216,IF(HRGestalt,MATCH($EJ216,TblGClassN,0),99),99)</f>
        <v>99</v>
      </c>
      <c r="EM216" s="9">
        <f>IF($EI216,IF(HasVirtualClasses,MATCH($EJ216,TblClass3,0),99),99)</f>
        <v>99</v>
      </c>
      <c r="EN216" s="9">
        <f>IF($EI216,MIN(IF(ISNA($EK216),99,$EK216),IF(ISNA($EL216),99,$EL216),IF(ISNA($EM216),99,$EM216)),99)</f>
        <v>99</v>
      </c>
      <c r="EO216" s="10">
        <f>IF($EN216&lt;=LvlCS,INDEX(TblTypesPyramid,MATCH($EG216,TypePyramidList,0),2)-10*$EN216,-1)</f>
        <v>-1</v>
      </c>
    </row>
    <row r="217" spans="1:145" ht="11.25" customHeight="1" x14ac:dyDescent="0.2">
      <c r="A217" s="1">
        <f t="shared" si="186"/>
        <v>214</v>
      </c>
      <c r="B217" s="1" t="s">
        <v>618</v>
      </c>
      <c r="C217" s="1" t="s">
        <v>619</v>
      </c>
      <c r="D217" s="1" t="s">
        <v>619</v>
      </c>
      <c r="E217" s="1">
        <f t="shared" si="204"/>
        <v>0</v>
      </c>
      <c r="G217" s="1">
        <f>MAX(DaSLvl-1,0)</f>
        <v>0</v>
      </c>
      <c r="K217" s="1">
        <v>6</v>
      </c>
      <c r="L217" s="1">
        <v>6</v>
      </c>
      <c r="V217" s="1">
        <v>0.75</v>
      </c>
      <c r="W217" s="1">
        <v>0.34</v>
      </c>
      <c r="X217" s="1">
        <v>0.5</v>
      </c>
      <c r="Y217" s="1">
        <v>0.5</v>
      </c>
      <c r="Z217" s="1" t="b">
        <f>FALSE</f>
        <v>0</v>
      </c>
      <c r="AA217" s="1" t="str">
        <f t="shared" si="207"/>
        <v/>
      </c>
      <c r="AB217" s="1" t="str">
        <f t="shared" si="208"/>
        <v/>
      </c>
      <c r="AC217" s="1">
        <f t="shared" si="205"/>
        <v>0</v>
      </c>
      <c r="AD217" s="1" t="str">
        <f t="shared" si="209"/>
        <v/>
      </c>
      <c r="AE217" s="1" t="str">
        <f t="shared" si="210"/>
        <v/>
      </c>
      <c r="AF217" s="1">
        <f t="shared" si="206"/>
        <v>0</v>
      </c>
      <c r="AG217" s="1">
        <f t="shared" si="211"/>
        <v>5</v>
      </c>
      <c r="AH217" s="1" t="str">
        <f t="shared" si="203"/>
        <v/>
      </c>
      <c r="AI217" s="1">
        <v>1</v>
      </c>
      <c r="AJ217" s="1">
        <f t="shared" si="187"/>
        <v>0</v>
      </c>
      <c r="AK217" s="1">
        <v>2</v>
      </c>
      <c r="AL217" s="1">
        <v>1</v>
      </c>
      <c r="AM217" s="1">
        <v>2</v>
      </c>
      <c r="AN217" s="1">
        <f t="shared" si="188"/>
        <v>0</v>
      </c>
      <c r="AO217" s="1">
        <v>2</v>
      </c>
      <c r="AP217" s="1">
        <v>2</v>
      </c>
      <c r="AQ217" s="1">
        <v>2</v>
      </c>
      <c r="AR217" s="1">
        <v>2</v>
      </c>
      <c r="AS217" s="1">
        <v>2</v>
      </c>
      <c r="AT217" s="1">
        <v>2</v>
      </c>
      <c r="AU217" s="1">
        <v>2</v>
      </c>
      <c r="AV217" s="1">
        <v>2</v>
      </c>
      <c r="AW217" s="1">
        <v>1</v>
      </c>
      <c r="AX217" s="1">
        <v>1</v>
      </c>
      <c r="AY217" s="1">
        <v>1</v>
      </c>
      <c r="AZ217" s="1">
        <v>1</v>
      </c>
      <c r="BA217" s="1">
        <v>1</v>
      </c>
      <c r="BB217" s="1">
        <v>1</v>
      </c>
      <c r="BC217" s="1">
        <v>1</v>
      </c>
      <c r="BD217" s="1">
        <v>2</v>
      </c>
      <c r="BE217" s="1">
        <v>2</v>
      </c>
      <c r="BF217" s="1">
        <v>2</v>
      </c>
      <c r="BG217" s="1">
        <f t="shared" si="189"/>
        <v>0</v>
      </c>
      <c r="BH217" s="1">
        <f t="shared" si="190"/>
        <v>0</v>
      </c>
      <c r="BI217" s="1">
        <v>1</v>
      </c>
      <c r="BJ217" s="1">
        <v>2</v>
      </c>
      <c r="BK217" s="1">
        <v>1</v>
      </c>
      <c r="BL217" s="1">
        <v>1</v>
      </c>
      <c r="BM217" s="1">
        <v>1</v>
      </c>
      <c r="BN217" s="1">
        <v>1</v>
      </c>
      <c r="BO217" s="1">
        <v>1</v>
      </c>
      <c r="BP217" s="1">
        <v>1</v>
      </c>
      <c r="BQ217" s="1">
        <f>IF(HRRVL,2,0)</f>
        <v>0</v>
      </c>
      <c r="BR217" s="1">
        <v>2</v>
      </c>
      <c r="BS217" s="1">
        <v>1</v>
      </c>
      <c r="BT217" s="1">
        <f t="shared" si="192"/>
        <v>0</v>
      </c>
      <c r="BU217" s="1">
        <f t="shared" si="193"/>
        <v>0</v>
      </c>
      <c r="BV217" s="1">
        <v>1</v>
      </c>
      <c r="BW217" s="1">
        <v>1</v>
      </c>
      <c r="BX217" s="1">
        <v>1</v>
      </c>
      <c r="BY217" s="1">
        <v>1</v>
      </c>
      <c r="BZ217" s="1">
        <v>1</v>
      </c>
      <c r="CA217" s="1">
        <v>1</v>
      </c>
      <c r="CB217" s="1">
        <v>1</v>
      </c>
      <c r="CC217" s="1">
        <v>1</v>
      </c>
      <c r="CD217" s="1">
        <v>1</v>
      </c>
      <c r="CE217" s="1">
        <v>1</v>
      </c>
      <c r="CF217" s="1">
        <v>2</v>
      </c>
      <c r="CG217" s="1">
        <f t="shared" si="194"/>
        <v>0</v>
      </c>
      <c r="CH217" s="1">
        <v>2</v>
      </c>
      <c r="CI217" s="1">
        <v>1</v>
      </c>
      <c r="CJ217" s="1">
        <v>1</v>
      </c>
      <c r="CK217" s="1">
        <v>1</v>
      </c>
      <c r="CL217" s="1">
        <v>1</v>
      </c>
      <c r="CM217" s="1">
        <v>1</v>
      </c>
      <c r="CN217" s="1">
        <v>1</v>
      </c>
      <c r="CO217" s="1">
        <v>1</v>
      </c>
      <c r="CP217" s="1">
        <v>2</v>
      </c>
      <c r="CQ217" s="1">
        <v>2</v>
      </c>
      <c r="CR217" s="1">
        <v>2</v>
      </c>
      <c r="CS217" s="1">
        <v>2</v>
      </c>
      <c r="CT217" s="1">
        <v>2</v>
      </c>
      <c r="CU217" s="1">
        <v>2</v>
      </c>
      <c r="CV217" s="1">
        <f t="shared" si="195"/>
        <v>0</v>
      </c>
      <c r="CW217" s="1">
        <v>2</v>
      </c>
      <c r="CX217" s="1">
        <v>1</v>
      </c>
      <c r="CY217" s="1">
        <v>1</v>
      </c>
      <c r="CZ217" s="1">
        <f t="shared" si="196"/>
        <v>0</v>
      </c>
      <c r="DA217" s="1">
        <v>1</v>
      </c>
      <c r="DB217" s="1">
        <v>1</v>
      </c>
      <c r="DC217" s="1">
        <v>2</v>
      </c>
      <c r="DD217" s="1">
        <v>2</v>
      </c>
      <c r="DE217" s="1">
        <v>2</v>
      </c>
      <c r="DF217" s="1">
        <v>2</v>
      </c>
      <c r="DG217" s="1">
        <v>2</v>
      </c>
      <c r="DH217" s="1">
        <v>1</v>
      </c>
      <c r="DI217" s="1">
        <f t="shared" si="197"/>
        <v>0</v>
      </c>
      <c r="DJ217" s="1">
        <v>1</v>
      </c>
      <c r="DK217" s="1" t="s">
        <v>169</v>
      </c>
      <c r="DL217" s="1" t="s">
        <v>101</v>
      </c>
      <c r="DR217" s="1" t="b">
        <f>AlignmentNonEvil</f>
        <v>1</v>
      </c>
      <c r="DS217" s="1" t="b">
        <f>SkConcentrationRanks&gt;=8</f>
        <v>0</v>
      </c>
      <c r="DT217" s="1" t="b">
        <f>OR(FtTwoWeaponFighting,RslHeFtr2)</f>
        <v>0</v>
      </c>
      <c r="DU217" s="1" t="b">
        <f>NOT(ISNA(MATCH("Dagger",TblWeaponFocusFeat,0)))</f>
        <v>0</v>
      </c>
      <c r="DV217" s="1" t="b">
        <f>WildShapeAmount&gt;=1</f>
        <v>0</v>
      </c>
      <c r="DW217" s="1" t="b">
        <f>OR(SkirmishDamageAmount&gt;=1,(SneakAttack+SuddenStrike+PsionicSneakAttack)&gt;=1)</f>
        <v>0</v>
      </c>
      <c r="EA217" s="1" t="b">
        <f t="shared" si="202"/>
        <v>0</v>
      </c>
      <c r="EB217" s="11" t="s">
        <v>334</v>
      </c>
      <c r="EC217" s="1" t="str">
        <f>IF(DR217,"","• Must be of any non-Evil alignment.
")&amp;IF(DS217,"","• 8 ranks in Concentration.
")&amp;IF(DT217,"","• Two-Weapon Fighting feat.
")&amp;IF(DU217,"","• Weapon Focus (dagger) feat.
")&amp;IF(DV217,"","• Wild shape class feature.
")&amp;IF(DW217,"","• Sneak attack +1d6 or Skirmish +1d6.")</f>
        <v>• 8 ranks in Concentration.
• Two-Weapon Fighting feat.
• Weapon Focus (dagger) feat.
• Wild shape class feature.
• Sneak attack +1d6 or Skirmish +1d6.</v>
      </c>
      <c r="ED217" s="11" t="s">
        <v>335</v>
      </c>
      <c r="EE217" s="8" t="s">
        <v>620</v>
      </c>
      <c r="EF217" s="9">
        <v>10</v>
      </c>
      <c r="EG217" s="9" t="s">
        <v>590</v>
      </c>
      <c r="EH217" s="9"/>
      <c r="EI217" s="9" t="b">
        <f>(INDEX(TblClasses,MATCH($EE217,TblTLAList,0),ClassInfoLevelColumn)&gt;=$EF217)</f>
        <v>0</v>
      </c>
      <c r="EJ217" s="9" t="str">
        <f>IF($EI217,$EE217&amp;$EF217,"")</f>
        <v/>
      </c>
      <c r="EK217" s="9">
        <f>IF($EI217,MATCH($EJ217,TblClassN,0),99)</f>
        <v>99</v>
      </c>
      <c r="EL217" s="9">
        <f>IF($EI217,IF(HRGestalt,MATCH($EJ217,TblGClassN,0),99),99)</f>
        <v>99</v>
      </c>
      <c r="EM217" s="9">
        <f>IF($EI217,IF(HasVirtualClasses,MATCH($EJ217,TblClass3,0),99),99)</f>
        <v>99</v>
      </c>
      <c r="EN217" s="9">
        <f>IF($EI217,MIN(IF(ISNA($EK217),99,$EK217),IF(ISNA($EL217),99,$EL217),IF(ISNA($EM217),99,$EM217)),99)</f>
        <v>99</v>
      </c>
      <c r="EO217" s="10">
        <f>IF($EN217&lt;=LvlCS,INDEX(TblTypesPyramid,MATCH($EG217,TypePyramidList,0),2)-10*$EN217,-1)</f>
        <v>-1</v>
      </c>
    </row>
    <row r="218" spans="1:145" ht="11.25" customHeight="1" x14ac:dyDescent="0.2">
      <c r="A218" s="1">
        <f t="shared" si="186"/>
        <v>215</v>
      </c>
      <c r="B218" s="1" t="s">
        <v>621</v>
      </c>
      <c r="C218" s="1" t="s">
        <v>622</v>
      </c>
      <c r="D218" s="1" t="s">
        <v>622</v>
      </c>
      <c r="E218" s="1">
        <f t="shared" si="204"/>
        <v>0</v>
      </c>
      <c r="K218" s="1">
        <v>6</v>
      </c>
      <c r="L218" s="1">
        <v>8</v>
      </c>
      <c r="N218" s="1" t="b">
        <v>1</v>
      </c>
      <c r="S218" s="1" t="b">
        <v>1</v>
      </c>
      <c r="V218" s="1">
        <v>1</v>
      </c>
      <c r="W218" s="1">
        <v>0.34</v>
      </c>
      <c r="X218" s="1">
        <v>0.5</v>
      </c>
      <c r="Y218" s="1">
        <v>0.34</v>
      </c>
      <c r="Z218" s="1" t="b">
        <f>FALSE</f>
        <v>0</v>
      </c>
      <c r="AA218" s="1" t="str">
        <f t="shared" si="207"/>
        <v/>
      </c>
      <c r="AB218" s="1" t="str">
        <f t="shared" si="208"/>
        <v/>
      </c>
      <c r="AC218" s="1">
        <f t="shared" si="205"/>
        <v>0</v>
      </c>
      <c r="AD218" s="1" t="str">
        <f t="shared" si="209"/>
        <v/>
      </c>
      <c r="AE218" s="1" t="str">
        <f t="shared" si="210"/>
        <v/>
      </c>
      <c r="AF218" s="1">
        <f t="shared" si="206"/>
        <v>0</v>
      </c>
      <c r="AG218" s="1">
        <f t="shared" si="211"/>
        <v>5</v>
      </c>
      <c r="AH218" s="1" t="str">
        <f t="shared" si="203"/>
        <v/>
      </c>
      <c r="AI218" s="1">
        <v>2</v>
      </c>
      <c r="AJ218" s="1">
        <f t="shared" si="187"/>
        <v>0</v>
      </c>
      <c r="AK218" s="1">
        <v>2</v>
      </c>
      <c r="AL218" s="1">
        <v>2</v>
      </c>
      <c r="AM218" s="1">
        <v>2</v>
      </c>
      <c r="AN218" s="1">
        <f t="shared" si="188"/>
        <v>0</v>
      </c>
      <c r="AO218" s="1">
        <v>1</v>
      </c>
      <c r="AP218" s="1">
        <v>2</v>
      </c>
      <c r="AQ218" s="1">
        <v>2</v>
      </c>
      <c r="AR218" s="1">
        <v>2</v>
      </c>
      <c r="AS218" s="1">
        <v>2</v>
      </c>
      <c r="AT218" s="1">
        <v>2</v>
      </c>
      <c r="AU218" s="1">
        <v>2</v>
      </c>
      <c r="AV218" s="1">
        <v>2</v>
      </c>
      <c r="AW218" s="1">
        <v>1</v>
      </c>
      <c r="AX218" s="1">
        <v>1</v>
      </c>
      <c r="AY218" s="1">
        <v>1</v>
      </c>
      <c r="AZ218" s="1">
        <v>1</v>
      </c>
      <c r="BA218" s="1">
        <v>1</v>
      </c>
      <c r="BB218" s="1">
        <v>1</v>
      </c>
      <c r="BC218" s="1">
        <v>2</v>
      </c>
      <c r="BD218" s="1">
        <v>1</v>
      </c>
      <c r="BE218" s="1">
        <v>1</v>
      </c>
      <c r="BF218" s="1">
        <v>1</v>
      </c>
      <c r="BG218" s="1">
        <f t="shared" si="189"/>
        <v>0</v>
      </c>
      <c r="BH218" s="1">
        <f t="shared" si="190"/>
        <v>0</v>
      </c>
      <c r="BI218" s="1">
        <v>2</v>
      </c>
      <c r="BJ218" s="1">
        <v>2</v>
      </c>
      <c r="BK218" s="1">
        <v>1</v>
      </c>
      <c r="BL218" s="1">
        <v>1</v>
      </c>
      <c r="BM218" s="1">
        <v>1</v>
      </c>
      <c r="BN218" s="1">
        <v>1</v>
      </c>
      <c r="BO218" s="1">
        <v>1</v>
      </c>
      <c r="BP218" s="1">
        <v>1</v>
      </c>
      <c r="BQ218" s="1">
        <f>IF(HRRVL,1,0)</f>
        <v>0</v>
      </c>
      <c r="BR218" s="1">
        <v>1</v>
      </c>
      <c r="BS218" s="1">
        <v>1</v>
      </c>
      <c r="BT218" s="1">
        <f t="shared" si="192"/>
        <v>0</v>
      </c>
      <c r="BU218" s="1">
        <f t="shared" si="193"/>
        <v>0</v>
      </c>
      <c r="BV218" s="1">
        <v>1</v>
      </c>
      <c r="BW218" s="1">
        <v>1</v>
      </c>
      <c r="BX218" s="1">
        <v>1</v>
      </c>
      <c r="BY218" s="1">
        <v>1</v>
      </c>
      <c r="BZ218" s="1">
        <v>1</v>
      </c>
      <c r="CA218" s="1">
        <v>1</v>
      </c>
      <c r="CB218" s="1">
        <v>1</v>
      </c>
      <c r="CC218" s="1">
        <v>1</v>
      </c>
      <c r="CD218" s="1">
        <v>1</v>
      </c>
      <c r="CE218" s="1">
        <v>1</v>
      </c>
      <c r="CF218" s="1">
        <v>2</v>
      </c>
      <c r="CG218" s="1">
        <f t="shared" si="194"/>
        <v>0</v>
      </c>
      <c r="CH218" s="1">
        <v>1</v>
      </c>
      <c r="CI218" s="1">
        <v>1</v>
      </c>
      <c r="CJ218" s="1">
        <v>2</v>
      </c>
      <c r="CK218" s="1">
        <v>2</v>
      </c>
      <c r="CL218" s="1">
        <v>2</v>
      </c>
      <c r="CM218" s="1">
        <v>2</v>
      </c>
      <c r="CN218" s="1">
        <v>2</v>
      </c>
      <c r="CO218" s="1">
        <v>2</v>
      </c>
      <c r="CP218" s="1">
        <v>2</v>
      </c>
      <c r="CQ218" s="1">
        <v>2</v>
      </c>
      <c r="CR218" s="1">
        <v>2</v>
      </c>
      <c r="CS218" s="1">
        <v>2</v>
      </c>
      <c r="CT218" s="1">
        <v>2</v>
      </c>
      <c r="CU218" s="1">
        <v>2</v>
      </c>
      <c r="CV218" s="1">
        <f t="shared" si="195"/>
        <v>0</v>
      </c>
      <c r="CW218" s="1">
        <v>1</v>
      </c>
      <c r="CX218" s="1">
        <v>2</v>
      </c>
      <c r="CY218" s="1">
        <v>2</v>
      </c>
      <c r="CZ218" s="1">
        <f t="shared" si="196"/>
        <v>0</v>
      </c>
      <c r="DA218" s="1">
        <v>2</v>
      </c>
      <c r="DB218" s="1">
        <v>1</v>
      </c>
      <c r="DC218" s="1">
        <v>1</v>
      </c>
      <c r="DD218" s="1">
        <v>2</v>
      </c>
      <c r="DE218" s="1">
        <v>1</v>
      </c>
      <c r="DF218" s="1">
        <v>2</v>
      </c>
      <c r="DG218" s="1">
        <v>2</v>
      </c>
      <c r="DH218" s="1">
        <v>1</v>
      </c>
      <c r="DI218" s="1">
        <f t="shared" si="197"/>
        <v>0</v>
      </c>
      <c r="DJ218" s="1">
        <v>2</v>
      </c>
      <c r="DK218" s="1" t="s">
        <v>169</v>
      </c>
      <c r="DL218" s="1" t="s">
        <v>101</v>
      </c>
      <c r="DR218" s="1" t="b">
        <f>AlignmentNonLawful</f>
        <v>0</v>
      </c>
      <c r="DS218" s="1" t="b">
        <f>BaseAtk&gt;=4</f>
        <v>0</v>
      </c>
      <c r="DT218" s="1" t="b">
        <f>SkAppraiseRanks&gt;=8</f>
        <v>0</v>
      </c>
      <c r="DU218" s="1" t="b">
        <f>IF(NOT(ISNA(MATCH("sailor",TblProfessionSkills,0))),INDEX(TblProfessionRanks,MATCH("sailor",TblProfessionSkills,0),1)&gt;=8,FALSE)</f>
        <v>0</v>
      </c>
      <c r="DV218" s="1" t="b">
        <f>SkSwimRanks&gt;=4</f>
        <v>0</v>
      </c>
      <c r="DW218" s="1" t="b">
        <f>SkUseRopeRanks&gt;=4</f>
        <v>0</v>
      </c>
      <c r="DX218" s="1" t="b">
        <f>FtQuickDraw</f>
        <v>0</v>
      </c>
      <c r="DY218" s="1" t="b">
        <f>OR(FtWeaponFinesse,FtShadowBlade)</f>
        <v>0</v>
      </c>
      <c r="EA218" s="1" t="b">
        <f t="shared" si="202"/>
        <v>0</v>
      </c>
      <c r="EB218" s="11" t="s">
        <v>338</v>
      </c>
      <c r="EC218" s="1" t="str">
        <f>IF(DR218,"","• Must be of any non-Lawful alignment.
")&amp;IF(DS218,"","• A base attack bonus of +4 or higher.
")&amp;IF(DT218,"","• 8 ranks in Appraise.
")&amp;IF(DU218,"","• 8 ranks in Profession (sailor).
")&amp;IF(DV218,"","• 4 ranks in Swim.
")&amp;IF(DW218,"","• 4 ranks in Use Rope.
")&amp;IF(DX218,"","• Quick Draw feat.
")&amp;IF(DY218,"","• Weapon Finesse feat.
")&amp;"• Must own a ship worth at least 10,000 gp (not verified)."</f>
        <v>• Must be of any non-Lawful alignment.
• A base attack bonus of +4 or higher.
• 8 ranks in Appraise.
• 8 ranks in Profession (sailor).
• 4 ranks in Swim.
• 4 ranks in Use Rope.
• Quick Draw feat.
• Weapon Finesse feat.
• Must own a ship worth at least 10,000 gp (not verified).</v>
      </c>
      <c r="ED218" s="11" t="s">
        <v>335</v>
      </c>
      <c r="EE218" s="14"/>
      <c r="EF218" s="15"/>
      <c r="EG218" s="15"/>
      <c r="EH218" s="15"/>
      <c r="EI218" s="15"/>
      <c r="EJ218" s="15"/>
      <c r="EK218" s="15"/>
      <c r="EL218" s="15"/>
      <c r="EM218" s="15"/>
      <c r="EN218" s="15"/>
      <c r="EO218" s="16"/>
    </row>
    <row r="219" spans="1:145" ht="11.25" customHeight="1" thickBot="1" x14ac:dyDescent="0.25">
      <c r="A219" s="1">
        <f t="shared" si="186"/>
        <v>216</v>
      </c>
      <c r="B219" s="1" t="s">
        <v>623</v>
      </c>
      <c r="C219" s="1" t="s">
        <v>624</v>
      </c>
      <c r="D219" s="1" t="s">
        <v>624</v>
      </c>
      <c r="E219" s="1">
        <f t="shared" si="204"/>
        <v>0</v>
      </c>
      <c r="K219" s="1">
        <v>8</v>
      </c>
      <c r="L219" s="1">
        <v>6</v>
      </c>
      <c r="V219" s="1">
        <v>0.75</v>
      </c>
      <c r="W219" s="1">
        <v>0.5</v>
      </c>
      <c r="X219" s="1">
        <v>0.5</v>
      </c>
      <c r="Y219" s="1">
        <v>0.34</v>
      </c>
      <c r="Z219" s="1" t="b">
        <f>FALSE</f>
        <v>0</v>
      </c>
      <c r="AA219" s="1" t="str">
        <f t="shared" si="207"/>
        <v/>
      </c>
      <c r="AB219" s="1" t="str">
        <f t="shared" si="208"/>
        <v/>
      </c>
      <c r="AC219" s="1">
        <f t="shared" si="205"/>
        <v>0</v>
      </c>
      <c r="AD219" s="1" t="str">
        <f t="shared" si="209"/>
        <v/>
      </c>
      <c r="AE219" s="1" t="str">
        <f t="shared" si="210"/>
        <v/>
      </c>
      <c r="AF219" s="1">
        <f t="shared" si="206"/>
        <v>0</v>
      </c>
      <c r="AG219" s="1">
        <f t="shared" si="211"/>
        <v>5</v>
      </c>
      <c r="AH219" s="1" t="str">
        <f t="shared" si="203"/>
        <v/>
      </c>
      <c r="AI219" s="1">
        <v>2</v>
      </c>
      <c r="AJ219" s="1">
        <f t="shared" si="187"/>
        <v>0</v>
      </c>
      <c r="AK219" s="1">
        <v>2</v>
      </c>
      <c r="AL219" s="1">
        <v>1</v>
      </c>
      <c r="AM219" s="1">
        <v>2</v>
      </c>
      <c r="AN219" s="1">
        <f t="shared" si="188"/>
        <v>0</v>
      </c>
      <c r="AO219" s="1">
        <v>1</v>
      </c>
      <c r="AP219" s="1">
        <v>2</v>
      </c>
      <c r="AQ219" s="1">
        <v>2</v>
      </c>
      <c r="AR219" s="1">
        <v>2</v>
      </c>
      <c r="AS219" s="1">
        <v>2</v>
      </c>
      <c r="AT219" s="1">
        <v>2</v>
      </c>
      <c r="AU219" s="1">
        <v>2</v>
      </c>
      <c r="AV219" s="1">
        <v>2</v>
      </c>
      <c r="AW219" s="1">
        <v>1</v>
      </c>
      <c r="AX219" s="1">
        <v>1</v>
      </c>
      <c r="AY219" s="1">
        <v>2</v>
      </c>
      <c r="AZ219" s="1">
        <v>1</v>
      </c>
      <c r="BA219" s="1">
        <v>1</v>
      </c>
      <c r="BB219" s="1">
        <v>1</v>
      </c>
      <c r="BC219" s="1">
        <v>1</v>
      </c>
      <c r="BD219" s="1">
        <v>1</v>
      </c>
      <c r="BE219" s="1">
        <v>1</v>
      </c>
      <c r="BF219" s="1">
        <v>2</v>
      </c>
      <c r="BG219" s="1">
        <f t="shared" si="189"/>
        <v>0</v>
      </c>
      <c r="BH219" s="1">
        <f t="shared" si="190"/>
        <v>0</v>
      </c>
      <c r="BI219" s="1">
        <v>1</v>
      </c>
      <c r="BJ219" s="1">
        <v>2</v>
      </c>
      <c r="BK219" s="1">
        <v>1</v>
      </c>
      <c r="BL219" s="1">
        <v>1</v>
      </c>
      <c r="BM219" s="1">
        <v>2</v>
      </c>
      <c r="BN219" s="1">
        <v>1</v>
      </c>
      <c r="BO219" s="1">
        <v>1</v>
      </c>
      <c r="BP219" s="1">
        <v>1</v>
      </c>
      <c r="BQ219" s="1">
        <f>IF(HRRVL,1,0)</f>
        <v>0</v>
      </c>
      <c r="BR219" s="1">
        <v>1</v>
      </c>
      <c r="BS219" s="1">
        <v>1</v>
      </c>
      <c r="BT219" s="1">
        <f t="shared" si="192"/>
        <v>0</v>
      </c>
      <c r="BU219" s="1">
        <f t="shared" si="193"/>
        <v>0</v>
      </c>
      <c r="BV219" s="1">
        <v>1</v>
      </c>
      <c r="BW219" s="1">
        <v>1</v>
      </c>
      <c r="BX219" s="1">
        <v>1</v>
      </c>
      <c r="BY219" s="1">
        <v>1</v>
      </c>
      <c r="BZ219" s="1">
        <v>1</v>
      </c>
      <c r="CA219" s="1">
        <v>1</v>
      </c>
      <c r="CB219" s="1">
        <v>1</v>
      </c>
      <c r="CC219" s="1">
        <v>1</v>
      </c>
      <c r="CD219" s="1">
        <v>1</v>
      </c>
      <c r="CE219" s="1">
        <v>1</v>
      </c>
      <c r="CF219" s="1">
        <v>2</v>
      </c>
      <c r="CG219" s="1">
        <f t="shared" si="194"/>
        <v>0</v>
      </c>
      <c r="CH219" s="1">
        <v>2</v>
      </c>
      <c r="CI219" s="1">
        <v>2</v>
      </c>
      <c r="CJ219" s="1">
        <v>1</v>
      </c>
      <c r="CK219" s="1">
        <v>1</v>
      </c>
      <c r="CL219" s="1">
        <v>1</v>
      </c>
      <c r="CM219" s="1">
        <v>1</v>
      </c>
      <c r="CN219" s="1">
        <v>1</v>
      </c>
      <c r="CO219" s="1">
        <v>1</v>
      </c>
      <c r="CP219" s="1">
        <v>1</v>
      </c>
      <c r="CQ219" s="1">
        <v>1</v>
      </c>
      <c r="CR219" s="1">
        <v>1</v>
      </c>
      <c r="CS219" s="1">
        <v>1</v>
      </c>
      <c r="CT219" s="1">
        <v>1</v>
      </c>
      <c r="CU219" s="1">
        <v>1</v>
      </c>
      <c r="CV219" s="1">
        <f t="shared" si="195"/>
        <v>0</v>
      </c>
      <c r="CW219" s="1">
        <v>1</v>
      </c>
      <c r="CX219" s="1">
        <v>2</v>
      </c>
      <c r="CY219" s="1">
        <v>1</v>
      </c>
      <c r="CZ219" s="1">
        <f t="shared" si="196"/>
        <v>0</v>
      </c>
      <c r="DA219" s="1">
        <v>1</v>
      </c>
      <c r="DB219" s="1">
        <v>1</v>
      </c>
      <c r="DC219" s="1">
        <v>1</v>
      </c>
      <c r="DD219" s="1">
        <v>2</v>
      </c>
      <c r="DE219" s="1">
        <v>2</v>
      </c>
      <c r="DF219" s="1">
        <v>2</v>
      </c>
      <c r="DG219" s="1">
        <v>2</v>
      </c>
      <c r="DH219" s="1">
        <v>2</v>
      </c>
      <c r="DI219" s="1">
        <f t="shared" si="197"/>
        <v>0</v>
      </c>
      <c r="DJ219" s="1">
        <v>2</v>
      </c>
      <c r="DK219" s="1" t="s">
        <v>169</v>
      </c>
      <c r="DL219" s="1" t="s">
        <v>40</v>
      </c>
      <c r="DP219" s="1" t="b">
        <f>hasTrapfinding</f>
        <v>0</v>
      </c>
      <c r="DQ219" s="1" t="b">
        <f>FtBlindFight</f>
        <v>0</v>
      </c>
      <c r="DR219" s="1" t="b">
        <f>SkClimbRanks&gt;=10</f>
        <v>0</v>
      </c>
      <c r="DS219" s="1" t="b">
        <f>IF(NOT(ISNA(MATCH("Stonemasonry",TblCraftSkills,0))),INDEX(TblCraftRanks,MATCH("Stonemasonry",TblCraftSkills,0),1)&gt;=5,FALSE)</f>
        <v>0</v>
      </c>
      <c r="DT219" s="1" t="b">
        <f>SkDisableDeviceRanks&gt;=10</f>
        <v>0</v>
      </c>
      <c r="DU219" s="1" t="b">
        <f>SkHideRanks&gt;=5</f>
        <v>0</v>
      </c>
      <c r="DV219" s="1" t="b">
        <f>SkKnowledgeDungeoneeringRanks&gt;=5</f>
        <v>0</v>
      </c>
      <c r="DW219" s="1" t="b">
        <f>SkMoveSilentlyRanks&gt;=5</f>
        <v>0</v>
      </c>
      <c r="DX219" s="1" t="b">
        <f>SkOpenLockRanks&gt;=10</f>
        <v>0</v>
      </c>
      <c r="DY219" s="1" t="b">
        <f>SkSearchRanks&gt;=10</f>
        <v>0</v>
      </c>
      <c r="DZ219" s="1" t="b">
        <f>FtAlertness</f>
        <v>0</v>
      </c>
      <c r="EA219" s="1" t="b">
        <f t="shared" si="202"/>
        <v>0</v>
      </c>
      <c r="EB219" s="11" t="s">
        <v>338</v>
      </c>
      <c r="EC219" s="1" t="str">
        <f>IF(DR219,"","• 10 ranks in Climb
")&amp;IF(DS219,"","• 5 ranks in Craft (stonemasonry).
")&amp;IF(DT219,"","• 10 ranks in Disable Device.
")&amp;IF(DU219,"","• 5 ranks in Hide.
")&amp;IF(DV219,"","• 5 ranks in Knowledge (dungeoneering).
")&amp;IF(DW219,"","• 5 ranks in Move Silently.
")&amp;IF(DX219,"","• 10 ranks in Open Lock.
")&amp;IF(DY219,"","• 10 ranks in Search.
")&amp;IF(DZ219,"","• Alertness feat.
")&amp;IF(DQ219,"","• Blind-Fight feat.
")&amp;IF(DP219,"","• Trapfinding class feature.
")&amp;"• Must survive a great trial underground  (not verified)."</f>
        <v>• 10 ranks in Climb
• 5 ranks in Craft (stonemasonry).
• 10 ranks in Disable Device.
• 5 ranks in Hide.
• 5 ranks in Knowledge (dungeoneering).
• 5 ranks in Move Silently.
• 10 ranks in Open Lock.
• 10 ranks in Search.
• Alertness feat.
• Blind-Fight feat.
• Trapfinding class feature.
• Must survive a great trial underground  (not verified).</v>
      </c>
      <c r="ED219" s="11" t="s">
        <v>335</v>
      </c>
      <c r="EE219" s="17"/>
      <c r="EF219" s="18"/>
      <c r="EG219" s="18"/>
      <c r="EH219" s="18"/>
      <c r="EI219" s="18"/>
      <c r="EJ219" s="18"/>
      <c r="EK219" s="18"/>
      <c r="EL219" s="18"/>
      <c r="EM219" s="18"/>
      <c r="EN219" s="18"/>
      <c r="EO219" s="19"/>
    </row>
    <row r="220" spans="1:145" ht="11.25" customHeight="1" x14ac:dyDescent="0.2">
      <c r="A220" s="1">
        <f t="shared" si="186"/>
        <v>217</v>
      </c>
      <c r="B220" s="1" t="s">
        <v>307</v>
      </c>
      <c r="C220" s="1" t="s">
        <v>604</v>
      </c>
      <c r="D220" s="1" t="s">
        <v>604</v>
      </c>
      <c r="E220" s="1">
        <f t="shared" si="204"/>
        <v>0</v>
      </c>
      <c r="K220" s="1">
        <v>8</v>
      </c>
      <c r="L220" s="1">
        <v>6</v>
      </c>
      <c r="V220" s="1">
        <v>0.75</v>
      </c>
      <c r="W220" s="1">
        <v>0.34</v>
      </c>
      <c r="X220" s="1">
        <v>0.34</v>
      </c>
      <c r="Y220" s="1">
        <v>0.5</v>
      </c>
      <c r="Z220" s="1" t="b">
        <f>FALSE</f>
        <v>0</v>
      </c>
      <c r="AA220" s="1" t="str">
        <f t="shared" si="207"/>
        <v/>
      </c>
      <c r="AB220" s="1" t="str">
        <f t="shared" si="208"/>
        <v/>
      </c>
      <c r="AC220" s="1">
        <f t="shared" si="205"/>
        <v>0</v>
      </c>
      <c r="AD220" s="1" t="str">
        <f t="shared" si="209"/>
        <v/>
      </c>
      <c r="AE220" s="1" t="str">
        <f t="shared" si="210"/>
        <v/>
      </c>
      <c r="AF220" s="1">
        <f t="shared" si="206"/>
        <v>0</v>
      </c>
      <c r="AG220" s="1">
        <f t="shared" si="211"/>
        <v>5</v>
      </c>
      <c r="AH220" s="1" t="str">
        <f t="shared" si="203"/>
        <v/>
      </c>
      <c r="AI220" s="1">
        <v>2</v>
      </c>
      <c r="AJ220" s="1">
        <f t="shared" si="187"/>
        <v>0</v>
      </c>
      <c r="AK220" s="1">
        <v>2</v>
      </c>
      <c r="AL220" s="1">
        <v>2</v>
      </c>
      <c r="AM220" s="1">
        <v>2</v>
      </c>
      <c r="AN220" s="1">
        <f t="shared" si="188"/>
        <v>0</v>
      </c>
      <c r="AO220" s="1">
        <v>2</v>
      </c>
      <c r="AP220" s="1">
        <v>2</v>
      </c>
      <c r="AQ220" s="1">
        <v>2</v>
      </c>
      <c r="AR220" s="1">
        <v>2</v>
      </c>
      <c r="AS220" s="1">
        <v>2</v>
      </c>
      <c r="AT220" s="1">
        <v>2</v>
      </c>
      <c r="AU220" s="1">
        <v>2</v>
      </c>
      <c r="AV220" s="1">
        <v>2</v>
      </c>
      <c r="AW220" s="1">
        <v>2</v>
      </c>
      <c r="AX220" s="1">
        <v>2</v>
      </c>
      <c r="AY220" s="1">
        <v>2</v>
      </c>
      <c r="AZ220" s="1">
        <v>2</v>
      </c>
      <c r="BA220" s="1">
        <v>2</v>
      </c>
      <c r="BB220" s="1">
        <v>2</v>
      </c>
      <c r="BC220" s="1">
        <v>2</v>
      </c>
      <c r="BD220" s="1">
        <v>2</v>
      </c>
      <c r="BE220" s="1">
        <v>2</v>
      </c>
      <c r="BF220" s="1">
        <v>2</v>
      </c>
      <c r="BG220" s="1">
        <f t="shared" si="189"/>
        <v>0</v>
      </c>
      <c r="BH220" s="1">
        <f t="shared" si="190"/>
        <v>0</v>
      </c>
      <c r="BI220" s="1">
        <v>2</v>
      </c>
      <c r="BJ220" s="1">
        <v>2</v>
      </c>
      <c r="BK220" s="1">
        <v>2</v>
      </c>
      <c r="BL220" s="1">
        <v>2</v>
      </c>
      <c r="BM220" s="1">
        <v>2</v>
      </c>
      <c r="BN220" s="1">
        <v>2</v>
      </c>
      <c r="BO220" s="1">
        <v>2</v>
      </c>
      <c r="BP220" s="1">
        <f>1+NOT(HRLivingGreyhawk)</f>
        <v>2</v>
      </c>
      <c r="BQ220" s="1">
        <f>IF(HRRVL,2,0)</f>
        <v>0</v>
      </c>
      <c r="BR220" s="1">
        <v>2</v>
      </c>
      <c r="BS220" s="1">
        <v>2</v>
      </c>
      <c r="BT220" s="1">
        <f>IF(HRXPH,2,0)</f>
        <v>0</v>
      </c>
      <c r="BU220" s="1">
        <f>IF(HRRVL,2,0)</f>
        <v>0</v>
      </c>
      <c r="BV220" s="1">
        <v>2</v>
      </c>
      <c r="BW220" s="1">
        <v>2</v>
      </c>
      <c r="BX220" s="1">
        <v>2</v>
      </c>
      <c r="BY220" s="1">
        <v>2</v>
      </c>
      <c r="BZ220" s="1">
        <v>2</v>
      </c>
      <c r="CA220" s="1">
        <v>2</v>
      </c>
      <c r="CB220" s="1">
        <v>2</v>
      </c>
      <c r="CC220" s="1">
        <v>2</v>
      </c>
      <c r="CD220" s="1">
        <v>2</v>
      </c>
      <c r="CE220" s="1">
        <v>2</v>
      </c>
      <c r="CF220" s="1">
        <v>2</v>
      </c>
      <c r="CG220" s="1">
        <f t="shared" si="194"/>
        <v>0</v>
      </c>
      <c r="CH220" s="1">
        <v>2</v>
      </c>
      <c r="CI220" s="1">
        <v>2</v>
      </c>
      <c r="CJ220" s="1">
        <v>2</v>
      </c>
      <c r="CK220" s="1">
        <v>2</v>
      </c>
      <c r="CL220" s="1">
        <v>2</v>
      </c>
      <c r="CM220" s="1">
        <v>2</v>
      </c>
      <c r="CN220" s="1">
        <v>2</v>
      </c>
      <c r="CO220" s="1">
        <v>2</v>
      </c>
      <c r="CP220" s="1">
        <v>2</v>
      </c>
      <c r="CQ220" s="1">
        <v>2</v>
      </c>
      <c r="CR220" s="1">
        <v>2</v>
      </c>
      <c r="CS220" s="1">
        <v>2</v>
      </c>
      <c r="CT220" s="1">
        <v>2</v>
      </c>
      <c r="CU220" s="1">
        <v>2</v>
      </c>
      <c r="CV220" s="1">
        <f t="shared" si="195"/>
        <v>0</v>
      </c>
      <c r="CW220" s="1">
        <v>2</v>
      </c>
      <c r="CX220" s="1">
        <v>2</v>
      </c>
      <c r="CY220" s="1">
        <v>2</v>
      </c>
      <c r="CZ220" s="1">
        <f t="shared" si="196"/>
        <v>0</v>
      </c>
      <c r="DA220" s="1">
        <v>2</v>
      </c>
      <c r="DB220" s="1">
        <v>2</v>
      </c>
      <c r="DC220" s="1">
        <v>2</v>
      </c>
      <c r="DD220" s="1">
        <v>2</v>
      </c>
      <c r="DE220" s="1">
        <v>2</v>
      </c>
      <c r="DF220" s="1">
        <v>2</v>
      </c>
      <c r="DG220" s="1">
        <v>2</v>
      </c>
      <c r="DH220" s="1">
        <v>2</v>
      </c>
      <c r="DI220" s="1">
        <f t="shared" si="197"/>
        <v>0</v>
      </c>
      <c r="DJ220" s="1">
        <v>2</v>
      </c>
      <c r="DK220" s="1" t="s">
        <v>169</v>
      </c>
      <c r="DL220" s="1" t="s">
        <v>40</v>
      </c>
      <c r="DR220" s="1" t="b">
        <f>SkDiplomacyRanks&gt;=6</f>
        <v>0</v>
      </c>
      <c r="DS220" s="1" t="b">
        <f>IF(AND(MAX(SkRanks)&gt;=13,SkDiplomacyRanks&lt;=12),MAX(SkRanks)&gt;=13,IF(COUNTIF(SkRanks,"&gt;=13")&gt;=2,MAX(SkRanks)&gt;=13,FALSE))</f>
        <v>0</v>
      </c>
      <c r="DT220" s="1" t="b">
        <f>OR(FtSkillFocus1,[1]Feats!AQ94&lt;&gt;"")</f>
        <v>0</v>
      </c>
      <c r="EA220" s="1" t="b">
        <f t="shared" si="202"/>
        <v>0</v>
      </c>
      <c r="EB220" s="11" t="s">
        <v>334</v>
      </c>
      <c r="EC220" s="1" t="str">
        <f>IF(DR220,"","• 6 ranks in Diplomacy.
")&amp;IF(DS220,"","• 13 ranks in any other skill.
")&amp;IF(DT220,"","• Any Skill Focus feat.")</f>
        <v>• 6 ranks in Diplomacy.
• 13 ranks in any other skill.
• Any Skill Focus feat.</v>
      </c>
      <c r="ED220" s="11" t="s">
        <v>335</v>
      </c>
    </row>
    <row r="221" spans="1:145" ht="11.25" customHeight="1" x14ac:dyDescent="0.2">
      <c r="A221" s="1">
        <f t="shared" si="186"/>
        <v>218</v>
      </c>
      <c r="B221" s="1" t="s">
        <v>625</v>
      </c>
      <c r="C221" s="1" t="s">
        <v>626</v>
      </c>
      <c r="D221" s="1" t="s">
        <v>626</v>
      </c>
      <c r="E221" s="1">
        <f t="shared" si="204"/>
        <v>0</v>
      </c>
      <c r="G221" s="1">
        <f>FoLLvl</f>
        <v>0</v>
      </c>
      <c r="H221" s="1">
        <f>FoLLvl</f>
        <v>0</v>
      </c>
      <c r="K221" s="1">
        <v>6</v>
      </c>
      <c r="L221" s="1">
        <v>6</v>
      </c>
      <c r="V221" s="1">
        <v>1</v>
      </c>
      <c r="W221" s="1">
        <v>0.34</v>
      </c>
      <c r="X221" s="1">
        <v>0.5</v>
      </c>
      <c r="Y221" s="1">
        <v>0.5</v>
      </c>
      <c r="Z221" s="1" t="b">
        <f>FALSE</f>
        <v>0</v>
      </c>
      <c r="AA221" s="1" t="str">
        <f t="shared" si="207"/>
        <v/>
      </c>
      <c r="AB221" s="1" t="str">
        <f t="shared" si="208"/>
        <v/>
      </c>
      <c r="AC221" s="1">
        <f t="shared" si="205"/>
        <v>0</v>
      </c>
      <c r="AD221" s="1" t="str">
        <f t="shared" si="209"/>
        <v/>
      </c>
      <c r="AE221" s="1" t="str">
        <f t="shared" si="210"/>
        <v/>
      </c>
      <c r="AF221" s="1">
        <f t="shared" si="206"/>
        <v>0</v>
      </c>
      <c r="AG221" s="1">
        <f t="shared" si="211"/>
        <v>5</v>
      </c>
      <c r="AH221" s="1" t="str">
        <f t="shared" si="203"/>
        <v/>
      </c>
      <c r="AI221" s="1">
        <v>2</v>
      </c>
      <c r="AJ221" s="1">
        <f t="shared" si="187"/>
        <v>0</v>
      </c>
      <c r="AK221" s="1">
        <v>1</v>
      </c>
      <c r="AL221" s="1">
        <v>2</v>
      </c>
      <c r="AM221" s="1">
        <v>1</v>
      </c>
      <c r="AN221" s="1">
        <f t="shared" si="188"/>
        <v>0</v>
      </c>
      <c r="AO221" s="1">
        <v>2</v>
      </c>
      <c r="AP221" s="1">
        <v>2</v>
      </c>
      <c r="AQ221" s="1">
        <v>2</v>
      </c>
      <c r="AR221" s="1">
        <v>2</v>
      </c>
      <c r="AS221" s="1">
        <v>2</v>
      </c>
      <c r="AT221" s="1">
        <v>2</v>
      </c>
      <c r="AU221" s="1">
        <v>2</v>
      </c>
      <c r="AV221" s="1">
        <v>2</v>
      </c>
      <c r="AW221" s="1">
        <v>2</v>
      </c>
      <c r="AX221" s="1">
        <v>2</v>
      </c>
      <c r="AY221" s="1">
        <v>1</v>
      </c>
      <c r="AZ221" s="1">
        <v>2</v>
      </c>
      <c r="BA221" s="1">
        <v>1</v>
      </c>
      <c r="BB221" s="1">
        <v>1</v>
      </c>
      <c r="BC221" s="1">
        <v>2</v>
      </c>
      <c r="BD221" s="1">
        <v>2</v>
      </c>
      <c r="BE221" s="1">
        <v>2</v>
      </c>
      <c r="BF221" s="1">
        <v>2</v>
      </c>
      <c r="BG221" s="1">
        <f t="shared" si="189"/>
        <v>0</v>
      </c>
      <c r="BH221" s="1">
        <f t="shared" si="190"/>
        <v>0</v>
      </c>
      <c r="BI221" s="1">
        <v>1</v>
      </c>
      <c r="BJ221" s="1">
        <v>1</v>
      </c>
      <c r="BK221" s="1">
        <v>2</v>
      </c>
      <c r="BL221" s="1">
        <v>2</v>
      </c>
      <c r="BM221" s="1">
        <v>2</v>
      </c>
      <c r="BN221" s="1">
        <v>2</v>
      </c>
      <c r="BO221" s="1">
        <v>2</v>
      </c>
      <c r="BP221" s="1">
        <f>1+NOT(HRLivingGreyhawk)</f>
        <v>2</v>
      </c>
      <c r="BQ221" s="1">
        <f>IF(HRRVL,2,0)</f>
        <v>0</v>
      </c>
      <c r="BR221" s="1">
        <v>2</v>
      </c>
      <c r="BS221" s="1">
        <v>2</v>
      </c>
      <c r="BT221" s="1">
        <f>IF(HRXPH,2,0)</f>
        <v>0</v>
      </c>
      <c r="BU221" s="1">
        <f>IF(HRRVL,2,0)</f>
        <v>0</v>
      </c>
      <c r="BV221" s="1">
        <v>2</v>
      </c>
      <c r="BW221" s="1">
        <v>2</v>
      </c>
      <c r="BX221" s="1">
        <v>2</v>
      </c>
      <c r="BY221" s="1">
        <v>2</v>
      </c>
      <c r="BZ221" s="1">
        <v>2</v>
      </c>
      <c r="CA221" s="1">
        <v>2</v>
      </c>
      <c r="CB221" s="1">
        <v>2</v>
      </c>
      <c r="CC221" s="1">
        <v>2</v>
      </c>
      <c r="CD221" s="1">
        <v>2</v>
      </c>
      <c r="CE221" s="1">
        <v>2</v>
      </c>
      <c r="CF221" s="1">
        <v>2</v>
      </c>
      <c r="CG221" s="1">
        <f t="shared" si="194"/>
        <v>0</v>
      </c>
      <c r="CH221" s="1">
        <v>2</v>
      </c>
      <c r="CI221" s="1">
        <v>1</v>
      </c>
      <c r="CJ221" s="1">
        <v>2</v>
      </c>
      <c r="CK221" s="1">
        <v>2</v>
      </c>
      <c r="CL221" s="1">
        <v>2</v>
      </c>
      <c r="CM221" s="1">
        <v>2</v>
      </c>
      <c r="CN221" s="1">
        <v>2</v>
      </c>
      <c r="CO221" s="1">
        <v>2</v>
      </c>
      <c r="CP221" s="1">
        <v>2</v>
      </c>
      <c r="CQ221" s="1">
        <v>2</v>
      </c>
      <c r="CR221" s="1">
        <v>2</v>
      </c>
      <c r="CS221" s="1">
        <v>2</v>
      </c>
      <c r="CT221" s="1">
        <v>2</v>
      </c>
      <c r="CU221" s="1">
        <v>2</v>
      </c>
      <c r="CV221" s="1">
        <f t="shared" si="195"/>
        <v>0</v>
      </c>
      <c r="CW221" s="1">
        <v>2</v>
      </c>
      <c r="CX221" s="1">
        <v>1</v>
      </c>
      <c r="CY221" s="1">
        <v>2</v>
      </c>
      <c r="CZ221" s="1">
        <f t="shared" si="196"/>
        <v>0</v>
      </c>
      <c r="DA221" s="1">
        <v>2</v>
      </c>
      <c r="DB221" s="1">
        <v>2</v>
      </c>
      <c r="DC221" s="1">
        <v>2</v>
      </c>
      <c r="DD221" s="1">
        <v>1</v>
      </c>
      <c r="DE221" s="1">
        <v>2</v>
      </c>
      <c r="DF221" s="1">
        <v>2</v>
      </c>
      <c r="DG221" s="1">
        <v>1</v>
      </c>
      <c r="DH221" s="1">
        <v>2</v>
      </c>
      <c r="DI221" s="1">
        <f t="shared" si="197"/>
        <v>0</v>
      </c>
      <c r="DJ221" s="1">
        <v>1</v>
      </c>
      <c r="DK221" s="1" t="s">
        <v>169</v>
      </c>
      <c r="DL221" s="1" t="s">
        <v>40</v>
      </c>
      <c r="DO221" s="1" t="b">
        <f ca="1">MaxDivineSpellLevel&gt;=1</f>
        <v>0</v>
      </c>
      <c r="DP221" s="1" t="b">
        <f>BardicKnowledge</f>
        <v>0</v>
      </c>
      <c r="DQ221" s="1" t="b">
        <f>hasEvasion</f>
        <v>0</v>
      </c>
      <c r="DR221" s="1" t="b">
        <f>AND(AlignmentNeutral,AlignmentNonLawful)</f>
        <v>0</v>
      </c>
      <c r="DS221" s="1" t="b">
        <f>SkDecipherScriptRanks&gt;=7</f>
        <v>0</v>
      </c>
      <c r="DT221" s="1" t="b">
        <f>SkDiplomacyRanks&gt;=7</f>
        <v>0</v>
      </c>
      <c r="DU221" s="1" t="b">
        <f>SkGatherInformationRanks&gt;=7</f>
        <v>0</v>
      </c>
      <c r="DV221" s="1" t="b">
        <f>SkKnowledgeNatureRanks&gt;=7</f>
        <v>0</v>
      </c>
      <c r="DW221" s="1" t="b">
        <f>IF(NOT(ISNA(MATCH("string instruments",TblPerformSkills,0))),INDEX(TblPerformRanks,MATCH("string instruments",TblPerformSkills,0),1)&gt;=13,FALSE)</f>
        <v>0</v>
      </c>
      <c r="DX221" s="1" t="b">
        <f>SkSleightOfHandRanks&gt;=7</f>
        <v>0</v>
      </c>
      <c r="DY221" s="1" t="b">
        <f>NOT(ISNA(MATCH("Druidic",TblLangKnown,0)))</f>
        <v>0</v>
      </c>
      <c r="DZ221" s="1" t="b">
        <f ca="1">MaxArcaneSpellLevel&gt;=1</f>
        <v>0</v>
      </c>
      <c r="EA221" s="1" t="b">
        <f ca="1">AND(DM221:DZ221)</f>
        <v>0</v>
      </c>
      <c r="EB221" s="11" t="s">
        <v>334</v>
      </c>
      <c r="EC221" s="1" t="str">
        <f ca="1">IF(DR221,"","• Must be of Neutral Good, Neutral, Chaotic Neutral or Neutral Evil
   alignment.
")&amp;IF(DS221,"","• 7 ranks in Decipher Script.
")&amp;IF(DT221,"","• 7 ranks in Diplomacy.
")&amp;IF(DU221,"","• 7 ranks in Gather Information.
")&amp;IF(DV221,"","• 7 ranks in Knowledge (nature).
")&amp;IF(DW221,"","• 13 ranks in Perform (string instruments).
")&amp;IF(DX221,"","• 7 ranks in Sleight of Hand.
")&amp;IF(DY221,"","• Ability to speak Druidic.
")&amp;IF(DZ221,"","• Ability to cast 1st level arcane spells.
")&amp;IF(DO221,"","• Ability to cast 1st level divine spells.
")&amp;IF(DP221,"","• Bardic knowledge.
")&amp;IF(DQ221,"","• Evasion.")</f>
        <v>• Must be of Neutral Good, Neutral, Chaotic Neutral or Neutral Evil
   alignment.
• 7 ranks in Decipher Script.
• 7 ranks in Diplomacy.
• 7 ranks in Gather Information.
• 7 ranks in Knowledge (nature).
• 13 ranks in Perform (string instruments).
• 7 ranks in Sleight of Hand.
• Ability to speak Druidic.
• Ability to cast 1st level arcane spells.
• Ability to cast 1st level divine spells.
• Bardic knowledge.
• Evasion.</v>
      </c>
      <c r="ED221" s="11" t="s">
        <v>335</v>
      </c>
      <c r="EE221" s="1" t="s">
        <v>627</v>
      </c>
      <c r="EF221" s="1">
        <f>COUNTA($EE$188:$EE$219)</f>
        <v>30</v>
      </c>
    </row>
    <row r="222" spans="1:145" ht="11.25" customHeight="1" x14ac:dyDescent="0.2">
      <c r="A222" s="1">
        <f t="shared" si="186"/>
        <v>219</v>
      </c>
      <c r="B222" s="1" t="s">
        <v>628</v>
      </c>
      <c r="C222" s="1" t="s">
        <v>629</v>
      </c>
      <c r="D222" s="1" t="s">
        <v>629</v>
      </c>
      <c r="E222" s="1">
        <f t="shared" si="204"/>
        <v>0</v>
      </c>
      <c r="K222" s="1">
        <v>4</v>
      </c>
      <c r="L222" s="1">
        <v>8</v>
      </c>
      <c r="N222" s="1" t="b">
        <v>1</v>
      </c>
      <c r="S222" s="1" t="b">
        <v>1</v>
      </c>
      <c r="T222" s="1" t="b">
        <v>1</v>
      </c>
      <c r="V222" s="1">
        <v>1</v>
      </c>
      <c r="W222" s="1">
        <v>0.5</v>
      </c>
      <c r="X222" s="1">
        <v>0.34</v>
      </c>
      <c r="Y222" s="1">
        <v>0.34</v>
      </c>
      <c r="Z222" s="1" t="b">
        <f>FALSE</f>
        <v>0</v>
      </c>
      <c r="AA222" s="1" t="str">
        <f t="shared" si="207"/>
        <v/>
      </c>
      <c r="AB222" s="1" t="str">
        <f t="shared" si="208"/>
        <v/>
      </c>
      <c r="AC222" s="1">
        <f t="shared" si="205"/>
        <v>0</v>
      </c>
      <c r="AD222" s="1" t="str">
        <f t="shared" si="209"/>
        <v/>
      </c>
      <c r="AE222" s="1" t="str">
        <f t="shared" si="210"/>
        <v/>
      </c>
      <c r="AF222" s="1">
        <f t="shared" si="206"/>
        <v>0</v>
      </c>
      <c r="AG222" s="1">
        <f t="shared" si="211"/>
        <v>5</v>
      </c>
      <c r="AH222" s="1" t="str">
        <f t="shared" si="203"/>
        <v/>
      </c>
      <c r="AI222" s="1">
        <v>1</v>
      </c>
      <c r="AJ222" s="1">
        <f t="shared" si="187"/>
        <v>0</v>
      </c>
      <c r="AK222" s="1">
        <v>1</v>
      </c>
      <c r="AL222" s="1">
        <v>2</v>
      </c>
      <c r="AM222" s="1">
        <v>2</v>
      </c>
      <c r="AN222" s="1">
        <f t="shared" si="188"/>
        <v>0</v>
      </c>
      <c r="AO222" s="1">
        <v>2</v>
      </c>
      <c r="AP222" s="1">
        <v>1</v>
      </c>
      <c r="AQ222" s="1">
        <v>1</v>
      </c>
      <c r="AR222" s="1">
        <v>1</v>
      </c>
      <c r="AS222" s="1">
        <v>1</v>
      </c>
      <c r="AT222" s="1">
        <v>1</v>
      </c>
      <c r="AU222" s="1">
        <v>1</v>
      </c>
      <c r="AV222" s="1">
        <v>1</v>
      </c>
      <c r="AW222" s="1">
        <v>1</v>
      </c>
      <c r="AX222" s="1">
        <v>1</v>
      </c>
      <c r="AY222" s="1">
        <v>1</v>
      </c>
      <c r="AZ222" s="1">
        <v>1</v>
      </c>
      <c r="BA222" s="1">
        <v>1</v>
      </c>
      <c r="BB222" s="1">
        <v>1</v>
      </c>
      <c r="BC222" s="1">
        <v>1</v>
      </c>
      <c r="BD222" s="1">
        <v>1</v>
      </c>
      <c r="BE222" s="1">
        <v>1</v>
      </c>
      <c r="BF222" s="1">
        <v>2</v>
      </c>
      <c r="BG222" s="1">
        <f t="shared" si="189"/>
        <v>0</v>
      </c>
      <c r="BH222" s="1">
        <f t="shared" si="190"/>
        <v>0</v>
      </c>
      <c r="BI222" s="1">
        <v>2</v>
      </c>
      <c r="BJ222" s="1">
        <v>2</v>
      </c>
      <c r="BK222" s="1">
        <v>1</v>
      </c>
      <c r="BL222" s="1">
        <v>1</v>
      </c>
      <c r="BM222" s="1">
        <v>1</v>
      </c>
      <c r="BN222" s="1">
        <v>1</v>
      </c>
      <c r="BO222" s="1">
        <v>1</v>
      </c>
      <c r="BP222" s="1">
        <v>1</v>
      </c>
      <c r="BQ222" s="1">
        <f>IF(HRRVL,1,0)</f>
        <v>0</v>
      </c>
      <c r="BR222" s="1">
        <v>1</v>
      </c>
      <c r="BS222" s="1">
        <v>1</v>
      </c>
      <c r="BT222" s="1">
        <f t="shared" ref="BT222:BT227" si="212">IF(HRXPH,1,0)</f>
        <v>0</v>
      </c>
      <c r="BU222" s="1">
        <f t="shared" ref="BU222:BU227" si="213">IF(HRRVL,1,0)</f>
        <v>0</v>
      </c>
      <c r="BV222" s="1">
        <v>1</v>
      </c>
      <c r="BW222" s="1">
        <v>1</v>
      </c>
      <c r="BX222" s="1">
        <v>1</v>
      </c>
      <c r="BY222" s="1">
        <v>1</v>
      </c>
      <c r="BZ222" s="1">
        <v>1</v>
      </c>
      <c r="CA222" s="1">
        <v>1</v>
      </c>
      <c r="CB222" s="1">
        <v>1</v>
      </c>
      <c r="CC222" s="1">
        <v>1</v>
      </c>
      <c r="CD222" s="1">
        <v>1</v>
      </c>
      <c r="CE222" s="1">
        <v>1</v>
      </c>
      <c r="CF222" s="1">
        <v>2</v>
      </c>
      <c r="CG222" s="1">
        <f t="shared" si="194"/>
        <v>0</v>
      </c>
      <c r="CH222" s="1">
        <v>2</v>
      </c>
      <c r="CI222" s="1">
        <v>2</v>
      </c>
      <c r="CJ222" s="1">
        <v>1</v>
      </c>
      <c r="CK222" s="1">
        <v>1</v>
      </c>
      <c r="CL222" s="1">
        <v>1</v>
      </c>
      <c r="CM222" s="1">
        <v>1</v>
      </c>
      <c r="CN222" s="1">
        <v>1</v>
      </c>
      <c r="CO222" s="1">
        <v>1</v>
      </c>
      <c r="CP222" s="1">
        <v>1</v>
      </c>
      <c r="CQ222" s="1">
        <v>1</v>
      </c>
      <c r="CR222" s="1">
        <v>1</v>
      </c>
      <c r="CS222" s="1">
        <v>1</v>
      </c>
      <c r="CT222" s="1">
        <v>1</v>
      </c>
      <c r="CU222" s="1">
        <v>1</v>
      </c>
      <c r="CV222" s="1">
        <f t="shared" si="195"/>
        <v>0</v>
      </c>
      <c r="CW222" s="1">
        <v>1</v>
      </c>
      <c r="CX222" s="1">
        <v>2</v>
      </c>
      <c r="CY222" s="1">
        <v>1</v>
      </c>
      <c r="CZ222" s="1">
        <f t="shared" si="196"/>
        <v>0</v>
      </c>
      <c r="DA222" s="1">
        <v>1</v>
      </c>
      <c r="DB222" s="1">
        <v>1</v>
      </c>
      <c r="DC222" s="1">
        <v>1</v>
      </c>
      <c r="DD222" s="1">
        <v>2</v>
      </c>
      <c r="DE222" s="1">
        <v>1</v>
      </c>
      <c r="DF222" s="1">
        <v>2</v>
      </c>
      <c r="DG222" s="1">
        <v>2</v>
      </c>
      <c r="DH222" s="1">
        <v>1</v>
      </c>
      <c r="DI222" s="1">
        <f t="shared" si="197"/>
        <v>0</v>
      </c>
      <c r="DJ222" s="1">
        <v>1</v>
      </c>
      <c r="DK222" s="1" t="s">
        <v>169</v>
      </c>
      <c r="DL222" s="1" t="s">
        <v>170</v>
      </c>
      <c r="DR222" s="1" t="b">
        <f>AlignmentEvil</f>
        <v>0</v>
      </c>
      <c r="DS222" s="1" t="b">
        <f>BaseAtk&gt;=5</f>
        <v>0</v>
      </c>
      <c r="DT222" s="1" t="b">
        <f>SkHideRanks&gt;=6</f>
        <v>0</v>
      </c>
      <c r="DU222" s="1" t="b">
        <f>SkConcentrationRanks&gt;=4</f>
        <v>0</v>
      </c>
      <c r="DV222" s="1" t="b">
        <f>SkIntimidateRanks&gt;=8</f>
        <v>0</v>
      </c>
      <c r="DW222" s="1" t="b">
        <f>SkMoveSilentlyRanks&gt;=6</f>
        <v>0</v>
      </c>
      <c r="DX222" s="1" t="b">
        <f>FtImprovedInitiative</f>
        <v>0</v>
      </c>
      <c r="DY222" s="1" t="b">
        <f>FtPowerAttackEquiv</f>
        <v>0</v>
      </c>
      <c r="EA222" s="1" t="b">
        <f t="shared" si="202"/>
        <v>0</v>
      </c>
      <c r="EB222" s="11" t="s">
        <v>334</v>
      </c>
      <c r="EC222" s="1" t="str">
        <f>IF(DR222,"","• Must be of any Evil alignment.
")&amp;IF(DS222,"","• A base attack bonus of +5 or higher.
")&amp;IF(DT222,"","• 6 ranks in Hide.
")&amp;IF(DU222,"","• 4 ranks in Concentration.
")&amp;IF(DV222,"","• 8 ranks in Intimidate.
")&amp;IF(DW222,"","• 6 ranks in Move Silently.
")&amp;IF(DX222,"","• Improved Initiative feat.
")&amp;IF(DY222,"","• Power Attack feat.")</f>
        <v>• Must be of any Evil alignment.
• A base attack bonus of +5 or higher.
• 6 ranks in Hide.
• 4 ranks in Concentration.
• 8 ranks in Intimidate.
• 6 ranks in Move Silently.
• Improved Initiative feat.
• Power Attack feat.</v>
      </c>
      <c r="ED222" s="11" t="s">
        <v>335</v>
      </c>
      <c r="EE222" s="1" t="s">
        <v>630</v>
      </c>
      <c r="EF222" s="1" t="b">
        <f>OR($EI$189:INDEX(TblClassTypeMod,ClassTypeModRowsCnt,5))</f>
        <v>0</v>
      </c>
      <c r="EO222" s="25"/>
    </row>
    <row r="223" spans="1:145" ht="11.25" customHeight="1" x14ac:dyDescent="0.2">
      <c r="A223" s="1">
        <f t="shared" si="186"/>
        <v>220</v>
      </c>
      <c r="B223" s="1" t="s">
        <v>631</v>
      </c>
      <c r="C223" s="1" t="s">
        <v>632</v>
      </c>
      <c r="D223" s="1" t="s">
        <v>632</v>
      </c>
      <c r="E223" s="1">
        <f t="shared" si="204"/>
        <v>0</v>
      </c>
      <c r="K223" s="1">
        <v>4</v>
      </c>
      <c r="L223" s="1">
        <v>8</v>
      </c>
      <c r="N223" s="1" t="b">
        <v>1</v>
      </c>
      <c r="V223" s="1">
        <v>1</v>
      </c>
      <c r="W223" s="1">
        <v>0.5</v>
      </c>
      <c r="X223" s="1">
        <v>0.34</v>
      </c>
      <c r="Y223" s="1">
        <v>0.34</v>
      </c>
      <c r="Z223" s="1" t="b">
        <f>FALSE</f>
        <v>0</v>
      </c>
      <c r="AA223" s="1" t="str">
        <f t="shared" si="207"/>
        <v/>
      </c>
      <c r="AB223" s="1" t="str">
        <f t="shared" si="208"/>
        <v/>
      </c>
      <c r="AC223" s="1">
        <f t="shared" si="205"/>
        <v>0</v>
      </c>
      <c r="AD223" s="1" t="str">
        <f t="shared" si="209"/>
        <v/>
      </c>
      <c r="AE223" s="1" t="str">
        <f t="shared" si="210"/>
        <v/>
      </c>
      <c r="AF223" s="1">
        <f t="shared" si="206"/>
        <v>0</v>
      </c>
      <c r="AG223" s="1">
        <f t="shared" si="211"/>
        <v>5</v>
      </c>
      <c r="AH223" s="1" t="str">
        <f t="shared" si="203"/>
        <v/>
      </c>
      <c r="AI223" s="1">
        <v>1</v>
      </c>
      <c r="AJ223" s="1">
        <f t="shared" si="187"/>
        <v>0</v>
      </c>
      <c r="AK223" s="1">
        <v>2</v>
      </c>
      <c r="AL223" s="1">
        <v>1</v>
      </c>
      <c r="AM223" s="1">
        <v>2</v>
      </c>
      <c r="AN223" s="1">
        <f t="shared" si="188"/>
        <v>0</v>
      </c>
      <c r="AO223" s="1">
        <v>1</v>
      </c>
      <c r="AP223" s="1">
        <v>2</v>
      </c>
      <c r="AQ223" s="1">
        <v>2</v>
      </c>
      <c r="AR223" s="1">
        <v>2</v>
      </c>
      <c r="AS223" s="1">
        <v>2</v>
      </c>
      <c r="AT223" s="1">
        <v>2</v>
      </c>
      <c r="AU223" s="1">
        <v>2</v>
      </c>
      <c r="AV223" s="1">
        <v>2</v>
      </c>
      <c r="AW223" s="1">
        <v>1</v>
      </c>
      <c r="AX223" s="1">
        <v>1</v>
      </c>
      <c r="AY223" s="1">
        <v>1</v>
      </c>
      <c r="AZ223" s="1">
        <v>1</v>
      </c>
      <c r="BA223" s="1">
        <v>1</v>
      </c>
      <c r="BB223" s="1">
        <v>1</v>
      </c>
      <c r="BC223" s="1">
        <v>1</v>
      </c>
      <c r="BD223" s="1">
        <v>1</v>
      </c>
      <c r="BE223" s="1">
        <v>1</v>
      </c>
      <c r="BF223" s="1">
        <v>2</v>
      </c>
      <c r="BG223" s="1">
        <f t="shared" si="189"/>
        <v>0</v>
      </c>
      <c r="BH223" s="1">
        <f t="shared" si="190"/>
        <v>0</v>
      </c>
      <c r="BI223" s="1">
        <v>1</v>
      </c>
      <c r="BJ223" s="1">
        <v>2</v>
      </c>
      <c r="BK223" s="1">
        <v>1</v>
      </c>
      <c r="BL223" s="1">
        <v>1</v>
      </c>
      <c r="BM223" s="1">
        <v>1</v>
      </c>
      <c r="BN223" s="1">
        <v>2</v>
      </c>
      <c r="BO223" s="1">
        <v>1</v>
      </c>
      <c r="BP223" s="1">
        <v>1</v>
      </c>
      <c r="BQ223" s="1">
        <f>IF(HRRVL,2,0)</f>
        <v>0</v>
      </c>
      <c r="BR223" s="1">
        <v>2</v>
      </c>
      <c r="BS223" s="1">
        <v>1</v>
      </c>
      <c r="BT223" s="1">
        <f t="shared" si="212"/>
        <v>0</v>
      </c>
      <c r="BU223" s="1">
        <f t="shared" si="213"/>
        <v>0</v>
      </c>
      <c r="BV223" s="1">
        <v>1</v>
      </c>
      <c r="BW223" s="1">
        <v>1</v>
      </c>
      <c r="BX223" s="1">
        <v>1</v>
      </c>
      <c r="BY223" s="1">
        <v>1</v>
      </c>
      <c r="BZ223" s="1">
        <v>1</v>
      </c>
      <c r="CA223" s="1">
        <v>1</v>
      </c>
      <c r="CB223" s="1">
        <v>1</v>
      </c>
      <c r="CC223" s="1">
        <v>1</v>
      </c>
      <c r="CD223" s="1">
        <v>1</v>
      </c>
      <c r="CE223" s="1">
        <v>1</v>
      </c>
      <c r="CF223" s="1">
        <v>2</v>
      </c>
      <c r="CG223" s="1">
        <f t="shared" si="194"/>
        <v>0</v>
      </c>
      <c r="CH223" s="1">
        <v>2</v>
      </c>
      <c r="CI223" s="1">
        <v>1</v>
      </c>
      <c r="CJ223" s="1">
        <v>1</v>
      </c>
      <c r="CK223" s="1">
        <v>1</v>
      </c>
      <c r="CL223" s="1">
        <v>1</v>
      </c>
      <c r="CM223" s="1">
        <v>1</v>
      </c>
      <c r="CN223" s="1">
        <v>1</v>
      </c>
      <c r="CO223" s="1">
        <v>1</v>
      </c>
      <c r="CP223" s="1">
        <v>1</v>
      </c>
      <c r="CQ223" s="1">
        <v>1</v>
      </c>
      <c r="CR223" s="1">
        <v>1</v>
      </c>
      <c r="CS223" s="1">
        <v>1</v>
      </c>
      <c r="CT223" s="1">
        <v>1</v>
      </c>
      <c r="CU223" s="1">
        <v>1</v>
      </c>
      <c r="CV223" s="1">
        <f t="shared" si="195"/>
        <v>0</v>
      </c>
      <c r="CW223" s="1">
        <v>1</v>
      </c>
      <c r="CX223" s="1">
        <v>2</v>
      </c>
      <c r="CY223" s="1">
        <v>1</v>
      </c>
      <c r="CZ223" s="1">
        <f t="shared" si="196"/>
        <v>0</v>
      </c>
      <c r="DA223" s="1">
        <v>1</v>
      </c>
      <c r="DB223" s="1">
        <v>1</v>
      </c>
      <c r="DC223" s="1">
        <v>1</v>
      </c>
      <c r="DD223" s="1">
        <v>2</v>
      </c>
      <c r="DE223" s="1">
        <v>2</v>
      </c>
      <c r="DF223" s="1">
        <v>1</v>
      </c>
      <c r="DG223" s="1">
        <v>1</v>
      </c>
      <c r="DH223" s="1">
        <v>1</v>
      </c>
      <c r="DI223" s="1">
        <f t="shared" si="197"/>
        <v>0</v>
      </c>
      <c r="DJ223" s="1">
        <v>1</v>
      </c>
      <c r="DK223" s="1" t="s">
        <v>169</v>
      </c>
      <c r="DL223" s="1" t="s">
        <v>40</v>
      </c>
      <c r="DR223" s="1" t="b">
        <f>BaseAtk&gt;=5</f>
        <v>0</v>
      </c>
      <c r="DS223" s="1" t="b">
        <f>SkListenRanks&gt;=8</f>
        <v>0</v>
      </c>
      <c r="DT223" s="1" t="b">
        <f>SkSpotRanks&gt;=8</f>
        <v>0</v>
      </c>
      <c r="DU223" s="1" t="b">
        <f>SkSurvivalRanks&gt;=8</f>
        <v>0</v>
      </c>
      <c r="DV223" s="1" t="b">
        <f>FtTrack</f>
        <v>0</v>
      </c>
      <c r="DW223" s="1" t="b">
        <f>OR(SkirmishDamageAmount,(SneakAttack+SuddenStrike+PsionicSneakAttack)&gt;=1)</f>
        <v>0</v>
      </c>
      <c r="EA223" s="1" t="b">
        <f t="shared" si="202"/>
        <v>0</v>
      </c>
      <c r="EB223" s="11" t="s">
        <v>334</v>
      </c>
      <c r="EC223" s="1" t="str">
        <f>IF(DR223,"","• A base attack bonus of +5 or higher.
")&amp;IF(DS223,"","• 8 ranks in Listen.
")&amp;IF(DT223,"","• 8 ranks in Spot.
")&amp;IF(DU223,"","• 8 ranks in Survival.
")&amp;IF(DV223,"","• Track feat.
")&amp;IF(DW223,"","• Sneak attack +1d6 or Skirmish +1d6.")</f>
        <v>• A base attack bonus of +5 or higher.
• 8 ranks in Listen.
• 8 ranks in Spot.
• 8 ranks in Survival.
• Track feat.
• Sneak attack +1d6 or Skirmish +1d6.</v>
      </c>
      <c r="ED223" s="11" t="s">
        <v>335</v>
      </c>
      <c r="EE223" s="1" t="s">
        <v>633</v>
      </c>
      <c r="EF223" s="1">
        <f>MAX($EO$189:INDEX(TblClassTypeMod,ClassTypeModRowsCnt,11))</f>
        <v>-1</v>
      </c>
      <c r="EO223" s="25"/>
    </row>
    <row r="224" spans="1:145" ht="11.25" customHeight="1" x14ac:dyDescent="0.2">
      <c r="A224" s="1">
        <f t="shared" si="186"/>
        <v>221</v>
      </c>
      <c r="B224" s="1" t="s">
        <v>634</v>
      </c>
      <c r="C224" s="1" t="s">
        <v>635</v>
      </c>
      <c r="D224" s="1" t="s">
        <v>635</v>
      </c>
      <c r="E224" s="1">
        <f t="shared" si="204"/>
        <v>0</v>
      </c>
      <c r="G224" s="1">
        <f>MAX(MaeLvl-1,0)</f>
        <v>0</v>
      </c>
      <c r="K224" s="1">
        <v>4</v>
      </c>
      <c r="L224" s="1">
        <v>4</v>
      </c>
      <c r="V224" s="1">
        <v>0.5</v>
      </c>
      <c r="W224" s="1">
        <v>0.34</v>
      </c>
      <c r="X224" s="1">
        <v>0.34</v>
      </c>
      <c r="Y224" s="1">
        <v>0.5</v>
      </c>
      <c r="Z224" s="1" t="b">
        <f>FALSE</f>
        <v>0</v>
      </c>
      <c r="AA224" s="1" t="str">
        <f t="shared" si="207"/>
        <v/>
      </c>
      <c r="AB224" s="1" t="str">
        <f t="shared" si="208"/>
        <v/>
      </c>
      <c r="AC224" s="1">
        <f t="shared" si="205"/>
        <v>0</v>
      </c>
      <c r="AD224" s="1" t="str">
        <f t="shared" si="209"/>
        <v/>
      </c>
      <c r="AE224" s="1" t="str">
        <f t="shared" si="210"/>
        <v/>
      </c>
      <c r="AF224" s="1">
        <f t="shared" si="206"/>
        <v>0</v>
      </c>
      <c r="AG224" s="1">
        <f t="shared" si="211"/>
        <v>5</v>
      </c>
      <c r="AH224" s="1" t="str">
        <f t="shared" si="203"/>
        <v/>
      </c>
      <c r="AI224" s="1">
        <v>2</v>
      </c>
      <c r="AJ224" s="1">
        <f t="shared" si="187"/>
        <v>0</v>
      </c>
      <c r="AK224" s="1">
        <v>1</v>
      </c>
      <c r="AL224" s="1">
        <v>1</v>
      </c>
      <c r="AM224" s="1">
        <v>1</v>
      </c>
      <c r="AN224" s="1">
        <f t="shared" si="188"/>
        <v>0</v>
      </c>
      <c r="AO224" s="1">
        <v>2</v>
      </c>
      <c r="AP224" s="1">
        <v>2</v>
      </c>
      <c r="AQ224" s="1">
        <v>2</v>
      </c>
      <c r="AR224" s="1">
        <v>2</v>
      </c>
      <c r="AS224" s="1">
        <v>2</v>
      </c>
      <c r="AT224" s="1">
        <v>2</v>
      </c>
      <c r="AU224" s="1">
        <v>2</v>
      </c>
      <c r="AV224" s="1">
        <v>2</v>
      </c>
      <c r="AW224" s="1">
        <v>1</v>
      </c>
      <c r="AX224" s="1">
        <v>1</v>
      </c>
      <c r="AY224" s="1">
        <v>2</v>
      </c>
      <c r="AZ224" s="1">
        <v>1</v>
      </c>
      <c r="BA224" s="1">
        <v>1</v>
      </c>
      <c r="BB224" s="1">
        <v>1</v>
      </c>
      <c r="BC224" s="1">
        <v>1</v>
      </c>
      <c r="BD224" s="1">
        <v>1</v>
      </c>
      <c r="BE224" s="1">
        <v>1</v>
      </c>
      <c r="BF224" s="1">
        <v>1</v>
      </c>
      <c r="BG224" s="1">
        <f t="shared" si="189"/>
        <v>0</v>
      </c>
      <c r="BH224" s="1">
        <f t="shared" si="190"/>
        <v>0</v>
      </c>
      <c r="BI224" s="1">
        <v>1</v>
      </c>
      <c r="BJ224" s="1">
        <v>1</v>
      </c>
      <c r="BK224" s="1">
        <v>2</v>
      </c>
      <c r="BL224" s="1">
        <v>2</v>
      </c>
      <c r="BM224" s="1">
        <v>1</v>
      </c>
      <c r="BN224" s="1">
        <v>1</v>
      </c>
      <c r="BO224" s="1">
        <v>1</v>
      </c>
      <c r="BP224" s="1">
        <v>1</v>
      </c>
      <c r="BQ224" s="1">
        <f>IF(HRRVL,1,0)</f>
        <v>0</v>
      </c>
      <c r="BR224" s="1">
        <v>1</v>
      </c>
      <c r="BS224" s="1">
        <v>1</v>
      </c>
      <c r="BT224" s="1">
        <f t="shared" si="212"/>
        <v>0</v>
      </c>
      <c r="BU224" s="1">
        <f t="shared" si="213"/>
        <v>0</v>
      </c>
      <c r="BV224" s="1">
        <v>1</v>
      </c>
      <c r="BW224" s="1">
        <v>1</v>
      </c>
      <c r="BX224" s="1">
        <v>1</v>
      </c>
      <c r="BY224" s="1">
        <v>1</v>
      </c>
      <c r="BZ224" s="1">
        <v>1</v>
      </c>
      <c r="CA224" s="1">
        <v>1</v>
      </c>
      <c r="CB224" s="1">
        <v>1</v>
      </c>
      <c r="CC224" s="1">
        <v>1</v>
      </c>
      <c r="CD224" s="1">
        <v>1</v>
      </c>
      <c r="CE224" s="1">
        <v>1</v>
      </c>
      <c r="CF224" s="1">
        <v>1</v>
      </c>
      <c r="CG224" s="1">
        <f t="shared" si="194"/>
        <v>0</v>
      </c>
      <c r="CH224" s="1">
        <v>1</v>
      </c>
      <c r="CI224" s="1">
        <v>1</v>
      </c>
      <c r="CJ224" s="1">
        <v>1</v>
      </c>
      <c r="CK224" s="1">
        <v>1</v>
      </c>
      <c r="CL224" s="1">
        <v>1</v>
      </c>
      <c r="CM224" s="1">
        <v>1</v>
      </c>
      <c r="CN224" s="1">
        <v>1</v>
      </c>
      <c r="CO224" s="1">
        <v>1</v>
      </c>
      <c r="CP224" s="1">
        <v>1</v>
      </c>
      <c r="CQ224" s="1">
        <v>1</v>
      </c>
      <c r="CR224" s="1">
        <v>1</v>
      </c>
      <c r="CS224" s="1">
        <v>1</v>
      </c>
      <c r="CT224" s="1">
        <v>1</v>
      </c>
      <c r="CU224" s="1">
        <v>1</v>
      </c>
      <c r="CV224" s="1">
        <f t="shared" si="195"/>
        <v>0</v>
      </c>
      <c r="CW224" s="1">
        <v>1</v>
      </c>
      <c r="CX224" s="1">
        <v>1</v>
      </c>
      <c r="CY224" s="1">
        <v>1</v>
      </c>
      <c r="CZ224" s="1">
        <f t="shared" si="196"/>
        <v>0</v>
      </c>
      <c r="DA224" s="1">
        <v>1</v>
      </c>
      <c r="DB224" s="1">
        <v>1</v>
      </c>
      <c r="DC224" s="1">
        <v>2</v>
      </c>
      <c r="DD224" s="1">
        <v>1</v>
      </c>
      <c r="DE224" s="1">
        <v>1</v>
      </c>
      <c r="DF224" s="1">
        <v>1</v>
      </c>
      <c r="DG224" s="1">
        <v>1</v>
      </c>
      <c r="DH224" s="1">
        <v>2</v>
      </c>
      <c r="DI224" s="1">
        <f t="shared" si="197"/>
        <v>0</v>
      </c>
      <c r="DJ224" s="1">
        <v>1</v>
      </c>
      <c r="DK224" s="1" t="s">
        <v>169</v>
      </c>
      <c r="DL224" s="1" t="s">
        <v>150</v>
      </c>
      <c r="DR224" s="1" t="b">
        <f>RaceCi="Gnome"</f>
        <v>0</v>
      </c>
      <c r="DS224" s="1" t="b">
        <f>SkCraftRanks&gt;=8</f>
        <v>0</v>
      </c>
      <c r="DT224" s="1" t="b">
        <f>SkUseMagicDeviceRanks&gt;=4</f>
        <v>0</v>
      </c>
      <c r="DU224" s="1" t="b">
        <f>OR(MaxArcaneLevel&gt;=5,MaxArcaneSpellLikeLevel&gt;=5)</f>
        <v>0</v>
      </c>
      <c r="DV224" s="1" t="b">
        <f>ItemCreationSelected&gt;=2</f>
        <v>0</v>
      </c>
      <c r="EA224" s="1" t="b">
        <f t="shared" si="202"/>
        <v>0</v>
      </c>
      <c r="EB224" s="11" t="s">
        <v>334</v>
      </c>
      <c r="EC224" s="1" t="str">
        <f>IF(DR224,"","• Must be a gnome.
")&amp;IF(DS224,"","• 8 ranks in Craft (any).
")&amp;IF(DT224,"","• 4 ranks in Use Magic Device.
")&amp;IF(DU224,"","• 5th level arcane caster.
")&amp;IF(DV224,"","• any two item creation feats.")</f>
        <v>• Must be a gnome.
• 8 ranks in Craft (any).
• 4 ranks in Use Magic Device.
• 5th level arcane caster.
• any two item creation feats.</v>
      </c>
      <c r="ED224" s="11" t="s">
        <v>335</v>
      </c>
      <c r="EE224" s="1" t="s">
        <v>636</v>
      </c>
      <c r="EF224" s="1" t="str">
        <f>IF(ClassTypeValue&gt;0,INDEX(TblClassTypeMod,MATCH(ClassTypeValue,INDEX(TblClassTypeMod,1,11):INDEX(TblClassTypeMod,ClassTypeModRowsCnt,11),0),3),"")</f>
        <v/>
      </c>
    </row>
    <row r="225" spans="1:145" ht="11.25" customHeight="1" x14ac:dyDescent="0.2">
      <c r="A225" s="1">
        <f t="shared" si="186"/>
        <v>222</v>
      </c>
      <c r="B225" s="1" t="s">
        <v>637</v>
      </c>
      <c r="C225" s="1" t="s">
        <v>638</v>
      </c>
      <c r="D225" s="1" t="s">
        <v>638</v>
      </c>
      <c r="E225" s="1">
        <f t="shared" si="204"/>
        <v>0</v>
      </c>
      <c r="K225" s="1">
        <v>4</v>
      </c>
      <c r="L225" s="1">
        <v>8</v>
      </c>
      <c r="V225" s="1">
        <v>0.75</v>
      </c>
      <c r="W225" s="1">
        <v>0.5</v>
      </c>
      <c r="X225" s="1">
        <v>0.5</v>
      </c>
      <c r="Y225" s="1">
        <v>0.34</v>
      </c>
      <c r="Z225" s="1" t="b">
        <f>FALSE</f>
        <v>0</v>
      </c>
      <c r="AA225" s="1" t="str">
        <f t="shared" si="207"/>
        <v/>
      </c>
      <c r="AB225" s="1" t="str">
        <f t="shared" si="208"/>
        <v/>
      </c>
      <c r="AC225" s="1">
        <f t="shared" si="205"/>
        <v>0</v>
      </c>
      <c r="AD225" s="1" t="str">
        <f t="shared" si="209"/>
        <v/>
      </c>
      <c r="AE225" s="1" t="str">
        <f t="shared" si="210"/>
        <v/>
      </c>
      <c r="AF225" s="1">
        <f t="shared" si="206"/>
        <v>0</v>
      </c>
      <c r="AG225" s="1">
        <f t="shared" si="211"/>
        <v>5</v>
      </c>
      <c r="AH225" s="1" t="str">
        <f t="shared" si="203"/>
        <v/>
      </c>
      <c r="AI225" s="1">
        <v>1</v>
      </c>
      <c r="AJ225" s="1">
        <f t="shared" si="187"/>
        <v>0</v>
      </c>
      <c r="AK225" s="1">
        <v>1</v>
      </c>
      <c r="AL225" s="1">
        <v>1</v>
      </c>
      <c r="AM225" s="1">
        <v>2</v>
      </c>
      <c r="AN225" s="1">
        <f t="shared" si="188"/>
        <v>0</v>
      </c>
      <c r="AO225" s="1">
        <v>2</v>
      </c>
      <c r="AP225" s="1">
        <v>2</v>
      </c>
      <c r="AQ225" s="1">
        <v>2</v>
      </c>
      <c r="AR225" s="1">
        <v>2</v>
      </c>
      <c r="AS225" s="1">
        <v>2</v>
      </c>
      <c r="AT225" s="1">
        <v>2</v>
      </c>
      <c r="AU225" s="1">
        <v>2</v>
      </c>
      <c r="AV225" s="1">
        <v>2</v>
      </c>
      <c r="AW225" s="1">
        <v>1</v>
      </c>
      <c r="AX225" s="1">
        <v>2</v>
      </c>
      <c r="AY225" s="1">
        <v>1</v>
      </c>
      <c r="AZ225" s="1">
        <v>2</v>
      </c>
      <c r="BA225" s="1">
        <v>1</v>
      </c>
      <c r="BB225" s="1">
        <v>1</v>
      </c>
      <c r="BC225" s="1">
        <v>1</v>
      </c>
      <c r="BD225" s="1">
        <v>2</v>
      </c>
      <c r="BE225" s="1">
        <v>1</v>
      </c>
      <c r="BF225" s="1">
        <v>2</v>
      </c>
      <c r="BG225" s="1">
        <f t="shared" si="189"/>
        <v>0</v>
      </c>
      <c r="BH225" s="1">
        <f t="shared" si="190"/>
        <v>0</v>
      </c>
      <c r="BI225" s="1">
        <v>1</v>
      </c>
      <c r="BJ225" s="1">
        <v>2</v>
      </c>
      <c r="BK225" s="1">
        <v>1</v>
      </c>
      <c r="BL225" s="1">
        <v>1</v>
      </c>
      <c r="BM225" s="1">
        <v>1</v>
      </c>
      <c r="BN225" s="1">
        <v>1</v>
      </c>
      <c r="BO225" s="1">
        <v>1</v>
      </c>
      <c r="BP225" s="1">
        <v>1</v>
      </c>
      <c r="BQ225" s="1">
        <f>IF(HRRVL,2,0)</f>
        <v>0</v>
      </c>
      <c r="BR225" s="1">
        <v>2</v>
      </c>
      <c r="BS225" s="1">
        <v>1</v>
      </c>
      <c r="BT225" s="1">
        <f t="shared" si="212"/>
        <v>0</v>
      </c>
      <c r="BU225" s="1">
        <f t="shared" si="213"/>
        <v>0</v>
      </c>
      <c r="BV225" s="1">
        <v>1</v>
      </c>
      <c r="BW225" s="1">
        <v>1</v>
      </c>
      <c r="BX225" s="1">
        <v>1</v>
      </c>
      <c r="BY225" s="1">
        <v>1</v>
      </c>
      <c r="BZ225" s="1">
        <v>1</v>
      </c>
      <c r="CA225" s="1">
        <v>1</v>
      </c>
      <c r="CB225" s="1">
        <v>1</v>
      </c>
      <c r="CC225" s="1">
        <v>1</v>
      </c>
      <c r="CD225" s="1">
        <v>1</v>
      </c>
      <c r="CE225" s="1">
        <v>1</v>
      </c>
      <c r="CF225" s="1">
        <v>2</v>
      </c>
      <c r="CG225" s="1">
        <f t="shared" si="194"/>
        <v>0</v>
      </c>
      <c r="CH225" s="1">
        <v>1</v>
      </c>
      <c r="CI225" s="1">
        <v>1</v>
      </c>
      <c r="CJ225" s="1">
        <v>1</v>
      </c>
      <c r="CK225" s="1">
        <v>1</v>
      </c>
      <c r="CL225" s="1">
        <v>1</v>
      </c>
      <c r="CM225" s="1">
        <v>1</v>
      </c>
      <c r="CN225" s="1">
        <v>1</v>
      </c>
      <c r="CO225" s="1">
        <v>1</v>
      </c>
      <c r="CP225" s="1">
        <v>1</v>
      </c>
      <c r="CQ225" s="1">
        <v>1</v>
      </c>
      <c r="CR225" s="1">
        <v>1</v>
      </c>
      <c r="CS225" s="1">
        <v>1</v>
      </c>
      <c r="CT225" s="1">
        <v>1</v>
      </c>
      <c r="CU225" s="1">
        <v>1</v>
      </c>
      <c r="CV225" s="1">
        <f t="shared" si="195"/>
        <v>0</v>
      </c>
      <c r="CW225" s="1">
        <v>1</v>
      </c>
      <c r="CX225" s="1">
        <v>1</v>
      </c>
      <c r="CY225" s="1">
        <v>1</v>
      </c>
      <c r="CZ225" s="1">
        <f t="shared" si="196"/>
        <v>0</v>
      </c>
      <c r="DA225" s="1">
        <v>1</v>
      </c>
      <c r="DB225" s="1">
        <v>1</v>
      </c>
      <c r="DC225" s="1">
        <v>1</v>
      </c>
      <c r="DD225" s="1">
        <v>2</v>
      </c>
      <c r="DE225" s="1">
        <v>2</v>
      </c>
      <c r="DF225" s="1">
        <v>2</v>
      </c>
      <c r="DG225" s="1">
        <v>1</v>
      </c>
      <c r="DH225" s="1">
        <v>1</v>
      </c>
      <c r="DI225" s="1">
        <f t="shared" si="197"/>
        <v>0</v>
      </c>
      <c r="DJ225" s="1">
        <v>1</v>
      </c>
      <c r="DK225" s="1" t="s">
        <v>169</v>
      </c>
      <c r="DL225" s="1" t="s">
        <v>170</v>
      </c>
      <c r="DR225" s="1" t="b">
        <f>FtAlertness</f>
        <v>0</v>
      </c>
      <c r="DS225" s="1" t="b">
        <f>OR(FtEndurance,FtKoboldEndurance)</f>
        <v>0</v>
      </c>
      <c r="DT225" s="1" t="b">
        <f>WildShapeAmount&gt;=1</f>
        <v>0</v>
      </c>
      <c r="EA225" s="1" t="b">
        <f t="shared" si="202"/>
        <v>0</v>
      </c>
      <c r="EB225" s="11" t="s">
        <v>334</v>
      </c>
      <c r="EC225" s="1" t="str">
        <f>IF(DR225,"","• Alertness feat.
")&amp;IF(DS225,"","• Endurance feat.
")&amp;IF(DT225,"","• Wild shape class feature.")</f>
        <v>• Alertness feat.
• Endurance feat.
• Wild shape class feature.</v>
      </c>
      <c r="ED225" s="11" t="s">
        <v>335</v>
      </c>
    </row>
    <row r="226" spans="1:145" ht="11.25" customHeight="1" thickBot="1" x14ac:dyDescent="0.25">
      <c r="A226" s="1">
        <f t="shared" si="186"/>
        <v>223</v>
      </c>
      <c r="B226" s="1" t="s">
        <v>639</v>
      </c>
      <c r="C226" s="1" t="s">
        <v>640</v>
      </c>
      <c r="D226" s="1" t="s">
        <v>640</v>
      </c>
      <c r="E226" s="1">
        <f t="shared" si="204"/>
        <v>0</v>
      </c>
      <c r="K226" s="1">
        <v>4</v>
      </c>
      <c r="L226" s="1">
        <v>8</v>
      </c>
      <c r="N226" s="1" t="b">
        <v>1</v>
      </c>
      <c r="V226" s="1">
        <v>1</v>
      </c>
      <c r="W226" s="1">
        <v>0.34</v>
      </c>
      <c r="X226" s="1">
        <v>0.5</v>
      </c>
      <c r="Y226" s="1">
        <v>0.34</v>
      </c>
      <c r="Z226" s="1" t="b">
        <f>FALSE</f>
        <v>0</v>
      </c>
      <c r="AA226" s="1" t="str">
        <f t="shared" si="207"/>
        <v/>
      </c>
      <c r="AB226" s="1" t="str">
        <f t="shared" si="208"/>
        <v/>
      </c>
      <c r="AC226" s="1">
        <f t="shared" si="205"/>
        <v>0</v>
      </c>
      <c r="AD226" s="1" t="str">
        <f t="shared" si="209"/>
        <v/>
      </c>
      <c r="AE226" s="1" t="str">
        <f t="shared" si="210"/>
        <v/>
      </c>
      <c r="AF226" s="1">
        <f t="shared" si="206"/>
        <v>0</v>
      </c>
      <c r="AG226" s="1">
        <f t="shared" si="211"/>
        <v>5</v>
      </c>
      <c r="AH226" s="1" t="str">
        <f t="shared" si="203"/>
        <v/>
      </c>
      <c r="AI226" s="1">
        <v>1</v>
      </c>
      <c r="AJ226" s="1">
        <f t="shared" si="187"/>
        <v>0</v>
      </c>
      <c r="AK226" s="1">
        <v>2</v>
      </c>
      <c r="AL226" s="1">
        <v>1</v>
      </c>
      <c r="AM226" s="1">
        <v>2</v>
      </c>
      <c r="AN226" s="1">
        <f t="shared" si="188"/>
        <v>0</v>
      </c>
      <c r="AO226" s="1">
        <v>1</v>
      </c>
      <c r="AP226" s="1">
        <v>1</v>
      </c>
      <c r="AQ226" s="1">
        <v>1</v>
      </c>
      <c r="AR226" s="1">
        <v>1</v>
      </c>
      <c r="AS226" s="1">
        <v>1</v>
      </c>
      <c r="AT226" s="1">
        <v>1</v>
      </c>
      <c r="AU226" s="1">
        <v>1</v>
      </c>
      <c r="AV226" s="1">
        <v>1</v>
      </c>
      <c r="AW226" s="1">
        <v>1</v>
      </c>
      <c r="AX226" s="1">
        <v>1</v>
      </c>
      <c r="AY226" s="1">
        <v>2</v>
      </c>
      <c r="AZ226" s="1">
        <v>2</v>
      </c>
      <c r="BA226" s="1">
        <v>2</v>
      </c>
      <c r="BB226" s="1">
        <v>1</v>
      </c>
      <c r="BC226" s="1">
        <v>1</v>
      </c>
      <c r="BD226" s="1">
        <v>1</v>
      </c>
      <c r="BE226" s="1">
        <v>1</v>
      </c>
      <c r="BF226" s="1">
        <v>2</v>
      </c>
      <c r="BG226" s="1">
        <f t="shared" si="189"/>
        <v>0</v>
      </c>
      <c r="BH226" s="1">
        <f t="shared" si="190"/>
        <v>0</v>
      </c>
      <c r="BI226" s="1">
        <v>2</v>
      </c>
      <c r="BJ226" s="1">
        <v>2</v>
      </c>
      <c r="BK226" s="1">
        <v>1</v>
      </c>
      <c r="BL226" s="1">
        <v>1</v>
      </c>
      <c r="BM226" s="1">
        <v>1</v>
      </c>
      <c r="BN226" s="1">
        <v>1</v>
      </c>
      <c r="BO226" s="1">
        <v>1</v>
      </c>
      <c r="BP226" s="1">
        <v>1</v>
      </c>
      <c r="BQ226" s="1">
        <f>IF(HRRVL,1,0)</f>
        <v>0</v>
      </c>
      <c r="BR226" s="1">
        <v>1</v>
      </c>
      <c r="BS226" s="1">
        <v>1</v>
      </c>
      <c r="BT226" s="1">
        <f t="shared" si="212"/>
        <v>0</v>
      </c>
      <c r="BU226" s="1">
        <f t="shared" si="213"/>
        <v>0</v>
      </c>
      <c r="BV226" s="1">
        <v>1</v>
      </c>
      <c r="BW226" s="1">
        <v>1</v>
      </c>
      <c r="BX226" s="1">
        <v>1</v>
      </c>
      <c r="BY226" s="1">
        <v>1</v>
      </c>
      <c r="BZ226" s="1">
        <v>1</v>
      </c>
      <c r="CA226" s="1">
        <v>1</v>
      </c>
      <c r="CB226" s="1">
        <v>1</v>
      </c>
      <c r="CC226" s="1">
        <v>1</v>
      </c>
      <c r="CD226" s="1">
        <v>1</v>
      </c>
      <c r="CE226" s="1">
        <v>1</v>
      </c>
      <c r="CF226" s="1">
        <v>2</v>
      </c>
      <c r="CG226" s="1">
        <f t="shared" si="194"/>
        <v>0</v>
      </c>
      <c r="CH226" s="1">
        <v>2</v>
      </c>
      <c r="CI226" s="1">
        <v>2</v>
      </c>
      <c r="CJ226" s="1">
        <v>1</v>
      </c>
      <c r="CK226" s="1">
        <v>1</v>
      </c>
      <c r="CL226" s="1">
        <v>1</v>
      </c>
      <c r="CM226" s="1">
        <v>1</v>
      </c>
      <c r="CN226" s="1">
        <v>1</v>
      </c>
      <c r="CO226" s="1">
        <v>1</v>
      </c>
      <c r="CP226" s="1">
        <v>2</v>
      </c>
      <c r="CQ226" s="1">
        <v>2</v>
      </c>
      <c r="CR226" s="1">
        <v>2</v>
      </c>
      <c r="CS226" s="1">
        <v>2</v>
      </c>
      <c r="CT226" s="1">
        <v>2</v>
      </c>
      <c r="CU226" s="1">
        <v>2</v>
      </c>
      <c r="CV226" s="1">
        <f t="shared" si="195"/>
        <v>0</v>
      </c>
      <c r="CW226" s="1">
        <v>2</v>
      </c>
      <c r="CX226" s="1">
        <v>2</v>
      </c>
      <c r="CY226" s="1">
        <v>1</v>
      </c>
      <c r="CZ226" s="1">
        <f t="shared" si="196"/>
        <v>0</v>
      </c>
      <c r="DA226" s="1">
        <v>1</v>
      </c>
      <c r="DB226" s="1">
        <v>1</v>
      </c>
      <c r="DC226" s="1">
        <v>1</v>
      </c>
      <c r="DD226" s="1">
        <v>2</v>
      </c>
      <c r="DE226" s="1">
        <v>1</v>
      </c>
      <c r="DF226" s="1">
        <v>2</v>
      </c>
      <c r="DG226" s="1">
        <v>2</v>
      </c>
      <c r="DH226" s="1">
        <v>1</v>
      </c>
      <c r="DI226" s="1">
        <f t="shared" si="197"/>
        <v>0</v>
      </c>
      <c r="DJ226" s="1">
        <v>1</v>
      </c>
      <c r="DK226" s="1" t="s">
        <v>169</v>
      </c>
      <c r="DL226" s="1" t="s">
        <v>101</v>
      </c>
      <c r="DR226" s="1" t="b">
        <f>BaseAtk&gt;=5</f>
        <v>0</v>
      </c>
      <c r="DS226" s="1" t="b">
        <f>SkHideRanks&gt;=10</f>
        <v>0</v>
      </c>
      <c r="DT226" s="1" t="b">
        <f>SkMoveSilentlyRanks&gt;=10</f>
        <v>0</v>
      </c>
      <c r="DU226" s="1" t="b">
        <f>FtImprovedInitiative</f>
        <v>0</v>
      </c>
      <c r="DV226" s="1" t="b">
        <f>hasEvasion</f>
        <v>0</v>
      </c>
      <c r="EA226" s="1" t="b">
        <f t="shared" si="202"/>
        <v>0</v>
      </c>
      <c r="EB226" s="11" t="s">
        <v>338</v>
      </c>
      <c r="EC226" s="1" t="str">
        <f>IF(DR226,"","• A base attack bonus of +5 or higher.
")&amp;IF(DS226,"","• 10 ranks in Hide.
")&amp;IF(DT226,"","• 10 ranks in Move Silently.
")&amp;IF(DU226,"","• Improved Initiative feat.
")&amp;IF(DV226,"","• Evasion class feature.
")&amp;"• Must undergo training with the Nightsong Guild (not verified)."</f>
        <v>• A base attack bonus of +5 or higher.
• 10 ranks in Hide.
• 10 ranks in Move Silently.
• Improved Initiative feat.
• Evasion class feature.
• Must undergo training with the Nightsong Guild (not verified).</v>
      </c>
      <c r="ED226" s="11" t="s">
        <v>335</v>
      </c>
      <c r="EE226" s="4" t="s">
        <v>641</v>
      </c>
    </row>
    <row r="227" spans="1:145" ht="11.25" customHeight="1" x14ac:dyDescent="0.2">
      <c r="A227" s="1">
        <f t="shared" si="186"/>
        <v>224</v>
      </c>
      <c r="B227" s="1" t="s">
        <v>642</v>
      </c>
      <c r="C227" s="1" t="s">
        <v>643</v>
      </c>
      <c r="D227" s="1" t="s">
        <v>643</v>
      </c>
      <c r="E227" s="1">
        <f t="shared" si="204"/>
        <v>0</v>
      </c>
      <c r="K227" s="1">
        <v>8</v>
      </c>
      <c r="L227" s="1">
        <v>6</v>
      </c>
      <c r="V227" s="1">
        <v>0.75</v>
      </c>
      <c r="W227" s="1">
        <v>0.34</v>
      </c>
      <c r="X227" s="1">
        <v>0.5</v>
      </c>
      <c r="Y227" s="1">
        <v>0.34</v>
      </c>
      <c r="Z227" s="1" t="b">
        <f>FALSE</f>
        <v>0</v>
      </c>
      <c r="AA227" s="1" t="str">
        <f t="shared" si="207"/>
        <v/>
      </c>
      <c r="AB227" s="1" t="str">
        <f t="shared" si="208"/>
        <v/>
      </c>
      <c r="AC227" s="1">
        <f t="shared" si="205"/>
        <v>0</v>
      </c>
      <c r="AD227" s="1" t="str">
        <f t="shared" si="209"/>
        <v/>
      </c>
      <c r="AE227" s="1" t="str">
        <f t="shared" si="210"/>
        <v/>
      </c>
      <c r="AF227" s="1">
        <f t="shared" si="206"/>
        <v>0</v>
      </c>
      <c r="AG227" s="1">
        <f t="shared" si="211"/>
        <v>5</v>
      </c>
      <c r="AH227" s="1" t="str">
        <f t="shared" si="203"/>
        <v/>
      </c>
      <c r="AI227" s="1">
        <v>2</v>
      </c>
      <c r="AJ227" s="1">
        <f t="shared" si="187"/>
        <v>0</v>
      </c>
      <c r="AK227" s="1">
        <v>2</v>
      </c>
      <c r="AL227" s="1">
        <v>2</v>
      </c>
      <c r="AM227" s="1">
        <v>2</v>
      </c>
      <c r="AN227" s="1">
        <f t="shared" si="188"/>
        <v>0</v>
      </c>
      <c r="AO227" s="1">
        <v>1</v>
      </c>
      <c r="AP227" s="1">
        <v>2</v>
      </c>
      <c r="AQ227" s="1">
        <v>2</v>
      </c>
      <c r="AR227" s="1">
        <v>2</v>
      </c>
      <c r="AS227" s="1">
        <v>2</v>
      </c>
      <c r="AT227" s="1">
        <v>2</v>
      </c>
      <c r="AU227" s="1">
        <v>2</v>
      </c>
      <c r="AV227" s="1">
        <v>2</v>
      </c>
      <c r="AW227" s="1">
        <v>2</v>
      </c>
      <c r="AX227" s="1">
        <v>2</v>
      </c>
      <c r="AY227" s="1">
        <v>2</v>
      </c>
      <c r="AZ227" s="1">
        <v>2</v>
      </c>
      <c r="BA227" s="1">
        <v>2</v>
      </c>
      <c r="BB227" s="1">
        <v>2</v>
      </c>
      <c r="BC227" s="1">
        <v>2</v>
      </c>
      <c r="BD227" s="1">
        <v>1</v>
      </c>
      <c r="BE227" s="1">
        <v>1</v>
      </c>
      <c r="BF227" s="1">
        <v>2</v>
      </c>
      <c r="BG227" s="1">
        <f t="shared" si="189"/>
        <v>0</v>
      </c>
      <c r="BH227" s="1">
        <f t="shared" si="190"/>
        <v>0</v>
      </c>
      <c r="BI227" s="1">
        <v>1</v>
      </c>
      <c r="BJ227" s="1">
        <v>2</v>
      </c>
      <c r="BK227" s="1">
        <v>1</v>
      </c>
      <c r="BL227" s="1">
        <v>1</v>
      </c>
      <c r="BM227" s="1">
        <v>1</v>
      </c>
      <c r="BN227" s="1">
        <v>1</v>
      </c>
      <c r="BO227" s="1">
        <v>1</v>
      </c>
      <c r="BP227" s="1">
        <v>1</v>
      </c>
      <c r="BQ227" s="1">
        <f>IF(HRRVL,1,0)</f>
        <v>0</v>
      </c>
      <c r="BR227" s="1">
        <v>1</v>
      </c>
      <c r="BS227" s="1">
        <v>1</v>
      </c>
      <c r="BT227" s="1">
        <f t="shared" si="212"/>
        <v>0</v>
      </c>
      <c r="BU227" s="1">
        <f t="shared" si="213"/>
        <v>0</v>
      </c>
      <c r="BV227" s="1">
        <v>1</v>
      </c>
      <c r="BW227" s="1">
        <v>1</v>
      </c>
      <c r="BX227" s="1">
        <v>1</v>
      </c>
      <c r="BY227" s="1">
        <v>1</v>
      </c>
      <c r="BZ227" s="1">
        <v>1</v>
      </c>
      <c r="CA227" s="1">
        <v>1</v>
      </c>
      <c r="CB227" s="1">
        <v>1</v>
      </c>
      <c r="CC227" s="1">
        <v>1</v>
      </c>
      <c r="CD227" s="1">
        <v>1</v>
      </c>
      <c r="CE227" s="1">
        <v>1</v>
      </c>
      <c r="CF227" s="1">
        <v>2</v>
      </c>
      <c r="CG227" s="1">
        <f t="shared" si="194"/>
        <v>0</v>
      </c>
      <c r="CH227" s="1">
        <v>2</v>
      </c>
      <c r="CI227" s="1">
        <v>2</v>
      </c>
      <c r="CJ227" s="1">
        <v>1</v>
      </c>
      <c r="CK227" s="1">
        <v>1</v>
      </c>
      <c r="CL227" s="1">
        <v>1</v>
      </c>
      <c r="CM227" s="1">
        <v>1</v>
      </c>
      <c r="CN227" s="1">
        <v>1</v>
      </c>
      <c r="CO227" s="1">
        <v>1</v>
      </c>
      <c r="CP227" s="1">
        <v>2</v>
      </c>
      <c r="CQ227" s="1">
        <v>2</v>
      </c>
      <c r="CR227" s="1">
        <v>2</v>
      </c>
      <c r="CS227" s="1">
        <v>2</v>
      </c>
      <c r="CT227" s="1">
        <v>2</v>
      </c>
      <c r="CU227" s="1">
        <v>2</v>
      </c>
      <c r="CV227" s="1">
        <f t="shared" si="195"/>
        <v>0</v>
      </c>
      <c r="CW227" s="1">
        <v>2</v>
      </c>
      <c r="CX227" s="1">
        <v>2</v>
      </c>
      <c r="CY227" s="1">
        <v>1</v>
      </c>
      <c r="CZ227" s="1">
        <f t="shared" si="196"/>
        <v>0</v>
      </c>
      <c r="DA227" s="1">
        <v>2</v>
      </c>
      <c r="DB227" s="1">
        <v>1</v>
      </c>
      <c r="DC227" s="1">
        <v>1</v>
      </c>
      <c r="DD227" s="1">
        <v>2</v>
      </c>
      <c r="DE227" s="1">
        <v>1</v>
      </c>
      <c r="DF227" s="1">
        <v>2</v>
      </c>
      <c r="DG227" s="1">
        <v>2</v>
      </c>
      <c r="DH227" s="1">
        <v>2</v>
      </c>
      <c r="DI227" s="1">
        <f t="shared" si="197"/>
        <v>0</v>
      </c>
      <c r="DJ227" s="1">
        <v>2</v>
      </c>
      <c r="DK227" s="1" t="s">
        <v>169</v>
      </c>
      <c r="DL227" s="1" t="s">
        <v>101</v>
      </c>
      <c r="DR227" s="1" t="b">
        <f>SkClimbRanks&gt;=10</f>
        <v>0</v>
      </c>
      <c r="DS227" s="1" t="b">
        <f>SkDisableDeviceRanks&gt;=5</f>
        <v>0</v>
      </c>
      <c r="DT227" s="1" t="b">
        <f>SkOpenLockRanks&gt;=5</f>
        <v>0</v>
      </c>
      <c r="DU227" s="1" t="b">
        <f>SkSearchRanks&gt;=5</f>
        <v>0</v>
      </c>
      <c r="DV227" s="1" t="b">
        <f>FtAlertness</f>
        <v>0</v>
      </c>
      <c r="DW227" s="1" t="b">
        <f>hasEvasion</f>
        <v>0</v>
      </c>
      <c r="EA227" s="1" t="b">
        <f t="shared" si="202"/>
        <v>0</v>
      </c>
      <c r="EB227" s="11" t="s">
        <v>338</v>
      </c>
      <c r="EC227" s="1" t="str">
        <f>IF(DR227,"","• 10 ranks in Climb.
")&amp;IF(DS227,"","• 5 ranks in Disable Device.
")&amp;IF(DT227,"","• 5 ranks in Open Lock.
")&amp;IF(DU227,"","• 5 ranks in Search.
")&amp;IF(DV227,"","• Alertness feat.
")&amp;IF(DW227,"","• Evasion class feature.
")&amp;"• Must undergo training with the Nightsong Guild (not verified)."</f>
        <v>• 10 ranks in Climb.
• 5 ranks in Disable Device.
• 5 ranks in Open Lock.
• 5 ranks in Search.
• Alertness feat.
• Evasion class feature.
• Must undergo training with the Nightsong Guild (not verified).</v>
      </c>
      <c r="ED227" s="11" t="s">
        <v>335</v>
      </c>
      <c r="EE227" s="5" t="s">
        <v>106</v>
      </c>
      <c r="EF227" s="6" t="s">
        <v>26</v>
      </c>
      <c r="EG227" s="6" t="s">
        <v>644</v>
      </c>
      <c r="EH227" s="6"/>
      <c r="EI227" s="6" t="s">
        <v>645</v>
      </c>
      <c r="EJ227" s="6" t="s">
        <v>52</v>
      </c>
      <c r="EK227" s="6" t="s">
        <v>110</v>
      </c>
      <c r="EL227" s="6" t="s">
        <v>111</v>
      </c>
      <c r="EM227" s="6" t="s">
        <v>112</v>
      </c>
      <c r="EN227" s="6" t="s">
        <v>113</v>
      </c>
      <c r="EO227" s="7" t="s">
        <v>644</v>
      </c>
    </row>
    <row r="228" spans="1:145" ht="11.25" customHeight="1" x14ac:dyDescent="0.2">
      <c r="A228" s="1">
        <f t="shared" si="186"/>
        <v>225</v>
      </c>
      <c r="B228" s="1" t="s">
        <v>646</v>
      </c>
      <c r="C228" s="1" t="s">
        <v>647</v>
      </c>
      <c r="D228" s="1" t="s">
        <v>647</v>
      </c>
      <c r="E228" s="1">
        <f t="shared" si="204"/>
        <v>0</v>
      </c>
      <c r="G228" s="1">
        <f>MIN(MAX(OllLvl-1,0),3)</f>
        <v>0</v>
      </c>
      <c r="K228" s="1">
        <v>6</v>
      </c>
      <c r="L228" s="1">
        <v>8</v>
      </c>
      <c r="N228" s="1" t="b">
        <v>1</v>
      </c>
      <c r="O228" s="1" t="b">
        <v>1</v>
      </c>
      <c r="P228" s="1" t="b">
        <v>1</v>
      </c>
      <c r="Q228" s="1" t="b">
        <v>1</v>
      </c>
      <c r="S228" s="1" t="b">
        <v>1</v>
      </c>
      <c r="V228" s="1">
        <v>0.5</v>
      </c>
      <c r="W228" s="1">
        <v>0.34</v>
      </c>
      <c r="X228" s="1">
        <v>0.34</v>
      </c>
      <c r="Y228" s="1">
        <v>0.5</v>
      </c>
      <c r="Z228" s="1" t="b">
        <f>FALSE</f>
        <v>0</v>
      </c>
      <c r="AA228" s="1" t="str">
        <f t="shared" si="207"/>
        <v/>
      </c>
      <c r="AB228" s="1" t="str">
        <f t="shared" si="208"/>
        <v/>
      </c>
      <c r="AC228" s="1">
        <f t="shared" si="205"/>
        <v>0</v>
      </c>
      <c r="AD228" s="1" t="str">
        <f t="shared" si="209"/>
        <v/>
      </c>
      <c r="AE228" s="1" t="str">
        <f t="shared" si="210"/>
        <v/>
      </c>
      <c r="AF228" s="1">
        <f t="shared" si="206"/>
        <v>0</v>
      </c>
      <c r="AG228" s="1">
        <f t="shared" si="211"/>
        <v>5</v>
      </c>
      <c r="AH228" s="1" t="str">
        <f t="shared" si="203"/>
        <v/>
      </c>
      <c r="AI228" s="1">
        <v>1</v>
      </c>
      <c r="AJ228" s="1">
        <f t="shared" si="187"/>
        <v>0</v>
      </c>
      <c r="AK228" s="1">
        <v>1</v>
      </c>
      <c r="AL228" s="1">
        <v>1</v>
      </c>
      <c r="AM228" s="1">
        <v>1</v>
      </c>
      <c r="AN228" s="1">
        <f t="shared" si="188"/>
        <v>0</v>
      </c>
      <c r="AO228" s="1">
        <v>2</v>
      </c>
      <c r="AP228" s="1">
        <v>2</v>
      </c>
      <c r="AQ228" s="1">
        <v>2</v>
      </c>
      <c r="AR228" s="1">
        <v>2</v>
      </c>
      <c r="AS228" s="1">
        <v>2</v>
      </c>
      <c r="AT228" s="1">
        <v>2</v>
      </c>
      <c r="AU228" s="1">
        <v>2</v>
      </c>
      <c r="AV228" s="1">
        <v>2</v>
      </c>
      <c r="AW228" s="1">
        <v>1</v>
      </c>
      <c r="AX228" s="1">
        <v>2</v>
      </c>
      <c r="AY228" s="1">
        <v>1</v>
      </c>
      <c r="AZ228" s="1">
        <v>1</v>
      </c>
      <c r="BA228" s="1">
        <v>1</v>
      </c>
      <c r="BB228" s="1">
        <v>1</v>
      </c>
      <c r="BC228" s="1">
        <v>2</v>
      </c>
      <c r="BD228" s="1">
        <v>1</v>
      </c>
      <c r="BE228" s="1">
        <v>2</v>
      </c>
      <c r="BF228" s="1">
        <v>1</v>
      </c>
      <c r="BG228" s="1">
        <f t="shared" si="189"/>
        <v>0</v>
      </c>
      <c r="BH228" s="1">
        <f t="shared" si="190"/>
        <v>0</v>
      </c>
      <c r="BI228" s="1">
        <v>1</v>
      </c>
      <c r="BJ228" s="1">
        <v>1</v>
      </c>
      <c r="BK228" s="1">
        <v>2</v>
      </c>
      <c r="BL228" s="1">
        <v>2</v>
      </c>
      <c r="BM228" s="1">
        <v>2</v>
      </c>
      <c r="BN228" s="1">
        <v>2</v>
      </c>
      <c r="BO228" s="1">
        <v>2</v>
      </c>
      <c r="BP228" s="1">
        <f>1+NOT(HRLivingGreyhawk)</f>
        <v>2</v>
      </c>
      <c r="BQ228" s="1">
        <f>IF(HRRVL,2,0)</f>
        <v>0</v>
      </c>
      <c r="BR228" s="1">
        <v>2</v>
      </c>
      <c r="BS228" s="1">
        <v>2</v>
      </c>
      <c r="BT228" s="1">
        <f>IF(HRXPH,2,0)</f>
        <v>0</v>
      </c>
      <c r="BU228" s="1">
        <f>IF(HRRVL,2,0)</f>
        <v>0</v>
      </c>
      <c r="BV228" s="1">
        <v>2</v>
      </c>
      <c r="BW228" s="1">
        <v>2</v>
      </c>
      <c r="BX228" s="1">
        <v>2</v>
      </c>
      <c r="BY228" s="1">
        <v>2</v>
      </c>
      <c r="BZ228" s="1">
        <v>2</v>
      </c>
      <c r="CA228" s="1">
        <v>2</v>
      </c>
      <c r="CB228" s="1">
        <v>2</v>
      </c>
      <c r="CC228" s="1">
        <v>2</v>
      </c>
      <c r="CD228" s="1">
        <v>2</v>
      </c>
      <c r="CE228" s="1">
        <v>2</v>
      </c>
      <c r="CF228" s="1">
        <v>2</v>
      </c>
      <c r="CG228" s="1">
        <f t="shared" si="194"/>
        <v>0</v>
      </c>
      <c r="CH228" s="1">
        <v>1</v>
      </c>
      <c r="CI228" s="1">
        <v>1</v>
      </c>
      <c r="CJ228" s="1">
        <v>2</v>
      </c>
      <c r="CK228" s="1">
        <v>2</v>
      </c>
      <c r="CL228" s="1">
        <v>2</v>
      </c>
      <c r="CM228" s="1">
        <v>2</v>
      </c>
      <c r="CN228" s="1">
        <v>2</v>
      </c>
      <c r="CO228" s="1">
        <v>2</v>
      </c>
      <c r="CP228" s="1">
        <v>1</v>
      </c>
      <c r="CQ228" s="1">
        <v>1</v>
      </c>
      <c r="CR228" s="1">
        <v>1</v>
      </c>
      <c r="CS228" s="1">
        <v>1</v>
      </c>
      <c r="CT228" s="1">
        <v>1</v>
      </c>
      <c r="CU228" s="1">
        <v>1</v>
      </c>
      <c r="CV228" s="1">
        <f t="shared" si="195"/>
        <v>0</v>
      </c>
      <c r="CW228" s="1">
        <v>1</v>
      </c>
      <c r="CX228" s="1">
        <v>2</v>
      </c>
      <c r="CY228" s="1">
        <v>2</v>
      </c>
      <c r="CZ228" s="1">
        <f t="shared" si="196"/>
        <v>0</v>
      </c>
      <c r="DA228" s="1">
        <v>1</v>
      </c>
      <c r="DB228" s="1">
        <v>2</v>
      </c>
      <c r="DC228" s="1">
        <v>2</v>
      </c>
      <c r="DD228" s="1">
        <v>1</v>
      </c>
      <c r="DE228" s="1">
        <v>1</v>
      </c>
      <c r="DF228" s="1">
        <v>1</v>
      </c>
      <c r="DG228" s="1">
        <v>1</v>
      </c>
      <c r="DH228" s="1">
        <v>1</v>
      </c>
      <c r="DI228" s="1">
        <f t="shared" si="197"/>
        <v>0</v>
      </c>
      <c r="DJ228" s="1">
        <v>1</v>
      </c>
      <c r="DK228" s="1" t="s">
        <v>169</v>
      </c>
      <c r="DL228" s="1" t="s">
        <v>40</v>
      </c>
      <c r="DR228" s="1" t="b">
        <f>RaceCi="Dwarf"</f>
        <v>1</v>
      </c>
      <c r="DS228" s="1" t="b">
        <f>AND(AlignmentLawful,AlignmentGood)</f>
        <v>1</v>
      </c>
      <c r="DT228" s="1" t="b">
        <f>SkKnowledgeHistoryRanks&gt;=10</f>
        <v>0</v>
      </c>
      <c r="DU228" s="1" t="b">
        <f>COUNTIF(TblSkKnowRanks,"&gt;=10")&gt;=2</f>
        <v>0</v>
      </c>
      <c r="DV228" s="1" t="b">
        <f>IF(NOT(ISNA(MATCH("oratory",TblPerformSkills,0))),INDEX(TblPerformRanks,MATCH("oratory",TblPerformSkills,0),1)&gt;=5,FALSE)</f>
        <v>0</v>
      </c>
      <c r="EA228" s="1" t="b">
        <f t="shared" si="202"/>
        <v>0</v>
      </c>
      <c r="EB228" s="11" t="s">
        <v>334</v>
      </c>
      <c r="EC228" s="1" t="str">
        <f>IF(DR228,"","• Must be a dwarf.
")&amp;IF(DS228,"","• Must be of Lawful Good alignment.
")&amp;IF(DT228,"","• 10 ranks in Knowledge (history).
")&amp;IF(DU228,"","• 10 ranks in Knowledge (any other).
")&amp;IF(DV228,"","• 5 ranks in Perform (oratory).")</f>
        <v>• 10 ranks in Knowledge (history).
• 10 ranks in Knowledge (any other).
• 5 ranks in Perform (oratory).</v>
      </c>
      <c r="ED228" s="11" t="s">
        <v>335</v>
      </c>
      <c r="EE228" s="8" t="s">
        <v>255</v>
      </c>
      <c r="EF228" s="9">
        <v>10</v>
      </c>
      <c r="EG228" s="9" t="s">
        <v>648</v>
      </c>
      <c r="EH228" s="9"/>
      <c r="EI228" s="9" t="b">
        <f t="shared" ref="EI228:EI252" si="214">(INDEX(TblClasses,MATCH($EE228,TblTLAList,0),ClassInfoLevelColumn)&gt;=$EF228)</f>
        <v>0</v>
      </c>
      <c r="EJ228" s="9" t="str">
        <f t="shared" ref="EJ228:EJ252" si="215">IF($EI228,$EE228&amp;$EF228,"")</f>
        <v/>
      </c>
      <c r="EK228" s="9">
        <f t="shared" ref="EK228:EK252" si="216">IF($EI228,MATCH($EJ228,TblClassN,0),99)</f>
        <v>99</v>
      </c>
      <c r="EL228" s="9">
        <f t="shared" ref="EL228:EL252" si="217">IF($EI228,IF(HRGestalt,MATCH($EJ228,TblGClassN,0),99),99)</f>
        <v>99</v>
      </c>
      <c r="EM228" s="9">
        <f t="shared" ref="EM228:EM252" si="218">IF($EI228,IF(HasVirtualClasses,MATCH($EJ228,TblClass3,0),99),99)</f>
        <v>99</v>
      </c>
      <c r="EN228" s="9">
        <f t="shared" ref="EN228:EN252" si="219">IF($EI228,MIN(IF(ISNA($EK228),99,$EK228),IF(ISNA($EL228),99,$EL228),IF(ISNA($EM228),99,$EM228)),99)</f>
        <v>99</v>
      </c>
      <c r="EO228" s="10" t="str">
        <f t="shared" ref="EO228:EO252" si="220">IF($EN228&lt;=LvlCS,$EG228,"")</f>
        <v/>
      </c>
    </row>
    <row r="229" spans="1:145" ht="11.25" customHeight="1" x14ac:dyDescent="0.2">
      <c r="A229" s="1">
        <f t="shared" si="186"/>
        <v>226</v>
      </c>
      <c r="B229" s="1" t="s">
        <v>649</v>
      </c>
      <c r="C229" s="1" t="s">
        <v>650</v>
      </c>
      <c r="D229" s="1" t="s">
        <v>650</v>
      </c>
      <c r="E229" s="1">
        <f t="shared" si="204"/>
        <v>0</v>
      </c>
      <c r="K229" s="1">
        <v>4</v>
      </c>
      <c r="L229" s="1">
        <v>10</v>
      </c>
      <c r="N229" s="1" t="b">
        <v>1</v>
      </c>
      <c r="O229" s="1" t="b">
        <v>1</v>
      </c>
      <c r="P229" s="1" t="b">
        <v>1</v>
      </c>
      <c r="Q229" s="1" t="b">
        <v>1</v>
      </c>
      <c r="S229" s="1" t="b">
        <v>1</v>
      </c>
      <c r="T229" s="1" t="b">
        <v>1</v>
      </c>
      <c r="V229" s="1">
        <v>1</v>
      </c>
      <c r="W229" s="1">
        <v>0.5</v>
      </c>
      <c r="X229" s="1">
        <v>0.34</v>
      </c>
      <c r="Y229" s="1">
        <v>0.34</v>
      </c>
      <c r="Z229" s="1" t="b">
        <f>FALSE</f>
        <v>0</v>
      </c>
      <c r="AA229" s="1" t="str">
        <f t="shared" si="207"/>
        <v/>
      </c>
      <c r="AB229" s="1" t="str">
        <f t="shared" si="208"/>
        <v/>
      </c>
      <c r="AC229" s="1">
        <f t="shared" si="205"/>
        <v>0</v>
      </c>
      <c r="AD229" s="1" t="str">
        <f t="shared" si="209"/>
        <v/>
      </c>
      <c r="AE229" s="1" t="str">
        <f t="shared" si="210"/>
        <v/>
      </c>
      <c r="AF229" s="1">
        <f t="shared" si="206"/>
        <v>0</v>
      </c>
      <c r="AG229" s="1">
        <f t="shared" si="211"/>
        <v>5</v>
      </c>
      <c r="AH229" s="1" t="str">
        <f t="shared" si="203"/>
        <v/>
      </c>
      <c r="AI229" s="1">
        <v>1</v>
      </c>
      <c r="AJ229" s="1">
        <f t="shared" si="187"/>
        <v>0</v>
      </c>
      <c r="AK229" s="1">
        <v>1</v>
      </c>
      <c r="AL229" s="1">
        <v>1</v>
      </c>
      <c r="AM229" s="1">
        <v>2</v>
      </c>
      <c r="AN229" s="1">
        <f t="shared" si="188"/>
        <v>0</v>
      </c>
      <c r="AO229" s="1">
        <v>2</v>
      </c>
      <c r="AP229" s="1">
        <v>2</v>
      </c>
      <c r="AQ229" s="1">
        <v>2</v>
      </c>
      <c r="AR229" s="1">
        <v>2</v>
      </c>
      <c r="AS229" s="1">
        <v>2</v>
      </c>
      <c r="AT229" s="1">
        <v>2</v>
      </c>
      <c r="AU229" s="1">
        <v>2</v>
      </c>
      <c r="AV229" s="1">
        <v>2</v>
      </c>
      <c r="AW229" s="1">
        <v>2</v>
      </c>
      <c r="AX229" s="1">
        <v>1</v>
      </c>
      <c r="AY229" s="1">
        <v>1</v>
      </c>
      <c r="AZ229" s="1">
        <v>1</v>
      </c>
      <c r="BA229" s="1">
        <v>1</v>
      </c>
      <c r="BB229" s="1">
        <v>1</v>
      </c>
      <c r="BC229" s="1">
        <v>2</v>
      </c>
      <c r="BD229" s="1">
        <v>1</v>
      </c>
      <c r="BE229" s="1">
        <v>2</v>
      </c>
      <c r="BF229" s="1">
        <v>2</v>
      </c>
      <c r="BG229" s="1">
        <f t="shared" si="189"/>
        <v>0</v>
      </c>
      <c r="BH229" s="1">
        <f t="shared" si="190"/>
        <v>0</v>
      </c>
      <c r="BI229" s="1">
        <v>1</v>
      </c>
      <c r="BJ229" s="1">
        <v>2</v>
      </c>
      <c r="BK229" s="1">
        <v>1</v>
      </c>
      <c r="BL229" s="1">
        <v>1</v>
      </c>
      <c r="BM229" s="1">
        <v>1</v>
      </c>
      <c r="BN229" s="1">
        <v>1</v>
      </c>
      <c r="BO229" s="1">
        <v>1</v>
      </c>
      <c r="BP229" s="1">
        <v>1</v>
      </c>
      <c r="BQ229" s="1">
        <f>IF(HRRVL,1,0)</f>
        <v>0</v>
      </c>
      <c r="BR229" s="1">
        <v>1</v>
      </c>
      <c r="BS229" s="1">
        <v>1</v>
      </c>
      <c r="BT229" s="1">
        <f t="shared" ref="BT229:BT238" si="221">IF(HRXPH,1,0)</f>
        <v>0</v>
      </c>
      <c r="BU229" s="1">
        <f>IF(HRRVL,2,0)</f>
        <v>0</v>
      </c>
      <c r="BV229" s="1">
        <v>2</v>
      </c>
      <c r="BW229" s="1">
        <v>1</v>
      </c>
      <c r="BX229" s="1">
        <v>1</v>
      </c>
      <c r="BY229" s="1">
        <v>1</v>
      </c>
      <c r="BZ229" s="1">
        <v>1</v>
      </c>
      <c r="CA229" s="1">
        <v>1</v>
      </c>
      <c r="CB229" s="1">
        <v>1</v>
      </c>
      <c r="CC229" s="1">
        <v>1</v>
      </c>
      <c r="CD229" s="1">
        <v>1</v>
      </c>
      <c r="CE229" s="1">
        <v>1</v>
      </c>
      <c r="CF229" s="1">
        <v>1</v>
      </c>
      <c r="CG229" s="1">
        <f t="shared" si="194"/>
        <v>0</v>
      </c>
      <c r="CH229" s="1">
        <v>2</v>
      </c>
      <c r="CI229" s="1">
        <v>1</v>
      </c>
      <c r="CJ229" s="1">
        <v>1</v>
      </c>
      <c r="CK229" s="1">
        <v>1</v>
      </c>
      <c r="CL229" s="1">
        <v>1</v>
      </c>
      <c r="CM229" s="1">
        <v>1</v>
      </c>
      <c r="CN229" s="1">
        <v>1</v>
      </c>
      <c r="CO229" s="1">
        <v>1</v>
      </c>
      <c r="CP229" s="1">
        <v>2</v>
      </c>
      <c r="CQ229" s="1">
        <v>2</v>
      </c>
      <c r="CR229" s="1">
        <v>2</v>
      </c>
      <c r="CS229" s="1">
        <v>2</v>
      </c>
      <c r="CT229" s="1">
        <v>2</v>
      </c>
      <c r="CU229" s="1">
        <v>2</v>
      </c>
      <c r="CV229" s="1">
        <f t="shared" si="195"/>
        <v>0</v>
      </c>
      <c r="CW229" s="1">
        <v>1</v>
      </c>
      <c r="CX229" s="1">
        <v>2</v>
      </c>
      <c r="CY229" s="1">
        <v>2</v>
      </c>
      <c r="CZ229" s="1">
        <f t="shared" si="196"/>
        <v>0</v>
      </c>
      <c r="DA229" s="1">
        <v>1</v>
      </c>
      <c r="DB229" s="1">
        <v>1</v>
      </c>
      <c r="DC229" s="1">
        <v>1</v>
      </c>
      <c r="DD229" s="1">
        <v>1</v>
      </c>
      <c r="DE229" s="1">
        <v>1</v>
      </c>
      <c r="DF229" s="1">
        <v>2</v>
      </c>
      <c r="DG229" s="1">
        <v>1</v>
      </c>
      <c r="DH229" s="1">
        <v>1</v>
      </c>
      <c r="DI229" s="1">
        <f t="shared" si="197"/>
        <v>0</v>
      </c>
      <c r="DJ229" s="1">
        <v>1</v>
      </c>
      <c r="DK229" s="1" t="s">
        <v>169</v>
      </c>
      <c r="DL229" s="1" t="s">
        <v>101</v>
      </c>
      <c r="DR229" s="1" t="b">
        <f>AND(AlignmentLawful,AlignmentGood)</f>
        <v>1</v>
      </c>
      <c r="DS229" s="1" t="b">
        <f>BaseAtk&gt;=5</f>
        <v>0</v>
      </c>
      <c r="DT229" s="1" t="b">
        <f>SkGatherInformationRanks&gt;=4</f>
        <v>0</v>
      </c>
      <c r="DU229" s="1" t="b">
        <f>SkKnowledgeReligionRanks&gt;=2</f>
        <v>0</v>
      </c>
      <c r="DV229" s="1" t="b">
        <f>SkSenseMotiveRanks&gt;=8</f>
        <v>0</v>
      </c>
      <c r="DW229" s="1" t="b">
        <f>FtPowerAttackEquiv</f>
        <v>0</v>
      </c>
      <c r="DY229" s="1" t="b">
        <f>AND(TurnLvl&gt;=1,TurnRebuke="Turn")</f>
        <v>0</v>
      </c>
      <c r="DZ229" s="1" t="b">
        <f>(SneakAttack+SuddenStrike+PsionicSneakAttack)&gt;=1</f>
        <v>0</v>
      </c>
      <c r="EA229" s="1" t="b">
        <f t="shared" si="202"/>
        <v>0</v>
      </c>
      <c r="EB229" s="11" t="s">
        <v>334</v>
      </c>
      <c r="EC229" s="1" t="str">
        <f>IF(DR229,"","• Must be of Lawful Good alignment.
")&amp;IF(DS229,"","• A base attack bonus of +5 or higher.
")&amp;IF(DT229,"","• 4 ranks in Gather Information.
")&amp;IF(DU229,"","• 2 ranks in Knowledge (religion).
")&amp;IF(DV229,"","• 8 ranks in Sense Motive.
")&amp;IF(DW229,"","• Power Attack feat.
")&amp;"• Detect evil class feature, or ability to cast Detect Evil as a divine spell
   (not verified).
"&amp;IF(DY229,"","• Turn undead class feature.
")&amp;IF(DZ229,"","• Sneak attack +1d6.")</f>
        <v>• A base attack bonus of +5 or higher.
• 4 ranks in Gather Information.
• 2 ranks in Knowledge (religion).
• 8 ranks in Sense Motive.
• Power Attack feat.
• Detect evil class feature, or ability to cast Detect Evil as a divine spell
   (not verified).
• Turn undead class feature.
• Sneak attack +1d6.</v>
      </c>
      <c r="ED229" s="11" t="s">
        <v>335</v>
      </c>
      <c r="EE229" s="8" t="s">
        <v>577</v>
      </c>
      <c r="EF229" s="9">
        <v>7</v>
      </c>
      <c r="EG229" s="9" t="s">
        <v>648</v>
      </c>
      <c r="EH229" s="9"/>
      <c r="EI229" s="9" t="b">
        <f t="shared" si="214"/>
        <v>0</v>
      </c>
      <c r="EJ229" s="9" t="str">
        <f t="shared" si="215"/>
        <v/>
      </c>
      <c r="EK229" s="9">
        <f t="shared" si="216"/>
        <v>99</v>
      </c>
      <c r="EL229" s="9">
        <f t="shared" si="217"/>
        <v>99</v>
      </c>
      <c r="EM229" s="9">
        <f t="shared" si="218"/>
        <v>99</v>
      </c>
      <c r="EN229" s="9">
        <f t="shared" si="219"/>
        <v>99</v>
      </c>
      <c r="EO229" s="10" t="str">
        <f t="shared" si="220"/>
        <v/>
      </c>
    </row>
    <row r="230" spans="1:145" ht="11.25" customHeight="1" x14ac:dyDescent="0.2">
      <c r="A230" s="1">
        <f t="shared" si="186"/>
        <v>227</v>
      </c>
      <c r="B230" s="1" t="s">
        <v>651</v>
      </c>
      <c r="C230" s="1" t="s">
        <v>652</v>
      </c>
      <c r="D230" s="1" t="s">
        <v>652</v>
      </c>
      <c r="E230" s="1">
        <f t="shared" si="204"/>
        <v>0</v>
      </c>
      <c r="G230" s="1">
        <f>(SbSLvl&gt;=1)+(SbSLvl&gt;=2)+(SbSLvl&gt;=3)+(SbSLvl&gt;=5)+(SbSLvl&gt;=6)+(SbSLvl&gt;=7)+(SbSLvl&gt;=8)+(SbSLvl&gt;=10)</f>
        <v>0</v>
      </c>
      <c r="K230" s="1">
        <v>6</v>
      </c>
      <c r="L230" s="1">
        <v>8</v>
      </c>
      <c r="V230" s="1">
        <v>0.75</v>
      </c>
      <c r="W230" s="1">
        <v>0.34</v>
      </c>
      <c r="X230" s="1">
        <v>0.5</v>
      </c>
      <c r="Y230" s="1">
        <v>0.5</v>
      </c>
      <c r="Z230" s="1" t="b">
        <f>FALSE</f>
        <v>0</v>
      </c>
      <c r="AA230" s="1" t="str">
        <f t="shared" si="207"/>
        <v/>
      </c>
      <c r="AB230" s="1" t="str">
        <f t="shared" si="208"/>
        <v/>
      </c>
      <c r="AC230" s="1">
        <f t="shared" si="205"/>
        <v>0</v>
      </c>
      <c r="AD230" s="1" t="str">
        <f t="shared" si="209"/>
        <v/>
      </c>
      <c r="AE230" s="1" t="str">
        <f t="shared" si="210"/>
        <v/>
      </c>
      <c r="AF230" s="1">
        <f t="shared" si="206"/>
        <v>0</v>
      </c>
      <c r="AG230" s="1">
        <f t="shared" si="211"/>
        <v>5</v>
      </c>
      <c r="AH230" s="1" t="str">
        <f t="shared" si="203"/>
        <v/>
      </c>
      <c r="AI230" s="1">
        <v>2</v>
      </c>
      <c r="AJ230" s="1">
        <f t="shared" si="187"/>
        <v>0</v>
      </c>
      <c r="AK230" s="1">
        <v>2</v>
      </c>
      <c r="AL230" s="1">
        <v>1</v>
      </c>
      <c r="AM230" s="1">
        <v>2</v>
      </c>
      <c r="AN230" s="1">
        <f t="shared" si="188"/>
        <v>0</v>
      </c>
      <c r="AO230" s="1">
        <v>2</v>
      </c>
      <c r="AP230" s="1">
        <v>2</v>
      </c>
      <c r="AQ230" s="1">
        <v>2</v>
      </c>
      <c r="AR230" s="1">
        <v>2</v>
      </c>
      <c r="AS230" s="1">
        <v>2</v>
      </c>
      <c r="AT230" s="1">
        <v>2</v>
      </c>
      <c r="AU230" s="1">
        <v>2</v>
      </c>
      <c r="AV230" s="1">
        <v>2</v>
      </c>
      <c r="AW230" s="1">
        <v>2</v>
      </c>
      <c r="AX230" s="1">
        <v>1</v>
      </c>
      <c r="AY230" s="1">
        <v>2</v>
      </c>
      <c r="AZ230" s="1">
        <v>1</v>
      </c>
      <c r="BA230" s="1">
        <v>2</v>
      </c>
      <c r="BB230" s="1">
        <v>1</v>
      </c>
      <c r="BC230" s="1">
        <v>2</v>
      </c>
      <c r="BD230" s="1">
        <v>1</v>
      </c>
      <c r="BE230" s="1">
        <v>2</v>
      </c>
      <c r="BF230" s="1">
        <v>2</v>
      </c>
      <c r="BG230" s="1">
        <f t="shared" si="189"/>
        <v>0</v>
      </c>
      <c r="BH230" s="1">
        <f t="shared" si="190"/>
        <v>0</v>
      </c>
      <c r="BI230" s="1">
        <v>1</v>
      </c>
      <c r="BJ230" s="1">
        <v>2</v>
      </c>
      <c r="BK230" s="1">
        <v>1</v>
      </c>
      <c r="BL230" s="1">
        <v>1</v>
      </c>
      <c r="BM230" s="1">
        <v>1</v>
      </c>
      <c r="BN230" s="1">
        <v>1</v>
      </c>
      <c r="BO230" s="1">
        <v>2</v>
      </c>
      <c r="BP230" s="1">
        <v>1</v>
      </c>
      <c r="BQ230" s="1">
        <f>IF(HRRVL,2,0)</f>
        <v>0</v>
      </c>
      <c r="BR230" s="1">
        <v>2</v>
      </c>
      <c r="BS230" s="1">
        <v>1</v>
      </c>
      <c r="BT230" s="1">
        <f t="shared" si="221"/>
        <v>0</v>
      </c>
      <c r="BU230" s="1">
        <f>IF(HRRVL,2,0)</f>
        <v>0</v>
      </c>
      <c r="BV230" s="1">
        <v>2</v>
      </c>
      <c r="BW230" s="1">
        <v>2</v>
      </c>
      <c r="BX230" s="1">
        <v>1</v>
      </c>
      <c r="BY230" s="1">
        <v>1</v>
      </c>
      <c r="BZ230" s="1">
        <v>1</v>
      </c>
      <c r="CA230" s="1">
        <v>1</v>
      </c>
      <c r="CB230" s="1">
        <v>1</v>
      </c>
      <c r="CC230" s="1">
        <v>1</v>
      </c>
      <c r="CD230" s="1">
        <v>1</v>
      </c>
      <c r="CE230" s="1">
        <v>1</v>
      </c>
      <c r="CF230" s="1">
        <v>2</v>
      </c>
      <c r="CG230" s="1">
        <f t="shared" si="194"/>
        <v>0</v>
      </c>
      <c r="CH230" s="1">
        <v>2</v>
      </c>
      <c r="CI230" s="1">
        <v>2</v>
      </c>
      <c r="CJ230" s="1">
        <v>1</v>
      </c>
      <c r="CK230" s="1">
        <v>1</v>
      </c>
      <c r="CL230" s="1">
        <v>1</v>
      </c>
      <c r="CM230" s="1">
        <v>1</v>
      </c>
      <c r="CN230" s="1">
        <v>1</v>
      </c>
      <c r="CO230" s="1">
        <v>1</v>
      </c>
      <c r="CP230" s="1">
        <v>2</v>
      </c>
      <c r="CQ230" s="1">
        <v>2</v>
      </c>
      <c r="CR230" s="1">
        <v>2</v>
      </c>
      <c r="CS230" s="1">
        <v>2</v>
      </c>
      <c r="CT230" s="1">
        <v>2</v>
      </c>
      <c r="CU230" s="1">
        <v>2</v>
      </c>
      <c r="CV230" s="1">
        <f t="shared" si="195"/>
        <v>0</v>
      </c>
      <c r="CW230" s="1">
        <v>1</v>
      </c>
      <c r="CX230" s="1">
        <v>2</v>
      </c>
      <c r="CY230" s="1">
        <v>2</v>
      </c>
      <c r="CZ230" s="1">
        <f t="shared" si="196"/>
        <v>0</v>
      </c>
      <c r="DA230" s="1">
        <v>2</v>
      </c>
      <c r="DB230" s="1">
        <v>1</v>
      </c>
      <c r="DC230" s="1">
        <v>2</v>
      </c>
      <c r="DD230" s="1">
        <v>2</v>
      </c>
      <c r="DE230" s="1">
        <v>1</v>
      </c>
      <c r="DF230" s="1">
        <v>1</v>
      </c>
      <c r="DG230" s="1">
        <v>2</v>
      </c>
      <c r="DH230" s="1">
        <v>2</v>
      </c>
      <c r="DI230" s="1">
        <f t="shared" si="197"/>
        <v>0</v>
      </c>
      <c r="DJ230" s="1">
        <v>2</v>
      </c>
      <c r="DK230" s="1" t="s">
        <v>169</v>
      </c>
      <c r="DL230" s="1" t="s">
        <v>101</v>
      </c>
      <c r="DR230" s="1" t="b">
        <f>AND(AlignmentLawful,AlignmentGood)</f>
        <v>1</v>
      </c>
      <c r="DT230" s="1" t="b">
        <f>SkGatherInformationRanks&gt;=8</f>
        <v>0</v>
      </c>
      <c r="DU230" s="1" t="b">
        <f>SkSearchRanks&gt;=4</f>
        <v>0</v>
      </c>
      <c r="DV230" s="1" t="b">
        <f>SkSenseMotiveRanks&gt;=4</f>
        <v>0</v>
      </c>
      <c r="DX230" s="1" t="b">
        <f>(SneakAttack+SuddenStrike+PsionicSneakAttack)&gt;=1</f>
        <v>0</v>
      </c>
      <c r="EA230" s="1" t="b">
        <f t="shared" si="202"/>
        <v>0</v>
      </c>
      <c r="EB230" s="11" t="s">
        <v>334</v>
      </c>
      <c r="EC230" s="1" t="str">
        <f>IF(DR230,"","• Must be of Lawful Good alignment.
")&amp;IF(DT230,"","• 8 ranks in Gather Information.
")&amp;IF(DU230,"","• 4 ranks in Search.
")&amp;IF(DV230,"","• 4 ranks in Sense Motive.
")&amp;"• Detect evil class feature or ability to cast Detect Evil as a divine spell
   (not verified).
"&amp;IF(DX230,"","• Sneak attack +1d6.")</f>
        <v>• 8 ranks in Gather Information.
• 4 ranks in Search.
• 4 ranks in Sense Motive.
• Detect evil class feature or ability to cast Detect Evil as a divine spell
   (not verified).
• Sneak attack +1d6.</v>
      </c>
      <c r="ED230" s="11" t="s">
        <v>335</v>
      </c>
      <c r="EE230" s="8" t="s">
        <v>580</v>
      </c>
      <c r="EF230" s="9">
        <v>10</v>
      </c>
      <c r="EG230" s="9" t="str">
        <f>IF($EI230,INDEX(Element4List,BondedSummonerElementCell),"")</f>
        <v/>
      </c>
      <c r="EH230" s="9"/>
      <c r="EI230" s="9" t="b">
        <f t="shared" si="214"/>
        <v>0</v>
      </c>
      <c r="EJ230" s="9" t="str">
        <f t="shared" si="215"/>
        <v/>
      </c>
      <c r="EK230" s="9">
        <f t="shared" si="216"/>
        <v>99</v>
      </c>
      <c r="EL230" s="9">
        <f t="shared" si="217"/>
        <v>99</v>
      </c>
      <c r="EM230" s="9">
        <f t="shared" si="218"/>
        <v>99</v>
      </c>
      <c r="EN230" s="9">
        <f t="shared" si="219"/>
        <v>99</v>
      </c>
      <c r="EO230" s="10" t="str">
        <f t="shared" si="220"/>
        <v/>
      </c>
    </row>
    <row r="231" spans="1:145" ht="11.25" customHeight="1" x14ac:dyDescent="0.2">
      <c r="A231" s="1">
        <f t="shared" si="186"/>
        <v>228</v>
      </c>
      <c r="B231" s="1" t="s">
        <v>653</v>
      </c>
      <c r="C231" s="1" t="s">
        <v>654</v>
      </c>
      <c r="D231" s="1" t="s">
        <v>654</v>
      </c>
      <c r="E231" s="1">
        <f t="shared" si="204"/>
        <v>0</v>
      </c>
      <c r="I231" s="1">
        <f>ShmLvl-INT((ShmLvl+1)/3)</f>
        <v>0</v>
      </c>
      <c r="K231" s="1">
        <v>4</v>
      </c>
      <c r="L231" s="1">
        <v>6</v>
      </c>
      <c r="V231" s="1">
        <v>0.75</v>
      </c>
      <c r="W231" s="1">
        <v>0.34</v>
      </c>
      <c r="X231" s="1">
        <v>0.5</v>
      </c>
      <c r="Y231" s="1">
        <v>0.5</v>
      </c>
      <c r="Z231" s="1" t="b">
        <f>FALSE</f>
        <v>0</v>
      </c>
      <c r="AA231" s="1" t="str">
        <f t="shared" si="207"/>
        <v/>
      </c>
      <c r="AB231" s="1" t="str">
        <f t="shared" si="208"/>
        <v/>
      </c>
      <c r="AC231" s="1">
        <f t="shared" si="205"/>
        <v>0</v>
      </c>
      <c r="AD231" s="1" t="str">
        <f t="shared" si="209"/>
        <v/>
      </c>
      <c r="AE231" s="1" t="str">
        <f t="shared" si="210"/>
        <v/>
      </c>
      <c r="AF231" s="1">
        <f t="shared" si="206"/>
        <v>0</v>
      </c>
      <c r="AG231" s="1">
        <f t="shared" si="211"/>
        <v>5</v>
      </c>
      <c r="AH231" s="1" t="str">
        <f t="shared" si="203"/>
        <v/>
      </c>
      <c r="AI231" s="1">
        <v>1</v>
      </c>
      <c r="AJ231" s="1">
        <f t="shared" si="187"/>
        <v>0</v>
      </c>
      <c r="AK231" s="1">
        <v>1</v>
      </c>
      <c r="AL231" s="1">
        <v>2</v>
      </c>
      <c r="AM231" s="1">
        <v>1</v>
      </c>
      <c r="AN231" s="1">
        <f t="shared" si="188"/>
        <v>0</v>
      </c>
      <c r="AO231" s="1">
        <v>2</v>
      </c>
      <c r="AP231" s="1">
        <v>2</v>
      </c>
      <c r="AQ231" s="1">
        <v>2</v>
      </c>
      <c r="AR231" s="1">
        <v>2</v>
      </c>
      <c r="AS231" s="1">
        <v>2</v>
      </c>
      <c r="AT231" s="1">
        <v>2</v>
      </c>
      <c r="AU231" s="1">
        <v>2</v>
      </c>
      <c r="AV231" s="1">
        <v>2</v>
      </c>
      <c r="AW231" s="1">
        <v>1</v>
      </c>
      <c r="AX231" s="1">
        <v>1</v>
      </c>
      <c r="AY231" s="1">
        <v>2</v>
      </c>
      <c r="AZ231" s="1">
        <v>1</v>
      </c>
      <c r="BA231" s="1">
        <v>2</v>
      </c>
      <c r="BB231" s="1">
        <v>1</v>
      </c>
      <c r="BC231" s="1">
        <v>1</v>
      </c>
      <c r="BD231" s="1">
        <v>1</v>
      </c>
      <c r="BE231" s="1">
        <v>1</v>
      </c>
      <c r="BF231" s="1">
        <v>2</v>
      </c>
      <c r="BG231" s="1">
        <f t="shared" si="189"/>
        <v>0</v>
      </c>
      <c r="BH231" s="1">
        <f t="shared" si="190"/>
        <v>0</v>
      </c>
      <c r="BI231" s="1">
        <v>1</v>
      </c>
      <c r="BJ231" s="1">
        <v>2</v>
      </c>
      <c r="BK231" s="1">
        <v>1</v>
      </c>
      <c r="BL231" s="1">
        <v>1</v>
      </c>
      <c r="BM231" s="1">
        <v>1</v>
      </c>
      <c r="BN231" s="1">
        <v>1</v>
      </c>
      <c r="BO231" s="1">
        <v>1</v>
      </c>
      <c r="BP231" s="1">
        <v>1</v>
      </c>
      <c r="BQ231" s="1">
        <f t="shared" ref="BQ231:BQ237" si="222">IF(HRRVL,1,0)</f>
        <v>0</v>
      </c>
      <c r="BR231" s="1">
        <v>1</v>
      </c>
      <c r="BS231" s="1">
        <v>1</v>
      </c>
      <c r="BT231" s="1">
        <f t="shared" si="221"/>
        <v>0</v>
      </c>
      <c r="BU231" s="1">
        <f t="shared" ref="BU231:BU238" si="223">IF(HRRVL,1,0)</f>
        <v>0</v>
      </c>
      <c r="BV231" s="1">
        <v>1</v>
      </c>
      <c r="BW231" s="1">
        <v>1</v>
      </c>
      <c r="BX231" s="1">
        <v>1</v>
      </c>
      <c r="BY231" s="1">
        <v>1</v>
      </c>
      <c r="BZ231" s="1">
        <v>1</v>
      </c>
      <c r="CA231" s="1">
        <v>1</v>
      </c>
      <c r="CB231" s="1">
        <v>1</v>
      </c>
      <c r="CC231" s="1">
        <v>1</v>
      </c>
      <c r="CD231" s="1">
        <v>1</v>
      </c>
      <c r="CE231" s="1">
        <v>1</v>
      </c>
      <c r="CF231" s="1">
        <v>2</v>
      </c>
      <c r="CG231" s="1">
        <f t="shared" si="194"/>
        <v>0</v>
      </c>
      <c r="CH231" s="1">
        <v>2</v>
      </c>
      <c r="CI231" s="1">
        <v>2</v>
      </c>
      <c r="CJ231" s="1">
        <v>1</v>
      </c>
      <c r="CK231" s="1">
        <v>1</v>
      </c>
      <c r="CL231" s="1">
        <v>1</v>
      </c>
      <c r="CM231" s="1">
        <v>1</v>
      </c>
      <c r="CN231" s="1">
        <v>1</v>
      </c>
      <c r="CO231" s="1">
        <v>1</v>
      </c>
      <c r="CP231" s="1">
        <v>1</v>
      </c>
      <c r="CQ231" s="1">
        <v>1</v>
      </c>
      <c r="CR231" s="1">
        <v>1</v>
      </c>
      <c r="CS231" s="1">
        <v>1</v>
      </c>
      <c r="CT231" s="1">
        <v>1</v>
      </c>
      <c r="CU231" s="1">
        <v>1</v>
      </c>
      <c r="CV231" s="1">
        <f t="shared" si="195"/>
        <v>0</v>
      </c>
      <c r="CW231" s="1">
        <v>1</v>
      </c>
      <c r="CX231" s="1">
        <v>2</v>
      </c>
      <c r="CY231" s="1">
        <v>2</v>
      </c>
      <c r="CZ231" s="1">
        <f t="shared" si="196"/>
        <v>0</v>
      </c>
      <c r="DA231" s="1">
        <v>2</v>
      </c>
      <c r="DB231" s="1">
        <v>1</v>
      </c>
      <c r="DC231" s="1">
        <v>1</v>
      </c>
      <c r="DD231" s="1">
        <v>2</v>
      </c>
      <c r="DE231" s="1">
        <v>1</v>
      </c>
      <c r="DF231" s="1">
        <v>1</v>
      </c>
      <c r="DG231" s="1">
        <v>2</v>
      </c>
      <c r="DH231" s="1">
        <v>1</v>
      </c>
      <c r="DI231" s="1">
        <f t="shared" si="197"/>
        <v>0</v>
      </c>
      <c r="DJ231" s="1">
        <v>1</v>
      </c>
      <c r="DK231" s="1" t="s">
        <v>169</v>
      </c>
      <c r="DL231" s="1" t="s">
        <v>170</v>
      </c>
      <c r="DR231" s="1" t="b">
        <f>BaseAtk&gt;=3</f>
        <v>0</v>
      </c>
      <c r="DS231" s="1" t="b">
        <f>SkHideRanks&gt;=5</f>
        <v>0</v>
      </c>
      <c r="DT231" s="1" t="b">
        <f>SkMoveSilentlyRanks&gt;=5</f>
        <v>0</v>
      </c>
      <c r="DU231" s="1" t="b">
        <f>SkSleightOfHandRanks&gt;=3</f>
        <v>0</v>
      </c>
      <c r="DV231" s="1" t="b">
        <f>MaxPowerLevel&gt;=3</f>
        <v>0</v>
      </c>
      <c r="EA231" s="1" t="b">
        <f t="shared" si="202"/>
        <v>0</v>
      </c>
      <c r="EB231" s="11" t="s">
        <v>338</v>
      </c>
      <c r="EC231" s="1" t="str">
        <f>IF(DR231,"","• A base attack bonus of +3 or higher.
")&amp;IF(DS231,"","• 5 ranks in Hide.
")&amp;IF(DT231,"","• 5 ranks in Move Silently.
")&amp;IF(DU231,"","• 3 ranks in Sleight of Hand.
")&amp;IF(DV231,"","• 3rd level manifester.
")&amp;"• Ability to manifest Concealing Amorpha (not verified)."</f>
        <v>• A base attack bonus of +3 or higher.
• 5 ranks in Hide.
• 5 ranks in Move Silently.
• 3 ranks in Sleight of Hand.
• 3rd level manifester.
• Ability to manifest Concealing Amorpha (not verified).</v>
      </c>
      <c r="ED231" s="11" t="s">
        <v>335</v>
      </c>
      <c r="EE231" s="8" t="s">
        <v>598</v>
      </c>
      <c r="EF231" s="9">
        <v>10</v>
      </c>
      <c r="EG231" s="9" t="s">
        <v>655</v>
      </c>
      <c r="EH231" s="9"/>
      <c r="EI231" s="9" t="b">
        <f t="shared" si="214"/>
        <v>0</v>
      </c>
      <c r="EJ231" s="9" t="str">
        <f t="shared" si="215"/>
        <v/>
      </c>
      <c r="EK231" s="9">
        <f t="shared" si="216"/>
        <v>99</v>
      </c>
      <c r="EL231" s="9">
        <f t="shared" si="217"/>
        <v>99</v>
      </c>
      <c r="EM231" s="9">
        <f t="shared" si="218"/>
        <v>99</v>
      </c>
      <c r="EN231" s="9">
        <f t="shared" si="219"/>
        <v>99</v>
      </c>
      <c r="EO231" s="10" t="str">
        <f t="shared" si="220"/>
        <v/>
      </c>
    </row>
    <row r="232" spans="1:145" ht="11.25" customHeight="1" x14ac:dyDescent="0.2">
      <c r="A232" s="1">
        <f t="shared" si="186"/>
        <v>229</v>
      </c>
      <c r="B232" s="1" t="s">
        <v>656</v>
      </c>
      <c r="C232" s="1" t="s">
        <v>657</v>
      </c>
      <c r="D232" s="1" t="s">
        <v>657</v>
      </c>
      <c r="E232" s="1">
        <f t="shared" si="204"/>
        <v>0</v>
      </c>
      <c r="K232" s="1">
        <v>8</v>
      </c>
      <c r="L232" s="1">
        <v>6</v>
      </c>
      <c r="N232" s="1" t="b">
        <v>1</v>
      </c>
      <c r="O232" s="1" t="b">
        <v>1</v>
      </c>
      <c r="S232" s="1" t="b">
        <v>1</v>
      </c>
      <c r="T232" s="1" t="b">
        <v>1</v>
      </c>
      <c r="V232" s="1">
        <v>0.75</v>
      </c>
      <c r="W232" s="1">
        <v>0.34</v>
      </c>
      <c r="X232" s="1">
        <v>0.5</v>
      </c>
      <c r="Y232" s="1">
        <v>0.34</v>
      </c>
      <c r="Z232" s="1" t="b">
        <f>FALSE</f>
        <v>0</v>
      </c>
      <c r="AA232" s="1" t="str">
        <f t="shared" si="207"/>
        <v/>
      </c>
      <c r="AB232" s="1" t="str">
        <f t="shared" si="208"/>
        <v/>
      </c>
      <c r="AC232" s="1">
        <f t="shared" si="205"/>
        <v>0</v>
      </c>
      <c r="AD232" s="1" t="str">
        <f t="shared" si="209"/>
        <v/>
      </c>
      <c r="AE232" s="1" t="str">
        <f t="shared" si="210"/>
        <v/>
      </c>
      <c r="AF232" s="1">
        <f t="shared" si="206"/>
        <v>0</v>
      </c>
      <c r="AG232" s="1">
        <f t="shared" si="211"/>
        <v>5</v>
      </c>
      <c r="AH232" s="1" t="str">
        <f t="shared" si="203"/>
        <v/>
      </c>
      <c r="AI232" s="1">
        <v>2</v>
      </c>
      <c r="AJ232" s="1">
        <f t="shared" si="187"/>
        <v>0</v>
      </c>
      <c r="AK232" s="1">
        <v>2</v>
      </c>
      <c r="AL232" s="1">
        <v>2</v>
      </c>
      <c r="AM232" s="1">
        <v>2</v>
      </c>
      <c r="AN232" s="1">
        <f t="shared" si="188"/>
        <v>0</v>
      </c>
      <c r="AO232" s="1">
        <v>1</v>
      </c>
      <c r="AP232" s="1">
        <v>1</v>
      </c>
      <c r="AQ232" s="1">
        <v>1</v>
      </c>
      <c r="AR232" s="1">
        <v>1</v>
      </c>
      <c r="AS232" s="1">
        <v>1</v>
      </c>
      <c r="AT232" s="1">
        <v>1</v>
      </c>
      <c r="AU232" s="1">
        <v>1</v>
      </c>
      <c r="AV232" s="1">
        <v>1</v>
      </c>
      <c r="AW232" s="1">
        <v>2</v>
      </c>
      <c r="AX232" s="1">
        <v>2</v>
      </c>
      <c r="AY232" s="1">
        <v>2</v>
      </c>
      <c r="AZ232" s="1">
        <v>2</v>
      </c>
      <c r="BA232" s="1">
        <v>2</v>
      </c>
      <c r="BB232" s="1">
        <v>2</v>
      </c>
      <c r="BC232" s="1">
        <v>2</v>
      </c>
      <c r="BD232" s="1">
        <v>1</v>
      </c>
      <c r="BE232" s="1">
        <v>1</v>
      </c>
      <c r="BF232" s="1">
        <v>2</v>
      </c>
      <c r="BG232" s="1">
        <f t="shared" si="189"/>
        <v>0</v>
      </c>
      <c r="BH232" s="1">
        <f t="shared" si="190"/>
        <v>0</v>
      </c>
      <c r="BI232" s="1">
        <v>2</v>
      </c>
      <c r="BJ232" s="1">
        <v>2</v>
      </c>
      <c r="BK232" s="1">
        <v>1</v>
      </c>
      <c r="BL232" s="1">
        <v>1</v>
      </c>
      <c r="BM232" s="1">
        <v>1</v>
      </c>
      <c r="BN232" s="1">
        <v>2</v>
      </c>
      <c r="BO232" s="1">
        <v>2</v>
      </c>
      <c r="BP232" s="1">
        <f>1+NOT(HRLivingGreyhawk)</f>
        <v>2</v>
      </c>
      <c r="BQ232" s="1">
        <f t="shared" si="222"/>
        <v>0</v>
      </c>
      <c r="BR232" s="1">
        <v>1</v>
      </c>
      <c r="BS232" s="1">
        <v>2</v>
      </c>
      <c r="BT232" s="1">
        <f t="shared" si="221"/>
        <v>0</v>
      </c>
      <c r="BU232" s="1">
        <f t="shared" si="223"/>
        <v>0</v>
      </c>
      <c r="BV232" s="1">
        <v>1</v>
      </c>
      <c r="BW232" s="1">
        <v>1</v>
      </c>
      <c r="BX232" s="1">
        <v>1</v>
      </c>
      <c r="BY232" s="1">
        <v>1</v>
      </c>
      <c r="BZ232" s="1">
        <v>1</v>
      </c>
      <c r="CA232" s="1">
        <v>1</v>
      </c>
      <c r="CB232" s="1">
        <v>1</v>
      </c>
      <c r="CC232" s="1">
        <v>1</v>
      </c>
      <c r="CD232" s="1">
        <v>1</v>
      </c>
      <c r="CE232" s="1">
        <v>1</v>
      </c>
      <c r="CF232" s="1">
        <v>2</v>
      </c>
      <c r="CG232" s="1">
        <f t="shared" si="194"/>
        <v>0</v>
      </c>
      <c r="CH232" s="1">
        <v>2</v>
      </c>
      <c r="CI232" s="1">
        <v>2</v>
      </c>
      <c r="CJ232" s="1">
        <v>1</v>
      </c>
      <c r="CK232" s="1">
        <v>1</v>
      </c>
      <c r="CL232" s="1">
        <v>1</v>
      </c>
      <c r="CM232" s="1">
        <v>1</v>
      </c>
      <c r="CN232" s="1">
        <v>1</v>
      </c>
      <c r="CO232" s="1">
        <v>1</v>
      </c>
      <c r="CP232" s="1">
        <v>1</v>
      </c>
      <c r="CQ232" s="1">
        <v>1</v>
      </c>
      <c r="CR232" s="1">
        <v>1</v>
      </c>
      <c r="CS232" s="1">
        <v>1</v>
      </c>
      <c r="CT232" s="1">
        <v>1</v>
      </c>
      <c r="CU232" s="1">
        <v>1</v>
      </c>
      <c r="CV232" s="1">
        <f t="shared" si="195"/>
        <v>0</v>
      </c>
      <c r="CW232" s="1">
        <v>1</v>
      </c>
      <c r="CX232" s="1">
        <v>2</v>
      </c>
      <c r="CY232" s="1">
        <v>2</v>
      </c>
      <c r="CZ232" s="1">
        <f t="shared" si="196"/>
        <v>0</v>
      </c>
      <c r="DA232" s="1">
        <v>2</v>
      </c>
      <c r="DB232" s="1">
        <v>2</v>
      </c>
      <c r="DC232" s="1">
        <v>1</v>
      </c>
      <c r="DD232" s="1">
        <v>2</v>
      </c>
      <c r="DE232" s="1">
        <v>1</v>
      </c>
      <c r="DF232" s="1">
        <v>2</v>
      </c>
      <c r="DG232" s="1">
        <v>2</v>
      </c>
      <c r="DH232" s="1">
        <v>2</v>
      </c>
      <c r="DI232" s="1">
        <f t="shared" si="197"/>
        <v>0</v>
      </c>
      <c r="DJ232" s="1">
        <v>2</v>
      </c>
      <c r="DK232" s="1" t="s">
        <v>169</v>
      </c>
      <c r="DL232" s="1" t="s">
        <v>101</v>
      </c>
      <c r="DR232" s="1" t="b">
        <f>SkBluffRanks&gt;=8</f>
        <v>0</v>
      </c>
      <c r="DS232" s="1" t="b">
        <f>SkDiplomacyRanks&gt;=4</f>
        <v>0</v>
      </c>
      <c r="DT232" s="1" t="b">
        <f>SkDisguiseRanks&gt;=8</f>
        <v>0</v>
      </c>
      <c r="DU232" s="1" t="b">
        <f>SkForgeryRanks&gt;=4</f>
        <v>0</v>
      </c>
      <c r="DV232" s="1" t="b">
        <f>SkGatherInformationRanks&gt;=4</f>
        <v>0</v>
      </c>
      <c r="DW232" s="1" t="b">
        <f>SkSenseMotiveRanks&gt;=4</f>
        <v>0</v>
      </c>
      <c r="DX232" s="1" t="b">
        <f>NOT(ISNA(MATCH("Bluff¹",TblSkillFocus,0)))</f>
        <v>0</v>
      </c>
      <c r="EA232" s="1" t="b">
        <f t="shared" si="202"/>
        <v>0</v>
      </c>
      <c r="EB232" s="11" t="s">
        <v>334</v>
      </c>
      <c r="EC232" s="1" t="str">
        <f>IF(DR232,"","• 8 ranks in Bluff.
")&amp;IF(DS232,"","• 4 ranks in Diplomacy.
")&amp;IF(DT232,"","• 8 ranks in Disguise.
")&amp;IF(DU232,"","• 4 ranks in Forgery.
")&amp;IF(DV232,"","• 4 ranks in Gather Information.
")&amp;IF(DW232,"","• 4 ranks in Sense Motive.
")&amp;IF(DX232,"","• Skill Focus (Bluff) feat.")</f>
        <v>• 8 ranks in Bluff.
• 4 ranks in Diplomacy.
• 8 ranks in Disguise.
• 4 ranks in Forgery.
• 4 ranks in Gather Information.
• 4 ranks in Sense Motive.
• Skill Focus (Bluff) feat.</v>
      </c>
      <c r="ED232" s="11" t="s">
        <v>335</v>
      </c>
      <c r="EE232" s="8" t="s">
        <v>68</v>
      </c>
      <c r="EF232" s="9">
        <v>20</v>
      </c>
      <c r="EG232" s="9" t="s">
        <v>655</v>
      </c>
      <c r="EH232" s="9"/>
      <c r="EI232" s="9" t="b">
        <f t="shared" si="214"/>
        <v>0</v>
      </c>
      <c r="EJ232" s="9" t="str">
        <f t="shared" si="215"/>
        <v/>
      </c>
      <c r="EK232" s="9">
        <f t="shared" si="216"/>
        <v>99</v>
      </c>
      <c r="EL232" s="9">
        <f t="shared" si="217"/>
        <v>99</v>
      </c>
      <c r="EM232" s="9">
        <f t="shared" si="218"/>
        <v>99</v>
      </c>
      <c r="EN232" s="9">
        <f t="shared" si="219"/>
        <v>99</v>
      </c>
      <c r="EO232" s="10" t="str">
        <f t="shared" si="220"/>
        <v/>
      </c>
    </row>
    <row r="233" spans="1:145" ht="11.25" customHeight="1" x14ac:dyDescent="0.2">
      <c r="A233" s="1">
        <f t="shared" si="186"/>
        <v>230</v>
      </c>
      <c r="B233" s="1" t="s">
        <v>658</v>
      </c>
      <c r="C233" s="1" t="s">
        <v>659</v>
      </c>
      <c r="D233" s="1" t="s">
        <v>659</v>
      </c>
      <c r="E233" s="1">
        <f t="shared" si="204"/>
        <v>0</v>
      </c>
      <c r="K233" s="1">
        <v>4</v>
      </c>
      <c r="L233" s="1">
        <v>8</v>
      </c>
      <c r="V233" s="1">
        <v>1</v>
      </c>
      <c r="W233" s="1">
        <v>0.5</v>
      </c>
      <c r="X233" s="1">
        <v>0.34</v>
      </c>
      <c r="Y233" s="1">
        <v>0.34</v>
      </c>
      <c r="Z233" s="1" t="b">
        <f>FALSE</f>
        <v>0</v>
      </c>
      <c r="AA233" s="1" t="str">
        <f t="shared" si="207"/>
        <v/>
      </c>
      <c r="AB233" s="1" t="str">
        <f t="shared" si="208"/>
        <v/>
      </c>
      <c r="AC233" s="1">
        <f t="shared" si="205"/>
        <v>0</v>
      </c>
      <c r="AD233" s="1" t="str">
        <f t="shared" si="209"/>
        <v/>
      </c>
      <c r="AE233" s="1" t="str">
        <f t="shared" si="210"/>
        <v/>
      </c>
      <c r="AF233" s="1">
        <f t="shared" si="206"/>
        <v>0</v>
      </c>
      <c r="AG233" s="1">
        <f t="shared" si="211"/>
        <v>5</v>
      </c>
      <c r="AH233" s="1" t="str">
        <f t="shared" si="203"/>
        <v/>
      </c>
      <c r="AI233" s="1">
        <v>1</v>
      </c>
      <c r="AJ233" s="1">
        <f t="shared" si="187"/>
        <v>0</v>
      </c>
      <c r="AK233" s="1">
        <v>1</v>
      </c>
      <c r="AL233" s="1">
        <v>2</v>
      </c>
      <c r="AM233" s="1">
        <v>2</v>
      </c>
      <c r="AN233" s="1">
        <f t="shared" si="188"/>
        <v>0</v>
      </c>
      <c r="AO233" s="1">
        <v>1</v>
      </c>
      <c r="AP233" s="1">
        <v>1</v>
      </c>
      <c r="AQ233" s="1">
        <v>1</v>
      </c>
      <c r="AR233" s="1">
        <v>1</v>
      </c>
      <c r="AS233" s="1">
        <v>1</v>
      </c>
      <c r="AT233" s="1">
        <v>1</v>
      </c>
      <c r="AU233" s="1">
        <v>1</v>
      </c>
      <c r="AV233" s="1">
        <v>1</v>
      </c>
      <c r="AW233" s="1">
        <v>1</v>
      </c>
      <c r="AX233" s="1">
        <v>1</v>
      </c>
      <c r="AY233" s="1">
        <v>2</v>
      </c>
      <c r="AZ233" s="1">
        <v>1</v>
      </c>
      <c r="BA233" s="1">
        <v>1</v>
      </c>
      <c r="BB233" s="1">
        <v>1</v>
      </c>
      <c r="BC233" s="1">
        <v>1</v>
      </c>
      <c r="BD233" s="1">
        <v>1</v>
      </c>
      <c r="BE233" s="1">
        <v>1</v>
      </c>
      <c r="BF233" s="1">
        <v>2</v>
      </c>
      <c r="BG233" s="1">
        <f t="shared" si="189"/>
        <v>0</v>
      </c>
      <c r="BH233" s="1">
        <f t="shared" si="190"/>
        <v>0</v>
      </c>
      <c r="BI233" s="1">
        <v>2</v>
      </c>
      <c r="BJ233" s="1">
        <v>2</v>
      </c>
      <c r="BK233" s="1">
        <v>1</v>
      </c>
      <c r="BL233" s="1">
        <v>1</v>
      </c>
      <c r="BM233" s="1">
        <v>1</v>
      </c>
      <c r="BN233" s="1">
        <v>1</v>
      </c>
      <c r="BO233" s="1">
        <v>1</v>
      </c>
      <c r="BP233" s="1">
        <f>1+NOT(HRLivingGreyhawk)</f>
        <v>2</v>
      </c>
      <c r="BQ233" s="1">
        <f t="shared" si="222"/>
        <v>0</v>
      </c>
      <c r="BR233" s="1">
        <v>1</v>
      </c>
      <c r="BS233" s="1">
        <v>1</v>
      </c>
      <c r="BT233" s="1">
        <f t="shared" si="221"/>
        <v>0</v>
      </c>
      <c r="BU233" s="1">
        <f t="shared" si="223"/>
        <v>0</v>
      </c>
      <c r="BV233" s="1">
        <v>1</v>
      </c>
      <c r="BW233" s="1">
        <v>1</v>
      </c>
      <c r="BX233" s="1">
        <v>1</v>
      </c>
      <c r="BY233" s="1">
        <v>1</v>
      </c>
      <c r="BZ233" s="1">
        <v>1</v>
      </c>
      <c r="CA233" s="1">
        <v>1</v>
      </c>
      <c r="CB233" s="1">
        <v>1</v>
      </c>
      <c r="CC233" s="1">
        <v>1</v>
      </c>
      <c r="CD233" s="1">
        <v>1</v>
      </c>
      <c r="CE233" s="1">
        <v>1</v>
      </c>
      <c r="CF233" s="1">
        <v>2</v>
      </c>
      <c r="CG233" s="1">
        <f t="shared" si="194"/>
        <v>0</v>
      </c>
      <c r="CH233" s="1">
        <v>2</v>
      </c>
      <c r="CI233" s="1">
        <v>2</v>
      </c>
      <c r="CJ233" s="1">
        <v>1</v>
      </c>
      <c r="CK233" s="1">
        <v>1</v>
      </c>
      <c r="CL233" s="1">
        <v>1</v>
      </c>
      <c r="CM233" s="1">
        <v>1</v>
      </c>
      <c r="CN233" s="1">
        <v>1</v>
      </c>
      <c r="CO233" s="1">
        <v>1</v>
      </c>
      <c r="CP233" s="1">
        <v>1</v>
      </c>
      <c r="CQ233" s="1">
        <v>1</v>
      </c>
      <c r="CR233" s="1">
        <v>1</v>
      </c>
      <c r="CS233" s="1">
        <v>1</v>
      </c>
      <c r="CT233" s="1">
        <v>1</v>
      </c>
      <c r="CU233" s="1">
        <v>1</v>
      </c>
      <c r="CV233" s="1">
        <f t="shared" si="195"/>
        <v>0</v>
      </c>
      <c r="CW233" s="1">
        <v>2</v>
      </c>
      <c r="CX233" s="1">
        <v>2</v>
      </c>
      <c r="CY233" s="1">
        <v>1</v>
      </c>
      <c r="CZ233" s="1">
        <f t="shared" si="196"/>
        <v>0</v>
      </c>
      <c r="DA233" s="1">
        <v>1</v>
      </c>
      <c r="DB233" s="1">
        <v>1</v>
      </c>
      <c r="DC233" s="1">
        <v>1</v>
      </c>
      <c r="DD233" s="1">
        <v>2</v>
      </c>
      <c r="DE233" s="1">
        <v>1</v>
      </c>
      <c r="DF233" s="1">
        <v>1</v>
      </c>
      <c r="DG233" s="1">
        <v>2</v>
      </c>
      <c r="DH233" s="1">
        <v>1</v>
      </c>
      <c r="DI233" s="1">
        <f t="shared" si="197"/>
        <v>0</v>
      </c>
      <c r="DJ233" s="1">
        <v>1</v>
      </c>
      <c r="DK233" s="1" t="s">
        <v>169</v>
      </c>
      <c r="DL233" s="1" t="s">
        <v>40</v>
      </c>
      <c r="DR233" s="1" t="b">
        <f>BaseAtk&gt;=5</f>
        <v>0</v>
      </c>
      <c r="DS233" s="1" t="b">
        <f>SkBluffRanks&gt;=5</f>
        <v>0</v>
      </c>
      <c r="DT233" s="1" t="b">
        <f>SkIntimidateRanks&gt;=5</f>
        <v>0</v>
      </c>
      <c r="DU233" s="1" t="b">
        <f>SkKnowledgeLocalRanks&gt;=5</f>
        <v>0</v>
      </c>
      <c r="DV233" s="1" t="b">
        <f>FtCombatExpertise</f>
        <v>0</v>
      </c>
      <c r="DW233" s="1" t="b">
        <f>FtImprovedFeint</f>
        <v>0</v>
      </c>
      <c r="EA233" s="1" t="b">
        <f t="shared" si="202"/>
        <v>0</v>
      </c>
      <c r="EB233" s="11" t="s">
        <v>334</v>
      </c>
      <c r="EC233" s="1" t="str">
        <f>IF(DR233,"","• A base attack bonus of +5 or higher.
")&amp;IF(DS233,"","• 5 ranks in Bluff.
")&amp;IF(DT233,"","• 5 ranks in Intimidate.
")&amp;IF(DU233,"","• 5 ranks in Knowledge (local).
")&amp;IF(DV233,"","• Combat Expertise feat.
")&amp;IF(DW233,"","• Improved Feint feat.")</f>
        <v>• A base attack bonus of +5 or higher.
• 5 ranks in Bluff.
• 5 ranks in Intimidate.
• 5 ranks in Knowledge (local).
• Combat Expertise feat.
• Improved Feint feat.</v>
      </c>
      <c r="ED233" s="11" t="s">
        <v>335</v>
      </c>
      <c r="EE233" s="8" t="s">
        <v>607</v>
      </c>
      <c r="EF233" s="9">
        <v>5</v>
      </c>
      <c r="EG233" s="9" t="s">
        <v>655</v>
      </c>
      <c r="EH233" s="9"/>
      <c r="EI233" s="9" t="b">
        <f t="shared" si="214"/>
        <v>0</v>
      </c>
      <c r="EJ233" s="9" t="str">
        <f t="shared" si="215"/>
        <v/>
      </c>
      <c r="EK233" s="9">
        <f t="shared" si="216"/>
        <v>99</v>
      </c>
      <c r="EL233" s="9">
        <f t="shared" si="217"/>
        <v>99</v>
      </c>
      <c r="EM233" s="9">
        <f t="shared" si="218"/>
        <v>99</v>
      </c>
      <c r="EN233" s="9">
        <f t="shared" si="219"/>
        <v>99</v>
      </c>
      <c r="EO233" s="10" t="str">
        <f t="shared" si="220"/>
        <v/>
      </c>
    </row>
    <row r="234" spans="1:145" ht="11.25" customHeight="1" x14ac:dyDescent="0.2">
      <c r="A234" s="1">
        <f t="shared" si="186"/>
        <v>231</v>
      </c>
      <c r="B234" s="1" t="s">
        <v>660</v>
      </c>
      <c r="C234" s="1" t="s">
        <v>661</v>
      </c>
      <c r="D234" s="1" t="s">
        <v>661</v>
      </c>
      <c r="E234" s="1">
        <f t="shared" si="204"/>
        <v>0</v>
      </c>
      <c r="K234" s="1">
        <v>2</v>
      </c>
      <c r="L234" s="1">
        <v>10</v>
      </c>
      <c r="V234" s="1">
        <v>1</v>
      </c>
      <c r="W234" s="1">
        <v>0.5</v>
      </c>
      <c r="X234" s="1">
        <v>0.34</v>
      </c>
      <c r="Y234" s="1">
        <v>0.34</v>
      </c>
      <c r="Z234" s="1" t="b">
        <f>FALSE</f>
        <v>0</v>
      </c>
      <c r="AA234" s="1" t="str">
        <f t="shared" si="207"/>
        <v/>
      </c>
      <c r="AB234" s="1" t="str">
        <f t="shared" si="208"/>
        <v/>
      </c>
      <c r="AC234" s="1">
        <f t="shared" si="205"/>
        <v>0</v>
      </c>
      <c r="AD234" s="1" t="str">
        <f t="shared" si="209"/>
        <v/>
      </c>
      <c r="AE234" s="1" t="str">
        <f t="shared" si="210"/>
        <v/>
      </c>
      <c r="AF234" s="1">
        <f t="shared" si="206"/>
        <v>0</v>
      </c>
      <c r="AG234" s="1">
        <f t="shared" si="211"/>
        <v>5</v>
      </c>
      <c r="AH234" s="1" t="str">
        <f t="shared" si="203"/>
        <v/>
      </c>
      <c r="AI234" s="1">
        <v>1</v>
      </c>
      <c r="AJ234" s="1">
        <f t="shared" si="187"/>
        <v>0</v>
      </c>
      <c r="AK234" s="1">
        <v>2</v>
      </c>
      <c r="AL234" s="1">
        <v>1</v>
      </c>
      <c r="AM234" s="1">
        <v>2</v>
      </c>
      <c r="AN234" s="1">
        <f t="shared" si="188"/>
        <v>0</v>
      </c>
      <c r="AO234" s="1">
        <v>1</v>
      </c>
      <c r="AP234" s="1">
        <v>2</v>
      </c>
      <c r="AQ234" s="1">
        <v>2</v>
      </c>
      <c r="AR234" s="1">
        <v>2</v>
      </c>
      <c r="AS234" s="1">
        <v>2</v>
      </c>
      <c r="AT234" s="1">
        <v>2</v>
      </c>
      <c r="AU234" s="1">
        <v>2</v>
      </c>
      <c r="AV234" s="1">
        <v>2</v>
      </c>
      <c r="AW234" s="1">
        <v>1</v>
      </c>
      <c r="AX234" s="1">
        <v>1</v>
      </c>
      <c r="AY234" s="1">
        <v>1</v>
      </c>
      <c r="AZ234" s="1">
        <v>1</v>
      </c>
      <c r="BA234" s="1">
        <v>1</v>
      </c>
      <c r="BB234" s="1">
        <v>1</v>
      </c>
      <c r="BC234" s="1">
        <v>1</v>
      </c>
      <c r="BD234" s="1">
        <v>1</v>
      </c>
      <c r="BE234" s="1">
        <v>1</v>
      </c>
      <c r="BF234" s="1">
        <v>1</v>
      </c>
      <c r="BG234" s="1">
        <f t="shared" si="189"/>
        <v>0</v>
      </c>
      <c r="BH234" s="1">
        <f t="shared" si="190"/>
        <v>0</v>
      </c>
      <c r="BI234" s="1">
        <v>1</v>
      </c>
      <c r="BJ234" s="1">
        <v>2</v>
      </c>
      <c r="BK234" s="1">
        <v>1</v>
      </c>
      <c r="BL234" s="1">
        <v>1</v>
      </c>
      <c r="BM234" s="1">
        <v>1</v>
      </c>
      <c r="BN234" s="1">
        <v>1</v>
      </c>
      <c r="BO234" s="1">
        <v>1</v>
      </c>
      <c r="BP234" s="1">
        <v>1</v>
      </c>
      <c r="BQ234" s="1">
        <f t="shared" si="222"/>
        <v>0</v>
      </c>
      <c r="BR234" s="1">
        <v>1</v>
      </c>
      <c r="BS234" s="1">
        <v>1</v>
      </c>
      <c r="BT234" s="1">
        <f t="shared" si="221"/>
        <v>0</v>
      </c>
      <c r="BU234" s="1">
        <f t="shared" si="223"/>
        <v>0</v>
      </c>
      <c r="BV234" s="1">
        <v>1</v>
      </c>
      <c r="BW234" s="1">
        <v>1</v>
      </c>
      <c r="BX234" s="1">
        <v>1</v>
      </c>
      <c r="BY234" s="1">
        <v>1</v>
      </c>
      <c r="BZ234" s="1">
        <v>1</v>
      </c>
      <c r="CA234" s="1">
        <v>1</v>
      </c>
      <c r="CB234" s="1">
        <v>1</v>
      </c>
      <c r="CC234" s="1">
        <v>1</v>
      </c>
      <c r="CD234" s="1">
        <v>1</v>
      </c>
      <c r="CE234" s="1">
        <v>1</v>
      </c>
      <c r="CF234" s="1">
        <v>1</v>
      </c>
      <c r="CG234" s="1">
        <f t="shared" si="194"/>
        <v>0</v>
      </c>
      <c r="CH234" s="1">
        <v>1</v>
      </c>
      <c r="CI234" s="1">
        <v>1</v>
      </c>
      <c r="CJ234" s="1">
        <v>1</v>
      </c>
      <c r="CK234" s="1">
        <v>1</v>
      </c>
      <c r="CL234" s="1">
        <v>1</v>
      </c>
      <c r="CM234" s="1">
        <v>1</v>
      </c>
      <c r="CN234" s="1">
        <v>1</v>
      </c>
      <c r="CO234" s="1">
        <v>1</v>
      </c>
      <c r="CP234" s="1">
        <v>1</v>
      </c>
      <c r="CQ234" s="1">
        <v>1</v>
      </c>
      <c r="CR234" s="1">
        <v>1</v>
      </c>
      <c r="CS234" s="1">
        <v>1</v>
      </c>
      <c r="CT234" s="1">
        <v>1</v>
      </c>
      <c r="CU234" s="1">
        <v>1</v>
      </c>
      <c r="CV234" s="1">
        <f t="shared" si="195"/>
        <v>0</v>
      </c>
      <c r="CW234" s="1">
        <v>1</v>
      </c>
      <c r="CX234" s="1">
        <v>1</v>
      </c>
      <c r="CY234" s="1">
        <v>1</v>
      </c>
      <c r="CZ234" s="1">
        <f t="shared" si="196"/>
        <v>0</v>
      </c>
      <c r="DA234" s="1">
        <v>2</v>
      </c>
      <c r="DB234" s="1">
        <v>1</v>
      </c>
      <c r="DC234" s="1">
        <v>1</v>
      </c>
      <c r="DD234" s="1">
        <v>1</v>
      </c>
      <c r="DE234" s="1">
        <v>1</v>
      </c>
      <c r="DF234" s="1">
        <v>1</v>
      </c>
      <c r="DG234" s="1">
        <v>2</v>
      </c>
      <c r="DH234" s="1">
        <v>1</v>
      </c>
      <c r="DI234" s="1">
        <f t="shared" si="197"/>
        <v>0</v>
      </c>
      <c r="DJ234" s="1">
        <v>1</v>
      </c>
      <c r="DK234" s="1" t="s">
        <v>169</v>
      </c>
      <c r="DL234" s="1" t="s">
        <v>40</v>
      </c>
      <c r="DR234" s="1" t="b">
        <f>BaseAtk&gt;=6</f>
        <v>0</v>
      </c>
      <c r="DS234" s="1" t="b">
        <f>FtDodgeEquiv</f>
        <v>0</v>
      </c>
      <c r="DT234" s="1" t="b">
        <f>FtMobility</f>
        <v>0</v>
      </c>
      <c r="DU234" s="1" t="b">
        <f>FtSpringAttack</f>
        <v>0</v>
      </c>
      <c r="DV234" s="1" t="b">
        <f>OR(FtTwoWeaponFighting,RslHeFtr2)</f>
        <v>0</v>
      </c>
      <c r="DW234" s="1" t="b">
        <f>FtImprovedTwoWeaponFighting</f>
        <v>0</v>
      </c>
      <c r="EA234" s="1" t="b">
        <f t="shared" si="202"/>
        <v>0</v>
      </c>
      <c r="EB234" s="11" t="s">
        <v>334</v>
      </c>
      <c r="EC234" s="1" t="str">
        <f>IF(DR234,"","• A base attack bonus of +6 or higher.
")&amp;IF(DS234,"","• Dodge feat.
")&amp;IF(DT234,"","• Mobility feat.
")&amp;IF(DU234,"","• Spring Attack feat.
")&amp;IF(DV234,"","• Two-Weapon Fighting feat.
")&amp;IF(DW234,"","• Improved Two-Weapon Fighting feat.")</f>
        <v>• A base attack bonus of +6 or higher.
• Dodge feat.
• Mobility feat.
• Spring Attack feat.
• Two-Weapon Fighting feat.
• Improved Two-Weapon Fighting feat.</v>
      </c>
      <c r="ED234" s="11" t="s">
        <v>335</v>
      </c>
      <c r="EE234" s="8" t="s">
        <v>498</v>
      </c>
      <c r="EF234" s="9">
        <v>10</v>
      </c>
      <c r="EG234" s="9" t="s">
        <v>655</v>
      </c>
      <c r="EH234" s="9"/>
      <c r="EI234" s="9" t="b">
        <f t="shared" si="214"/>
        <v>0</v>
      </c>
      <c r="EJ234" s="9" t="str">
        <f t="shared" si="215"/>
        <v/>
      </c>
      <c r="EK234" s="9">
        <f t="shared" si="216"/>
        <v>99</v>
      </c>
      <c r="EL234" s="9">
        <f t="shared" si="217"/>
        <v>99</v>
      </c>
      <c r="EM234" s="9">
        <f t="shared" si="218"/>
        <v>99</v>
      </c>
      <c r="EN234" s="9">
        <f t="shared" si="219"/>
        <v>99</v>
      </c>
      <c r="EO234" s="10" t="str">
        <f t="shared" si="220"/>
        <v/>
      </c>
    </row>
    <row r="235" spans="1:145" ht="11.25" customHeight="1" x14ac:dyDescent="0.2">
      <c r="A235" s="1">
        <f t="shared" si="186"/>
        <v>232</v>
      </c>
      <c r="B235" s="1" t="s">
        <v>662</v>
      </c>
      <c r="C235" s="1" t="s">
        <v>663</v>
      </c>
      <c r="D235" s="1" t="s">
        <v>663</v>
      </c>
      <c r="E235" s="1">
        <f t="shared" si="204"/>
        <v>0</v>
      </c>
      <c r="K235" s="1">
        <v>6</v>
      </c>
      <c r="L235" s="1">
        <v>6</v>
      </c>
      <c r="S235" s="1" t="b">
        <v>1</v>
      </c>
      <c r="V235" s="1">
        <v>0.75</v>
      </c>
      <c r="W235" s="1">
        <v>0.34</v>
      </c>
      <c r="X235" s="1">
        <v>0.5</v>
      </c>
      <c r="Y235" s="1">
        <v>0.34</v>
      </c>
      <c r="Z235" s="1" t="b">
        <f>FALSE</f>
        <v>0</v>
      </c>
      <c r="AA235" s="1" t="str">
        <f t="shared" si="207"/>
        <v/>
      </c>
      <c r="AB235" s="1" t="str">
        <f t="shared" si="208"/>
        <v/>
      </c>
      <c r="AC235" s="1">
        <f t="shared" si="205"/>
        <v>0</v>
      </c>
      <c r="AD235" s="1" t="str">
        <f t="shared" si="209"/>
        <v/>
      </c>
      <c r="AE235" s="1" t="str">
        <f t="shared" si="210"/>
        <v/>
      </c>
      <c r="AF235" s="1">
        <f t="shared" si="206"/>
        <v>0</v>
      </c>
      <c r="AG235" s="1">
        <f t="shared" si="211"/>
        <v>5</v>
      </c>
      <c r="AH235" s="1" t="str">
        <f t="shared" si="203"/>
        <v/>
      </c>
      <c r="AI235" s="1">
        <v>2</v>
      </c>
      <c r="AJ235" s="1">
        <f t="shared" si="187"/>
        <v>0</v>
      </c>
      <c r="AK235" s="1">
        <v>2</v>
      </c>
      <c r="AL235" s="1">
        <v>1</v>
      </c>
      <c r="AM235" s="1">
        <v>2</v>
      </c>
      <c r="AN235" s="1">
        <f t="shared" si="188"/>
        <v>0</v>
      </c>
      <c r="AO235" s="1">
        <v>1</v>
      </c>
      <c r="AP235" s="1">
        <v>2</v>
      </c>
      <c r="AQ235" s="1">
        <v>2</v>
      </c>
      <c r="AR235" s="1">
        <v>2</v>
      </c>
      <c r="AS235" s="1">
        <v>2</v>
      </c>
      <c r="AT235" s="1">
        <v>2</v>
      </c>
      <c r="AU235" s="1">
        <v>2</v>
      </c>
      <c r="AV235" s="1">
        <v>2</v>
      </c>
      <c r="AW235" s="1">
        <v>1</v>
      </c>
      <c r="AX235" s="1">
        <v>1</v>
      </c>
      <c r="AY235" s="1">
        <v>2</v>
      </c>
      <c r="AZ235" s="1">
        <v>1</v>
      </c>
      <c r="BA235" s="1">
        <v>2</v>
      </c>
      <c r="BB235" s="1">
        <v>1</v>
      </c>
      <c r="BC235" s="1">
        <v>1</v>
      </c>
      <c r="BD235" s="1">
        <v>1</v>
      </c>
      <c r="BE235" s="1">
        <v>1</v>
      </c>
      <c r="BF235" s="1">
        <v>2</v>
      </c>
      <c r="BG235" s="1">
        <f t="shared" si="189"/>
        <v>0</v>
      </c>
      <c r="BH235" s="1">
        <f t="shared" si="190"/>
        <v>0</v>
      </c>
      <c r="BI235" s="1">
        <v>1</v>
      </c>
      <c r="BJ235" s="1">
        <v>2</v>
      </c>
      <c r="BK235" s="1">
        <v>1</v>
      </c>
      <c r="BL235" s="1">
        <v>1</v>
      </c>
      <c r="BM235" s="1">
        <v>1</v>
      </c>
      <c r="BN235" s="1">
        <v>1</v>
      </c>
      <c r="BO235" s="1">
        <v>1</v>
      </c>
      <c r="BP235" s="1">
        <v>1</v>
      </c>
      <c r="BQ235" s="1">
        <f t="shared" si="222"/>
        <v>0</v>
      </c>
      <c r="BR235" s="1">
        <v>1</v>
      </c>
      <c r="BS235" s="1">
        <v>1</v>
      </c>
      <c r="BT235" s="1">
        <f t="shared" si="221"/>
        <v>0</v>
      </c>
      <c r="BU235" s="1">
        <f t="shared" si="223"/>
        <v>0</v>
      </c>
      <c r="BV235" s="1">
        <v>1</v>
      </c>
      <c r="BW235" s="1">
        <v>1</v>
      </c>
      <c r="BX235" s="1">
        <v>1</v>
      </c>
      <c r="BY235" s="1">
        <v>1</v>
      </c>
      <c r="BZ235" s="1">
        <v>1</v>
      </c>
      <c r="CA235" s="1">
        <v>1</v>
      </c>
      <c r="CB235" s="1">
        <v>1</v>
      </c>
      <c r="CC235" s="1">
        <v>1</v>
      </c>
      <c r="CD235" s="1">
        <v>1</v>
      </c>
      <c r="CE235" s="1">
        <v>1</v>
      </c>
      <c r="CF235" s="1">
        <v>1</v>
      </c>
      <c r="CG235" s="1">
        <f t="shared" si="194"/>
        <v>0</v>
      </c>
      <c r="CH235" s="1">
        <v>2</v>
      </c>
      <c r="CI235" s="1">
        <v>2</v>
      </c>
      <c r="CJ235" s="1">
        <v>2</v>
      </c>
      <c r="CK235" s="1">
        <v>2</v>
      </c>
      <c r="CL235" s="1">
        <v>2</v>
      </c>
      <c r="CM235" s="1">
        <v>2</v>
      </c>
      <c r="CN235" s="1">
        <v>2</v>
      </c>
      <c r="CO235" s="1">
        <v>2</v>
      </c>
      <c r="CP235" s="1">
        <v>1</v>
      </c>
      <c r="CQ235" s="1">
        <v>1</v>
      </c>
      <c r="CR235" s="1">
        <v>1</v>
      </c>
      <c r="CS235" s="1">
        <v>1</v>
      </c>
      <c r="CT235" s="1">
        <v>1</v>
      </c>
      <c r="CU235" s="1">
        <v>1</v>
      </c>
      <c r="CV235" s="1">
        <f t="shared" si="195"/>
        <v>0</v>
      </c>
      <c r="CW235" s="1">
        <v>1</v>
      </c>
      <c r="CX235" s="1">
        <v>2</v>
      </c>
      <c r="CY235" s="1">
        <v>1</v>
      </c>
      <c r="CZ235" s="1">
        <f t="shared" si="196"/>
        <v>0</v>
      </c>
      <c r="DA235" s="1">
        <v>1</v>
      </c>
      <c r="DB235" s="1">
        <v>1</v>
      </c>
      <c r="DC235" s="1">
        <v>1</v>
      </c>
      <c r="DD235" s="1">
        <v>1</v>
      </c>
      <c r="DE235" s="1">
        <v>1</v>
      </c>
      <c r="DF235" s="1">
        <v>1</v>
      </c>
      <c r="DG235" s="1">
        <v>2</v>
      </c>
      <c r="DH235" s="1">
        <v>1</v>
      </c>
      <c r="DI235" s="1">
        <f t="shared" si="197"/>
        <v>0</v>
      </c>
      <c r="DJ235" s="1">
        <v>2</v>
      </c>
      <c r="DK235" s="1" t="s">
        <v>169</v>
      </c>
      <c r="DL235" s="1" t="s">
        <v>40</v>
      </c>
      <c r="DR235" s="1" t="b">
        <f>SkBalanceRanks&gt;=8</f>
        <v>0</v>
      </c>
      <c r="DS235" s="1" t="b">
        <f>SkClimbRanks&gt;=8</f>
        <v>0</v>
      </c>
      <c r="DT235" s="1" t="b">
        <f>SkJumpRanks&gt;=8</f>
        <v>0</v>
      </c>
      <c r="DU235" s="1" t="b">
        <f>SkTumbleRanks&gt;=8</f>
        <v>0</v>
      </c>
      <c r="DV235" s="1" t="b">
        <f>hasEvasion</f>
        <v>0</v>
      </c>
      <c r="EA235" s="1" t="b">
        <f t="shared" si="202"/>
        <v>0</v>
      </c>
      <c r="EB235" s="11" t="s">
        <v>334</v>
      </c>
      <c r="EC235" s="1" t="str">
        <f>IF(DR235,"","• 8 ranks in Balance.
")&amp;IF(DS235,"","• 8 ranks in Climb.
")&amp;IF(DT235,"","• 8 ranks in Jump.
")&amp;IF(DU235,"","• 8 ranks in Tumble.
")&amp;IF(DV235,"","• Evasion class feature.")</f>
        <v>• 8 ranks in Balance.
• 8 ranks in Climb.
• 8 ranks in Jump.
• 8 ranks in Tumble.
• Evasion class feature.</v>
      </c>
      <c r="ED235" s="11" t="s">
        <v>335</v>
      </c>
      <c r="EE235" s="8" t="s">
        <v>593</v>
      </c>
      <c r="EF235" s="9">
        <v>10</v>
      </c>
      <c r="EG235" s="9" t="s">
        <v>655</v>
      </c>
      <c r="EH235" s="9"/>
      <c r="EI235" s="9" t="b">
        <f t="shared" si="214"/>
        <v>0</v>
      </c>
      <c r="EJ235" s="9" t="str">
        <f t="shared" si="215"/>
        <v/>
      </c>
      <c r="EK235" s="9">
        <f t="shared" si="216"/>
        <v>99</v>
      </c>
      <c r="EL235" s="9">
        <f t="shared" si="217"/>
        <v>99</v>
      </c>
      <c r="EM235" s="9">
        <f t="shared" si="218"/>
        <v>99</v>
      </c>
      <c r="EN235" s="9">
        <f t="shared" si="219"/>
        <v>99</v>
      </c>
      <c r="EO235" s="10" t="str">
        <f t="shared" si="220"/>
        <v/>
      </c>
    </row>
    <row r="236" spans="1:145" ht="11.25" customHeight="1" x14ac:dyDescent="0.2">
      <c r="A236" s="1">
        <f t="shared" si="186"/>
        <v>233</v>
      </c>
      <c r="B236" s="1" t="s">
        <v>664</v>
      </c>
      <c r="C236" s="1" t="s">
        <v>665</v>
      </c>
      <c r="D236" s="1" t="s">
        <v>665</v>
      </c>
      <c r="E236" s="1">
        <f t="shared" si="204"/>
        <v>0</v>
      </c>
      <c r="K236" s="1">
        <v>6</v>
      </c>
      <c r="L236" s="1">
        <v>8</v>
      </c>
      <c r="S236" s="1" t="b">
        <v>1</v>
      </c>
      <c r="T236" s="1" t="b">
        <v>1</v>
      </c>
      <c r="V236" s="1">
        <v>0.75</v>
      </c>
      <c r="W236" s="1">
        <v>0.34</v>
      </c>
      <c r="X236" s="1">
        <v>0.5</v>
      </c>
      <c r="Y236" s="1">
        <v>0.5</v>
      </c>
      <c r="Z236" s="1" t="b">
        <f>FALSE</f>
        <v>0</v>
      </c>
      <c r="AA236" s="1" t="str">
        <f t="shared" si="207"/>
        <v/>
      </c>
      <c r="AB236" s="1" t="str">
        <f t="shared" si="208"/>
        <v/>
      </c>
      <c r="AC236" s="1">
        <f t="shared" si="205"/>
        <v>0</v>
      </c>
      <c r="AD236" s="1" t="str">
        <f t="shared" si="209"/>
        <v/>
      </c>
      <c r="AE236" s="1" t="str">
        <f t="shared" si="210"/>
        <v/>
      </c>
      <c r="AF236" s="1">
        <f t="shared" si="206"/>
        <v>0</v>
      </c>
      <c r="AG236" s="1">
        <f t="shared" si="211"/>
        <v>5</v>
      </c>
      <c r="AH236" s="1" t="str">
        <f t="shared" si="203"/>
        <v/>
      </c>
      <c r="AI236" s="1">
        <v>1</v>
      </c>
      <c r="AJ236" s="1">
        <f t="shared" si="187"/>
        <v>0</v>
      </c>
      <c r="AK236" s="1">
        <v>2</v>
      </c>
      <c r="AL236" s="1">
        <v>1</v>
      </c>
      <c r="AM236" s="1">
        <v>2</v>
      </c>
      <c r="AN236" s="1">
        <f t="shared" si="188"/>
        <v>0</v>
      </c>
      <c r="AO236" s="1">
        <v>1</v>
      </c>
      <c r="AP236" s="1">
        <v>2</v>
      </c>
      <c r="AQ236" s="1">
        <v>2</v>
      </c>
      <c r="AR236" s="1">
        <v>2</v>
      </c>
      <c r="AS236" s="1">
        <v>2</v>
      </c>
      <c r="AT236" s="1">
        <v>2</v>
      </c>
      <c r="AU236" s="1">
        <v>2</v>
      </c>
      <c r="AV236" s="1">
        <v>2</v>
      </c>
      <c r="AW236" s="1">
        <v>1</v>
      </c>
      <c r="AX236" s="1">
        <v>1</v>
      </c>
      <c r="AY236" s="1">
        <v>2</v>
      </c>
      <c r="AZ236" s="1">
        <v>2</v>
      </c>
      <c r="BA236" s="1">
        <v>2</v>
      </c>
      <c r="BB236" s="1">
        <v>1</v>
      </c>
      <c r="BC236" s="1">
        <v>2</v>
      </c>
      <c r="BD236" s="1">
        <v>1</v>
      </c>
      <c r="BE236" s="1">
        <v>1</v>
      </c>
      <c r="BF236" s="1">
        <v>2</v>
      </c>
      <c r="BG236" s="1">
        <f t="shared" si="189"/>
        <v>0</v>
      </c>
      <c r="BH236" s="1">
        <f t="shared" si="190"/>
        <v>0</v>
      </c>
      <c r="BI236" s="1">
        <v>2</v>
      </c>
      <c r="BJ236" s="1">
        <v>2</v>
      </c>
      <c r="BK236" s="1">
        <v>1</v>
      </c>
      <c r="BL236" s="1">
        <v>1</v>
      </c>
      <c r="BM236" s="1">
        <v>1</v>
      </c>
      <c r="BN236" s="1">
        <v>1</v>
      </c>
      <c r="BO236" s="1">
        <v>1</v>
      </c>
      <c r="BP236" s="1">
        <f>1+NOT(HRLivingGreyhawk)</f>
        <v>2</v>
      </c>
      <c r="BQ236" s="1">
        <f t="shared" si="222"/>
        <v>0</v>
      </c>
      <c r="BR236" s="1">
        <v>1</v>
      </c>
      <c r="BS236" s="1">
        <v>1</v>
      </c>
      <c r="BT236" s="1">
        <f t="shared" si="221"/>
        <v>0</v>
      </c>
      <c r="BU236" s="1">
        <f t="shared" si="223"/>
        <v>0</v>
      </c>
      <c r="BV236" s="1">
        <v>1</v>
      </c>
      <c r="BW236" s="1">
        <v>1</v>
      </c>
      <c r="BX236" s="1">
        <v>1</v>
      </c>
      <c r="BY236" s="1">
        <v>1</v>
      </c>
      <c r="BZ236" s="1">
        <v>1</v>
      </c>
      <c r="CA236" s="1">
        <v>1</v>
      </c>
      <c r="CB236" s="1">
        <v>1</v>
      </c>
      <c r="CC236" s="1">
        <v>1</v>
      </c>
      <c r="CD236" s="1">
        <v>1</v>
      </c>
      <c r="CE236" s="1">
        <v>1</v>
      </c>
      <c r="CF236" s="1">
        <v>1</v>
      </c>
      <c r="CG236" s="1">
        <f t="shared" si="194"/>
        <v>0</v>
      </c>
      <c r="CH236" s="1">
        <v>2</v>
      </c>
      <c r="CI236" s="1">
        <v>2</v>
      </c>
      <c r="CJ236" s="1">
        <v>2</v>
      </c>
      <c r="CK236" s="1">
        <v>2</v>
      </c>
      <c r="CL236" s="1">
        <v>2</v>
      </c>
      <c r="CM236" s="1">
        <v>2</v>
      </c>
      <c r="CN236" s="1">
        <v>2</v>
      </c>
      <c r="CO236" s="1">
        <v>2</v>
      </c>
      <c r="CP236" s="1">
        <v>1</v>
      </c>
      <c r="CQ236" s="1">
        <v>1</v>
      </c>
      <c r="CR236" s="1">
        <v>1</v>
      </c>
      <c r="CS236" s="1">
        <v>1</v>
      </c>
      <c r="CT236" s="1">
        <v>1</v>
      </c>
      <c r="CU236" s="1">
        <v>1</v>
      </c>
      <c r="CV236" s="1">
        <f t="shared" si="195"/>
        <v>0</v>
      </c>
      <c r="CW236" s="1">
        <v>1</v>
      </c>
      <c r="CX236" s="1">
        <v>2</v>
      </c>
      <c r="CY236" s="1">
        <v>2</v>
      </c>
      <c r="CZ236" s="1">
        <f t="shared" si="196"/>
        <v>0</v>
      </c>
      <c r="DA236" s="1">
        <v>1</v>
      </c>
      <c r="DB236" s="1">
        <v>1</v>
      </c>
      <c r="DC236" s="1">
        <v>1</v>
      </c>
      <c r="DD236" s="1">
        <v>1</v>
      </c>
      <c r="DE236" s="1">
        <v>1</v>
      </c>
      <c r="DF236" s="1">
        <v>1</v>
      </c>
      <c r="DG236" s="1">
        <v>2</v>
      </c>
      <c r="DH236" s="1">
        <v>1</v>
      </c>
      <c r="DI236" s="1">
        <f t="shared" si="197"/>
        <v>0</v>
      </c>
      <c r="DJ236" s="1">
        <v>2</v>
      </c>
      <c r="DK236" s="1" t="s">
        <v>169</v>
      </c>
      <c r="DL236" s="1" t="s">
        <v>40</v>
      </c>
      <c r="DR236" s="1" t="b">
        <f>AlignmentNonEvil</f>
        <v>1</v>
      </c>
      <c r="DS236" s="1" t="b">
        <f>BaseAtk&gt;=4</f>
        <v>0</v>
      </c>
      <c r="DT236" s="1" t="b">
        <f>SkGatherInformationRanks&gt;=8</f>
        <v>0</v>
      </c>
      <c r="DU236" s="1" t="b">
        <f>SkIntimidateRanks&gt;=4</f>
        <v>0</v>
      </c>
      <c r="DV236" s="1" t="b">
        <f>SkKnowledgeLocalRanks&gt;=8</f>
        <v>0</v>
      </c>
      <c r="DW236" s="1" t="b">
        <f>SkSearchRanks&gt;=4</f>
        <v>0</v>
      </c>
      <c r="DX236" s="1" t="b">
        <f>SkSenseMotiveRanks&gt;=8</f>
        <v>0</v>
      </c>
      <c r="DY236" s="1" t="b">
        <f>FtAlertness</f>
        <v>0</v>
      </c>
      <c r="EA236" s="1" t="b">
        <f t="shared" si="202"/>
        <v>0</v>
      </c>
      <c r="EB236" s="11" t="s">
        <v>334</v>
      </c>
      <c r="EC236" s="1" t="str">
        <f>IF(DR236,"","• Must be of any non-Evil alignment.
")&amp;IF(DS236,"","• A base attack bonus of +4 or higher.
")&amp;IF(DT236,"","• 8 ranks in Gather Information.
")&amp;IF(DU236,"","• 4 ranks in Intimidate.
")&amp;IF(DV236,"","• 8 ranks in Knowledge (local).
")&amp;IF(DW236,"","• 4 ranks in Search.
")&amp;IF(DX236,"","• 8 ranks in Sense Motive.
")&amp;IF(DY236,"","• Alertness feat.")</f>
        <v>• A base attack bonus of +4 or higher.
• 8 ranks in Gather Information.
• 4 ranks in Intimidate.
• 8 ranks in Knowledge (local).
• 4 ranks in Search.
• 8 ranks in Sense Motive.
• Alertness feat.</v>
      </c>
      <c r="ED236" s="11" t="s">
        <v>335</v>
      </c>
      <c r="EE236" s="8" t="s">
        <v>129</v>
      </c>
      <c r="EF236" s="9">
        <v>10</v>
      </c>
      <c r="EG236" s="9" t="s">
        <v>655</v>
      </c>
      <c r="EH236" s="9"/>
      <c r="EI236" s="9" t="b">
        <f t="shared" si="214"/>
        <v>0</v>
      </c>
      <c r="EJ236" s="9" t="str">
        <f t="shared" si="215"/>
        <v/>
      </c>
      <c r="EK236" s="9">
        <f t="shared" si="216"/>
        <v>99</v>
      </c>
      <c r="EL236" s="9">
        <f t="shared" si="217"/>
        <v>99</v>
      </c>
      <c r="EM236" s="9">
        <f t="shared" si="218"/>
        <v>99</v>
      </c>
      <c r="EN236" s="9">
        <f t="shared" si="219"/>
        <v>99</v>
      </c>
      <c r="EO236" s="10" t="str">
        <f t="shared" si="220"/>
        <v/>
      </c>
    </row>
    <row r="237" spans="1:145" ht="11.25" customHeight="1" x14ac:dyDescent="0.2">
      <c r="A237" s="1">
        <f t="shared" si="186"/>
        <v>234</v>
      </c>
      <c r="B237" s="1" t="s">
        <v>666</v>
      </c>
      <c r="C237" s="1" t="s">
        <v>667</v>
      </c>
      <c r="D237" s="1" t="s">
        <v>667</v>
      </c>
      <c r="E237" s="1">
        <f t="shared" si="204"/>
        <v>0</v>
      </c>
      <c r="G237" s="1">
        <f>MAX(VirLvl-1,0)</f>
        <v>0</v>
      </c>
      <c r="K237" s="1">
        <v>6</v>
      </c>
      <c r="L237" s="1">
        <v>6</v>
      </c>
      <c r="V237" s="1">
        <v>0.5</v>
      </c>
      <c r="W237" s="1">
        <v>0.34</v>
      </c>
      <c r="X237" s="1">
        <v>0.34</v>
      </c>
      <c r="Y237" s="1">
        <v>0.5</v>
      </c>
      <c r="Z237" s="1" t="b">
        <f>FALSE</f>
        <v>0</v>
      </c>
      <c r="AA237" s="1" t="str">
        <f t="shared" si="207"/>
        <v/>
      </c>
      <c r="AB237" s="1" t="str">
        <f t="shared" si="208"/>
        <v/>
      </c>
      <c r="AC237" s="1">
        <f t="shared" si="205"/>
        <v>0</v>
      </c>
      <c r="AD237" s="1" t="str">
        <f t="shared" si="209"/>
        <v/>
      </c>
      <c r="AE237" s="1" t="str">
        <f t="shared" si="210"/>
        <v/>
      </c>
      <c r="AF237" s="1">
        <f t="shared" si="206"/>
        <v>0</v>
      </c>
      <c r="AG237" s="1">
        <f t="shared" si="211"/>
        <v>5</v>
      </c>
      <c r="AH237" s="1" t="str">
        <f t="shared" si="203"/>
        <v/>
      </c>
      <c r="AI237" s="1">
        <v>1</v>
      </c>
      <c r="AJ237" s="1">
        <f t="shared" si="187"/>
        <v>0</v>
      </c>
      <c r="AK237" s="1">
        <v>2</v>
      </c>
      <c r="AL237" s="1">
        <v>2</v>
      </c>
      <c r="AM237" s="1">
        <v>1</v>
      </c>
      <c r="AN237" s="1">
        <f t="shared" si="188"/>
        <v>0</v>
      </c>
      <c r="AO237" s="1">
        <v>2</v>
      </c>
      <c r="AP237" s="1">
        <v>2</v>
      </c>
      <c r="AQ237" s="1">
        <v>2</v>
      </c>
      <c r="AR237" s="1">
        <v>2</v>
      </c>
      <c r="AS237" s="1">
        <v>2</v>
      </c>
      <c r="AT237" s="1">
        <v>2</v>
      </c>
      <c r="AU237" s="1">
        <v>2</v>
      </c>
      <c r="AV237" s="1">
        <v>2</v>
      </c>
      <c r="AW237" s="1">
        <v>1</v>
      </c>
      <c r="AX237" s="1">
        <v>2</v>
      </c>
      <c r="AY237" s="1">
        <v>1</v>
      </c>
      <c r="AZ237" s="1">
        <v>2</v>
      </c>
      <c r="BA237" s="1">
        <v>2</v>
      </c>
      <c r="BB237" s="1">
        <v>1</v>
      </c>
      <c r="BC237" s="1">
        <v>2</v>
      </c>
      <c r="BD237" s="1">
        <v>1</v>
      </c>
      <c r="BE237" s="1">
        <v>1</v>
      </c>
      <c r="BF237" s="1">
        <v>1</v>
      </c>
      <c r="BG237" s="1">
        <f t="shared" si="189"/>
        <v>0</v>
      </c>
      <c r="BH237" s="1">
        <f t="shared" si="190"/>
        <v>0</v>
      </c>
      <c r="BI237" s="1">
        <v>2</v>
      </c>
      <c r="BJ237" s="1">
        <v>2</v>
      </c>
      <c r="BK237" s="1">
        <v>1</v>
      </c>
      <c r="BL237" s="1">
        <v>1</v>
      </c>
      <c r="BM237" s="1">
        <v>1</v>
      </c>
      <c r="BN237" s="1">
        <v>1</v>
      </c>
      <c r="BO237" s="1">
        <v>1</v>
      </c>
      <c r="BP237" s="1">
        <v>1</v>
      </c>
      <c r="BQ237" s="1">
        <f t="shared" si="222"/>
        <v>0</v>
      </c>
      <c r="BR237" s="1">
        <v>1</v>
      </c>
      <c r="BS237" s="1">
        <v>1</v>
      </c>
      <c r="BT237" s="1">
        <f t="shared" si="221"/>
        <v>0</v>
      </c>
      <c r="BU237" s="1">
        <f t="shared" si="223"/>
        <v>0</v>
      </c>
      <c r="BV237" s="1">
        <v>1</v>
      </c>
      <c r="BW237" s="1">
        <v>1</v>
      </c>
      <c r="BX237" s="1">
        <v>1</v>
      </c>
      <c r="BY237" s="1">
        <v>1</v>
      </c>
      <c r="BZ237" s="1">
        <v>1</v>
      </c>
      <c r="CA237" s="1">
        <v>1</v>
      </c>
      <c r="CB237" s="1">
        <v>1</v>
      </c>
      <c r="CC237" s="1">
        <v>1</v>
      </c>
      <c r="CD237" s="1">
        <v>1</v>
      </c>
      <c r="CE237" s="1">
        <v>1</v>
      </c>
      <c r="CF237" s="1">
        <v>1</v>
      </c>
      <c r="CG237" s="1">
        <f t="shared" si="194"/>
        <v>0</v>
      </c>
      <c r="CH237" s="1">
        <v>1</v>
      </c>
      <c r="CI237" s="1">
        <v>1</v>
      </c>
      <c r="CJ237" s="1">
        <v>2</v>
      </c>
      <c r="CK237" s="1">
        <v>2</v>
      </c>
      <c r="CL237" s="1">
        <v>2</v>
      </c>
      <c r="CM237" s="1">
        <v>2</v>
      </c>
      <c r="CN237" s="1">
        <v>2</v>
      </c>
      <c r="CO237" s="1">
        <v>2</v>
      </c>
      <c r="CP237" s="1">
        <v>1</v>
      </c>
      <c r="CQ237" s="1">
        <v>1</v>
      </c>
      <c r="CR237" s="1">
        <v>1</v>
      </c>
      <c r="CS237" s="1">
        <v>1</v>
      </c>
      <c r="CT237" s="1">
        <v>1</v>
      </c>
      <c r="CU237" s="1">
        <v>1</v>
      </c>
      <c r="CV237" s="1">
        <f t="shared" si="195"/>
        <v>0</v>
      </c>
      <c r="CW237" s="1">
        <v>1</v>
      </c>
      <c r="CX237" s="1">
        <v>1</v>
      </c>
      <c r="CY237" s="1">
        <v>1</v>
      </c>
      <c r="CZ237" s="1">
        <f t="shared" si="196"/>
        <v>0</v>
      </c>
      <c r="DA237" s="1">
        <v>1</v>
      </c>
      <c r="DB237" s="1">
        <v>1</v>
      </c>
      <c r="DC237" s="1">
        <v>2</v>
      </c>
      <c r="DD237" s="1">
        <v>1</v>
      </c>
      <c r="DE237" s="1">
        <v>1</v>
      </c>
      <c r="DF237" s="1">
        <v>1</v>
      </c>
      <c r="DG237" s="1">
        <v>2</v>
      </c>
      <c r="DH237" s="1">
        <v>1</v>
      </c>
      <c r="DI237" s="1">
        <f t="shared" si="197"/>
        <v>0</v>
      </c>
      <c r="DJ237" s="1">
        <v>1</v>
      </c>
      <c r="DK237" s="1" t="s">
        <v>169</v>
      </c>
      <c r="DL237" s="1" t="s">
        <v>40</v>
      </c>
      <c r="DR237" s="1" t="b">
        <f>SkDiplomacyRanks&gt;=4</f>
        <v>0</v>
      </c>
      <c r="DS237" s="1" t="b">
        <f>SkIntimidateRanks&gt;=4</f>
        <v>0</v>
      </c>
      <c r="DT237" s="1" t="b">
        <f>SkPerformRanks&gt;=10</f>
        <v>0</v>
      </c>
      <c r="DU237" s="1" t="b">
        <f>MaxArcaneLevel&gt;=1</f>
        <v>1</v>
      </c>
      <c r="EA237" s="1" t="b">
        <f t="shared" si="202"/>
        <v>0</v>
      </c>
      <c r="EB237" s="11" t="s">
        <v>334</v>
      </c>
      <c r="EC237" s="1" t="str">
        <f>IF(DR237,"","• 4 ranks in Diplomacy.
")&amp;IF(DS237,"","• 4 ranks in Intimidate.
")&amp;IF(DT237,"","• 10 ranks in Perform (any).
")&amp;IF(DU237,"","• 1st level arcane caster.")</f>
        <v xml:space="preserve">• 4 ranks in Diplomacy.
• 4 ranks in Intimidate.
• 10 ranks in Perform (any).
</v>
      </c>
      <c r="ED237" s="11" t="s">
        <v>335</v>
      </c>
      <c r="EE237" s="8" t="s">
        <v>668</v>
      </c>
      <c r="EF237" s="9">
        <v>10</v>
      </c>
      <c r="EG237" s="9" t="s">
        <v>669</v>
      </c>
      <c r="EH237" s="9"/>
      <c r="EI237" s="9" t="b">
        <f t="shared" si="214"/>
        <v>0</v>
      </c>
      <c r="EJ237" s="9" t="str">
        <f t="shared" si="215"/>
        <v/>
      </c>
      <c r="EK237" s="9">
        <f t="shared" si="216"/>
        <v>99</v>
      </c>
      <c r="EL237" s="9">
        <f t="shared" si="217"/>
        <v>99</v>
      </c>
      <c r="EM237" s="9">
        <f t="shared" si="218"/>
        <v>99</v>
      </c>
      <c r="EN237" s="9">
        <f t="shared" si="219"/>
        <v>99</v>
      </c>
      <c r="EO237" s="10" t="str">
        <f t="shared" si="220"/>
        <v/>
      </c>
    </row>
    <row r="238" spans="1:145" ht="11.25" customHeight="1" x14ac:dyDescent="0.2">
      <c r="A238" s="1">
        <f t="shared" si="186"/>
        <v>235</v>
      </c>
      <c r="B238" s="1" t="s">
        <v>670</v>
      </c>
      <c r="C238" s="1" t="s">
        <v>671</v>
      </c>
      <c r="D238" s="1" t="s">
        <v>671</v>
      </c>
      <c r="E238" s="1">
        <f t="shared" si="204"/>
        <v>0</v>
      </c>
      <c r="K238" s="1">
        <v>4</v>
      </c>
      <c r="L238" s="1">
        <v>8</v>
      </c>
      <c r="V238" s="1">
        <v>1</v>
      </c>
      <c r="W238" s="1">
        <v>0.5</v>
      </c>
      <c r="X238" s="1">
        <v>0.34</v>
      </c>
      <c r="Y238" s="1">
        <v>0.34</v>
      </c>
      <c r="Z238" s="1" t="b">
        <f>FALSE</f>
        <v>0</v>
      </c>
      <c r="AA238" s="1" t="str">
        <f t="shared" si="207"/>
        <v/>
      </c>
      <c r="AB238" s="1" t="str">
        <f t="shared" si="208"/>
        <v/>
      </c>
      <c r="AC238" s="1">
        <f t="shared" si="205"/>
        <v>0</v>
      </c>
      <c r="AD238" s="1" t="str">
        <f t="shared" si="209"/>
        <v/>
      </c>
      <c r="AE238" s="1" t="str">
        <f t="shared" si="210"/>
        <v/>
      </c>
      <c r="AF238" s="1">
        <f t="shared" si="206"/>
        <v>0</v>
      </c>
      <c r="AG238" s="1">
        <f t="shared" si="211"/>
        <v>5</v>
      </c>
      <c r="AH238" s="1" t="str">
        <f t="shared" si="203"/>
        <v/>
      </c>
      <c r="AI238" s="1">
        <v>1</v>
      </c>
      <c r="AJ238" s="1">
        <f t="shared" si="187"/>
        <v>0</v>
      </c>
      <c r="AK238" s="1">
        <v>2</v>
      </c>
      <c r="AL238" s="1">
        <v>1</v>
      </c>
      <c r="AM238" s="1">
        <v>1</v>
      </c>
      <c r="AN238" s="1">
        <f t="shared" si="188"/>
        <v>0</v>
      </c>
      <c r="AO238" s="1">
        <v>1</v>
      </c>
      <c r="AP238" s="1">
        <v>1</v>
      </c>
      <c r="AQ238" s="1">
        <v>1</v>
      </c>
      <c r="AR238" s="1">
        <v>1</v>
      </c>
      <c r="AS238" s="1">
        <v>1</v>
      </c>
      <c r="AT238" s="1">
        <v>1</v>
      </c>
      <c r="AU238" s="1">
        <v>1</v>
      </c>
      <c r="AV238" s="1">
        <v>1</v>
      </c>
      <c r="AW238" s="1">
        <v>1</v>
      </c>
      <c r="AX238" s="1">
        <v>1</v>
      </c>
      <c r="AY238" s="1">
        <v>1</v>
      </c>
      <c r="AZ238" s="1">
        <v>1</v>
      </c>
      <c r="BA238" s="1">
        <v>1</v>
      </c>
      <c r="BB238" s="1">
        <v>1</v>
      </c>
      <c r="BC238" s="1">
        <v>1</v>
      </c>
      <c r="BD238" s="1">
        <v>2</v>
      </c>
      <c r="BE238" s="1">
        <v>1</v>
      </c>
      <c r="BF238" s="1">
        <v>1</v>
      </c>
      <c r="BG238" s="1">
        <f t="shared" si="189"/>
        <v>0</v>
      </c>
      <c r="BH238" s="1">
        <f t="shared" si="190"/>
        <v>0</v>
      </c>
      <c r="BI238" s="1">
        <v>1</v>
      </c>
      <c r="BJ238" s="1">
        <v>2</v>
      </c>
      <c r="BK238" s="1">
        <v>1</v>
      </c>
      <c r="BL238" s="1">
        <v>1</v>
      </c>
      <c r="BM238" s="1">
        <v>1</v>
      </c>
      <c r="BN238" s="1">
        <v>1</v>
      </c>
      <c r="BO238" s="1">
        <v>1</v>
      </c>
      <c r="BP238" s="1">
        <v>1</v>
      </c>
      <c r="BQ238" s="1">
        <f>IF(HRRVL,2,0)</f>
        <v>0</v>
      </c>
      <c r="BR238" s="1">
        <v>2</v>
      </c>
      <c r="BS238" s="1">
        <v>1</v>
      </c>
      <c r="BT238" s="1">
        <f t="shared" si="221"/>
        <v>0</v>
      </c>
      <c r="BU238" s="1">
        <f t="shared" si="223"/>
        <v>0</v>
      </c>
      <c r="BV238" s="1">
        <v>1</v>
      </c>
      <c r="BW238" s="1">
        <v>1</v>
      </c>
      <c r="BX238" s="1">
        <v>1</v>
      </c>
      <c r="BY238" s="1">
        <v>1</v>
      </c>
      <c r="BZ238" s="1">
        <v>1</v>
      </c>
      <c r="CA238" s="1">
        <v>1</v>
      </c>
      <c r="CB238" s="1">
        <v>1</v>
      </c>
      <c r="CC238" s="1">
        <v>1</v>
      </c>
      <c r="CD238" s="1">
        <v>1</v>
      </c>
      <c r="CE238" s="1">
        <v>1</v>
      </c>
      <c r="CF238" s="1">
        <v>2</v>
      </c>
      <c r="CG238" s="1">
        <f t="shared" si="194"/>
        <v>0</v>
      </c>
      <c r="CH238" s="1">
        <v>2</v>
      </c>
      <c r="CI238" s="1">
        <v>1</v>
      </c>
      <c r="CJ238" s="1">
        <v>1</v>
      </c>
      <c r="CK238" s="1">
        <v>1</v>
      </c>
      <c r="CL238" s="1">
        <v>1</v>
      </c>
      <c r="CM238" s="1">
        <v>1</v>
      </c>
      <c r="CN238" s="1">
        <v>1</v>
      </c>
      <c r="CO238" s="1">
        <v>1</v>
      </c>
      <c r="CP238" s="1">
        <v>1</v>
      </c>
      <c r="CQ238" s="1">
        <v>1</v>
      </c>
      <c r="CR238" s="1">
        <v>1</v>
      </c>
      <c r="CS238" s="1">
        <v>1</v>
      </c>
      <c r="CT238" s="1">
        <v>1</v>
      </c>
      <c r="CU238" s="1">
        <v>1</v>
      </c>
      <c r="CV238" s="1">
        <f t="shared" si="195"/>
        <v>0</v>
      </c>
      <c r="CW238" s="1">
        <v>2</v>
      </c>
      <c r="CX238" s="1">
        <v>1</v>
      </c>
      <c r="CY238" s="1">
        <v>1</v>
      </c>
      <c r="CZ238" s="1">
        <f t="shared" si="196"/>
        <v>0</v>
      </c>
      <c r="DA238" s="1">
        <v>1</v>
      </c>
      <c r="DB238" s="1">
        <v>1</v>
      </c>
      <c r="DC238" s="1">
        <v>1</v>
      </c>
      <c r="DD238" s="1">
        <v>2</v>
      </c>
      <c r="DE238" s="1">
        <v>2</v>
      </c>
      <c r="DF238" s="1">
        <v>2</v>
      </c>
      <c r="DG238" s="1">
        <v>1</v>
      </c>
      <c r="DH238" s="1">
        <v>1</v>
      </c>
      <c r="DI238" s="1">
        <f t="shared" si="197"/>
        <v>0</v>
      </c>
      <c r="DJ238" s="1">
        <v>1</v>
      </c>
      <c r="DK238" s="1" t="s">
        <v>169</v>
      </c>
      <c r="DL238" s="1" t="s">
        <v>40</v>
      </c>
      <c r="DR238" s="1" t="b">
        <f>SkRideRanks&gt;=9</f>
        <v>0</v>
      </c>
      <c r="DS238" s="1" t="b">
        <f>FtMountedCombat</f>
        <v>0</v>
      </c>
      <c r="DT238" s="1" t="b">
        <f>FtTrack</f>
        <v>0</v>
      </c>
      <c r="EA238" s="1" t="b">
        <f t="shared" si="202"/>
        <v>0</v>
      </c>
      <c r="EB238" s="11" t="s">
        <v>338</v>
      </c>
      <c r="EC238" s="1" t="str">
        <f>IF(DR238,"","• 9 ranks in Ride.
")&amp;IF(DS238,"","• Mounted Combat Feat.
")&amp;IF(DT238,"","• Track feat.
")&amp;"• Animal companion at least one size larger than you, or paladin
   special mount ability (not verified)."</f>
        <v>• 9 ranks in Ride.
• Mounted Combat Feat.
• Track feat.
• Animal companion at least one size larger than you, or paladin
   special mount ability (not verified).</v>
      </c>
      <c r="ED238" s="11" t="s">
        <v>335</v>
      </c>
      <c r="EE238" s="8" t="s">
        <v>577</v>
      </c>
      <c r="EF238" s="9">
        <v>10</v>
      </c>
      <c r="EG238" s="9" t="s">
        <v>672</v>
      </c>
      <c r="EH238" s="9"/>
      <c r="EI238" s="9" t="b">
        <f t="shared" si="214"/>
        <v>0</v>
      </c>
      <c r="EJ238" s="9" t="str">
        <f t="shared" si="215"/>
        <v/>
      </c>
      <c r="EK238" s="9">
        <f t="shared" si="216"/>
        <v>99</v>
      </c>
      <c r="EL238" s="9">
        <f t="shared" si="217"/>
        <v>99</v>
      </c>
      <c r="EM238" s="9">
        <f t="shared" si="218"/>
        <v>99</v>
      </c>
      <c r="EN238" s="9">
        <f t="shared" si="219"/>
        <v>99</v>
      </c>
      <c r="EO238" s="10" t="str">
        <f t="shared" si="220"/>
        <v/>
      </c>
    </row>
    <row r="239" spans="1:145" ht="11.25" customHeight="1" x14ac:dyDescent="0.2">
      <c r="A239" s="1">
        <f t="shared" si="186"/>
        <v>236</v>
      </c>
      <c r="B239" s="1" t="s">
        <v>673</v>
      </c>
      <c r="E239" s="1">
        <f t="shared" si="204"/>
        <v>0</v>
      </c>
      <c r="F239" s="1">
        <v>1</v>
      </c>
      <c r="Z239" s="1" t="b">
        <f>FALSE</f>
        <v>0</v>
      </c>
      <c r="AA239" s="1" t="str">
        <f t="shared" si="207"/>
        <v/>
      </c>
      <c r="AB239" s="1" t="str">
        <f t="shared" si="208"/>
        <v/>
      </c>
      <c r="AC239" s="1">
        <f t="shared" si="205"/>
        <v>0</v>
      </c>
      <c r="AD239" s="1" t="str">
        <f t="shared" si="209"/>
        <v/>
      </c>
      <c r="AE239" s="1" t="str">
        <f t="shared" si="210"/>
        <v/>
      </c>
      <c r="AF239" s="1">
        <f t="shared" si="206"/>
        <v>0</v>
      </c>
      <c r="AG239" s="1">
        <f t="shared" si="211"/>
        <v>5</v>
      </c>
      <c r="AH239" s="1" t="str">
        <f t="shared" si="203"/>
        <v/>
      </c>
      <c r="EB239" s="11"/>
      <c r="ED239" s="11" t="s">
        <v>335</v>
      </c>
      <c r="EE239" s="8" t="s">
        <v>598</v>
      </c>
      <c r="EF239" s="9">
        <v>10</v>
      </c>
      <c r="EG239" s="9" t="s">
        <v>672</v>
      </c>
      <c r="EH239" s="9"/>
      <c r="EI239" s="9" t="b">
        <f t="shared" si="214"/>
        <v>0</v>
      </c>
      <c r="EJ239" s="9" t="str">
        <f t="shared" si="215"/>
        <v/>
      </c>
      <c r="EK239" s="9">
        <f t="shared" si="216"/>
        <v>99</v>
      </c>
      <c r="EL239" s="9">
        <f t="shared" si="217"/>
        <v>99</v>
      </c>
      <c r="EM239" s="9">
        <f t="shared" si="218"/>
        <v>99</v>
      </c>
      <c r="EN239" s="9">
        <f t="shared" si="219"/>
        <v>99</v>
      </c>
      <c r="EO239" s="10" t="str">
        <f t="shared" si="220"/>
        <v/>
      </c>
    </row>
    <row r="240" spans="1:145" ht="11.25" customHeight="1" x14ac:dyDescent="0.2">
      <c r="A240" s="1">
        <f t="shared" si="186"/>
        <v>237</v>
      </c>
      <c r="B240" s="1" t="s">
        <v>674</v>
      </c>
      <c r="C240" s="1" t="s">
        <v>675</v>
      </c>
      <c r="D240" s="1" t="s">
        <v>675</v>
      </c>
      <c r="E240" s="1">
        <f t="shared" si="204"/>
        <v>0</v>
      </c>
      <c r="I240" s="1">
        <f>ArItLvl</f>
        <v>0</v>
      </c>
      <c r="K240" s="1">
        <v>4</v>
      </c>
      <c r="L240" s="1">
        <v>6</v>
      </c>
      <c r="V240" s="1">
        <v>0.75</v>
      </c>
      <c r="W240" s="1">
        <v>0.34</v>
      </c>
      <c r="X240" s="1">
        <v>0.34</v>
      </c>
      <c r="Y240" s="1">
        <v>0.5</v>
      </c>
      <c r="Z240" s="1" t="b">
        <f>FALSE</f>
        <v>0</v>
      </c>
      <c r="AA240" s="1" t="str">
        <f t="shared" si="207"/>
        <v/>
      </c>
      <c r="AB240" s="1" t="str">
        <f t="shared" si="208"/>
        <v/>
      </c>
      <c r="AC240" s="1">
        <f t="shared" si="205"/>
        <v>0</v>
      </c>
      <c r="AD240" s="1" t="str">
        <f t="shared" si="209"/>
        <v/>
      </c>
      <c r="AE240" s="1" t="str">
        <f t="shared" si="210"/>
        <v/>
      </c>
      <c r="AF240" s="1">
        <f t="shared" si="206"/>
        <v>0</v>
      </c>
      <c r="AG240" s="1">
        <f t="shared" si="211"/>
        <v>5</v>
      </c>
      <c r="AH240" s="1" t="str">
        <f t="shared" si="203"/>
        <v/>
      </c>
      <c r="AI240" s="1">
        <v>1</v>
      </c>
      <c r="AJ240" s="1">
        <v>2</v>
      </c>
      <c r="AK240" s="1">
        <v>1</v>
      </c>
      <c r="AL240" s="1">
        <v>2</v>
      </c>
      <c r="AM240" s="1">
        <v>1</v>
      </c>
      <c r="AN240" s="1">
        <f t="shared" ref="AN240:AN247" si="224">IF(IsLycanthrope,2,0)</f>
        <v>0</v>
      </c>
      <c r="AO240" s="1">
        <v>2</v>
      </c>
      <c r="AP240" s="1">
        <v>1</v>
      </c>
      <c r="AQ240" s="1">
        <v>1</v>
      </c>
      <c r="AR240" s="1">
        <v>1</v>
      </c>
      <c r="AS240" s="1">
        <v>1</v>
      </c>
      <c r="AT240" s="1">
        <v>1</v>
      </c>
      <c r="AU240" s="1">
        <v>1</v>
      </c>
      <c r="AV240" s="1">
        <v>1</v>
      </c>
      <c r="AW240" s="1">
        <v>1</v>
      </c>
      <c r="AX240" s="1">
        <v>2</v>
      </c>
      <c r="AY240" s="1">
        <v>1</v>
      </c>
      <c r="AZ240" s="1">
        <v>1</v>
      </c>
      <c r="BA240" s="1">
        <v>1</v>
      </c>
      <c r="BB240" s="1">
        <v>1</v>
      </c>
      <c r="BC240" s="1">
        <v>1</v>
      </c>
      <c r="BD240" s="1">
        <v>1</v>
      </c>
      <c r="BE240" s="1">
        <v>1</v>
      </c>
      <c r="BF240" s="1">
        <v>1</v>
      </c>
      <c r="BG240" s="1">
        <f t="shared" ref="BG240:BG285" si="225">IF(HRRVL,1,0)</f>
        <v>0</v>
      </c>
      <c r="BH240" s="1">
        <f t="shared" ref="BH240:BH247" si="226">IF(HROA,1,0)</f>
        <v>0</v>
      </c>
      <c r="BI240" s="1">
        <v>2</v>
      </c>
      <c r="BJ240" s="1">
        <v>1</v>
      </c>
      <c r="BK240" s="1">
        <v>1</v>
      </c>
      <c r="BL240" s="1">
        <v>1</v>
      </c>
      <c r="BM240" s="1">
        <v>1</v>
      </c>
      <c r="BN240" s="1">
        <v>1</v>
      </c>
      <c r="BO240" s="1">
        <v>1</v>
      </c>
      <c r="BP240" s="1">
        <v>1</v>
      </c>
      <c r="BQ240" s="1">
        <f>IF(HRRVL,1,0)</f>
        <v>0</v>
      </c>
      <c r="BR240" s="1">
        <v>1</v>
      </c>
      <c r="BS240" s="1">
        <v>1</v>
      </c>
      <c r="BT240" s="1">
        <v>2</v>
      </c>
      <c r="BU240" s="1">
        <f>IF(HRRVL,1,0)</f>
        <v>0</v>
      </c>
      <c r="BV240" s="1">
        <v>1</v>
      </c>
      <c r="BW240" s="1">
        <v>2</v>
      </c>
      <c r="BX240" s="1">
        <v>1</v>
      </c>
      <c r="BY240" s="1">
        <v>1</v>
      </c>
      <c r="BZ240" s="1">
        <v>1</v>
      </c>
      <c r="CA240" s="1">
        <v>1</v>
      </c>
      <c r="CB240" s="1">
        <v>1</v>
      </c>
      <c r="CC240" s="1">
        <v>1</v>
      </c>
      <c r="CD240" s="1">
        <v>1</v>
      </c>
      <c r="CE240" s="1">
        <v>1</v>
      </c>
      <c r="CF240" s="1">
        <v>2</v>
      </c>
      <c r="CG240" s="1">
        <f t="shared" ref="CG240:CG247" si="227">IF(HRToB,1,0)</f>
        <v>0</v>
      </c>
      <c r="CH240" s="1">
        <v>1</v>
      </c>
      <c r="CI240" s="1">
        <v>1</v>
      </c>
      <c r="CJ240" s="1">
        <v>1</v>
      </c>
      <c r="CK240" s="1">
        <v>1</v>
      </c>
      <c r="CL240" s="1">
        <v>1</v>
      </c>
      <c r="CM240" s="1">
        <v>1</v>
      </c>
      <c r="CN240" s="1">
        <v>1</v>
      </c>
      <c r="CO240" s="1">
        <v>1</v>
      </c>
      <c r="CP240" s="1">
        <v>1</v>
      </c>
      <c r="CQ240" s="1">
        <v>1</v>
      </c>
      <c r="CR240" s="1">
        <v>1</v>
      </c>
      <c r="CS240" s="1">
        <v>1</v>
      </c>
      <c r="CT240" s="1">
        <v>1</v>
      </c>
      <c r="CU240" s="1">
        <v>1</v>
      </c>
      <c r="CV240" s="1">
        <v>2</v>
      </c>
      <c r="CW240" s="1">
        <v>1</v>
      </c>
      <c r="CX240" s="1">
        <v>1</v>
      </c>
      <c r="CY240" s="1">
        <v>2</v>
      </c>
      <c r="CZ240" s="1">
        <f t="shared" ref="CZ240:CZ247" si="228">IF(HRCS,1,0)</f>
        <v>0</v>
      </c>
      <c r="DA240" s="1">
        <v>1</v>
      </c>
      <c r="DB240" s="1">
        <v>1</v>
      </c>
      <c r="DC240" s="1">
        <v>1</v>
      </c>
      <c r="DD240" s="1">
        <v>2</v>
      </c>
      <c r="DE240" s="1">
        <v>1</v>
      </c>
      <c r="DF240" s="1">
        <v>1</v>
      </c>
      <c r="DG240" s="1">
        <v>1</v>
      </c>
      <c r="DH240" s="1">
        <v>1</v>
      </c>
      <c r="DI240" s="1">
        <v>1</v>
      </c>
      <c r="DJ240" s="1">
        <v>1</v>
      </c>
      <c r="DK240" s="1" t="s">
        <v>179</v>
      </c>
      <c r="DL240" s="1" t="s">
        <v>170</v>
      </c>
      <c r="DU240" s="1" t="b">
        <f>AlignmentChaotic</f>
        <v>0</v>
      </c>
      <c r="DV240" s="1" t="b">
        <f>SkKnowledgePsionicsRanks&gt;=8</f>
        <v>0</v>
      </c>
      <c r="DW240" s="1" t="b">
        <f>SkKnowledgePlanesRanks&gt;=8</f>
        <v>0</v>
      </c>
      <c r="DX240" s="1" t="b">
        <f>OR(WildSurge,FtOverchannel)</f>
        <v>0</v>
      </c>
      <c r="DZ240" s="1" t="b">
        <f t="shared" ref="DZ240:DZ285" si="229">NOT(HRLivingGreyhawk)</f>
        <v>1</v>
      </c>
      <c r="EA240" s="1" t="b">
        <f t="shared" ref="EA240:EA246" si="230">AND(DM240:DZ240)</f>
        <v>0</v>
      </c>
      <c r="EB240" s="11" t="s">
        <v>334</v>
      </c>
      <c r="EC240" s="1" t="str">
        <f>IF(DU240,"","• Must be of Any Chaotic Alignment.
")&amp;IF(DV240,"","• 8 ranks in Knowledge (psionics).
")&amp;IF(DW240,"","• 8 ranks in Knowledge (the planes).
")&amp;IF(DX240,"","• Wild surge class feature or Overchannel feat.
")&amp;IF(DZ240,"","• Not available in Living Greyhawk.")</f>
        <v xml:space="preserve">• Must be of Any Chaotic Alignment.
• 8 ranks in Knowledge (psionics).
• 8 ranks in Knowledge (the planes).
• Wild surge class feature or Overchannel feat.
</v>
      </c>
      <c r="ED240" s="11" t="s">
        <v>335</v>
      </c>
      <c r="EE240" s="8" t="s">
        <v>184</v>
      </c>
      <c r="EF240" s="9">
        <v>5</v>
      </c>
      <c r="EG240" s="9" t="s">
        <v>676</v>
      </c>
      <c r="EH240" s="9"/>
      <c r="EI240" s="9" t="b">
        <f t="shared" si="214"/>
        <v>0</v>
      </c>
      <c r="EJ240" s="9" t="str">
        <f t="shared" si="215"/>
        <v/>
      </c>
      <c r="EK240" s="9">
        <f t="shared" si="216"/>
        <v>99</v>
      </c>
      <c r="EL240" s="9">
        <f t="shared" si="217"/>
        <v>99</v>
      </c>
      <c r="EM240" s="9">
        <f t="shared" si="218"/>
        <v>99</v>
      </c>
      <c r="EN240" s="9">
        <f t="shared" si="219"/>
        <v>99</v>
      </c>
      <c r="EO240" s="10" t="str">
        <f t="shared" si="220"/>
        <v/>
      </c>
    </row>
    <row r="241" spans="1:145" ht="11.25" customHeight="1" x14ac:dyDescent="0.2">
      <c r="A241" s="1">
        <f t="shared" si="186"/>
        <v>238</v>
      </c>
      <c r="B241" s="1" t="s">
        <v>677</v>
      </c>
      <c r="C241" s="1" t="s">
        <v>678</v>
      </c>
      <c r="D241" s="1" t="s">
        <v>678</v>
      </c>
      <c r="E241" s="1">
        <f t="shared" si="204"/>
        <v>0</v>
      </c>
      <c r="I241" s="1">
        <f>MAX(EbStLvl-1,0)</f>
        <v>0</v>
      </c>
      <c r="K241" s="1">
        <v>4</v>
      </c>
      <c r="L241" s="1">
        <v>6</v>
      </c>
      <c r="V241" s="1">
        <v>0.75</v>
      </c>
      <c r="W241" s="1">
        <v>0.34</v>
      </c>
      <c r="X241" s="1">
        <v>0.5</v>
      </c>
      <c r="Y241" s="1">
        <v>0.5</v>
      </c>
      <c r="Z241" s="1" t="b">
        <f>FALSE</f>
        <v>0</v>
      </c>
      <c r="AA241" s="1" t="str">
        <f t="shared" si="207"/>
        <v/>
      </c>
      <c r="AB241" s="1" t="str">
        <f t="shared" si="208"/>
        <v/>
      </c>
      <c r="AC241" s="1">
        <f t="shared" si="205"/>
        <v>0</v>
      </c>
      <c r="AD241" s="1" t="str">
        <f t="shared" si="209"/>
        <v/>
      </c>
      <c r="AE241" s="1" t="str">
        <f t="shared" si="210"/>
        <v/>
      </c>
      <c r="AF241" s="1">
        <f t="shared" si="206"/>
        <v>0</v>
      </c>
      <c r="AG241" s="1">
        <f t="shared" si="211"/>
        <v>5</v>
      </c>
      <c r="AH241" s="1" t="str">
        <f t="shared" si="203"/>
        <v/>
      </c>
      <c r="AI241" s="1">
        <v>1</v>
      </c>
      <c r="AJ241" s="1">
        <v>1</v>
      </c>
      <c r="AK241" s="1">
        <v>1</v>
      </c>
      <c r="AL241" s="1">
        <v>2</v>
      </c>
      <c r="AM241" s="1">
        <v>2</v>
      </c>
      <c r="AN241" s="1">
        <f t="shared" si="224"/>
        <v>0</v>
      </c>
      <c r="AO241" s="1">
        <v>2</v>
      </c>
      <c r="AP241" s="1">
        <v>1</v>
      </c>
      <c r="AQ241" s="1">
        <v>1</v>
      </c>
      <c r="AR241" s="1">
        <v>1</v>
      </c>
      <c r="AS241" s="1">
        <v>1</v>
      </c>
      <c r="AT241" s="1">
        <v>1</v>
      </c>
      <c r="AU241" s="1">
        <v>1</v>
      </c>
      <c r="AV241" s="1">
        <v>1</v>
      </c>
      <c r="AW241" s="1">
        <v>1</v>
      </c>
      <c r="AX241" s="1">
        <v>1</v>
      </c>
      <c r="AY241" s="1">
        <v>1</v>
      </c>
      <c r="AZ241" s="1">
        <v>2</v>
      </c>
      <c r="BA241" s="1">
        <v>2</v>
      </c>
      <c r="BB241" s="1">
        <v>1</v>
      </c>
      <c r="BC241" s="1">
        <v>1</v>
      </c>
      <c r="BD241" s="1">
        <v>1</v>
      </c>
      <c r="BE241" s="1">
        <v>1</v>
      </c>
      <c r="BF241" s="1">
        <v>2</v>
      </c>
      <c r="BG241" s="1">
        <f t="shared" si="225"/>
        <v>0</v>
      </c>
      <c r="BH241" s="1">
        <f t="shared" si="226"/>
        <v>0</v>
      </c>
      <c r="BI241" s="1">
        <v>2</v>
      </c>
      <c r="BJ241" s="1">
        <v>2</v>
      </c>
      <c r="BK241" s="1">
        <v>1</v>
      </c>
      <c r="BL241" s="1">
        <v>1</v>
      </c>
      <c r="BM241" s="1">
        <v>1</v>
      </c>
      <c r="BN241" s="1">
        <v>1</v>
      </c>
      <c r="BO241" s="1">
        <v>1</v>
      </c>
      <c r="BP241" s="1">
        <v>1</v>
      </c>
      <c r="BQ241" s="1">
        <f>IF(HRRVL,1,0)</f>
        <v>0</v>
      </c>
      <c r="BR241" s="1">
        <v>1</v>
      </c>
      <c r="BS241" s="1">
        <v>1</v>
      </c>
      <c r="BT241" s="1">
        <v>1</v>
      </c>
      <c r="BU241" s="1">
        <f>IF(HRRVL,1,0)</f>
        <v>0</v>
      </c>
      <c r="BV241" s="1">
        <v>1</v>
      </c>
      <c r="BW241" s="1">
        <v>1</v>
      </c>
      <c r="BX241" s="1">
        <v>1</v>
      </c>
      <c r="BY241" s="1">
        <v>1</v>
      </c>
      <c r="BZ241" s="1">
        <v>1</v>
      </c>
      <c r="CA241" s="1">
        <v>1</v>
      </c>
      <c r="CB241" s="1">
        <v>1</v>
      </c>
      <c r="CC241" s="1">
        <v>1</v>
      </c>
      <c r="CD241" s="1">
        <v>1</v>
      </c>
      <c r="CE241" s="1">
        <v>1</v>
      </c>
      <c r="CF241" s="1">
        <v>2</v>
      </c>
      <c r="CG241" s="1">
        <f t="shared" si="227"/>
        <v>0</v>
      </c>
      <c r="CH241" s="1">
        <v>2</v>
      </c>
      <c r="CI241" s="1">
        <v>1</v>
      </c>
      <c r="CJ241" s="1">
        <v>1</v>
      </c>
      <c r="CK241" s="1">
        <v>1</v>
      </c>
      <c r="CL241" s="1">
        <v>1</v>
      </c>
      <c r="CM241" s="1">
        <v>1</v>
      </c>
      <c r="CN241" s="1">
        <v>1</v>
      </c>
      <c r="CO241" s="1">
        <v>1</v>
      </c>
      <c r="CP241" s="1">
        <v>1</v>
      </c>
      <c r="CQ241" s="1">
        <v>1</v>
      </c>
      <c r="CR241" s="1">
        <v>1</v>
      </c>
      <c r="CS241" s="1">
        <v>1</v>
      </c>
      <c r="CT241" s="1">
        <v>1</v>
      </c>
      <c r="CU241" s="1">
        <v>1</v>
      </c>
      <c r="CV241" s="1">
        <v>2</v>
      </c>
      <c r="CW241" s="1">
        <v>1</v>
      </c>
      <c r="CX241" s="1">
        <v>2</v>
      </c>
      <c r="CY241" s="1">
        <v>2</v>
      </c>
      <c r="CZ241" s="1">
        <f t="shared" si="228"/>
        <v>0</v>
      </c>
      <c r="DA241" s="1">
        <v>2</v>
      </c>
      <c r="DB241" s="1">
        <v>1</v>
      </c>
      <c r="DC241" s="1">
        <v>1</v>
      </c>
      <c r="DD241" s="1">
        <v>2</v>
      </c>
      <c r="DE241" s="1">
        <v>1</v>
      </c>
      <c r="DF241" s="1">
        <v>2</v>
      </c>
      <c r="DG241" s="1">
        <v>2</v>
      </c>
      <c r="DH241" s="1">
        <v>1</v>
      </c>
      <c r="DI241" s="1">
        <v>1</v>
      </c>
      <c r="DJ241" s="1">
        <v>1</v>
      </c>
      <c r="DK241" s="1" t="s">
        <v>179</v>
      </c>
      <c r="DL241" s="1" t="s">
        <v>170</v>
      </c>
      <c r="DU241" s="1" t="b">
        <f>AND(SkBluffRanks&gt;=8,SkDisguiseRanks&gt;=8,SkHideRanks&gt;=8,SkMoveSilentlyRanks&gt;=8)</f>
        <v>0</v>
      </c>
      <c r="DV241" s="1" t="b">
        <f>FtCombatExpertise</f>
        <v>0</v>
      </c>
      <c r="DW241" s="1" t="b">
        <f>FtImprovedFeint</f>
        <v>0</v>
      </c>
      <c r="DX241" s="1" t="b">
        <f>PowerPointReserve&gt;=1</f>
        <v>0</v>
      </c>
      <c r="DY241" s="1" t="b">
        <f>(SneakAttack+SuddenStrike+PsionicSneakAttack)&gt;=1</f>
        <v>0</v>
      </c>
      <c r="DZ241" s="1" t="b">
        <f t="shared" si="229"/>
        <v>1</v>
      </c>
      <c r="EA241" s="1" t="b">
        <f t="shared" si="230"/>
        <v>0</v>
      </c>
      <c r="EB241" s="11" t="s">
        <v>334</v>
      </c>
      <c r="EC241" s="1" t="str">
        <f>IF(DU241,"","• 8 ranks in Bluff, Disguise, Hide and Move Silently.
")&amp;IF(DV241,"","• Combat Expertise feat.
")&amp;IF(DW241,"","• Improved Feint feat.
")&amp;IF(DX241,"","• Must have a power point reserve of at least 1 power point.
")&amp;IF(DY241,"","• Sneak attack +1d6 or psionic sneak attack +1d6.
")&amp;IF(DZ241,"","• Not available in Living Greyhawk.")</f>
        <v xml:space="preserve">• 8 ranks in Bluff, Disguise, Hide and Move Silently.
• Combat Expertise feat.
• Improved Feint feat.
• Must have a power point reserve of at least 1 power point.
• Sneak attack +1d6 or psionic sneak attack +1d6.
</v>
      </c>
      <c r="ED241" s="11" t="s">
        <v>335</v>
      </c>
      <c r="EE241" s="8" t="s">
        <v>598</v>
      </c>
      <c r="EF241" s="9">
        <v>10</v>
      </c>
      <c r="EG241" s="9" t="s">
        <v>679</v>
      </c>
      <c r="EH241" s="9"/>
      <c r="EI241" s="9" t="b">
        <f t="shared" si="214"/>
        <v>0</v>
      </c>
      <c r="EJ241" s="9" t="str">
        <f t="shared" si="215"/>
        <v/>
      </c>
      <c r="EK241" s="9">
        <f t="shared" si="216"/>
        <v>99</v>
      </c>
      <c r="EL241" s="9">
        <f t="shared" si="217"/>
        <v>99</v>
      </c>
      <c r="EM241" s="9">
        <f t="shared" si="218"/>
        <v>99</v>
      </c>
      <c r="EN241" s="9">
        <f t="shared" si="219"/>
        <v>99</v>
      </c>
      <c r="EO241" s="10" t="str">
        <f t="shared" si="220"/>
        <v/>
      </c>
    </row>
    <row r="242" spans="1:145" ht="11.25" customHeight="1" x14ac:dyDescent="0.2">
      <c r="A242" s="1">
        <f t="shared" si="186"/>
        <v>239</v>
      </c>
      <c r="B242" s="1" t="s">
        <v>680</v>
      </c>
      <c r="C242" s="1" t="s">
        <v>681</v>
      </c>
      <c r="D242" s="1" t="s">
        <v>681</v>
      </c>
      <c r="E242" s="1">
        <f t="shared" si="204"/>
        <v>0</v>
      </c>
      <c r="I242" s="1">
        <f>MAX(EcAdLvl-1,0)</f>
        <v>0</v>
      </c>
      <c r="K242" s="1">
        <v>2</v>
      </c>
      <c r="L242" s="1">
        <v>4</v>
      </c>
      <c r="V242" s="1">
        <v>0.75</v>
      </c>
      <c r="W242" s="1">
        <v>0.34</v>
      </c>
      <c r="X242" s="1">
        <v>0.34</v>
      </c>
      <c r="Y242" s="1">
        <v>0.5</v>
      </c>
      <c r="Z242" s="1" t="b">
        <f>FALSE</f>
        <v>0</v>
      </c>
      <c r="AA242" s="1" t="str">
        <f t="shared" si="207"/>
        <v/>
      </c>
      <c r="AB242" s="1" t="str">
        <f t="shared" si="208"/>
        <v/>
      </c>
      <c r="AC242" s="1">
        <f t="shared" si="205"/>
        <v>0</v>
      </c>
      <c r="AD242" s="1" t="str">
        <f t="shared" si="209"/>
        <v/>
      </c>
      <c r="AE242" s="1" t="str">
        <f t="shared" si="210"/>
        <v/>
      </c>
      <c r="AF242" s="1">
        <f t="shared" si="206"/>
        <v>0</v>
      </c>
      <c r="AG242" s="1">
        <f t="shared" si="211"/>
        <v>5</v>
      </c>
      <c r="AH242" s="1" t="str">
        <f t="shared" si="203"/>
        <v/>
      </c>
      <c r="AI242" s="1">
        <v>1</v>
      </c>
      <c r="AJ242" s="1">
        <v>1</v>
      </c>
      <c r="AK242" s="1">
        <v>1</v>
      </c>
      <c r="AL242" s="1">
        <v>2</v>
      </c>
      <c r="AM242" s="1">
        <v>1</v>
      </c>
      <c r="AN242" s="1">
        <f t="shared" si="224"/>
        <v>0</v>
      </c>
      <c r="AO242" s="1">
        <v>2</v>
      </c>
      <c r="AP242" s="1">
        <v>2</v>
      </c>
      <c r="AQ242" s="1">
        <v>2</v>
      </c>
      <c r="AR242" s="1">
        <v>2</v>
      </c>
      <c r="AS242" s="1">
        <v>2</v>
      </c>
      <c r="AT242" s="1">
        <v>2</v>
      </c>
      <c r="AU242" s="1">
        <v>2</v>
      </c>
      <c r="AV242" s="1">
        <v>2</v>
      </c>
      <c r="AW242" s="1">
        <v>1</v>
      </c>
      <c r="AX242" s="1">
        <v>1</v>
      </c>
      <c r="AY242" s="1">
        <v>1</v>
      </c>
      <c r="AZ242" s="1">
        <v>2</v>
      </c>
      <c r="BA242" s="1">
        <v>1</v>
      </c>
      <c r="BB242" s="1">
        <v>1</v>
      </c>
      <c r="BC242" s="1">
        <v>1</v>
      </c>
      <c r="BD242" s="1">
        <v>1</v>
      </c>
      <c r="BE242" s="1">
        <v>1</v>
      </c>
      <c r="BF242" s="1">
        <v>1</v>
      </c>
      <c r="BG242" s="1">
        <f t="shared" si="225"/>
        <v>0</v>
      </c>
      <c r="BH242" s="1">
        <f t="shared" si="226"/>
        <v>0</v>
      </c>
      <c r="BI242" s="1">
        <v>1</v>
      </c>
      <c r="BJ242" s="1">
        <v>1</v>
      </c>
      <c r="BK242" s="1">
        <v>2</v>
      </c>
      <c r="BL242" s="1">
        <v>2</v>
      </c>
      <c r="BM242" s="1">
        <v>2</v>
      </c>
      <c r="BN242" s="1">
        <v>2</v>
      </c>
      <c r="BO242" s="1">
        <v>2</v>
      </c>
      <c r="BP242" s="1">
        <v>2</v>
      </c>
      <c r="BQ242" s="1">
        <f>IF(HRRVL,2,0)</f>
        <v>0</v>
      </c>
      <c r="BR242" s="1">
        <v>2</v>
      </c>
      <c r="BS242" s="1">
        <v>2</v>
      </c>
      <c r="BT242" s="1">
        <v>2</v>
      </c>
      <c r="BU242" s="1">
        <f>IF(HRRVL,2,0)</f>
        <v>0</v>
      </c>
      <c r="BV242" s="1">
        <v>2</v>
      </c>
      <c r="BW242" s="1">
        <v>2</v>
      </c>
      <c r="BX242" s="1">
        <v>2</v>
      </c>
      <c r="BY242" s="1">
        <v>2</v>
      </c>
      <c r="BZ242" s="1">
        <v>2</v>
      </c>
      <c r="CA242" s="1">
        <v>2</v>
      </c>
      <c r="CB242" s="1">
        <v>2</v>
      </c>
      <c r="CC242" s="1">
        <v>2</v>
      </c>
      <c r="CD242" s="1">
        <v>2</v>
      </c>
      <c r="CE242" s="1">
        <v>2</v>
      </c>
      <c r="CF242" s="1">
        <v>1</v>
      </c>
      <c r="CG242" s="1">
        <f t="shared" si="227"/>
        <v>0</v>
      </c>
      <c r="CH242" s="1">
        <v>1</v>
      </c>
      <c r="CI242" s="1">
        <v>1</v>
      </c>
      <c r="CJ242" s="1">
        <v>1</v>
      </c>
      <c r="CK242" s="1">
        <v>1</v>
      </c>
      <c r="CL242" s="1">
        <v>1</v>
      </c>
      <c r="CM242" s="1">
        <v>1</v>
      </c>
      <c r="CN242" s="1">
        <v>1</v>
      </c>
      <c r="CO242" s="1">
        <v>1</v>
      </c>
      <c r="CP242" s="1">
        <v>2</v>
      </c>
      <c r="CQ242" s="1">
        <v>2</v>
      </c>
      <c r="CR242" s="1">
        <v>2</v>
      </c>
      <c r="CS242" s="1">
        <v>2</v>
      </c>
      <c r="CT242" s="1">
        <v>2</v>
      </c>
      <c r="CU242" s="1">
        <v>2</v>
      </c>
      <c r="CV242" s="1">
        <v>2</v>
      </c>
      <c r="CW242" s="1">
        <v>1</v>
      </c>
      <c r="CX242" s="1">
        <v>1</v>
      </c>
      <c r="CY242" s="1">
        <v>1</v>
      </c>
      <c r="CZ242" s="1">
        <f t="shared" si="228"/>
        <v>0</v>
      </c>
      <c r="DA242" s="1">
        <v>1</v>
      </c>
      <c r="DB242" s="1">
        <v>1</v>
      </c>
      <c r="DC242" s="1">
        <v>1</v>
      </c>
      <c r="DD242" s="1">
        <v>1</v>
      </c>
      <c r="DE242" s="1">
        <v>1</v>
      </c>
      <c r="DF242" s="1">
        <v>1</v>
      </c>
      <c r="DG242" s="1">
        <v>1</v>
      </c>
      <c r="DH242" s="1">
        <v>1</v>
      </c>
      <c r="DI242" s="1">
        <v>2</v>
      </c>
      <c r="DJ242" s="1">
        <v>1</v>
      </c>
      <c r="DK242" s="1" t="s">
        <v>179</v>
      </c>
      <c r="DL242" s="1" t="s">
        <v>170</v>
      </c>
      <c r="DU242" s="1" t="b">
        <f>SkPsicraftRanks&gt;=8</f>
        <v>0</v>
      </c>
      <c r="DV242" s="1" t="b">
        <f>NOT(ISERROR(SEARCH("Craft",SkillFocusList,1)))</f>
        <v>0</v>
      </c>
      <c r="DW242" s="1" t="b">
        <f>FtEctopicForm1</f>
        <v>0</v>
      </c>
      <c r="DX242" s="1" t="b">
        <v>0</v>
      </c>
      <c r="DZ242" s="1" t="b">
        <f t="shared" si="229"/>
        <v>1</v>
      </c>
      <c r="EA242" s="1" t="b">
        <f t="shared" si="230"/>
        <v>0</v>
      </c>
      <c r="EB242" s="11" t="s">
        <v>334</v>
      </c>
      <c r="EC242" s="1" t="str">
        <f>IF(DU242,"","• 8 ranks in Psicraft.
")&amp;IF(DV242,"","• Skill Focus (Craft [sculpting]) feat.
")&amp;IF(DW242,"","• Ectopic Form (any).
")&amp;IF(DX242,"","• Must be able to manifest the astral construct power (not checked).
")&amp;IF(DZ242,"","• Not available in Living Greyhawk.")</f>
        <v xml:space="preserve">• 8 ranks in Psicraft.
• Skill Focus (Craft [sculpting]) feat.
• Ectopic Form (any).
• Must be able to manifest the astral construct power (not checked).
</v>
      </c>
      <c r="ED242" s="11" t="s">
        <v>335</v>
      </c>
      <c r="EE242" s="8" t="s">
        <v>589</v>
      </c>
      <c r="EF242" s="9">
        <v>3</v>
      </c>
      <c r="EG242" s="9" t="s">
        <v>679</v>
      </c>
      <c r="EH242" s="9"/>
      <c r="EI242" s="9" t="b">
        <f t="shared" si="214"/>
        <v>0</v>
      </c>
      <c r="EJ242" s="9" t="str">
        <f t="shared" si="215"/>
        <v/>
      </c>
      <c r="EK242" s="9">
        <f t="shared" si="216"/>
        <v>99</v>
      </c>
      <c r="EL242" s="9">
        <f t="shared" si="217"/>
        <v>99</v>
      </c>
      <c r="EM242" s="9">
        <f t="shared" si="218"/>
        <v>99</v>
      </c>
      <c r="EN242" s="9">
        <f t="shared" si="219"/>
        <v>99</v>
      </c>
      <c r="EO242" s="10" t="str">
        <f t="shared" si="220"/>
        <v/>
      </c>
    </row>
    <row r="243" spans="1:145" ht="11.25" customHeight="1" x14ac:dyDescent="0.2">
      <c r="A243" s="1">
        <f t="shared" si="186"/>
        <v>240</v>
      </c>
      <c r="B243" s="1" t="s">
        <v>682</v>
      </c>
      <c r="C243" s="1" t="s">
        <v>683</v>
      </c>
      <c r="D243" s="1" t="s">
        <v>683</v>
      </c>
      <c r="E243" s="1">
        <f t="shared" si="204"/>
        <v>0</v>
      </c>
      <c r="I243" s="1">
        <f>IF(FsPsLvl&gt;=2,1,0)+IF(FsPsLvl&gt;=4,1,0)+IF(FsPsLvl&gt;=5,1,0)+IF(FsPsLvl&gt;=7,1,0)+IF(FsPsLvl&gt;=9,1,0)+IF(FsPsLvl&gt;=10,1,0)</f>
        <v>0</v>
      </c>
      <c r="K243" s="1">
        <v>2</v>
      </c>
      <c r="L243" s="1">
        <v>6</v>
      </c>
      <c r="V243" s="1">
        <v>0.5</v>
      </c>
      <c r="W243" s="1">
        <v>0.34</v>
      </c>
      <c r="X243" s="1">
        <v>0.34</v>
      </c>
      <c r="Y243" s="1">
        <v>0.5</v>
      </c>
      <c r="Z243" s="1" t="b">
        <f>FALSE</f>
        <v>0</v>
      </c>
      <c r="AA243" s="1" t="str">
        <f t="shared" si="207"/>
        <v/>
      </c>
      <c r="AB243" s="1" t="str">
        <f t="shared" si="208"/>
        <v/>
      </c>
      <c r="AC243" s="1">
        <f t="shared" si="205"/>
        <v>0</v>
      </c>
      <c r="AD243" s="1" t="str">
        <f t="shared" si="209"/>
        <v/>
      </c>
      <c r="AE243" s="1" t="str">
        <f t="shared" si="210"/>
        <v/>
      </c>
      <c r="AF243" s="1">
        <f t="shared" si="206"/>
        <v>0</v>
      </c>
      <c r="AG243" s="1">
        <f t="shared" si="211"/>
        <v>5</v>
      </c>
      <c r="AH243" s="1" t="str">
        <f t="shared" si="203"/>
        <v/>
      </c>
      <c r="AI243" s="1">
        <v>1</v>
      </c>
      <c r="AJ243" s="1">
        <v>1</v>
      </c>
      <c r="AK243" s="1">
        <v>1</v>
      </c>
      <c r="AL243" s="1">
        <v>2</v>
      </c>
      <c r="AM243" s="1">
        <v>1</v>
      </c>
      <c r="AN243" s="1">
        <f t="shared" si="224"/>
        <v>0</v>
      </c>
      <c r="AO243" s="1">
        <v>2</v>
      </c>
      <c r="AP243" s="1">
        <v>1</v>
      </c>
      <c r="AQ243" s="1">
        <v>1</v>
      </c>
      <c r="AR243" s="1">
        <v>1</v>
      </c>
      <c r="AS243" s="1">
        <v>1</v>
      </c>
      <c r="AT243" s="1">
        <v>1</v>
      </c>
      <c r="AU243" s="1">
        <v>1</v>
      </c>
      <c r="AV243" s="1">
        <v>1</v>
      </c>
      <c r="AW243" s="1">
        <v>1</v>
      </c>
      <c r="AX243" s="1">
        <v>1</v>
      </c>
      <c r="AY243" s="1">
        <v>1</v>
      </c>
      <c r="AZ243" s="1">
        <v>2</v>
      </c>
      <c r="BA243" s="1">
        <v>1</v>
      </c>
      <c r="BB243" s="1">
        <v>1</v>
      </c>
      <c r="BC243" s="1">
        <v>1</v>
      </c>
      <c r="BD243" s="1">
        <v>1</v>
      </c>
      <c r="BE243" s="1">
        <v>1</v>
      </c>
      <c r="BF243" s="1">
        <v>2</v>
      </c>
      <c r="BG243" s="1">
        <f t="shared" si="225"/>
        <v>0</v>
      </c>
      <c r="BH243" s="1">
        <f t="shared" si="226"/>
        <v>0</v>
      </c>
      <c r="BI243" s="1">
        <v>2</v>
      </c>
      <c r="BJ243" s="1">
        <v>1</v>
      </c>
      <c r="BK243" s="1">
        <v>2</v>
      </c>
      <c r="BL243" s="1">
        <v>2</v>
      </c>
      <c r="BM243" s="1">
        <v>2</v>
      </c>
      <c r="BN243" s="1">
        <v>2</v>
      </c>
      <c r="BO243" s="1">
        <v>2</v>
      </c>
      <c r="BP243" s="1">
        <v>2</v>
      </c>
      <c r="BQ243" s="1">
        <f>IF(HRRVL,2,0)</f>
        <v>0</v>
      </c>
      <c r="BR243" s="1">
        <v>2</v>
      </c>
      <c r="BS243" s="1">
        <v>2</v>
      </c>
      <c r="BT243" s="1">
        <v>2</v>
      </c>
      <c r="BU243" s="1">
        <f>IF(HRRVL,2,0)</f>
        <v>0</v>
      </c>
      <c r="BV243" s="1">
        <v>2</v>
      </c>
      <c r="BW243" s="1">
        <v>2</v>
      </c>
      <c r="BX243" s="1">
        <v>2</v>
      </c>
      <c r="BY243" s="1">
        <v>2</v>
      </c>
      <c r="BZ243" s="1">
        <v>2</v>
      </c>
      <c r="CA243" s="1">
        <v>2</v>
      </c>
      <c r="CB243" s="1">
        <v>2</v>
      </c>
      <c r="CC243" s="1">
        <v>2</v>
      </c>
      <c r="CD243" s="1">
        <v>2</v>
      </c>
      <c r="CE243" s="1">
        <v>2</v>
      </c>
      <c r="CF243" s="1">
        <v>2</v>
      </c>
      <c r="CG243" s="1">
        <f t="shared" si="227"/>
        <v>0</v>
      </c>
      <c r="CH243" s="1">
        <v>2</v>
      </c>
      <c r="CI243" s="1">
        <v>1</v>
      </c>
      <c r="CJ243" s="1">
        <v>1</v>
      </c>
      <c r="CK243" s="1">
        <v>1</v>
      </c>
      <c r="CL243" s="1">
        <v>1</v>
      </c>
      <c r="CM243" s="1">
        <v>1</v>
      </c>
      <c r="CN243" s="1">
        <v>1</v>
      </c>
      <c r="CO243" s="1">
        <v>1</v>
      </c>
      <c r="CP243" s="1">
        <v>1</v>
      </c>
      <c r="CQ243" s="1">
        <v>1</v>
      </c>
      <c r="CR243" s="1">
        <v>1</v>
      </c>
      <c r="CS243" s="1">
        <v>1</v>
      </c>
      <c r="CT243" s="1">
        <v>1</v>
      </c>
      <c r="CU243" s="1">
        <v>1</v>
      </c>
      <c r="CV243" s="1">
        <v>2</v>
      </c>
      <c r="CW243" s="1">
        <v>1</v>
      </c>
      <c r="CX243" s="1">
        <v>1</v>
      </c>
      <c r="CY243" s="1">
        <v>2</v>
      </c>
      <c r="CZ243" s="1">
        <f t="shared" si="228"/>
        <v>0</v>
      </c>
      <c r="DA243" s="1">
        <v>1</v>
      </c>
      <c r="DB243" s="1">
        <v>1</v>
      </c>
      <c r="DC243" s="1">
        <v>1</v>
      </c>
      <c r="DD243" s="1">
        <v>2</v>
      </c>
      <c r="DE243" s="1">
        <v>1</v>
      </c>
      <c r="DF243" s="1">
        <v>1</v>
      </c>
      <c r="DG243" s="1">
        <v>1</v>
      </c>
      <c r="DH243" s="1">
        <v>1</v>
      </c>
      <c r="DI243" s="1">
        <v>2</v>
      </c>
      <c r="DJ243" s="1">
        <v>1</v>
      </c>
      <c r="DK243" s="1" t="s">
        <v>179</v>
      </c>
      <c r="DL243" s="1" t="s">
        <v>170</v>
      </c>
      <c r="DU243" s="1" t="b">
        <v>1</v>
      </c>
      <c r="DV243" s="1" t="b">
        <f>SkKnowledgePsionicsRanks&gt;=8</f>
        <v>0</v>
      </c>
      <c r="DW243" s="1" t="b">
        <f>FtIllithidHeritage</f>
        <v>0</v>
      </c>
      <c r="DX243" s="1" t="b">
        <f>NOT(ISNA(MATCH("Undercommon",TblLangKnown,0)))</f>
        <v>0</v>
      </c>
      <c r="DZ243" s="1" t="b">
        <f t="shared" si="229"/>
        <v>1</v>
      </c>
      <c r="EA243" s="1" t="b">
        <f t="shared" si="230"/>
        <v>0</v>
      </c>
      <c r="EB243" s="11" t="s">
        <v>334</v>
      </c>
      <c r="EC243" s="1" t="str">
        <f>IF(DU243,"• Ability to manifest psionic charm (not checked).
")&amp;IF(DV243,"","• 8 ranks in Knowledge (psionics).
")&amp;IF(DW243,"","• Illithid Heritage feat.
")&amp;IF(DX243,"","• Must speak Undercommon.
")&amp;IF(DZ243,"","• Not available in Living Greyhawk.")</f>
        <v xml:space="preserve">• Ability to manifest psionic charm (not checked).
• 8 ranks in Knowledge (psionics).
• Illithid Heritage feat.
• Must speak Undercommon.
</v>
      </c>
      <c r="ED243" s="11" t="s">
        <v>335</v>
      </c>
      <c r="EE243" s="8" t="s">
        <v>684</v>
      </c>
      <c r="EF243" s="9">
        <v>10</v>
      </c>
      <c r="EG243" s="9" t="str">
        <f>IF($EI243,IF(elementalarchoncel&gt;0,INDEX(Element4List,ElementalArchonCell,1),""),"")</f>
        <v/>
      </c>
      <c r="EH243" s="9"/>
      <c r="EI243" s="9" t="b">
        <f t="shared" si="214"/>
        <v>0</v>
      </c>
      <c r="EJ243" s="9" t="str">
        <f t="shared" si="215"/>
        <v/>
      </c>
      <c r="EK243" s="9">
        <f t="shared" si="216"/>
        <v>99</v>
      </c>
      <c r="EL243" s="9">
        <f t="shared" si="217"/>
        <v>99</v>
      </c>
      <c r="EM243" s="9">
        <f t="shared" si="218"/>
        <v>99</v>
      </c>
      <c r="EN243" s="9">
        <f t="shared" si="219"/>
        <v>99</v>
      </c>
      <c r="EO243" s="10" t="str">
        <f t="shared" si="220"/>
        <v/>
      </c>
    </row>
    <row r="244" spans="1:145" ht="11.25" customHeight="1" x14ac:dyDescent="0.2">
      <c r="A244" s="1">
        <f t="shared" si="186"/>
        <v>241</v>
      </c>
      <c r="B244" s="1" t="s">
        <v>685</v>
      </c>
      <c r="C244" s="1" t="s">
        <v>686</v>
      </c>
      <c r="D244" s="1" t="s">
        <v>686</v>
      </c>
      <c r="E244" s="1">
        <f t="shared" si="204"/>
        <v>0</v>
      </c>
      <c r="K244" s="1">
        <v>4</v>
      </c>
      <c r="L244" s="1">
        <v>10</v>
      </c>
      <c r="V244" s="1">
        <v>0.75</v>
      </c>
      <c r="W244" s="1">
        <v>0.5</v>
      </c>
      <c r="X244" s="1">
        <v>0.34</v>
      </c>
      <c r="Y244" s="1">
        <v>0.5</v>
      </c>
      <c r="Z244" s="1" t="b">
        <f>FALSE</f>
        <v>0</v>
      </c>
      <c r="AA244" s="1" t="str">
        <f t="shared" si="207"/>
        <v/>
      </c>
      <c r="AB244" s="1" t="str">
        <f t="shared" si="208"/>
        <v/>
      </c>
      <c r="AC244" s="1">
        <f t="shared" si="205"/>
        <v>0</v>
      </c>
      <c r="AD244" s="1" t="str">
        <f t="shared" si="209"/>
        <v/>
      </c>
      <c r="AE244" s="1" t="str">
        <f t="shared" si="210"/>
        <v/>
      </c>
      <c r="AF244" s="1">
        <f t="shared" si="206"/>
        <v>0</v>
      </c>
      <c r="AG244" s="1">
        <f t="shared" si="211"/>
        <v>5</v>
      </c>
      <c r="AH244" s="1" t="str">
        <f t="shared" si="203"/>
        <v/>
      </c>
      <c r="AI244" s="1">
        <v>1</v>
      </c>
      <c r="AJ244" s="1">
        <v>2</v>
      </c>
      <c r="AK244" s="1">
        <v>1</v>
      </c>
      <c r="AL244" s="1">
        <v>1</v>
      </c>
      <c r="AM244" s="1">
        <v>2</v>
      </c>
      <c r="AN244" s="1">
        <f t="shared" si="224"/>
        <v>0</v>
      </c>
      <c r="AO244" s="1">
        <v>2</v>
      </c>
      <c r="AP244" s="1">
        <v>2</v>
      </c>
      <c r="AQ244" s="1">
        <v>2</v>
      </c>
      <c r="AR244" s="1">
        <v>2</v>
      </c>
      <c r="AS244" s="1">
        <v>2</v>
      </c>
      <c r="AT244" s="1">
        <v>2</v>
      </c>
      <c r="AU244" s="1">
        <v>2</v>
      </c>
      <c r="AV244" s="1">
        <v>2</v>
      </c>
      <c r="AW244" s="1">
        <v>1</v>
      </c>
      <c r="AX244" s="1">
        <v>1</v>
      </c>
      <c r="AY244" s="1">
        <v>1</v>
      </c>
      <c r="AZ244" s="1">
        <v>1</v>
      </c>
      <c r="BA244" s="1">
        <v>1</v>
      </c>
      <c r="BB244" s="1">
        <v>1</v>
      </c>
      <c r="BC244" s="1">
        <v>1</v>
      </c>
      <c r="BD244" s="1">
        <v>1</v>
      </c>
      <c r="BE244" s="1">
        <v>2</v>
      </c>
      <c r="BF244" s="1">
        <v>2</v>
      </c>
      <c r="BG244" s="1">
        <f t="shared" si="225"/>
        <v>0</v>
      </c>
      <c r="BH244" s="1">
        <f t="shared" si="226"/>
        <v>0</v>
      </c>
      <c r="BI244" s="1">
        <v>1</v>
      </c>
      <c r="BJ244" s="1">
        <v>2</v>
      </c>
      <c r="BK244" s="1">
        <v>1</v>
      </c>
      <c r="BL244" s="1">
        <v>1</v>
      </c>
      <c r="BM244" s="1">
        <v>1</v>
      </c>
      <c r="BN244" s="1">
        <v>1</v>
      </c>
      <c r="BO244" s="1">
        <v>1</v>
      </c>
      <c r="BP244" s="1">
        <v>1</v>
      </c>
      <c r="BQ244" s="1">
        <f>IF(HRRVL,1,0)</f>
        <v>0</v>
      </c>
      <c r="BR244" s="1">
        <v>1</v>
      </c>
      <c r="BS244" s="1">
        <v>1</v>
      </c>
      <c r="BT244" s="1">
        <v>2</v>
      </c>
      <c r="BU244" s="1">
        <f>IF(HRRVL,2,0)</f>
        <v>0</v>
      </c>
      <c r="BV244" s="1">
        <v>1</v>
      </c>
      <c r="BW244" s="1">
        <v>1</v>
      </c>
      <c r="BX244" s="1">
        <v>1</v>
      </c>
      <c r="BY244" s="1">
        <v>1</v>
      </c>
      <c r="BZ244" s="1">
        <v>1</v>
      </c>
      <c r="CA244" s="1">
        <v>1</v>
      </c>
      <c r="CB244" s="1">
        <v>1</v>
      </c>
      <c r="CC244" s="1">
        <v>1</v>
      </c>
      <c r="CD244" s="1">
        <v>1</v>
      </c>
      <c r="CE244" s="1">
        <v>1</v>
      </c>
      <c r="CF244" s="1">
        <v>2</v>
      </c>
      <c r="CG244" s="1">
        <f t="shared" si="227"/>
        <v>0</v>
      </c>
      <c r="CH244" s="1">
        <v>2</v>
      </c>
      <c r="CI244" s="1">
        <v>1</v>
      </c>
      <c r="CJ244" s="1">
        <v>1</v>
      </c>
      <c r="CK244" s="1">
        <v>1</v>
      </c>
      <c r="CL244" s="1">
        <v>1</v>
      </c>
      <c r="CM244" s="1">
        <v>1</v>
      </c>
      <c r="CN244" s="1">
        <v>1</v>
      </c>
      <c r="CO244" s="1">
        <v>1</v>
      </c>
      <c r="CP244" s="1">
        <v>2</v>
      </c>
      <c r="CQ244" s="1">
        <v>2</v>
      </c>
      <c r="CR244" s="1">
        <v>2</v>
      </c>
      <c r="CS244" s="1">
        <v>2</v>
      </c>
      <c r="CT244" s="1">
        <v>2</v>
      </c>
      <c r="CU244" s="1">
        <v>2</v>
      </c>
      <c r="CV244" s="1">
        <v>2</v>
      </c>
      <c r="CW244" s="1">
        <v>1</v>
      </c>
      <c r="CX244" s="1">
        <v>1</v>
      </c>
      <c r="CY244" s="1">
        <v>1</v>
      </c>
      <c r="CZ244" s="1">
        <f t="shared" si="228"/>
        <v>0</v>
      </c>
      <c r="DA244" s="1">
        <v>1</v>
      </c>
      <c r="DB244" s="1">
        <v>1</v>
      </c>
      <c r="DC244" s="1">
        <v>1</v>
      </c>
      <c r="DD244" s="1">
        <v>2</v>
      </c>
      <c r="DE244" s="1">
        <v>1</v>
      </c>
      <c r="DF244" s="1">
        <v>1</v>
      </c>
      <c r="DG244" s="1">
        <v>2</v>
      </c>
      <c r="DH244" s="1">
        <v>1</v>
      </c>
      <c r="DI244" s="1">
        <v>1</v>
      </c>
      <c r="DJ244" s="1">
        <v>1</v>
      </c>
      <c r="DK244" s="1" t="s">
        <v>179</v>
      </c>
      <c r="DL244" s="1" t="s">
        <v>170</v>
      </c>
      <c r="DU244" s="1" t="b">
        <f>AlignmentNonEvil</f>
        <v>1</v>
      </c>
      <c r="DV244" s="1" t="b">
        <f>SkKnowledgePsionicsRanks&gt;=8</f>
        <v>0</v>
      </c>
      <c r="DW244" s="1" t="b">
        <f>SkKnowledgeReligionRanks&gt;=4</f>
        <v>0</v>
      </c>
      <c r="DX244" s="1" t="b">
        <f>AND(MindBlade,PsychicStrike)</f>
        <v>0</v>
      </c>
      <c r="DZ244" s="1" t="b">
        <f t="shared" si="229"/>
        <v>1</v>
      </c>
      <c r="EA244" s="1" t="b">
        <f t="shared" si="230"/>
        <v>0</v>
      </c>
      <c r="EB244" s="11" t="s">
        <v>334</v>
      </c>
      <c r="EC244" s="1" t="str">
        <f>IF(DU244,"","• Must be of Non-Evil Alignment.
")&amp;IF(DV244,"","• 8 ranks in Knowledge (psionics).
")&amp;IF(DW244,"","• 4 ranks in Knowledge (religion).
")&amp;IF(DX244,"","• Mind Blade, psychic strike +1d8.
")&amp;IF(DZ244,"","• Not available in Living Greyhawk.")</f>
        <v xml:space="preserve">• 8 ranks in Knowledge (psionics).
• 4 ranks in Knowledge (religion).
• Mind Blade, psychic strike +1d8.
</v>
      </c>
      <c r="ED244" s="11" t="s">
        <v>335</v>
      </c>
      <c r="EE244" s="8" t="s">
        <v>571</v>
      </c>
      <c r="EF244" s="9">
        <v>10</v>
      </c>
      <c r="EG244" s="9" t="s">
        <v>687</v>
      </c>
      <c r="EH244" s="9"/>
      <c r="EI244" s="9" t="b">
        <f t="shared" si="214"/>
        <v>0</v>
      </c>
      <c r="EJ244" s="9" t="str">
        <f t="shared" si="215"/>
        <v/>
      </c>
      <c r="EK244" s="9">
        <f t="shared" si="216"/>
        <v>99</v>
      </c>
      <c r="EL244" s="9">
        <f t="shared" si="217"/>
        <v>99</v>
      </c>
      <c r="EM244" s="9">
        <f t="shared" si="218"/>
        <v>99</v>
      </c>
      <c r="EN244" s="9">
        <f t="shared" si="219"/>
        <v>99</v>
      </c>
      <c r="EO244" s="10" t="str">
        <f t="shared" si="220"/>
        <v/>
      </c>
    </row>
    <row r="245" spans="1:145" ht="11.25" customHeight="1" x14ac:dyDescent="0.2">
      <c r="A245" s="1">
        <f t="shared" si="186"/>
        <v>242</v>
      </c>
      <c r="B245" s="1" t="s">
        <v>688</v>
      </c>
      <c r="C245" s="1" t="s">
        <v>689</v>
      </c>
      <c r="D245" s="1" t="s">
        <v>689</v>
      </c>
      <c r="E245" s="1">
        <f t="shared" si="204"/>
        <v>0</v>
      </c>
      <c r="K245" s="1">
        <v>4</v>
      </c>
      <c r="L245" s="1">
        <v>10</v>
      </c>
      <c r="V245" s="1">
        <v>0.75</v>
      </c>
      <c r="W245" s="1">
        <v>0.34</v>
      </c>
      <c r="X245" s="1">
        <v>0.5</v>
      </c>
      <c r="Y245" s="1">
        <v>0.5</v>
      </c>
      <c r="Z245" s="1" t="b">
        <f>FALSE</f>
        <v>0</v>
      </c>
      <c r="AA245" s="1" t="str">
        <f t="shared" si="207"/>
        <v/>
      </c>
      <c r="AB245" s="1" t="str">
        <f t="shared" si="208"/>
        <v/>
      </c>
      <c r="AC245" s="1">
        <f t="shared" si="205"/>
        <v>0</v>
      </c>
      <c r="AD245" s="1" t="str">
        <f t="shared" si="209"/>
        <v/>
      </c>
      <c r="AE245" s="1" t="str">
        <f t="shared" si="210"/>
        <v/>
      </c>
      <c r="AF245" s="1">
        <f t="shared" si="206"/>
        <v>0</v>
      </c>
      <c r="AG245" s="1">
        <f t="shared" si="211"/>
        <v>5</v>
      </c>
      <c r="AH245" s="1" t="str">
        <f t="shared" si="203"/>
        <v/>
      </c>
      <c r="AI245" s="1">
        <v>1</v>
      </c>
      <c r="AJ245" s="1">
        <v>2</v>
      </c>
      <c r="AK245" s="1">
        <v>1</v>
      </c>
      <c r="AL245" s="1">
        <v>1</v>
      </c>
      <c r="AM245" s="1">
        <v>2</v>
      </c>
      <c r="AN245" s="1">
        <f t="shared" si="224"/>
        <v>0</v>
      </c>
      <c r="AO245" s="1">
        <v>2</v>
      </c>
      <c r="AP245" s="1">
        <v>2</v>
      </c>
      <c r="AQ245" s="1">
        <v>2</v>
      </c>
      <c r="AR245" s="1">
        <v>2</v>
      </c>
      <c r="AS245" s="1">
        <v>2</v>
      </c>
      <c r="AT245" s="1">
        <v>2</v>
      </c>
      <c r="AU245" s="1">
        <v>2</v>
      </c>
      <c r="AV245" s="1">
        <v>2</v>
      </c>
      <c r="AW245" s="1">
        <v>1</v>
      </c>
      <c r="AX245" s="1">
        <v>1</v>
      </c>
      <c r="AY245" s="1">
        <v>1</v>
      </c>
      <c r="AZ245" s="1">
        <v>1</v>
      </c>
      <c r="BA245" s="1">
        <v>1</v>
      </c>
      <c r="BB245" s="1">
        <v>1</v>
      </c>
      <c r="BC245" s="1">
        <v>1</v>
      </c>
      <c r="BD245" s="1">
        <v>1</v>
      </c>
      <c r="BE245" s="1">
        <v>1</v>
      </c>
      <c r="BF245" s="1">
        <v>2</v>
      </c>
      <c r="BG245" s="1">
        <f t="shared" si="225"/>
        <v>0</v>
      </c>
      <c r="BH245" s="1">
        <f t="shared" si="226"/>
        <v>0</v>
      </c>
      <c r="BI245" s="1">
        <v>1</v>
      </c>
      <c r="BJ245" s="1">
        <v>2</v>
      </c>
      <c r="BK245" s="1">
        <v>1</v>
      </c>
      <c r="BL245" s="1">
        <v>1</v>
      </c>
      <c r="BM245" s="1">
        <v>1</v>
      </c>
      <c r="BN245" s="1">
        <v>1</v>
      </c>
      <c r="BO245" s="1">
        <v>1</v>
      </c>
      <c r="BP245" s="1">
        <v>1</v>
      </c>
      <c r="BQ245" s="1">
        <f>IF(HRRVL,1,0)</f>
        <v>0</v>
      </c>
      <c r="BR245" s="1">
        <v>1</v>
      </c>
      <c r="BS245" s="1">
        <v>1</v>
      </c>
      <c r="BT245" s="1">
        <v>2</v>
      </c>
      <c r="BU245" s="1">
        <f>IF(HRRVL,2,0)</f>
        <v>0</v>
      </c>
      <c r="BV245" s="1">
        <v>1</v>
      </c>
      <c r="BW245" s="1">
        <v>1</v>
      </c>
      <c r="BX245" s="1">
        <v>1</v>
      </c>
      <c r="BY245" s="1">
        <v>1</v>
      </c>
      <c r="BZ245" s="1">
        <v>1</v>
      </c>
      <c r="CA245" s="1">
        <v>1</v>
      </c>
      <c r="CB245" s="1">
        <v>1</v>
      </c>
      <c r="CC245" s="1">
        <v>1</v>
      </c>
      <c r="CD245" s="1">
        <v>1</v>
      </c>
      <c r="CE245" s="1">
        <v>1</v>
      </c>
      <c r="CF245" s="1">
        <v>2</v>
      </c>
      <c r="CG245" s="1">
        <f t="shared" si="227"/>
        <v>0</v>
      </c>
      <c r="CH245" s="1">
        <v>2</v>
      </c>
      <c r="CI245" s="1">
        <v>1</v>
      </c>
      <c r="CJ245" s="1">
        <v>1</v>
      </c>
      <c r="CK245" s="1">
        <v>1</v>
      </c>
      <c r="CL245" s="1">
        <v>1</v>
      </c>
      <c r="CM245" s="1">
        <v>1</v>
      </c>
      <c r="CN245" s="1">
        <v>1</v>
      </c>
      <c r="CO245" s="1">
        <v>1</v>
      </c>
      <c r="CP245" s="1">
        <v>2</v>
      </c>
      <c r="CQ245" s="1">
        <v>2</v>
      </c>
      <c r="CR245" s="1">
        <v>2</v>
      </c>
      <c r="CS245" s="1">
        <v>2</v>
      </c>
      <c r="CT245" s="1">
        <v>2</v>
      </c>
      <c r="CU245" s="1">
        <v>2</v>
      </c>
      <c r="CV245" s="1">
        <v>1</v>
      </c>
      <c r="CW245" s="1">
        <v>1</v>
      </c>
      <c r="CX245" s="1">
        <v>1</v>
      </c>
      <c r="CY245" s="1">
        <v>1</v>
      </c>
      <c r="CZ245" s="1">
        <f t="shared" si="228"/>
        <v>0</v>
      </c>
      <c r="DA245" s="1">
        <v>1</v>
      </c>
      <c r="DB245" s="1">
        <v>1</v>
      </c>
      <c r="DC245" s="1">
        <v>1</v>
      </c>
      <c r="DD245" s="1">
        <v>2</v>
      </c>
      <c r="DE245" s="1">
        <v>1</v>
      </c>
      <c r="DF245" s="1">
        <v>1</v>
      </c>
      <c r="DG245" s="1">
        <v>2</v>
      </c>
      <c r="DH245" s="1">
        <v>1</v>
      </c>
      <c r="DI245" s="1">
        <v>1</v>
      </c>
      <c r="DJ245" s="1">
        <v>1</v>
      </c>
      <c r="DK245" s="1" t="s">
        <v>179</v>
      </c>
      <c r="DL245" s="1" t="s">
        <v>170</v>
      </c>
      <c r="DU245" s="1" t="b">
        <f>SkAutohypnosisRanks&gt;=8</f>
        <v>0</v>
      </c>
      <c r="DV245" s="1" t="b">
        <f>FtPointBlankShot</f>
        <v>0</v>
      </c>
      <c r="DW245" s="1" t="b">
        <f>SouLvl&gt;=2</f>
        <v>0</v>
      </c>
      <c r="DZ245" s="1" t="b">
        <f t="shared" si="229"/>
        <v>1</v>
      </c>
      <c r="EA245" s="1" t="b">
        <f t="shared" si="230"/>
        <v>0</v>
      </c>
      <c r="EB245" s="11" t="s">
        <v>334</v>
      </c>
      <c r="EC245" s="1" t="str">
        <f>IF(DU245,"","• 8 ranks in Autohypnosis.
")&amp;IF(DV245,"","• Point Blank Shot.
")&amp;IF(DW245,"","• Throw mind blade class feature.
")&amp;IF(DZ245,"","• Not available in Living Greyhawk.")</f>
        <v xml:space="preserve">• 8 ranks in Autohypnosis.
• Point Blank Shot.
• Throw mind blade class feature.
</v>
      </c>
      <c r="ED245" s="11" t="s">
        <v>335</v>
      </c>
      <c r="EE245" s="8" t="s">
        <v>690</v>
      </c>
      <c r="EF245" s="9">
        <v>10</v>
      </c>
      <c r="EG245" s="9" t="s">
        <v>691</v>
      </c>
      <c r="EH245" s="9"/>
      <c r="EI245" s="9" t="b">
        <f t="shared" si="214"/>
        <v>0</v>
      </c>
      <c r="EJ245" s="9" t="str">
        <f t="shared" si="215"/>
        <v/>
      </c>
      <c r="EK245" s="9">
        <f t="shared" si="216"/>
        <v>99</v>
      </c>
      <c r="EL245" s="9">
        <f t="shared" si="217"/>
        <v>99</v>
      </c>
      <c r="EM245" s="9">
        <f t="shared" si="218"/>
        <v>99</v>
      </c>
      <c r="EN245" s="9">
        <f t="shared" si="219"/>
        <v>99</v>
      </c>
      <c r="EO245" s="10" t="str">
        <f t="shared" si="220"/>
        <v/>
      </c>
    </row>
    <row r="246" spans="1:145" ht="11.25" customHeight="1" x14ac:dyDescent="0.2">
      <c r="A246" s="1">
        <f t="shared" si="186"/>
        <v>243</v>
      </c>
      <c r="B246" s="1" t="s">
        <v>692</v>
      </c>
      <c r="C246" s="1" t="s">
        <v>693</v>
      </c>
      <c r="D246" s="1" t="s">
        <v>693</v>
      </c>
      <c r="E246" s="1">
        <f t="shared" si="204"/>
        <v>0</v>
      </c>
      <c r="I246" s="1">
        <f>IF(FsPsLvl&gt;=2,1,0)+IF(FsPsLvl&gt;=3,1,0)+IF(FsPsLvl&gt;=4,1,0)</f>
        <v>0</v>
      </c>
      <c r="K246" s="1">
        <v>2</v>
      </c>
      <c r="L246" s="1">
        <v>10</v>
      </c>
      <c r="V246" s="1">
        <v>1</v>
      </c>
      <c r="W246" s="1">
        <v>0.5</v>
      </c>
      <c r="X246" s="1">
        <v>0.34</v>
      </c>
      <c r="Y246" s="1">
        <v>0.5</v>
      </c>
      <c r="Z246" s="1" t="b">
        <f>FALSE</f>
        <v>0</v>
      </c>
      <c r="AA246" s="1" t="str">
        <f t="shared" si="207"/>
        <v/>
      </c>
      <c r="AB246" s="1" t="str">
        <f t="shared" si="208"/>
        <v/>
      </c>
      <c r="AC246" s="1">
        <f t="shared" si="205"/>
        <v>0</v>
      </c>
      <c r="AD246" s="1" t="str">
        <f t="shared" si="209"/>
        <v/>
      </c>
      <c r="AE246" s="1" t="str">
        <f t="shared" si="210"/>
        <v/>
      </c>
      <c r="AF246" s="1">
        <f t="shared" si="206"/>
        <v>0</v>
      </c>
      <c r="AG246" s="1">
        <f t="shared" si="211"/>
        <v>5</v>
      </c>
      <c r="AH246" s="1" t="str">
        <f t="shared" si="203"/>
        <v/>
      </c>
      <c r="AI246" s="1">
        <v>1</v>
      </c>
      <c r="AJ246" s="1">
        <v>1</v>
      </c>
      <c r="AK246" s="1">
        <v>1</v>
      </c>
      <c r="AL246" s="1">
        <v>1</v>
      </c>
      <c r="AM246" s="1">
        <v>1</v>
      </c>
      <c r="AN246" s="1">
        <f t="shared" si="224"/>
        <v>0</v>
      </c>
      <c r="AO246" s="1">
        <v>2</v>
      </c>
      <c r="AP246" s="1">
        <v>2</v>
      </c>
      <c r="AQ246" s="1">
        <v>2</v>
      </c>
      <c r="AR246" s="1">
        <v>2</v>
      </c>
      <c r="AS246" s="1">
        <v>2</v>
      </c>
      <c r="AT246" s="1">
        <v>2</v>
      </c>
      <c r="AU246" s="1">
        <v>2</v>
      </c>
      <c r="AV246" s="1">
        <v>2</v>
      </c>
      <c r="AW246" s="1">
        <v>1</v>
      </c>
      <c r="AX246" s="1">
        <v>2</v>
      </c>
      <c r="AY246" s="1">
        <v>1</v>
      </c>
      <c r="AZ246" s="1">
        <v>1</v>
      </c>
      <c r="BA246" s="1">
        <v>1</v>
      </c>
      <c r="BB246" s="1">
        <v>1</v>
      </c>
      <c r="BC246" s="1">
        <v>1</v>
      </c>
      <c r="BD246" s="1">
        <v>1</v>
      </c>
      <c r="BE246" s="1">
        <v>2</v>
      </c>
      <c r="BF246" s="1">
        <v>1</v>
      </c>
      <c r="BG246" s="1">
        <f t="shared" si="225"/>
        <v>0</v>
      </c>
      <c r="BH246" s="1">
        <f t="shared" si="226"/>
        <v>0</v>
      </c>
      <c r="BI246" s="1">
        <v>2</v>
      </c>
      <c r="BJ246" s="1">
        <v>1</v>
      </c>
      <c r="BK246" s="1">
        <v>1</v>
      </c>
      <c r="BL246" s="1">
        <v>1</v>
      </c>
      <c r="BM246" s="1">
        <v>1</v>
      </c>
      <c r="BN246" s="1">
        <v>1</v>
      </c>
      <c r="BO246" s="1">
        <v>1</v>
      </c>
      <c r="BP246" s="1">
        <v>1</v>
      </c>
      <c r="BQ246" s="1">
        <f>IF(HRRVL,1,0)</f>
        <v>0</v>
      </c>
      <c r="BR246" s="1">
        <v>1</v>
      </c>
      <c r="BS246" s="1">
        <v>1</v>
      </c>
      <c r="BT246" s="1">
        <v>1</v>
      </c>
      <c r="BU246" s="1">
        <f>IF(HRRVL,1,0)</f>
        <v>0</v>
      </c>
      <c r="BV246" s="1">
        <v>2</v>
      </c>
      <c r="BW246" s="1">
        <v>1</v>
      </c>
      <c r="BX246" s="1">
        <v>1</v>
      </c>
      <c r="BY246" s="1">
        <v>1</v>
      </c>
      <c r="BZ246" s="1">
        <v>1</v>
      </c>
      <c r="CA246" s="1">
        <v>1</v>
      </c>
      <c r="CB246" s="1">
        <v>1</v>
      </c>
      <c r="CC246" s="1">
        <v>1</v>
      </c>
      <c r="CD246" s="1">
        <v>1</v>
      </c>
      <c r="CE246" s="1">
        <v>1</v>
      </c>
      <c r="CF246" s="1">
        <v>1</v>
      </c>
      <c r="CG246" s="1">
        <f t="shared" si="227"/>
        <v>0</v>
      </c>
      <c r="CH246" s="1">
        <v>1</v>
      </c>
      <c r="CI246" s="1">
        <v>1</v>
      </c>
      <c r="CJ246" s="1">
        <v>1</v>
      </c>
      <c r="CK246" s="1">
        <v>1</v>
      </c>
      <c r="CL246" s="1">
        <v>1</v>
      </c>
      <c r="CM246" s="1">
        <v>1</v>
      </c>
      <c r="CN246" s="1">
        <v>1</v>
      </c>
      <c r="CO246" s="1">
        <v>1</v>
      </c>
      <c r="CP246" s="1">
        <v>1</v>
      </c>
      <c r="CQ246" s="1">
        <v>1</v>
      </c>
      <c r="CR246" s="1">
        <v>1</v>
      </c>
      <c r="CS246" s="1">
        <v>1</v>
      </c>
      <c r="CT246" s="1">
        <v>1</v>
      </c>
      <c r="CU246" s="1">
        <v>1</v>
      </c>
      <c r="CV246" s="1">
        <v>2</v>
      </c>
      <c r="CW246" s="1">
        <v>1</v>
      </c>
      <c r="CX246" s="1">
        <v>1</v>
      </c>
      <c r="CY246" s="1">
        <v>2</v>
      </c>
      <c r="CZ246" s="1">
        <f t="shared" si="228"/>
        <v>0</v>
      </c>
      <c r="DA246" s="1">
        <v>1</v>
      </c>
      <c r="DB246" s="1">
        <v>1</v>
      </c>
      <c r="DC246" s="1">
        <v>1</v>
      </c>
      <c r="DD246" s="1">
        <v>1</v>
      </c>
      <c r="DE246" s="1">
        <v>1</v>
      </c>
      <c r="DF246" s="1">
        <v>1</v>
      </c>
      <c r="DG246" s="1">
        <v>1</v>
      </c>
      <c r="DH246" s="1">
        <v>1</v>
      </c>
      <c r="DI246" s="1">
        <v>1</v>
      </c>
      <c r="DJ246" s="1">
        <v>1</v>
      </c>
      <c r="DK246" s="1" t="s">
        <v>179</v>
      </c>
      <c r="DL246" s="1" t="s">
        <v>170</v>
      </c>
      <c r="DU246" s="1" t="b">
        <f>BaseAtk&gt;=5</f>
        <v>0</v>
      </c>
      <c r="DV246" s="1" t="b">
        <f>SkKnowledgeReligionRanks&gt;=8</f>
        <v>0</v>
      </c>
      <c r="DW246" s="1" t="b">
        <f>AlignmentChaotic</f>
        <v>0</v>
      </c>
      <c r="DX246" s="1" t="b">
        <v>1</v>
      </c>
      <c r="DZ246" s="1" t="b">
        <f t="shared" si="229"/>
        <v>1</v>
      </c>
      <c r="EA246" s="1" t="b">
        <f t="shared" si="230"/>
        <v>0</v>
      </c>
      <c r="EB246" s="11" t="s">
        <v>334</v>
      </c>
      <c r="EC246" s="1" t="str">
        <f>IF(DU246,"","• Base Attack Bonus: +5.
")&amp;IF(DV246,"","• 8 ranks in Knowledge (religion).
")&amp;IF(DW246,"","• Must be of Any Chaotic alignment.
")&amp;IF(DX246,"","• Energy mantle or Natural World mantle (not checked).
")&amp;IF(DZ246,"","• Not available in Living Greyhawk.")</f>
        <v xml:space="preserve">• Base Attack Bonus: +5.
• 8 ranks in Knowledge (religion).
• Must be of Any Chaotic alignment.
</v>
      </c>
      <c r="ED246" s="11" t="s">
        <v>335</v>
      </c>
      <c r="EE246" s="8" t="s">
        <v>301</v>
      </c>
      <c r="EF246" s="9">
        <v>10</v>
      </c>
      <c r="EG246" s="9" t="s">
        <v>694</v>
      </c>
      <c r="EH246" s="9"/>
      <c r="EI246" s="9" t="b">
        <f t="shared" si="214"/>
        <v>0</v>
      </c>
      <c r="EJ246" s="9" t="str">
        <f t="shared" si="215"/>
        <v/>
      </c>
      <c r="EK246" s="9">
        <f t="shared" si="216"/>
        <v>99</v>
      </c>
      <c r="EL246" s="9">
        <f t="shared" si="217"/>
        <v>99</v>
      </c>
      <c r="EM246" s="9">
        <f t="shared" si="218"/>
        <v>99</v>
      </c>
      <c r="EN246" s="9">
        <f t="shared" si="219"/>
        <v>99</v>
      </c>
      <c r="EO246" s="10" t="str">
        <f t="shared" si="220"/>
        <v/>
      </c>
    </row>
    <row r="247" spans="1:145" ht="11.25" customHeight="1" x14ac:dyDescent="0.2">
      <c r="A247" s="1">
        <f t="shared" si="186"/>
        <v>244</v>
      </c>
      <c r="B247" s="1" t="s">
        <v>695</v>
      </c>
      <c r="C247" s="1" t="s">
        <v>696</v>
      </c>
      <c r="D247" s="1" t="s">
        <v>696</v>
      </c>
      <c r="E247" s="1">
        <f t="shared" si="204"/>
        <v>0</v>
      </c>
      <c r="K247" s="1">
        <v>4</v>
      </c>
      <c r="L247" s="1">
        <v>8</v>
      </c>
      <c r="V247" s="1">
        <v>0.75</v>
      </c>
      <c r="W247" s="1">
        <v>0.34</v>
      </c>
      <c r="X247" s="1">
        <v>0.5</v>
      </c>
      <c r="Y247" s="1">
        <v>0.5</v>
      </c>
      <c r="Z247" s="1" t="b">
        <f>FALSE</f>
        <v>0</v>
      </c>
      <c r="AA247" s="1" t="str">
        <f t="shared" si="207"/>
        <v/>
      </c>
      <c r="AB247" s="1" t="str">
        <f t="shared" si="208"/>
        <v/>
      </c>
      <c r="AC247" s="1">
        <f t="shared" si="205"/>
        <v>0</v>
      </c>
      <c r="AD247" s="1" t="str">
        <f t="shared" si="209"/>
        <v/>
      </c>
      <c r="AE247" s="1" t="str">
        <f t="shared" si="210"/>
        <v/>
      </c>
      <c r="AF247" s="1">
        <f t="shared" si="206"/>
        <v>0</v>
      </c>
      <c r="AG247" s="1">
        <f t="shared" si="211"/>
        <v>5</v>
      </c>
      <c r="AH247" s="1" t="str">
        <f t="shared" si="203"/>
        <v/>
      </c>
      <c r="AI247" s="1">
        <v>1</v>
      </c>
      <c r="AJ247" s="1">
        <v>2</v>
      </c>
      <c r="AK247" s="1">
        <v>1</v>
      </c>
      <c r="AL247" s="1">
        <v>1</v>
      </c>
      <c r="AM247" s="1">
        <v>1</v>
      </c>
      <c r="AN247" s="1">
        <f t="shared" si="224"/>
        <v>0</v>
      </c>
      <c r="AO247" s="1">
        <v>2</v>
      </c>
      <c r="AP247" s="1">
        <v>2</v>
      </c>
      <c r="AQ247" s="1">
        <v>2</v>
      </c>
      <c r="AR247" s="1">
        <v>2</v>
      </c>
      <c r="AS247" s="1">
        <v>2</v>
      </c>
      <c r="AT247" s="1">
        <v>2</v>
      </c>
      <c r="AU247" s="1">
        <v>2</v>
      </c>
      <c r="AV247" s="1">
        <v>2</v>
      </c>
      <c r="AW247" s="1">
        <v>1</v>
      </c>
      <c r="AX247" s="1">
        <v>1</v>
      </c>
      <c r="AY247" s="1">
        <v>1</v>
      </c>
      <c r="AZ247" s="1">
        <v>1</v>
      </c>
      <c r="BA247" s="1">
        <v>2</v>
      </c>
      <c r="BB247" s="1">
        <v>1</v>
      </c>
      <c r="BC247" s="1">
        <v>1</v>
      </c>
      <c r="BD247" s="1">
        <v>1</v>
      </c>
      <c r="BE247" s="1">
        <v>1</v>
      </c>
      <c r="BF247" s="1">
        <v>2</v>
      </c>
      <c r="BG247" s="1">
        <f t="shared" si="225"/>
        <v>0</v>
      </c>
      <c r="BH247" s="1">
        <f t="shared" si="226"/>
        <v>0</v>
      </c>
      <c r="BI247" s="1">
        <v>1</v>
      </c>
      <c r="BJ247" s="1">
        <v>2</v>
      </c>
      <c r="BK247" s="1">
        <v>1</v>
      </c>
      <c r="BL247" s="1">
        <v>1</v>
      </c>
      <c r="BM247" s="1">
        <v>1</v>
      </c>
      <c r="BN247" s="1">
        <v>1</v>
      </c>
      <c r="BO247" s="1">
        <v>1</v>
      </c>
      <c r="BP247" s="1">
        <v>1</v>
      </c>
      <c r="BQ247" s="1">
        <f>IF(HRRVL,1,0)</f>
        <v>0</v>
      </c>
      <c r="BR247" s="1">
        <v>1</v>
      </c>
      <c r="BS247" s="1">
        <v>1</v>
      </c>
      <c r="BT247" s="1">
        <v>2</v>
      </c>
      <c r="BU247" s="1">
        <f>IF(HRRVL,2,0)</f>
        <v>0</v>
      </c>
      <c r="BV247" s="1">
        <v>2</v>
      </c>
      <c r="BW247" s="1">
        <v>1</v>
      </c>
      <c r="BX247" s="1">
        <v>1</v>
      </c>
      <c r="BY247" s="1">
        <v>1</v>
      </c>
      <c r="BZ247" s="1">
        <v>1</v>
      </c>
      <c r="CA247" s="1">
        <v>1</v>
      </c>
      <c r="CB247" s="1">
        <v>1</v>
      </c>
      <c r="CC247" s="1">
        <v>1</v>
      </c>
      <c r="CD247" s="1">
        <v>1</v>
      </c>
      <c r="CE247" s="1">
        <v>1</v>
      </c>
      <c r="CF247" s="1">
        <v>2</v>
      </c>
      <c r="CG247" s="1">
        <f t="shared" si="227"/>
        <v>0</v>
      </c>
      <c r="CH247" s="1">
        <v>2</v>
      </c>
      <c r="CI247" s="1">
        <v>1</v>
      </c>
      <c r="CJ247" s="1">
        <v>1</v>
      </c>
      <c r="CK247" s="1">
        <v>1</v>
      </c>
      <c r="CL247" s="1">
        <v>1</v>
      </c>
      <c r="CM247" s="1">
        <v>1</v>
      </c>
      <c r="CN247" s="1">
        <v>1</v>
      </c>
      <c r="CO247" s="1">
        <v>1</v>
      </c>
      <c r="CP247" s="1">
        <v>1</v>
      </c>
      <c r="CQ247" s="1">
        <v>1</v>
      </c>
      <c r="CR247" s="1">
        <v>1</v>
      </c>
      <c r="CS247" s="1">
        <v>1</v>
      </c>
      <c r="CT247" s="1">
        <v>1</v>
      </c>
      <c r="CU247" s="1">
        <v>1</v>
      </c>
      <c r="CV247" s="1">
        <v>2</v>
      </c>
      <c r="CW247" s="1">
        <v>1</v>
      </c>
      <c r="CX247" s="1">
        <v>1</v>
      </c>
      <c r="CY247" s="1">
        <v>2</v>
      </c>
      <c r="CZ247" s="1">
        <f t="shared" si="228"/>
        <v>0</v>
      </c>
      <c r="DA247" s="1">
        <v>1</v>
      </c>
      <c r="DB247" s="1">
        <v>1</v>
      </c>
      <c r="DC247" s="1">
        <v>1</v>
      </c>
      <c r="DD247" s="1">
        <v>2</v>
      </c>
      <c r="DE247" s="1">
        <v>1</v>
      </c>
      <c r="DF247" s="1">
        <v>1</v>
      </c>
      <c r="DG247" s="1">
        <v>2</v>
      </c>
      <c r="DH247" s="1">
        <v>1</v>
      </c>
      <c r="DI247" s="1">
        <v>1</v>
      </c>
      <c r="DJ247" s="1">
        <v>1</v>
      </c>
      <c r="DK247" s="1" t="s">
        <v>179</v>
      </c>
      <c r="DL247" s="1" t="s">
        <v>170</v>
      </c>
      <c r="DU247" s="1" t="b">
        <f>BaseAtk&gt;=4</f>
        <v>0</v>
      </c>
      <c r="DV247" s="1" t="b">
        <f>SkConcentrationRanks&gt;=9</f>
        <v>0</v>
      </c>
      <c r="DW247" s="1" t="b">
        <f>PowerPointReserve&gt;=2</f>
        <v>0</v>
      </c>
      <c r="DX247" s="1" t="b">
        <f>StillMind</f>
        <v>0</v>
      </c>
      <c r="DZ247" s="1" t="b">
        <f t="shared" si="229"/>
        <v>1</v>
      </c>
      <c r="EA247" s="1" t="b">
        <f>AND(DM247:DZ247)</f>
        <v>0</v>
      </c>
      <c r="EB247" s="11" t="s">
        <v>334</v>
      </c>
      <c r="EC247" s="1" t="str">
        <f>IF(DU247,"","• Base Attack Bonus of +4 or greater.
")&amp;IF(DV247,"","• 9 ranks in Concentration.
")&amp;IF(DW247,"","• Power point reserve of at least 2.
")&amp;IF(DX247,"","• Still mind class feature.
")&amp;IF(DZ247,"","• Not available in Living Greyhawk.")</f>
        <v xml:space="preserve">• Base Attack Bonus of +4 or greater.
• 9 ranks in Concentration.
• Power point reserve of at least 2.
• Still mind class feature.
</v>
      </c>
      <c r="ED247" s="11" t="s">
        <v>335</v>
      </c>
      <c r="EE247" s="8" t="s">
        <v>576</v>
      </c>
      <c r="EF247" s="9">
        <v>5</v>
      </c>
      <c r="EG247" s="9" t="s">
        <v>694</v>
      </c>
      <c r="EH247" s="9"/>
      <c r="EI247" s="9" t="b">
        <f t="shared" si="214"/>
        <v>0</v>
      </c>
      <c r="EJ247" s="9" t="str">
        <f t="shared" si="215"/>
        <v/>
      </c>
      <c r="EK247" s="9">
        <f t="shared" si="216"/>
        <v>99</v>
      </c>
      <c r="EL247" s="9">
        <f t="shared" si="217"/>
        <v>99</v>
      </c>
      <c r="EM247" s="9">
        <f t="shared" si="218"/>
        <v>99</v>
      </c>
      <c r="EN247" s="9">
        <f t="shared" si="219"/>
        <v>99</v>
      </c>
      <c r="EO247" s="10" t="str">
        <f t="shared" si="220"/>
        <v/>
      </c>
    </row>
    <row r="248" spans="1:145" ht="11.25" customHeight="1" x14ac:dyDescent="0.2">
      <c r="A248" s="1">
        <f t="shared" si="186"/>
        <v>245</v>
      </c>
      <c r="B248" s="1" t="s">
        <v>697</v>
      </c>
      <c r="E248" s="1">
        <f t="shared" si="204"/>
        <v>0</v>
      </c>
      <c r="F248" s="1">
        <v>1</v>
      </c>
      <c r="Z248" s="1" t="b">
        <f>FALSE</f>
        <v>0</v>
      </c>
      <c r="AA248" s="1" t="str">
        <f t="shared" si="207"/>
        <v/>
      </c>
      <c r="AB248" s="1" t="str">
        <f t="shared" si="208"/>
        <v/>
      </c>
      <c r="AC248" s="1">
        <f t="shared" si="205"/>
        <v>0</v>
      </c>
      <c r="AD248" s="1" t="str">
        <f t="shared" si="209"/>
        <v/>
      </c>
      <c r="AE248" s="1" t="str">
        <f t="shared" si="210"/>
        <v/>
      </c>
      <c r="AF248" s="1">
        <f t="shared" si="206"/>
        <v>0</v>
      </c>
      <c r="AG248" s="1">
        <f t="shared" si="211"/>
        <v>5</v>
      </c>
      <c r="AH248" s="1" t="str">
        <f t="shared" si="203"/>
        <v/>
      </c>
      <c r="EB248" s="11"/>
      <c r="ED248" s="11" t="s">
        <v>335</v>
      </c>
      <c r="EE248" s="8" t="s">
        <v>600</v>
      </c>
      <c r="EF248" s="9">
        <v>5</v>
      </c>
      <c r="EG248" s="9" t="s">
        <v>655</v>
      </c>
      <c r="EH248" s="9"/>
      <c r="EI248" s="9" t="b">
        <f t="shared" si="214"/>
        <v>0</v>
      </c>
      <c r="EJ248" s="9" t="str">
        <f t="shared" si="215"/>
        <v/>
      </c>
      <c r="EK248" s="9">
        <f t="shared" si="216"/>
        <v>99</v>
      </c>
      <c r="EL248" s="9">
        <f t="shared" si="217"/>
        <v>99</v>
      </c>
      <c r="EM248" s="9">
        <f t="shared" si="218"/>
        <v>99</v>
      </c>
      <c r="EN248" s="9">
        <f t="shared" si="219"/>
        <v>99</v>
      </c>
      <c r="EO248" s="10" t="str">
        <f t="shared" si="220"/>
        <v/>
      </c>
    </row>
    <row r="249" spans="1:145" ht="11.25" customHeight="1" x14ac:dyDescent="0.2">
      <c r="A249" s="1">
        <f t="shared" si="186"/>
        <v>246</v>
      </c>
      <c r="B249" s="1" t="s">
        <v>698</v>
      </c>
      <c r="C249" s="1" t="s">
        <v>699</v>
      </c>
      <c r="D249" s="1" t="s">
        <v>699</v>
      </c>
      <c r="E249" s="1">
        <f t="shared" si="204"/>
        <v>0</v>
      </c>
      <c r="G249" s="1">
        <f>AbJLvl</f>
        <v>0</v>
      </c>
      <c r="K249" s="1">
        <v>2</v>
      </c>
      <c r="L249" s="1">
        <v>10</v>
      </c>
      <c r="V249" s="1">
        <v>1</v>
      </c>
      <c r="W249" s="1">
        <v>0.34</v>
      </c>
      <c r="X249" s="1">
        <v>0.34</v>
      </c>
      <c r="Y249" s="1">
        <v>0.5</v>
      </c>
      <c r="Z249" s="1" t="b">
        <f>FALSE</f>
        <v>0</v>
      </c>
      <c r="AA249" s="1" t="str">
        <f t="shared" si="207"/>
        <v/>
      </c>
      <c r="AB249" s="1" t="str">
        <f t="shared" si="208"/>
        <v/>
      </c>
      <c r="AC249" s="1">
        <f t="shared" si="205"/>
        <v>0</v>
      </c>
      <c r="AD249" s="1" t="str">
        <f t="shared" si="209"/>
        <v/>
      </c>
      <c r="AE249" s="1" t="str">
        <f t="shared" si="210"/>
        <v/>
      </c>
      <c r="AF249" s="1">
        <f t="shared" si="206"/>
        <v>0</v>
      </c>
      <c r="AG249" s="1">
        <f t="shared" si="211"/>
        <v>5</v>
      </c>
      <c r="AH249" s="1" t="str">
        <f t="shared" si="203"/>
        <v/>
      </c>
      <c r="AI249" s="1">
        <v>1</v>
      </c>
      <c r="AJ249" s="1">
        <v>0</v>
      </c>
      <c r="AK249" s="1">
        <v>1</v>
      </c>
      <c r="AL249" s="1">
        <v>1</v>
      </c>
      <c r="AM249" s="1">
        <v>2</v>
      </c>
      <c r="AN249" s="1">
        <f t="shared" ref="AN249:AN259" si="231">IF(IsLycanthrope,2,0)</f>
        <v>0</v>
      </c>
      <c r="AO249" s="1">
        <v>2</v>
      </c>
      <c r="AP249" s="1">
        <v>2</v>
      </c>
      <c r="AQ249" s="1">
        <v>2</v>
      </c>
      <c r="AR249" s="1">
        <v>2</v>
      </c>
      <c r="AS249" s="1">
        <v>2</v>
      </c>
      <c r="AT249" s="1">
        <v>2</v>
      </c>
      <c r="AU249" s="1">
        <v>2</v>
      </c>
      <c r="AV249" s="1">
        <v>2</v>
      </c>
      <c r="AW249" s="1">
        <v>1</v>
      </c>
      <c r="AX249" s="1">
        <v>1</v>
      </c>
      <c r="AY249" s="1">
        <v>1</v>
      </c>
      <c r="AZ249" s="1">
        <v>1</v>
      </c>
      <c r="BA249" s="1">
        <v>1</v>
      </c>
      <c r="BB249" s="1">
        <v>1</v>
      </c>
      <c r="BC249" s="1">
        <v>1</v>
      </c>
      <c r="BD249" s="1">
        <v>2</v>
      </c>
      <c r="BE249" s="1">
        <v>1</v>
      </c>
      <c r="BF249" s="1">
        <v>1</v>
      </c>
      <c r="BG249" s="1">
        <f t="shared" si="225"/>
        <v>0</v>
      </c>
      <c r="BH249" s="1">
        <f t="shared" ref="BH249:BH259" si="232">IF(HROA,1,0)</f>
        <v>0</v>
      </c>
      <c r="BI249" s="1">
        <v>2</v>
      </c>
      <c r="BJ249" s="1">
        <v>2</v>
      </c>
      <c r="BK249" s="1">
        <v>2</v>
      </c>
      <c r="BL249" s="1">
        <v>1</v>
      </c>
      <c r="BM249" s="1">
        <v>1</v>
      </c>
      <c r="BN249" s="1">
        <v>1</v>
      </c>
      <c r="BO249" s="1">
        <v>1</v>
      </c>
      <c r="BP249" s="1">
        <v>1</v>
      </c>
      <c r="BQ249" s="1">
        <f>IF(HRRVL,1,0)</f>
        <v>0</v>
      </c>
      <c r="BR249" s="1">
        <v>1</v>
      </c>
      <c r="BS249" s="1">
        <v>1</v>
      </c>
      <c r="BT249" s="1">
        <v>0</v>
      </c>
      <c r="BU249" s="1">
        <f>IF(HRRVL,1,0)</f>
        <v>0</v>
      </c>
      <c r="BV249" s="1">
        <v>1</v>
      </c>
      <c r="BW249" s="1">
        <v>1</v>
      </c>
      <c r="BX249" s="1">
        <v>1</v>
      </c>
      <c r="BY249" s="1">
        <v>1</v>
      </c>
      <c r="BZ249" s="1">
        <v>1</v>
      </c>
      <c r="CA249" s="1">
        <v>1</v>
      </c>
      <c r="CB249" s="1">
        <v>1</v>
      </c>
      <c r="CC249" s="1">
        <v>1</v>
      </c>
      <c r="CD249" s="1">
        <v>1</v>
      </c>
      <c r="CE249" s="1">
        <v>1</v>
      </c>
      <c r="CF249" s="1">
        <v>1</v>
      </c>
      <c r="CG249" s="1">
        <f t="shared" ref="CG249:CG259" si="233">IF(HRToB,1,0)</f>
        <v>0</v>
      </c>
      <c r="CH249" s="1">
        <v>1</v>
      </c>
      <c r="CI249" s="1">
        <v>1</v>
      </c>
      <c r="CJ249" s="1">
        <v>1</v>
      </c>
      <c r="CK249" s="1">
        <v>1</v>
      </c>
      <c r="CL249" s="1">
        <v>1</v>
      </c>
      <c r="CM249" s="1">
        <v>1</v>
      </c>
      <c r="CN249" s="1">
        <v>1</v>
      </c>
      <c r="CO249" s="1">
        <v>1</v>
      </c>
      <c r="CP249" s="1">
        <v>1</v>
      </c>
      <c r="CQ249" s="1">
        <v>1</v>
      </c>
      <c r="CR249" s="1">
        <v>1</v>
      </c>
      <c r="CS249" s="1">
        <v>1</v>
      </c>
      <c r="CT249" s="1">
        <v>1</v>
      </c>
      <c r="CU249" s="1">
        <v>1</v>
      </c>
      <c r="CV249" s="1">
        <v>0</v>
      </c>
      <c r="CW249" s="1">
        <v>2</v>
      </c>
      <c r="CX249" s="1">
        <v>1</v>
      </c>
      <c r="CY249" s="1">
        <v>1</v>
      </c>
      <c r="CZ249" s="1">
        <f t="shared" ref="CZ249:CZ259" si="234">IF(HRCS,1,0)</f>
        <v>0</v>
      </c>
      <c r="DA249" s="1">
        <v>1</v>
      </c>
      <c r="DB249" s="1">
        <v>1</v>
      </c>
      <c r="DC249" s="1">
        <v>2</v>
      </c>
      <c r="DD249" s="1">
        <v>1</v>
      </c>
      <c r="DE249" s="1">
        <v>1</v>
      </c>
      <c r="DF249" s="1">
        <v>2</v>
      </c>
      <c r="DG249" s="1">
        <v>1</v>
      </c>
      <c r="DH249" s="1">
        <v>1</v>
      </c>
      <c r="DI249" s="1">
        <v>0</v>
      </c>
      <c r="DJ249" s="1">
        <v>1</v>
      </c>
      <c r="DK249" s="1" t="s">
        <v>700</v>
      </c>
      <c r="DL249" s="1" t="s">
        <v>170</v>
      </c>
      <c r="DW249" s="1" t="b">
        <f>BaseAtk&gt;=5</f>
        <v>0</v>
      </c>
      <c r="DX249" s="1" t="b">
        <f>FtCombatCasting</f>
        <v>0</v>
      </c>
      <c r="DZ249" s="1" t="b">
        <f t="shared" si="229"/>
        <v>1</v>
      </c>
      <c r="EA249" s="1" t="b">
        <f t="shared" ref="EA249:EA259" si="235">AND(DM249:DZ249)</f>
        <v>0</v>
      </c>
      <c r="EB249" s="11" t="s">
        <v>338</v>
      </c>
      <c r="EC249" s="1" t="str">
        <f>IF(DW249,"","• Base Attack Bonus of +5.
")&amp;IF(DX249,"","• Combat Casting feat.
")&amp;"• Must be proficient in one Martial Weapon. (not verified)
"&amp;"• Must be able to cast 1st level arcane spells,
  including one abjuration spell (not verified)."</f>
        <v>• Base Attack Bonus of +5.
• Combat Casting feat.
• Must be proficient in one Martial Weapon. (not verified)
• Must be able to cast 1st level arcane spells,
  including one abjuration spell (not verified).</v>
      </c>
      <c r="ED249" s="11" t="s">
        <v>335</v>
      </c>
      <c r="EE249" s="8" t="s">
        <v>614</v>
      </c>
      <c r="EF249" s="9">
        <v>10</v>
      </c>
      <c r="EG249" s="9" t="s">
        <v>655</v>
      </c>
      <c r="EH249" s="9"/>
      <c r="EI249" s="9" t="b">
        <f t="shared" si="214"/>
        <v>0</v>
      </c>
      <c r="EJ249" s="9" t="str">
        <f t="shared" si="215"/>
        <v/>
      </c>
      <c r="EK249" s="9">
        <f t="shared" si="216"/>
        <v>99</v>
      </c>
      <c r="EL249" s="9">
        <f t="shared" si="217"/>
        <v>99</v>
      </c>
      <c r="EM249" s="9">
        <f t="shared" si="218"/>
        <v>99</v>
      </c>
      <c r="EN249" s="9">
        <f t="shared" si="219"/>
        <v>99</v>
      </c>
      <c r="EO249" s="10" t="str">
        <f t="shared" si="220"/>
        <v/>
      </c>
    </row>
    <row r="250" spans="1:145" ht="11.25" customHeight="1" x14ac:dyDescent="0.2">
      <c r="A250" s="1">
        <f t="shared" si="186"/>
        <v>247</v>
      </c>
      <c r="B250" s="1" t="s">
        <v>701</v>
      </c>
      <c r="C250" s="1" t="s">
        <v>702</v>
      </c>
      <c r="D250" s="1" t="s">
        <v>702</v>
      </c>
      <c r="E250" s="1">
        <f t="shared" si="204"/>
        <v>0</v>
      </c>
      <c r="G250" s="1">
        <f>ElDLvl</f>
        <v>0</v>
      </c>
      <c r="H250" s="1">
        <f>MAX(0,ElDLvl-1)</f>
        <v>0</v>
      </c>
      <c r="K250" s="1">
        <v>2</v>
      </c>
      <c r="L250" s="1">
        <v>8</v>
      </c>
      <c r="M250" s="1">
        <f>ElDLvl</f>
        <v>0</v>
      </c>
      <c r="V250" s="1">
        <v>0.75</v>
      </c>
      <c r="W250" s="1">
        <v>0.5</v>
      </c>
      <c r="X250" s="1">
        <v>0.34</v>
      </c>
      <c r="Y250" s="1">
        <v>0.5</v>
      </c>
      <c r="Z250" s="1" t="b">
        <f>FALSE</f>
        <v>0</v>
      </c>
      <c r="AA250" s="1" t="str">
        <f t="shared" si="207"/>
        <v/>
      </c>
      <c r="AB250" s="1" t="str">
        <f t="shared" si="208"/>
        <v/>
      </c>
      <c r="AC250" s="1">
        <f t="shared" si="205"/>
        <v>0</v>
      </c>
      <c r="AD250" s="1" t="str">
        <f t="shared" si="209"/>
        <v/>
      </c>
      <c r="AE250" s="1" t="str">
        <f t="shared" si="210"/>
        <v/>
      </c>
      <c r="AF250" s="1">
        <f t="shared" si="206"/>
        <v>0</v>
      </c>
      <c r="AG250" s="1">
        <f t="shared" si="211"/>
        <v>5</v>
      </c>
      <c r="AH250" s="1" t="str">
        <f t="shared" si="203"/>
        <v/>
      </c>
      <c r="AI250" s="1">
        <v>1</v>
      </c>
      <c r="AJ250" s="1">
        <v>0</v>
      </c>
      <c r="AK250" s="1">
        <v>1</v>
      </c>
      <c r="AL250" s="1">
        <v>2</v>
      </c>
      <c r="AM250" s="1">
        <v>1</v>
      </c>
      <c r="AN250" s="1">
        <f t="shared" si="231"/>
        <v>0</v>
      </c>
      <c r="AO250" s="1">
        <v>2</v>
      </c>
      <c r="AP250" s="1">
        <v>2</v>
      </c>
      <c r="AQ250" s="1">
        <v>2</v>
      </c>
      <c r="AR250" s="1">
        <v>2</v>
      </c>
      <c r="AS250" s="1">
        <v>2</v>
      </c>
      <c r="AT250" s="1">
        <v>2</v>
      </c>
      <c r="AU250" s="1">
        <v>2</v>
      </c>
      <c r="AV250" s="1">
        <v>2</v>
      </c>
      <c r="AW250" s="1">
        <v>1</v>
      </c>
      <c r="AX250" s="1">
        <v>2</v>
      </c>
      <c r="AY250" s="1">
        <v>1</v>
      </c>
      <c r="AZ250" s="1">
        <v>1</v>
      </c>
      <c r="BA250" s="1">
        <v>1</v>
      </c>
      <c r="BB250" s="1">
        <v>1</v>
      </c>
      <c r="BC250" s="1">
        <v>1</v>
      </c>
      <c r="BD250" s="1">
        <v>1</v>
      </c>
      <c r="BE250" s="1">
        <v>2</v>
      </c>
      <c r="BF250" s="1">
        <v>1</v>
      </c>
      <c r="BG250" s="1">
        <f t="shared" si="225"/>
        <v>0</v>
      </c>
      <c r="BH250" s="1">
        <f t="shared" si="232"/>
        <v>0</v>
      </c>
      <c r="BI250" s="1">
        <v>2</v>
      </c>
      <c r="BJ250" s="1">
        <v>1</v>
      </c>
      <c r="BK250" s="1">
        <v>2</v>
      </c>
      <c r="BL250" s="1">
        <v>1</v>
      </c>
      <c r="BM250" s="1">
        <v>1</v>
      </c>
      <c r="BN250" s="1">
        <v>1</v>
      </c>
      <c r="BO250" s="1">
        <v>1</v>
      </c>
      <c r="BP250" s="1">
        <v>1</v>
      </c>
      <c r="BQ250" s="1">
        <f>IF(HRRVL,1,0)</f>
        <v>0</v>
      </c>
      <c r="BR250" s="1">
        <v>2</v>
      </c>
      <c r="BS250" s="1">
        <v>1</v>
      </c>
      <c r="BT250" s="1">
        <v>0</v>
      </c>
      <c r="BU250" s="1">
        <f>IF(HRRVL,1,0)</f>
        <v>0</v>
      </c>
      <c r="BV250" s="1">
        <v>2</v>
      </c>
      <c r="BW250" s="1">
        <v>2</v>
      </c>
      <c r="BX250" s="1">
        <v>1</v>
      </c>
      <c r="BY250" s="1">
        <v>1</v>
      </c>
      <c r="BZ250" s="1">
        <v>1</v>
      </c>
      <c r="CA250" s="1">
        <v>1</v>
      </c>
      <c r="CB250" s="1">
        <v>1</v>
      </c>
      <c r="CC250" s="1">
        <v>1</v>
      </c>
      <c r="CD250" s="1">
        <v>1</v>
      </c>
      <c r="CE250" s="1">
        <v>1</v>
      </c>
      <c r="CF250" s="1">
        <v>1</v>
      </c>
      <c r="CG250" s="1">
        <f t="shared" si="233"/>
        <v>0</v>
      </c>
      <c r="CH250" s="1">
        <v>1</v>
      </c>
      <c r="CI250" s="1">
        <v>1</v>
      </c>
      <c r="CJ250" s="1">
        <v>1</v>
      </c>
      <c r="CK250" s="1">
        <v>1</v>
      </c>
      <c r="CL250" s="1">
        <v>1</v>
      </c>
      <c r="CM250" s="1">
        <v>1</v>
      </c>
      <c r="CN250" s="1">
        <v>1</v>
      </c>
      <c r="CO250" s="1">
        <v>1</v>
      </c>
      <c r="CP250" s="1">
        <v>2</v>
      </c>
      <c r="CQ250" s="1">
        <v>2</v>
      </c>
      <c r="CR250" s="1">
        <v>2</v>
      </c>
      <c r="CS250" s="1">
        <v>2</v>
      </c>
      <c r="CT250" s="1">
        <v>2</v>
      </c>
      <c r="CU250" s="1">
        <v>2</v>
      </c>
      <c r="CV250" s="1">
        <f t="shared" ref="CV250:CV285" si="236">IF(HRXPH,1,0)</f>
        <v>0</v>
      </c>
      <c r="CW250" s="1">
        <v>1</v>
      </c>
      <c r="CX250" s="1">
        <v>1</v>
      </c>
      <c r="CY250" s="1">
        <v>2</v>
      </c>
      <c r="CZ250" s="1">
        <f t="shared" si="234"/>
        <v>0</v>
      </c>
      <c r="DA250" s="1">
        <v>1</v>
      </c>
      <c r="DB250" s="1">
        <v>1</v>
      </c>
      <c r="DC250" s="1">
        <v>2</v>
      </c>
      <c r="DD250" s="1">
        <v>1</v>
      </c>
      <c r="DE250" s="1">
        <v>1</v>
      </c>
      <c r="DF250" s="1">
        <v>1</v>
      </c>
      <c r="DG250" s="1">
        <v>1</v>
      </c>
      <c r="DH250" s="1">
        <v>1</v>
      </c>
      <c r="DI250" s="1">
        <f t="shared" ref="DI250:DI285" si="237">IF(HRXPH,1,0)</f>
        <v>0</v>
      </c>
      <c r="DJ250" s="1">
        <v>1</v>
      </c>
      <c r="DK250" s="1" t="s">
        <v>700</v>
      </c>
      <c r="DL250" s="1" t="s">
        <v>101</v>
      </c>
      <c r="DT250" s="1" t="b">
        <f>SkKnowledgeReligionRanks&gt;=8</f>
        <v>0</v>
      </c>
      <c r="DU250" s="1" t="b">
        <f>SkKnowledgePlanesRanks&gt;=4</f>
        <v>0</v>
      </c>
      <c r="DV250" s="1" t="b">
        <f ca="1">MaxDivineSpellLevel&gt;=2</f>
        <v>0</v>
      </c>
      <c r="DW250" s="1" t="b">
        <f>WrlLvl&gt;=1</f>
        <v>0</v>
      </c>
      <c r="DX250" s="1" t="b">
        <f>TurnLvl&gt;=1</f>
        <v>0</v>
      </c>
      <c r="DY250" s="1" t="b">
        <f>OR(LEFT(DeityAlignment,7)="Chaotic",RIGHT(DeityAlignment,4)="Evil")</f>
        <v>0</v>
      </c>
      <c r="DZ250" s="1" t="b">
        <f t="shared" si="229"/>
        <v>1</v>
      </c>
      <c r="EA250" s="1" t="b">
        <f t="shared" ca="1" si="235"/>
        <v>0</v>
      </c>
      <c r="EB250" s="11" t="s">
        <v>334</v>
      </c>
      <c r="EC250" s="1" t="str">
        <f ca="1">IF(DT250,"","• 8 ranks in Knowledge (religion).
")&amp;IF(DU250,"","• 4 ranks in Knowledge (the planes).
")&amp;IF(DV250,"","• Ability to cast 2nd level divine spells.
")&amp;IF(DW250,"","• Ability to use least invocations.
")&amp;IF(DX250,"","• Ability to turn/rebuke undead.
")&amp;IF(DY250,"","• Must worship a chaotic or evil deity.")</f>
        <v>• 8 ranks in Knowledge (religion).
• 4 ranks in Knowledge (the planes).
• Ability to cast 2nd level divine spells.
• Ability to use least invocations.
• Ability to turn/rebuke undead.
• Must worship a chaotic or evil deity.</v>
      </c>
      <c r="ED250" s="11" t="s">
        <v>335</v>
      </c>
      <c r="EE250" s="8" t="s">
        <v>614</v>
      </c>
      <c r="EF250" s="9">
        <v>10</v>
      </c>
      <c r="EG250" s="9" t="s">
        <v>703</v>
      </c>
      <c r="EH250" s="9"/>
      <c r="EI250" s="9" t="b">
        <f t="shared" si="214"/>
        <v>0</v>
      </c>
      <c r="EJ250" s="9" t="str">
        <f t="shared" si="215"/>
        <v/>
      </c>
      <c r="EK250" s="9">
        <f t="shared" si="216"/>
        <v>99</v>
      </c>
      <c r="EL250" s="9">
        <f t="shared" si="217"/>
        <v>99</v>
      </c>
      <c r="EM250" s="9">
        <f t="shared" si="218"/>
        <v>99</v>
      </c>
      <c r="EN250" s="9">
        <f t="shared" si="219"/>
        <v>99</v>
      </c>
      <c r="EO250" s="10" t="str">
        <f t="shared" si="220"/>
        <v/>
      </c>
    </row>
    <row r="251" spans="1:145" ht="11.25" customHeight="1" x14ac:dyDescent="0.2">
      <c r="A251" s="1">
        <f t="shared" si="186"/>
        <v>248</v>
      </c>
      <c r="B251" s="1" t="s">
        <v>704</v>
      </c>
      <c r="C251" s="1" t="s">
        <v>705</v>
      </c>
      <c r="D251" s="1" t="s">
        <v>705</v>
      </c>
      <c r="E251" s="1">
        <f t="shared" si="204"/>
        <v>0</v>
      </c>
      <c r="G251" s="1">
        <f>ElTLvl</f>
        <v>0</v>
      </c>
      <c r="H251" s="1">
        <f>ElTLvl</f>
        <v>0</v>
      </c>
      <c r="K251" s="1">
        <v>2</v>
      </c>
      <c r="L251" s="1">
        <v>4</v>
      </c>
      <c r="V251" s="1">
        <v>0.75</v>
      </c>
      <c r="W251" s="1">
        <v>0.34</v>
      </c>
      <c r="X251" s="1">
        <v>0.34</v>
      </c>
      <c r="Y251" s="1">
        <v>0.5</v>
      </c>
      <c r="Z251" s="1" t="b">
        <f>FALSE</f>
        <v>0</v>
      </c>
      <c r="AA251" s="1" t="str">
        <f t="shared" si="207"/>
        <v/>
      </c>
      <c r="AB251" s="1" t="str">
        <f t="shared" si="208"/>
        <v/>
      </c>
      <c r="AC251" s="1">
        <f t="shared" si="205"/>
        <v>0</v>
      </c>
      <c r="AD251" s="1" t="str">
        <f t="shared" si="209"/>
        <v/>
      </c>
      <c r="AE251" s="1" t="str">
        <f t="shared" si="210"/>
        <v/>
      </c>
      <c r="AF251" s="1">
        <f t="shared" si="206"/>
        <v>0</v>
      </c>
      <c r="AG251" s="1">
        <f t="shared" si="211"/>
        <v>5</v>
      </c>
      <c r="AH251" s="1" t="str">
        <f t="shared" si="203"/>
        <v/>
      </c>
      <c r="AI251" s="1">
        <v>1</v>
      </c>
      <c r="AJ251" s="1">
        <f t="shared" ref="AJ251:AJ285" si="238">IF(HRXPH,1,0)</f>
        <v>0</v>
      </c>
      <c r="AK251" s="1">
        <v>1</v>
      </c>
      <c r="AL251" s="1">
        <v>2</v>
      </c>
      <c r="AM251" s="1">
        <v>1</v>
      </c>
      <c r="AN251" s="1">
        <f t="shared" si="231"/>
        <v>0</v>
      </c>
      <c r="AO251" s="1">
        <v>2</v>
      </c>
      <c r="AP251" s="1">
        <v>2</v>
      </c>
      <c r="AQ251" s="1">
        <v>2</v>
      </c>
      <c r="AR251" s="1">
        <v>2</v>
      </c>
      <c r="AS251" s="1">
        <v>2</v>
      </c>
      <c r="AT251" s="1">
        <v>2</v>
      </c>
      <c r="AU251" s="1">
        <v>2</v>
      </c>
      <c r="AV251" s="1">
        <v>2</v>
      </c>
      <c r="AW251" s="1">
        <v>1</v>
      </c>
      <c r="AX251" s="1">
        <v>1</v>
      </c>
      <c r="AY251" s="1">
        <v>1</v>
      </c>
      <c r="AZ251" s="1">
        <v>1</v>
      </c>
      <c r="BA251" s="1">
        <v>1</v>
      </c>
      <c r="BB251" s="1">
        <v>1</v>
      </c>
      <c r="BC251" s="1">
        <v>1</v>
      </c>
      <c r="BD251" s="1">
        <v>1</v>
      </c>
      <c r="BE251" s="1">
        <v>1</v>
      </c>
      <c r="BF251" s="1">
        <v>1</v>
      </c>
      <c r="BG251" s="1">
        <f t="shared" si="225"/>
        <v>0</v>
      </c>
      <c r="BH251" s="1">
        <f t="shared" si="232"/>
        <v>0</v>
      </c>
      <c r="BI251" s="1">
        <v>2</v>
      </c>
      <c r="BJ251" s="1">
        <v>1</v>
      </c>
      <c r="BK251" s="1">
        <v>2</v>
      </c>
      <c r="BL251" s="1">
        <v>1</v>
      </c>
      <c r="BM251" s="1">
        <v>1</v>
      </c>
      <c r="BN251" s="1">
        <v>1</v>
      </c>
      <c r="BO251" s="1">
        <v>1</v>
      </c>
      <c r="BP251" s="1">
        <v>1</v>
      </c>
      <c r="BQ251" s="1">
        <f>IF(HRRVL,1,0)</f>
        <v>0</v>
      </c>
      <c r="BR251" s="1">
        <v>1</v>
      </c>
      <c r="BS251" s="1">
        <v>1</v>
      </c>
      <c r="BT251" s="1">
        <f t="shared" ref="BT251:BT285" si="239">IF(HRXPH,1,0)</f>
        <v>0</v>
      </c>
      <c r="BU251" s="1">
        <f>IF(HRRVL,1,0)</f>
        <v>0</v>
      </c>
      <c r="BV251" s="1">
        <v>2</v>
      </c>
      <c r="BW251" s="1">
        <v>2</v>
      </c>
      <c r="BX251" s="1">
        <v>1</v>
      </c>
      <c r="BY251" s="1">
        <v>1</v>
      </c>
      <c r="BZ251" s="1">
        <v>1</v>
      </c>
      <c r="CA251" s="1">
        <v>1</v>
      </c>
      <c r="CB251" s="1">
        <v>1</v>
      </c>
      <c r="CC251" s="1">
        <v>1</v>
      </c>
      <c r="CD251" s="1">
        <v>1</v>
      </c>
      <c r="CE251" s="1">
        <v>1</v>
      </c>
      <c r="CF251" s="1">
        <v>1</v>
      </c>
      <c r="CG251" s="1">
        <f t="shared" si="233"/>
        <v>0</v>
      </c>
      <c r="CH251" s="1">
        <v>1</v>
      </c>
      <c r="CI251" s="1">
        <v>1</v>
      </c>
      <c r="CJ251" s="1">
        <v>1</v>
      </c>
      <c r="CK251" s="1">
        <v>1</v>
      </c>
      <c r="CL251" s="1">
        <v>1</v>
      </c>
      <c r="CM251" s="1">
        <v>1</v>
      </c>
      <c r="CN251" s="1">
        <v>1</v>
      </c>
      <c r="CO251" s="1">
        <v>1</v>
      </c>
      <c r="CP251" s="1">
        <v>2</v>
      </c>
      <c r="CQ251" s="1">
        <v>2</v>
      </c>
      <c r="CR251" s="1">
        <v>2</v>
      </c>
      <c r="CS251" s="1">
        <v>2</v>
      </c>
      <c r="CT251" s="1">
        <v>2</v>
      </c>
      <c r="CU251" s="1">
        <v>2</v>
      </c>
      <c r="CV251" s="1">
        <f t="shared" si="236"/>
        <v>0</v>
      </c>
      <c r="CW251" s="1">
        <v>1</v>
      </c>
      <c r="CX251" s="1">
        <v>1</v>
      </c>
      <c r="CY251" s="1">
        <v>2</v>
      </c>
      <c r="CZ251" s="1">
        <f t="shared" si="234"/>
        <v>0</v>
      </c>
      <c r="DA251" s="1">
        <v>1</v>
      </c>
      <c r="DB251" s="1">
        <v>1</v>
      </c>
      <c r="DC251" s="1">
        <v>2</v>
      </c>
      <c r="DD251" s="1">
        <v>1</v>
      </c>
      <c r="DE251" s="1">
        <v>1</v>
      </c>
      <c r="DF251" s="1">
        <v>1</v>
      </c>
      <c r="DG251" s="1">
        <v>1</v>
      </c>
      <c r="DH251" s="1">
        <v>2</v>
      </c>
      <c r="DI251" s="1">
        <f t="shared" si="237"/>
        <v>0</v>
      </c>
      <c r="DJ251" s="1">
        <v>1</v>
      </c>
      <c r="DK251" s="1" t="s">
        <v>700</v>
      </c>
      <c r="DL251" s="1" t="s">
        <v>101</v>
      </c>
      <c r="DU251" s="1" t="b">
        <f>SkKnowledgeArcanaRanks&gt;=8</f>
        <v>0</v>
      </c>
      <c r="DV251" s="1" t="b">
        <f>SkKnowledgePlanesRanks&gt;=8</f>
        <v>0</v>
      </c>
      <c r="DW251" s="1" t="b">
        <f ca="1">MaxArcaneSpellLevel&gt;=2</f>
        <v>0</v>
      </c>
      <c r="DX251" s="1" t="b">
        <f>WrlLvl&gt;=1</f>
        <v>0</v>
      </c>
      <c r="DY251" s="1" t="b">
        <f>EldritchBlastAmount&gt;=2</f>
        <v>0</v>
      </c>
      <c r="DZ251" s="1" t="b">
        <f t="shared" si="229"/>
        <v>1</v>
      </c>
      <c r="EA251" s="1" t="b">
        <f t="shared" ca="1" si="235"/>
        <v>0</v>
      </c>
      <c r="EB251" s="11" t="s">
        <v>334</v>
      </c>
      <c r="EC251" s="1" t="str">
        <f ca="1">IF(DU251,"","• 8 ranks in Knowledge (arcana).
")&amp;IF(DV251,"","• 8 ranks in Knowledge (the planes).
")&amp;IF(DW251,"","• Ability to cast 2nd level arcane spells.
")&amp;IF(DX251,"","• Ability to use least invocations.
")&amp;IF(DY251,"","• Eldritch blast +2d6.")</f>
        <v>• 8 ranks in Knowledge (arcana).
• 8 ranks in Knowledge (the planes).
• Ability to cast 2nd level arcane spells.
• Ability to use least invocations.
• Eldritch blast +2d6.</v>
      </c>
      <c r="ED251" s="11" t="s">
        <v>335</v>
      </c>
      <c r="EE251" s="8" t="s">
        <v>620</v>
      </c>
      <c r="EF251" s="9">
        <v>10</v>
      </c>
      <c r="EG251" s="9" t="s">
        <v>655</v>
      </c>
      <c r="EH251" s="9"/>
      <c r="EI251" s="9" t="b">
        <f t="shared" si="214"/>
        <v>0</v>
      </c>
      <c r="EJ251" s="9" t="str">
        <f t="shared" si="215"/>
        <v/>
      </c>
      <c r="EK251" s="9">
        <f t="shared" si="216"/>
        <v>99</v>
      </c>
      <c r="EL251" s="9">
        <f t="shared" si="217"/>
        <v>99</v>
      </c>
      <c r="EM251" s="9">
        <f t="shared" si="218"/>
        <v>99</v>
      </c>
      <c r="EN251" s="9">
        <f t="shared" si="219"/>
        <v>99</v>
      </c>
      <c r="EO251" s="10" t="str">
        <f t="shared" si="220"/>
        <v/>
      </c>
    </row>
    <row r="252" spans="1:145" ht="11.25" customHeight="1" x14ac:dyDescent="0.2">
      <c r="A252" s="1">
        <f t="shared" si="186"/>
        <v>249</v>
      </c>
      <c r="B252" s="1" t="s">
        <v>706</v>
      </c>
      <c r="C252" s="1" t="s">
        <v>707</v>
      </c>
      <c r="D252" s="1" t="s">
        <v>707</v>
      </c>
      <c r="E252" s="1">
        <f t="shared" si="204"/>
        <v>0</v>
      </c>
      <c r="K252" s="1">
        <v>2</v>
      </c>
      <c r="L252" s="1">
        <v>6</v>
      </c>
      <c r="V252" s="1">
        <v>0.75</v>
      </c>
      <c r="W252" s="1">
        <v>0.34</v>
      </c>
      <c r="X252" s="1">
        <v>0.34</v>
      </c>
      <c r="Y252" s="1">
        <v>0.5</v>
      </c>
      <c r="Z252" s="1" t="b">
        <f>FALSE</f>
        <v>0</v>
      </c>
      <c r="AA252" s="1" t="str">
        <f t="shared" si="207"/>
        <v/>
      </c>
      <c r="AB252" s="1" t="str">
        <f t="shared" si="208"/>
        <v/>
      </c>
      <c r="AC252" s="1">
        <f t="shared" si="205"/>
        <v>0</v>
      </c>
      <c r="AD252" s="1" t="str">
        <f t="shared" si="209"/>
        <v/>
      </c>
      <c r="AE252" s="1" t="str">
        <f t="shared" si="210"/>
        <v/>
      </c>
      <c r="AF252" s="1">
        <f t="shared" si="206"/>
        <v>0</v>
      </c>
      <c r="AG252" s="1">
        <f t="shared" si="211"/>
        <v>5</v>
      </c>
      <c r="AH252" s="1" t="str">
        <f t="shared" si="203"/>
        <v/>
      </c>
      <c r="AI252" s="1">
        <v>1</v>
      </c>
      <c r="AJ252" s="1">
        <f t="shared" si="238"/>
        <v>0</v>
      </c>
      <c r="AK252" s="1">
        <v>1</v>
      </c>
      <c r="AL252" s="1">
        <v>2</v>
      </c>
      <c r="AM252" s="1">
        <v>1</v>
      </c>
      <c r="AN252" s="1">
        <f t="shared" si="231"/>
        <v>0</v>
      </c>
      <c r="AO252" s="1">
        <v>2</v>
      </c>
      <c r="AP252" s="1">
        <v>2</v>
      </c>
      <c r="AQ252" s="1">
        <v>2</v>
      </c>
      <c r="AR252" s="1">
        <v>2</v>
      </c>
      <c r="AS252" s="1">
        <v>2</v>
      </c>
      <c r="AT252" s="1">
        <v>2</v>
      </c>
      <c r="AU252" s="1">
        <v>2</v>
      </c>
      <c r="AV252" s="1">
        <v>2</v>
      </c>
      <c r="AW252" s="1">
        <v>1</v>
      </c>
      <c r="AX252" s="1">
        <v>2</v>
      </c>
      <c r="AY252" s="1">
        <v>1</v>
      </c>
      <c r="AZ252" s="1">
        <v>2</v>
      </c>
      <c r="BA252" s="1">
        <v>1</v>
      </c>
      <c r="BB252" s="1">
        <v>1</v>
      </c>
      <c r="BC252" s="1">
        <v>1</v>
      </c>
      <c r="BD252" s="1">
        <v>1</v>
      </c>
      <c r="BE252" s="1">
        <v>1</v>
      </c>
      <c r="BF252" s="1">
        <v>1</v>
      </c>
      <c r="BG252" s="1">
        <f t="shared" si="225"/>
        <v>0</v>
      </c>
      <c r="BH252" s="1">
        <f t="shared" si="232"/>
        <v>0</v>
      </c>
      <c r="BI252" s="1">
        <v>2</v>
      </c>
      <c r="BJ252" s="1">
        <v>2</v>
      </c>
      <c r="BK252" s="1">
        <v>2</v>
      </c>
      <c r="BL252" s="1">
        <v>1</v>
      </c>
      <c r="BM252" s="1">
        <v>1</v>
      </c>
      <c r="BN252" s="1">
        <v>1</v>
      </c>
      <c r="BO252" s="1">
        <v>1</v>
      </c>
      <c r="BP252" s="1">
        <v>1</v>
      </c>
      <c r="BQ252" s="1">
        <f>IF(HRRVL,1,0)</f>
        <v>0</v>
      </c>
      <c r="BR252" s="1">
        <v>1</v>
      </c>
      <c r="BS252" s="1">
        <v>1</v>
      </c>
      <c r="BT252" s="1">
        <f t="shared" si="239"/>
        <v>0</v>
      </c>
      <c r="BU252" s="1">
        <f>IF(HRRVL,1,0)</f>
        <v>0</v>
      </c>
      <c r="BV252" s="1">
        <v>2</v>
      </c>
      <c r="BW252" s="1">
        <v>2</v>
      </c>
      <c r="BX252" s="1">
        <v>1</v>
      </c>
      <c r="BY252" s="1">
        <v>1</v>
      </c>
      <c r="BZ252" s="1">
        <v>1</v>
      </c>
      <c r="CA252" s="1">
        <v>1</v>
      </c>
      <c r="CB252" s="1">
        <v>1</v>
      </c>
      <c r="CC252" s="1">
        <v>1</v>
      </c>
      <c r="CD252" s="1">
        <v>1</v>
      </c>
      <c r="CE252" s="1">
        <v>1</v>
      </c>
      <c r="CF252" s="1">
        <v>1</v>
      </c>
      <c r="CG252" s="1">
        <f t="shared" si="233"/>
        <v>0</v>
      </c>
      <c r="CH252" s="1">
        <v>1</v>
      </c>
      <c r="CI252" s="1">
        <v>1</v>
      </c>
      <c r="CJ252" s="1">
        <v>1</v>
      </c>
      <c r="CK252" s="1">
        <v>1</v>
      </c>
      <c r="CL252" s="1">
        <v>1</v>
      </c>
      <c r="CM252" s="1">
        <v>1</v>
      </c>
      <c r="CN252" s="1">
        <v>1</v>
      </c>
      <c r="CO252" s="1">
        <v>1</v>
      </c>
      <c r="CP252" s="1">
        <v>2</v>
      </c>
      <c r="CQ252" s="1">
        <v>2</v>
      </c>
      <c r="CR252" s="1">
        <v>2</v>
      </c>
      <c r="CS252" s="1">
        <v>2</v>
      </c>
      <c r="CT252" s="1">
        <v>2</v>
      </c>
      <c r="CU252" s="1">
        <v>2</v>
      </c>
      <c r="CV252" s="1">
        <f t="shared" si="236"/>
        <v>0</v>
      </c>
      <c r="CW252" s="1">
        <v>1</v>
      </c>
      <c r="CX252" s="1">
        <v>1</v>
      </c>
      <c r="CY252" s="1">
        <v>2</v>
      </c>
      <c r="CZ252" s="1">
        <f t="shared" si="234"/>
        <v>0</v>
      </c>
      <c r="DA252" s="1">
        <v>1</v>
      </c>
      <c r="DB252" s="1">
        <v>1</v>
      </c>
      <c r="DC252" s="1">
        <v>2</v>
      </c>
      <c r="DD252" s="1">
        <v>1</v>
      </c>
      <c r="DE252" s="1">
        <v>1</v>
      </c>
      <c r="DF252" s="1">
        <v>1</v>
      </c>
      <c r="DG252" s="1">
        <v>1</v>
      </c>
      <c r="DH252" s="1">
        <v>2</v>
      </c>
      <c r="DI252" s="1">
        <f t="shared" si="237"/>
        <v>0</v>
      </c>
      <c r="DJ252" s="1">
        <v>1</v>
      </c>
      <c r="DK252" s="1" t="s">
        <v>700</v>
      </c>
      <c r="DL252" s="1" t="s">
        <v>101</v>
      </c>
      <c r="DW252" s="1" t="b">
        <f>AlignmentGood</f>
        <v>1</v>
      </c>
      <c r="DX252" s="1" t="b">
        <f>SkKnowledgePlanesRanks&gt;=8</f>
        <v>0</v>
      </c>
      <c r="DY252" s="1" t="b">
        <f>EldritchBlastAmount&gt;=3</f>
        <v>0</v>
      </c>
      <c r="DZ252" s="1" t="b">
        <f t="shared" si="229"/>
        <v>1</v>
      </c>
      <c r="EA252" s="1" t="b">
        <f t="shared" si="235"/>
        <v>0</v>
      </c>
      <c r="EB252" s="11" t="s">
        <v>334</v>
      </c>
      <c r="EC252" s="1" t="str">
        <f>IF(DW252,"","• Any good alignment.
")&amp;IF(DX252,"","• 8 ranks in Knowledge (the planes).
")&amp;IF(DY252,"","• Eldritch blast +3d6.")</f>
        <v>• 8 ranks in Knowledge (the planes).
• Eldritch blast +3d6.</v>
      </c>
      <c r="ED252" s="11" t="s">
        <v>335</v>
      </c>
      <c r="EE252" s="8" t="s">
        <v>708</v>
      </c>
      <c r="EF252" s="9">
        <v>10</v>
      </c>
      <c r="EG252" s="9" t="s">
        <v>694</v>
      </c>
      <c r="EH252" s="9"/>
      <c r="EI252" s="9" t="b">
        <f t="shared" si="214"/>
        <v>0</v>
      </c>
      <c r="EJ252" s="9" t="str">
        <f t="shared" si="215"/>
        <v/>
      </c>
      <c r="EK252" s="9">
        <f t="shared" si="216"/>
        <v>99</v>
      </c>
      <c r="EL252" s="9">
        <f t="shared" si="217"/>
        <v>99</v>
      </c>
      <c r="EM252" s="9">
        <f t="shared" si="218"/>
        <v>99</v>
      </c>
      <c r="EN252" s="9">
        <f t="shared" si="219"/>
        <v>99</v>
      </c>
      <c r="EO252" s="10" t="str">
        <f t="shared" si="220"/>
        <v/>
      </c>
    </row>
    <row r="253" spans="1:145" ht="11.25" customHeight="1" x14ac:dyDescent="0.2">
      <c r="A253" s="1">
        <f t="shared" si="186"/>
        <v>250</v>
      </c>
      <c r="B253" s="1" t="s">
        <v>709</v>
      </c>
      <c r="C253" s="1" t="s">
        <v>710</v>
      </c>
      <c r="D253" s="1" t="s">
        <v>710</v>
      </c>
      <c r="E253" s="1">
        <f t="shared" si="204"/>
        <v>0</v>
      </c>
      <c r="G253" s="1">
        <f>MAX(0,(HSCLvl-1))</f>
        <v>0</v>
      </c>
      <c r="K253" s="1">
        <v>2</v>
      </c>
      <c r="L253" s="1">
        <v>6</v>
      </c>
      <c r="V253" s="1">
        <v>0.5</v>
      </c>
      <c r="W253" s="1">
        <v>0.34</v>
      </c>
      <c r="X253" s="1">
        <v>0.34</v>
      </c>
      <c r="Y253" s="1">
        <v>0.5</v>
      </c>
      <c r="Z253" s="1" t="b">
        <f>FALSE</f>
        <v>0</v>
      </c>
      <c r="AA253" s="1" t="str">
        <f t="shared" si="207"/>
        <v/>
      </c>
      <c r="AB253" s="1" t="str">
        <f t="shared" si="208"/>
        <v/>
      </c>
      <c r="AC253" s="1">
        <f t="shared" si="205"/>
        <v>0</v>
      </c>
      <c r="AD253" s="1" t="str">
        <f t="shared" si="209"/>
        <v/>
      </c>
      <c r="AE253" s="1" t="str">
        <f t="shared" si="210"/>
        <v/>
      </c>
      <c r="AF253" s="1">
        <f t="shared" si="206"/>
        <v>0</v>
      </c>
      <c r="AG253" s="1">
        <f t="shared" si="211"/>
        <v>5</v>
      </c>
      <c r="AH253" s="1" t="str">
        <f t="shared" si="203"/>
        <v/>
      </c>
      <c r="AI253" s="1">
        <v>1</v>
      </c>
      <c r="AJ253" s="1">
        <f t="shared" si="238"/>
        <v>0</v>
      </c>
      <c r="AK253" s="1">
        <v>1</v>
      </c>
      <c r="AL253" s="1">
        <v>1</v>
      </c>
      <c r="AM253" s="1">
        <v>1</v>
      </c>
      <c r="AN253" s="1">
        <f t="shared" si="231"/>
        <v>0</v>
      </c>
      <c r="AO253" s="1">
        <v>2</v>
      </c>
      <c r="AP253" s="1">
        <v>2</v>
      </c>
      <c r="AQ253" s="1">
        <v>2</v>
      </c>
      <c r="AR253" s="1">
        <v>2</v>
      </c>
      <c r="AS253" s="1">
        <v>2</v>
      </c>
      <c r="AT253" s="1">
        <v>2</v>
      </c>
      <c r="AU253" s="1">
        <v>2</v>
      </c>
      <c r="AV253" s="1">
        <v>2</v>
      </c>
      <c r="AW253" s="1">
        <v>1</v>
      </c>
      <c r="AX253" s="1">
        <v>1</v>
      </c>
      <c r="AY253" s="1">
        <v>1</v>
      </c>
      <c r="AZ253" s="1">
        <v>1</v>
      </c>
      <c r="BA253" s="1">
        <v>1</v>
      </c>
      <c r="BB253" s="1">
        <v>1</v>
      </c>
      <c r="BC253" s="1">
        <v>1</v>
      </c>
      <c r="BD253" s="1">
        <v>1</v>
      </c>
      <c r="BE253" s="1">
        <v>1</v>
      </c>
      <c r="BF253" s="1">
        <v>1</v>
      </c>
      <c r="BG253" s="1">
        <f t="shared" si="225"/>
        <v>0</v>
      </c>
      <c r="BH253" s="1">
        <f t="shared" si="232"/>
        <v>0</v>
      </c>
      <c r="BI253" s="1">
        <v>1</v>
      </c>
      <c r="BJ253" s="1">
        <v>1</v>
      </c>
      <c r="BK253" s="1">
        <v>2</v>
      </c>
      <c r="BL253" s="1">
        <v>1</v>
      </c>
      <c r="BM253" s="1">
        <v>1</v>
      </c>
      <c r="BN253" s="1">
        <v>1</v>
      </c>
      <c r="BO253" s="1">
        <v>1</v>
      </c>
      <c r="BP253" s="1">
        <v>1</v>
      </c>
      <c r="BQ253" s="1">
        <f>IF(HRRVL,1,0)</f>
        <v>0</v>
      </c>
      <c r="BR253" s="1">
        <v>1</v>
      </c>
      <c r="BS253" s="1">
        <v>1</v>
      </c>
      <c r="BT253" s="1">
        <f t="shared" si="239"/>
        <v>0</v>
      </c>
      <c r="BU253" s="1">
        <f>IF(HRRVL,1,0)</f>
        <v>0</v>
      </c>
      <c r="BV253" s="1">
        <v>2</v>
      </c>
      <c r="BW253" s="1">
        <v>2</v>
      </c>
      <c r="BX253" s="1">
        <v>1</v>
      </c>
      <c r="BY253" s="1">
        <v>1</v>
      </c>
      <c r="BZ253" s="1">
        <v>1</v>
      </c>
      <c r="CA253" s="1">
        <v>1</v>
      </c>
      <c r="CB253" s="1">
        <v>1</v>
      </c>
      <c r="CC253" s="1">
        <v>1</v>
      </c>
      <c r="CD253" s="1">
        <v>1</v>
      </c>
      <c r="CE253" s="1">
        <v>1</v>
      </c>
      <c r="CF253" s="1">
        <v>1</v>
      </c>
      <c r="CG253" s="1">
        <f t="shared" si="233"/>
        <v>0</v>
      </c>
      <c r="CH253" s="1">
        <v>1</v>
      </c>
      <c r="CI253" s="1">
        <v>1</v>
      </c>
      <c r="CJ253" s="1">
        <v>1</v>
      </c>
      <c r="CK253" s="1">
        <v>1</v>
      </c>
      <c r="CL253" s="1">
        <v>1</v>
      </c>
      <c r="CM253" s="1">
        <v>1</v>
      </c>
      <c r="CN253" s="1">
        <v>1</v>
      </c>
      <c r="CO253" s="1">
        <v>1</v>
      </c>
      <c r="CP253" s="1">
        <v>2</v>
      </c>
      <c r="CQ253" s="1">
        <v>2</v>
      </c>
      <c r="CR253" s="1">
        <v>2</v>
      </c>
      <c r="CS253" s="1">
        <v>2</v>
      </c>
      <c r="CT253" s="1">
        <v>2</v>
      </c>
      <c r="CU253" s="1">
        <v>2</v>
      </c>
      <c r="CV253" s="1">
        <f t="shared" si="236"/>
        <v>0</v>
      </c>
      <c r="CW253" s="1">
        <v>1</v>
      </c>
      <c r="CX253" s="1">
        <v>1</v>
      </c>
      <c r="CY253" s="1">
        <v>1</v>
      </c>
      <c r="CZ253" s="1">
        <f t="shared" si="234"/>
        <v>0</v>
      </c>
      <c r="DA253" s="1">
        <v>1</v>
      </c>
      <c r="DB253" s="1">
        <v>1</v>
      </c>
      <c r="DC253" s="1">
        <v>2</v>
      </c>
      <c r="DD253" s="1">
        <v>1</v>
      </c>
      <c r="DE253" s="1">
        <v>1</v>
      </c>
      <c r="DF253" s="1">
        <v>1</v>
      </c>
      <c r="DG253" s="1">
        <v>1</v>
      </c>
      <c r="DH253" s="1">
        <v>1</v>
      </c>
      <c r="DI253" s="1">
        <f t="shared" si="237"/>
        <v>0</v>
      </c>
      <c r="DJ253" s="1">
        <v>1</v>
      </c>
      <c r="DK253" s="1" t="s">
        <v>700</v>
      </c>
      <c r="DL253" s="1" t="s">
        <v>40</v>
      </c>
      <c r="DV253" s="1" t="b">
        <f>AlignmentGood</f>
        <v>1</v>
      </c>
      <c r="DW253" s="1" t="b">
        <f>SkKnowledgeReligionRanks&gt;=2</f>
        <v>0</v>
      </c>
      <c r="DY253" s="1" t="b">
        <f ca="1">MaxArcaneSpellLevel&gt;=3</f>
        <v>0</v>
      </c>
      <c r="DZ253" s="1" t="b">
        <f t="shared" si="229"/>
        <v>1</v>
      </c>
      <c r="EA253" s="1" t="b">
        <f t="shared" ca="1" si="235"/>
        <v>0</v>
      </c>
      <c r="EB253" s="11" t="s">
        <v>338</v>
      </c>
      <c r="EC253" s="1" t="str">
        <f ca="1">IF(DV253,"","• Any Good
")&amp;IF(DW253,"","• 2 ranks in Knowledge (religion).
")&amp;IF(DY253,"","• Able to cast 3rd level arcane spells
")&amp;"• Able to cast 3 evocation spells (not verified)"</f>
        <v>• 2 ranks in Knowledge (religion).
• Able to cast 3rd level arcane spells
• Able to cast 3 evocation spells (not verified)</v>
      </c>
      <c r="ED253" s="11" t="s">
        <v>335</v>
      </c>
      <c r="EE253" s="14"/>
      <c r="EF253" s="15"/>
      <c r="EG253" s="15"/>
      <c r="EH253" s="15"/>
      <c r="EI253" s="15"/>
      <c r="EJ253" s="15"/>
      <c r="EK253" s="15"/>
      <c r="EL253" s="15"/>
      <c r="EM253" s="15"/>
      <c r="EN253" s="15"/>
      <c r="EO253" s="16"/>
    </row>
    <row r="254" spans="1:145" ht="11.25" customHeight="1" x14ac:dyDescent="0.2">
      <c r="A254" s="1">
        <f t="shared" si="186"/>
        <v>251</v>
      </c>
      <c r="B254" s="1" t="s">
        <v>711</v>
      </c>
      <c r="C254" s="1" t="s">
        <v>712</v>
      </c>
      <c r="D254" s="1" t="s">
        <v>712</v>
      </c>
      <c r="E254" s="1">
        <f t="shared" si="204"/>
        <v>0</v>
      </c>
      <c r="G254" s="1">
        <f>LyTLvl</f>
        <v>0</v>
      </c>
      <c r="K254" s="1">
        <v>4</v>
      </c>
      <c r="L254" s="1">
        <v>6</v>
      </c>
      <c r="V254" s="1">
        <v>0.75</v>
      </c>
      <c r="W254" s="1">
        <v>0.34</v>
      </c>
      <c r="X254" s="1">
        <v>0.5</v>
      </c>
      <c r="Y254" s="1">
        <v>0.5</v>
      </c>
      <c r="Z254" s="1" t="b">
        <f>FALSE</f>
        <v>0</v>
      </c>
      <c r="AA254" s="1" t="str">
        <f t="shared" si="207"/>
        <v/>
      </c>
      <c r="AB254" s="1" t="str">
        <f t="shared" si="208"/>
        <v/>
      </c>
      <c r="AC254" s="1">
        <f t="shared" si="205"/>
        <v>0</v>
      </c>
      <c r="AD254" s="1" t="str">
        <f t="shared" si="209"/>
        <v/>
      </c>
      <c r="AE254" s="1" t="str">
        <f t="shared" si="210"/>
        <v/>
      </c>
      <c r="AF254" s="1">
        <f t="shared" si="206"/>
        <v>0</v>
      </c>
      <c r="AG254" s="1">
        <f t="shared" si="211"/>
        <v>5</v>
      </c>
      <c r="AH254" s="1" t="str">
        <f t="shared" si="203"/>
        <v/>
      </c>
      <c r="AI254" s="1">
        <v>1</v>
      </c>
      <c r="AJ254" s="1">
        <f t="shared" si="238"/>
        <v>0</v>
      </c>
      <c r="AK254" s="1">
        <v>1</v>
      </c>
      <c r="AL254" s="1">
        <v>2</v>
      </c>
      <c r="AM254" s="1">
        <v>1</v>
      </c>
      <c r="AN254" s="1">
        <f t="shared" si="231"/>
        <v>0</v>
      </c>
      <c r="AO254" s="1">
        <v>2</v>
      </c>
      <c r="AP254" s="1">
        <v>2</v>
      </c>
      <c r="AQ254" s="1">
        <v>2</v>
      </c>
      <c r="AR254" s="1">
        <v>2</v>
      </c>
      <c r="AS254" s="1">
        <v>2</v>
      </c>
      <c r="AT254" s="1">
        <v>2</v>
      </c>
      <c r="AU254" s="1">
        <v>2</v>
      </c>
      <c r="AV254" s="1">
        <v>2</v>
      </c>
      <c r="AW254" s="1">
        <v>2</v>
      </c>
      <c r="AX254" s="1">
        <v>2</v>
      </c>
      <c r="AY254" s="1">
        <v>1</v>
      </c>
      <c r="AZ254" s="1">
        <v>1</v>
      </c>
      <c r="BA254" s="1">
        <v>1</v>
      </c>
      <c r="BB254" s="1">
        <v>1</v>
      </c>
      <c r="BC254" s="1">
        <v>1</v>
      </c>
      <c r="BD254" s="1">
        <v>1</v>
      </c>
      <c r="BE254" s="1">
        <v>1</v>
      </c>
      <c r="BF254" s="1">
        <v>1</v>
      </c>
      <c r="BG254" s="1">
        <f t="shared" si="225"/>
        <v>0</v>
      </c>
      <c r="BH254" s="1">
        <f t="shared" si="232"/>
        <v>0</v>
      </c>
      <c r="BI254" s="1">
        <v>1</v>
      </c>
      <c r="BJ254" s="1">
        <v>1</v>
      </c>
      <c r="BK254" s="1">
        <v>2</v>
      </c>
      <c r="BL254" s="1">
        <v>2</v>
      </c>
      <c r="BM254" s="1">
        <v>2</v>
      </c>
      <c r="BN254" s="1">
        <v>2</v>
      </c>
      <c r="BO254" s="1">
        <v>2</v>
      </c>
      <c r="BP254" s="1">
        <v>2</v>
      </c>
      <c r="BQ254" s="1">
        <f>IF(HRRVL,2,0)</f>
        <v>0</v>
      </c>
      <c r="BR254" s="1">
        <v>2</v>
      </c>
      <c r="BS254" s="1">
        <v>2</v>
      </c>
      <c r="BT254" s="1">
        <f>IF(HRXPH,2,0)</f>
        <v>0</v>
      </c>
      <c r="BU254" s="1">
        <f>IF(HRRVL,2,0)</f>
        <v>0</v>
      </c>
      <c r="BV254" s="1">
        <v>2</v>
      </c>
      <c r="BW254" s="1">
        <v>2</v>
      </c>
      <c r="BX254" s="1">
        <v>2</v>
      </c>
      <c r="BY254" s="1">
        <v>2</v>
      </c>
      <c r="BZ254" s="1">
        <v>2</v>
      </c>
      <c r="CA254" s="1">
        <v>2</v>
      </c>
      <c r="CB254" s="1">
        <v>2</v>
      </c>
      <c r="CC254" s="1">
        <v>2</v>
      </c>
      <c r="CD254" s="1">
        <v>2</v>
      </c>
      <c r="CE254" s="1">
        <v>2</v>
      </c>
      <c r="CF254" s="1">
        <v>1</v>
      </c>
      <c r="CG254" s="1">
        <f t="shared" si="233"/>
        <v>0</v>
      </c>
      <c r="CH254" s="1">
        <v>1</v>
      </c>
      <c r="CI254" s="1">
        <v>1</v>
      </c>
      <c r="CJ254" s="1">
        <v>2</v>
      </c>
      <c r="CK254" s="1">
        <v>2</v>
      </c>
      <c r="CL254" s="1">
        <v>2</v>
      </c>
      <c r="CM254" s="1">
        <v>2</v>
      </c>
      <c r="CN254" s="1">
        <v>2</v>
      </c>
      <c r="CO254" s="1">
        <v>2</v>
      </c>
      <c r="CP254" s="1">
        <v>2</v>
      </c>
      <c r="CQ254" s="1">
        <v>2</v>
      </c>
      <c r="CR254" s="1">
        <v>2</v>
      </c>
      <c r="CS254" s="1">
        <v>2</v>
      </c>
      <c r="CT254" s="1">
        <v>2</v>
      </c>
      <c r="CU254" s="1">
        <v>2</v>
      </c>
      <c r="CV254" s="1">
        <f t="shared" si="236"/>
        <v>0</v>
      </c>
      <c r="CW254" s="1">
        <v>1</v>
      </c>
      <c r="CX254" s="1">
        <v>1</v>
      </c>
      <c r="CY254" s="1">
        <v>2</v>
      </c>
      <c r="CZ254" s="1">
        <f t="shared" si="234"/>
        <v>0</v>
      </c>
      <c r="DA254" s="1">
        <v>1</v>
      </c>
      <c r="DB254" s="1">
        <v>1</v>
      </c>
      <c r="DC254" s="1">
        <v>2</v>
      </c>
      <c r="DD254" s="1">
        <v>1</v>
      </c>
      <c r="DE254" s="1">
        <v>1</v>
      </c>
      <c r="DF254" s="1">
        <v>1</v>
      </c>
      <c r="DG254" s="1">
        <v>1</v>
      </c>
      <c r="DH254" s="1">
        <v>2</v>
      </c>
      <c r="DI254" s="1">
        <f t="shared" si="237"/>
        <v>0</v>
      </c>
      <c r="DJ254" s="1">
        <v>1</v>
      </c>
      <c r="DK254" s="1" t="s">
        <v>700</v>
      </c>
      <c r="DL254" s="1" t="s">
        <v>40</v>
      </c>
      <c r="DT254" s="1" t="b">
        <f>SkKnowledgeArcanaRanks&gt;=6</f>
        <v>0</v>
      </c>
      <c r="DU254" s="1" t="b">
        <f>SkPerformRanks&gt;=9</f>
        <v>0</v>
      </c>
      <c r="DV254" s="1" t="b">
        <f>SkSpellcraftRanks&gt;=6</f>
        <v>0</v>
      </c>
      <c r="DW254" s="1" t="b">
        <f>FtMelodicCasting</f>
        <v>0</v>
      </c>
      <c r="DX254" s="1" t="b">
        <f ca="1">MaxArcaneSpellLevel&gt;=2</f>
        <v>0</v>
      </c>
      <c r="DY254" s="1" t="b">
        <f>BardicMusicAmount&gt;=5</f>
        <v>0</v>
      </c>
      <c r="DZ254" s="1" t="b">
        <f t="shared" si="229"/>
        <v>1</v>
      </c>
      <c r="EA254" s="1" t="b">
        <f t="shared" ca="1" si="235"/>
        <v>0</v>
      </c>
      <c r="EB254" s="11" t="s">
        <v>334</v>
      </c>
      <c r="EC254" s="1" t="str">
        <f ca="1">IF(DT254,"","• 6 ranks in Knowledge (arcana).
")&amp;IF(DU254,"","• 9 ranks in Perform (any).
")&amp;IF(DV254,"","• 6 ranks in Spellcraft.
")&amp;IF(DW254,"","• Melodic Casting feat.
")&amp;IF(DX254,"","• Ability to cast 2nd level arcane spells.
")&amp;IF(DY254,"","• Bardic music 5/day.")</f>
        <v>• 6 ranks in Knowledge (arcana).
• 9 ranks in Perform (any).
• 6 ranks in Spellcraft.
• Melodic Casting feat.
• Ability to cast 2nd level arcane spells.
• Bardic music 5/day.</v>
      </c>
      <c r="ED254" s="11" t="s">
        <v>335</v>
      </c>
      <c r="EE254" s="14"/>
      <c r="EF254" s="15"/>
      <c r="EG254" s="15"/>
      <c r="EH254" s="15"/>
      <c r="EI254" s="15"/>
      <c r="EJ254" s="15"/>
      <c r="EK254" s="15"/>
      <c r="EL254" s="15"/>
      <c r="EM254" s="15"/>
      <c r="EN254" s="15"/>
      <c r="EO254" s="16"/>
    </row>
    <row r="255" spans="1:145" ht="11.25" customHeight="1" x14ac:dyDescent="0.2">
      <c r="A255" s="1">
        <f t="shared" si="186"/>
        <v>252</v>
      </c>
      <c r="B255" s="1" t="s">
        <v>713</v>
      </c>
      <c r="C255" s="1" t="s">
        <v>714</v>
      </c>
      <c r="D255" s="1" t="s">
        <v>714</v>
      </c>
      <c r="E255" s="1">
        <f t="shared" si="204"/>
        <v>0</v>
      </c>
      <c r="G255" s="1">
        <f>MstSLvl</f>
        <v>0</v>
      </c>
      <c r="K255" s="1">
        <v>2</v>
      </c>
      <c r="L255" s="1">
        <v>4</v>
      </c>
      <c r="V255" s="1">
        <v>0.5</v>
      </c>
      <c r="W255" s="1">
        <v>0.34</v>
      </c>
      <c r="X255" s="1">
        <v>0.34</v>
      </c>
      <c r="Y255" s="1">
        <v>0.5</v>
      </c>
      <c r="Z255" s="1" t="b">
        <f>FALSE</f>
        <v>0</v>
      </c>
      <c r="AA255" s="1" t="str">
        <f t="shared" si="207"/>
        <v/>
      </c>
      <c r="AB255" s="1" t="str">
        <f t="shared" si="208"/>
        <v/>
      </c>
      <c r="AC255" s="1">
        <f t="shared" si="205"/>
        <v>0</v>
      </c>
      <c r="AD255" s="1" t="str">
        <f t="shared" si="209"/>
        <v/>
      </c>
      <c r="AE255" s="1" t="str">
        <f t="shared" si="210"/>
        <v/>
      </c>
      <c r="AF255" s="1">
        <f t="shared" si="206"/>
        <v>0</v>
      </c>
      <c r="AG255" s="1">
        <f t="shared" si="211"/>
        <v>5</v>
      </c>
      <c r="AH255" s="1" t="str">
        <f t="shared" si="203"/>
        <v/>
      </c>
      <c r="AI255" s="1">
        <v>1</v>
      </c>
      <c r="AJ255" s="1">
        <f t="shared" si="238"/>
        <v>0</v>
      </c>
      <c r="AK255" s="1">
        <v>1</v>
      </c>
      <c r="AL255" s="1">
        <v>1</v>
      </c>
      <c r="AM255" s="1">
        <v>1</v>
      </c>
      <c r="AN255" s="1">
        <f t="shared" si="231"/>
        <v>0</v>
      </c>
      <c r="AO255" s="1">
        <v>2</v>
      </c>
      <c r="AP255" s="1">
        <v>2</v>
      </c>
      <c r="AQ255" s="1">
        <v>2</v>
      </c>
      <c r="AR255" s="1">
        <v>2</v>
      </c>
      <c r="AS255" s="1">
        <v>2</v>
      </c>
      <c r="AT255" s="1">
        <v>2</v>
      </c>
      <c r="AU255" s="1">
        <v>2</v>
      </c>
      <c r="AV255" s="1">
        <v>2</v>
      </c>
      <c r="AW255" s="1">
        <v>2</v>
      </c>
      <c r="AX255" s="1">
        <v>1</v>
      </c>
      <c r="AY255" s="1">
        <v>1</v>
      </c>
      <c r="AZ255" s="1">
        <v>1</v>
      </c>
      <c r="BA255" s="1">
        <v>1</v>
      </c>
      <c r="BB255" s="1">
        <v>1</v>
      </c>
      <c r="BC255" s="1">
        <v>1</v>
      </c>
      <c r="BD255" s="1">
        <v>1</v>
      </c>
      <c r="BE255" s="1">
        <v>1</v>
      </c>
      <c r="BF255" s="1">
        <v>1</v>
      </c>
      <c r="BG255" s="1">
        <f t="shared" si="225"/>
        <v>0</v>
      </c>
      <c r="BH255" s="1">
        <f t="shared" si="232"/>
        <v>0</v>
      </c>
      <c r="BI255" s="1">
        <v>1</v>
      </c>
      <c r="BJ255" s="1">
        <v>1</v>
      </c>
      <c r="BK255" s="1">
        <v>2</v>
      </c>
      <c r="BL255" s="1">
        <v>2</v>
      </c>
      <c r="BM255" s="1">
        <v>2</v>
      </c>
      <c r="BN255" s="1">
        <v>2</v>
      </c>
      <c r="BO255" s="1">
        <v>2</v>
      </c>
      <c r="BP255" s="1">
        <v>2</v>
      </c>
      <c r="BQ255" s="1">
        <f>IF(HRRVL,2,0)</f>
        <v>0</v>
      </c>
      <c r="BR255" s="1">
        <v>2</v>
      </c>
      <c r="BS255" s="1">
        <v>2</v>
      </c>
      <c r="BT255" s="1">
        <f>IF(HRXPH,2,0)</f>
        <v>0</v>
      </c>
      <c r="BU255" s="1">
        <f>IF(HRRVL,2,0)</f>
        <v>0</v>
      </c>
      <c r="BV255" s="1">
        <v>2</v>
      </c>
      <c r="BW255" s="1">
        <v>2</v>
      </c>
      <c r="BX255" s="1">
        <v>2</v>
      </c>
      <c r="BY255" s="1">
        <v>2</v>
      </c>
      <c r="BZ255" s="1">
        <v>2</v>
      </c>
      <c r="CA255" s="1">
        <v>2</v>
      </c>
      <c r="CB255" s="1">
        <v>2</v>
      </c>
      <c r="CC255" s="1">
        <v>2</v>
      </c>
      <c r="CD255" s="1">
        <v>2</v>
      </c>
      <c r="CE255" s="1">
        <v>2</v>
      </c>
      <c r="CF255" s="1">
        <v>1</v>
      </c>
      <c r="CG255" s="1">
        <f t="shared" si="233"/>
        <v>0</v>
      </c>
      <c r="CH255" s="1">
        <v>1</v>
      </c>
      <c r="CI255" s="1">
        <v>1</v>
      </c>
      <c r="CJ255" s="1">
        <v>1</v>
      </c>
      <c r="CK255" s="1">
        <v>1</v>
      </c>
      <c r="CL255" s="1">
        <v>1</v>
      </c>
      <c r="CM255" s="1">
        <v>1</v>
      </c>
      <c r="CN255" s="1">
        <v>1</v>
      </c>
      <c r="CO255" s="1">
        <v>1</v>
      </c>
      <c r="CP255" s="1">
        <v>2</v>
      </c>
      <c r="CQ255" s="1">
        <v>2</v>
      </c>
      <c r="CR255" s="1">
        <v>2</v>
      </c>
      <c r="CS255" s="1">
        <v>2</v>
      </c>
      <c r="CT255" s="1">
        <v>2</v>
      </c>
      <c r="CU255" s="1">
        <v>2</v>
      </c>
      <c r="CV255" s="1">
        <f t="shared" si="236"/>
        <v>0</v>
      </c>
      <c r="CW255" s="1">
        <v>1</v>
      </c>
      <c r="CX255" s="1">
        <v>1</v>
      </c>
      <c r="CY255" s="1">
        <v>1</v>
      </c>
      <c r="CZ255" s="1">
        <f t="shared" si="234"/>
        <v>0</v>
      </c>
      <c r="DA255" s="1">
        <v>1</v>
      </c>
      <c r="DB255" s="1">
        <v>1</v>
      </c>
      <c r="DC255" s="1">
        <v>2</v>
      </c>
      <c r="DD255" s="1">
        <v>1</v>
      </c>
      <c r="DE255" s="1">
        <v>1</v>
      </c>
      <c r="DF255" s="1">
        <v>1</v>
      </c>
      <c r="DG255" s="1">
        <v>1</v>
      </c>
      <c r="DH255" s="1">
        <v>1</v>
      </c>
      <c r="DI255" s="1">
        <f t="shared" si="237"/>
        <v>0</v>
      </c>
      <c r="DJ255" s="1">
        <v>1</v>
      </c>
      <c r="DK255" s="1" t="s">
        <v>700</v>
      </c>
      <c r="DL255" s="1" t="s">
        <v>170</v>
      </c>
      <c r="DU255" s="1" t="b">
        <f>SkKnowledgeArcanaRanks&gt;=5</f>
        <v>0</v>
      </c>
      <c r="DV255" s="1" t="b">
        <f>SkSpellcraftRanks&gt;=5</f>
        <v>0</v>
      </c>
      <c r="DX255" s="1" t="b">
        <f ca="1">MaxArcaneSpellLevel&gt;=2</f>
        <v>0</v>
      </c>
      <c r="DY255" s="1" t="b">
        <f>SpecWiz&gt;1</f>
        <v>0</v>
      </c>
      <c r="DZ255" s="1" t="b">
        <f t="shared" si="229"/>
        <v>1</v>
      </c>
      <c r="EA255" s="1" t="b">
        <f t="shared" ca="1" si="235"/>
        <v>0</v>
      </c>
      <c r="EB255" s="11" t="s">
        <v>338</v>
      </c>
      <c r="EC255" s="1" t="str">
        <f ca="1">IF(DU255,"","• 5 ranks in Knowledge (arcana).
")&amp;IF(DV255,"","• 5 ranks in Spellcraft.
")&amp;IF(DX255,"","• Ability to cast 2nd level arcane spells.
")&amp;IF(DY255,"","• Must be a specialist wizard.
")&amp;"• Spell Focus (school of specialization) (not verified)."</f>
        <v>• 5 ranks in Knowledge (arcana).
• 5 ranks in Spellcraft.
• Ability to cast 2nd level arcane spells.
• Must be a specialist wizard.
• Spell Focus (school of specialization) (not verified).</v>
      </c>
      <c r="ED255" s="11" t="s">
        <v>335</v>
      </c>
      <c r="EE255" s="14"/>
      <c r="EF255" s="15"/>
      <c r="EG255" s="15"/>
      <c r="EH255" s="15"/>
      <c r="EI255" s="15"/>
      <c r="EJ255" s="15"/>
      <c r="EK255" s="15"/>
      <c r="EL255" s="15"/>
      <c r="EM255" s="15"/>
      <c r="EN255" s="15"/>
      <c r="EO255" s="16"/>
    </row>
    <row r="256" spans="1:145" ht="11.25" customHeight="1" x14ac:dyDescent="0.2">
      <c r="A256" s="1">
        <f t="shared" si="186"/>
        <v>253</v>
      </c>
      <c r="B256" s="1" t="s">
        <v>715</v>
      </c>
      <c r="C256" s="1" t="s">
        <v>716</v>
      </c>
      <c r="D256" s="1" t="s">
        <v>716</v>
      </c>
      <c r="E256" s="1">
        <f t="shared" si="204"/>
        <v>0</v>
      </c>
      <c r="G256" s="1">
        <f>MAX(0,NSpLvl-1)</f>
        <v>0</v>
      </c>
      <c r="K256" s="1">
        <v>4</v>
      </c>
      <c r="L256" s="1">
        <v>4</v>
      </c>
      <c r="V256" s="1">
        <v>0.5</v>
      </c>
      <c r="W256" s="1">
        <v>0.34</v>
      </c>
      <c r="X256" s="1">
        <v>0.34</v>
      </c>
      <c r="Y256" s="1">
        <v>0.5</v>
      </c>
      <c r="Z256" s="1" t="b">
        <f>FALSE</f>
        <v>0</v>
      </c>
      <c r="AA256" s="1" t="str">
        <f t="shared" si="207"/>
        <v/>
      </c>
      <c r="AB256" s="1" t="str">
        <f t="shared" si="208"/>
        <v/>
      </c>
      <c r="AC256" s="1">
        <f t="shared" si="205"/>
        <v>0</v>
      </c>
      <c r="AD256" s="1" t="str">
        <f t="shared" si="209"/>
        <v/>
      </c>
      <c r="AE256" s="1" t="str">
        <f t="shared" si="210"/>
        <v/>
      </c>
      <c r="AF256" s="1">
        <f t="shared" si="206"/>
        <v>0</v>
      </c>
      <c r="AG256" s="1">
        <f t="shared" si="211"/>
        <v>5</v>
      </c>
      <c r="AH256" s="1" t="str">
        <f t="shared" si="203"/>
        <v/>
      </c>
      <c r="AI256" s="1">
        <v>1</v>
      </c>
      <c r="AJ256" s="1">
        <f t="shared" si="238"/>
        <v>0</v>
      </c>
      <c r="AK256" s="1">
        <v>1</v>
      </c>
      <c r="AL256" s="1">
        <v>2</v>
      </c>
      <c r="AM256" s="1">
        <v>1</v>
      </c>
      <c r="AN256" s="1">
        <f t="shared" si="231"/>
        <v>0</v>
      </c>
      <c r="AO256" s="1">
        <v>2</v>
      </c>
      <c r="AP256" s="1">
        <v>1</v>
      </c>
      <c r="AQ256" s="1">
        <v>1</v>
      </c>
      <c r="AR256" s="1">
        <v>1</v>
      </c>
      <c r="AS256" s="1">
        <v>1</v>
      </c>
      <c r="AT256" s="1">
        <v>1</v>
      </c>
      <c r="AU256" s="1">
        <v>1</v>
      </c>
      <c r="AV256" s="1">
        <v>1</v>
      </c>
      <c r="AW256" s="1">
        <v>2</v>
      </c>
      <c r="AX256" s="1">
        <v>2</v>
      </c>
      <c r="AY256" s="1">
        <v>1</v>
      </c>
      <c r="AZ256" s="1">
        <v>1</v>
      </c>
      <c r="BA256" s="1">
        <v>1</v>
      </c>
      <c r="BB256" s="1">
        <v>1</v>
      </c>
      <c r="BC256" s="1">
        <v>1</v>
      </c>
      <c r="BD256" s="1">
        <v>1</v>
      </c>
      <c r="BE256" s="1">
        <v>1</v>
      </c>
      <c r="BF256" s="1">
        <v>1</v>
      </c>
      <c r="BG256" s="1">
        <f t="shared" si="225"/>
        <v>0</v>
      </c>
      <c r="BH256" s="1">
        <f t="shared" si="232"/>
        <v>0</v>
      </c>
      <c r="BI256" s="1">
        <v>2</v>
      </c>
      <c r="BJ256" s="1">
        <v>1</v>
      </c>
      <c r="BK256" s="1">
        <v>2</v>
      </c>
      <c r="BL256" s="1">
        <v>2</v>
      </c>
      <c r="BM256" s="1">
        <v>2</v>
      </c>
      <c r="BN256" s="1">
        <v>2</v>
      </c>
      <c r="BO256" s="1">
        <v>2</v>
      </c>
      <c r="BP256" s="1">
        <v>2</v>
      </c>
      <c r="BQ256" s="1">
        <f>IF(HRRVL,2,0)</f>
        <v>0</v>
      </c>
      <c r="BR256" s="1">
        <v>2</v>
      </c>
      <c r="BS256" s="1">
        <v>2</v>
      </c>
      <c r="BT256" s="1">
        <f>IF(HRXPH,2,0)</f>
        <v>0</v>
      </c>
      <c r="BU256" s="1">
        <f>IF(HRRVL,2,0)</f>
        <v>0</v>
      </c>
      <c r="BV256" s="1">
        <v>2</v>
      </c>
      <c r="BW256" s="1">
        <v>2</v>
      </c>
      <c r="BX256" s="1">
        <v>2</v>
      </c>
      <c r="BY256" s="1">
        <v>2</v>
      </c>
      <c r="BZ256" s="1">
        <v>2</v>
      </c>
      <c r="CA256" s="1">
        <v>2</v>
      </c>
      <c r="CB256" s="1">
        <v>2</v>
      </c>
      <c r="CC256" s="1">
        <v>2</v>
      </c>
      <c r="CD256" s="1">
        <v>2</v>
      </c>
      <c r="CE256" s="1">
        <v>2</v>
      </c>
      <c r="CF256" s="1">
        <v>1</v>
      </c>
      <c r="CG256" s="1">
        <f t="shared" si="233"/>
        <v>0</v>
      </c>
      <c r="CH256" s="1">
        <v>1</v>
      </c>
      <c r="CI256" s="1">
        <v>1</v>
      </c>
      <c r="CJ256" s="1">
        <v>1</v>
      </c>
      <c r="CK256" s="1">
        <v>1</v>
      </c>
      <c r="CL256" s="1">
        <v>1</v>
      </c>
      <c r="CM256" s="1">
        <v>1</v>
      </c>
      <c r="CN256" s="1">
        <v>1</v>
      </c>
      <c r="CO256" s="1">
        <v>1</v>
      </c>
      <c r="CP256" s="1">
        <v>2</v>
      </c>
      <c r="CQ256" s="1">
        <v>2</v>
      </c>
      <c r="CR256" s="1">
        <v>2</v>
      </c>
      <c r="CS256" s="1">
        <v>2</v>
      </c>
      <c r="CT256" s="1">
        <v>2</v>
      </c>
      <c r="CU256" s="1">
        <v>2</v>
      </c>
      <c r="CV256" s="1">
        <f t="shared" si="236"/>
        <v>0</v>
      </c>
      <c r="CW256" s="1">
        <v>1</v>
      </c>
      <c r="CX256" s="1">
        <v>2</v>
      </c>
      <c r="CY256" s="1">
        <v>2</v>
      </c>
      <c r="CZ256" s="1">
        <f t="shared" si="234"/>
        <v>0</v>
      </c>
      <c r="DA256" s="1">
        <v>1</v>
      </c>
      <c r="DB256" s="1">
        <v>1</v>
      </c>
      <c r="DC256" s="1">
        <v>2</v>
      </c>
      <c r="DD256" s="1">
        <v>1</v>
      </c>
      <c r="DE256" s="1">
        <v>1</v>
      </c>
      <c r="DF256" s="1">
        <v>1</v>
      </c>
      <c r="DG256" s="1">
        <v>1</v>
      </c>
      <c r="DH256" s="1">
        <v>1</v>
      </c>
      <c r="DI256" s="1">
        <f t="shared" si="237"/>
        <v>0</v>
      </c>
      <c r="DJ256" s="1">
        <v>1</v>
      </c>
      <c r="DK256" s="1" t="s">
        <v>700</v>
      </c>
      <c r="DL256" s="1" t="s">
        <v>40</v>
      </c>
      <c r="DV256" s="1" t="b">
        <f>SkBluffRanks&gt;=4</f>
        <v>0</v>
      </c>
      <c r="DW256" s="1" t="b">
        <f>SkIntimidateRanks&gt;=4</f>
        <v>0</v>
      </c>
      <c r="DX256" s="1" t="b">
        <f>SkSenseMotiveRanks&gt;=4</f>
        <v>0</v>
      </c>
      <c r="DY256" s="1" t="b">
        <f ca="1">MaxArcaneSpellLevel&gt;=3</f>
        <v>0</v>
      </c>
      <c r="DZ256" s="1" t="b">
        <f t="shared" si="229"/>
        <v>1</v>
      </c>
      <c r="EA256" s="1" t="b">
        <f t="shared" ca="1" si="235"/>
        <v>0</v>
      </c>
      <c r="EB256" s="11" t="s">
        <v>338</v>
      </c>
      <c r="EC256" s="1" t="str">
        <f ca="1">IF(DV256,"","• 4 ranks in Bluff.
")&amp;IF(DW256,"","• 4 ranks in Intimidate.
")&amp;IF(DX256,"","• 4 ranks in Sense Motive.
")&amp;IF(DY256,"","• Ability to cast 3rd level arcane spells.
"&amp;"• Ability to cast one fear spell, and one mind-effecting spell (not verified)")</f>
        <v>• 4 ranks in Bluff.
• 4 ranks in Intimidate.
• 4 ranks in Sense Motive.
• Ability to cast 3rd level arcane spells.
• Ability to cast one fear spell, and one mind-effecting spell (not verified)</v>
      </c>
      <c r="ED256" s="11" t="s">
        <v>335</v>
      </c>
      <c r="EE256" s="14"/>
      <c r="EF256" s="15"/>
      <c r="EG256" s="15"/>
      <c r="EH256" s="15"/>
      <c r="EI256" s="15"/>
      <c r="EJ256" s="15"/>
      <c r="EK256" s="15"/>
      <c r="EL256" s="15"/>
      <c r="EM256" s="15"/>
      <c r="EN256" s="15"/>
      <c r="EO256" s="16"/>
    </row>
    <row r="257" spans="1:145" ht="11.25" customHeight="1" thickBot="1" x14ac:dyDescent="0.25">
      <c r="A257" s="1">
        <f t="shared" si="186"/>
        <v>254</v>
      </c>
      <c r="B257" s="1" t="s">
        <v>717</v>
      </c>
      <c r="C257" s="1" t="s">
        <v>718</v>
      </c>
      <c r="D257" s="1" t="s">
        <v>718</v>
      </c>
      <c r="E257" s="1">
        <f t="shared" si="204"/>
        <v>0</v>
      </c>
      <c r="G257" s="1">
        <f>UlMLvl</f>
        <v>0</v>
      </c>
      <c r="H257" s="1">
        <f>1*((UlMLvl&gt;=2)+(UlMLvl&gt;=3)+(UlMLvl&gt;=5)+(UlMLvl&gt;=6)+(UlMLvl&gt;=8)+(UlMLvl&gt;=9)+(UlMLvl&gt;=10))</f>
        <v>0</v>
      </c>
      <c r="K257" s="1">
        <v>2</v>
      </c>
      <c r="L257" s="1">
        <v>4</v>
      </c>
      <c r="V257" s="1">
        <v>0.5</v>
      </c>
      <c r="W257" s="1">
        <v>0.34</v>
      </c>
      <c r="X257" s="1">
        <v>0.34</v>
      </c>
      <c r="Y257" s="1">
        <v>0.5</v>
      </c>
      <c r="Z257" s="1" t="b">
        <f>FALSE</f>
        <v>0</v>
      </c>
      <c r="AA257" s="1" t="str">
        <f t="shared" si="207"/>
        <v/>
      </c>
      <c r="AB257" s="1" t="str">
        <f t="shared" si="208"/>
        <v/>
      </c>
      <c r="AC257" s="1">
        <f t="shared" si="205"/>
        <v>0</v>
      </c>
      <c r="AD257" s="1" t="str">
        <f t="shared" si="209"/>
        <v/>
      </c>
      <c r="AE257" s="1" t="str">
        <f t="shared" si="210"/>
        <v/>
      </c>
      <c r="AF257" s="1">
        <f t="shared" si="206"/>
        <v>0</v>
      </c>
      <c r="AG257" s="1">
        <f t="shared" si="211"/>
        <v>5</v>
      </c>
      <c r="AH257" s="1" t="str">
        <f t="shared" si="203"/>
        <v/>
      </c>
      <c r="AI257" s="1">
        <v>1</v>
      </c>
      <c r="AJ257" s="1">
        <f t="shared" si="238"/>
        <v>0</v>
      </c>
      <c r="AK257" s="1">
        <v>1</v>
      </c>
      <c r="AL257" s="1">
        <v>1</v>
      </c>
      <c r="AM257" s="1">
        <v>1</v>
      </c>
      <c r="AN257" s="1">
        <f t="shared" si="231"/>
        <v>0</v>
      </c>
      <c r="AO257" s="1">
        <v>2</v>
      </c>
      <c r="AP257" s="1">
        <v>2</v>
      </c>
      <c r="AQ257" s="1">
        <v>2</v>
      </c>
      <c r="AR257" s="1">
        <v>2</v>
      </c>
      <c r="AS257" s="1">
        <v>2</v>
      </c>
      <c r="AT257" s="1">
        <v>2</v>
      </c>
      <c r="AU257" s="1">
        <v>2</v>
      </c>
      <c r="AV257" s="1">
        <v>2</v>
      </c>
      <c r="AW257" s="1">
        <v>2</v>
      </c>
      <c r="AX257" s="1">
        <v>1</v>
      </c>
      <c r="AY257" s="1">
        <v>1</v>
      </c>
      <c r="AZ257" s="1">
        <v>1</v>
      </c>
      <c r="BA257" s="1">
        <v>1</v>
      </c>
      <c r="BB257" s="1">
        <v>1</v>
      </c>
      <c r="BC257" s="1">
        <v>1</v>
      </c>
      <c r="BD257" s="1">
        <v>1</v>
      </c>
      <c r="BE257" s="1">
        <v>1</v>
      </c>
      <c r="BF257" s="1">
        <v>1</v>
      </c>
      <c r="BG257" s="1">
        <f t="shared" si="225"/>
        <v>0</v>
      </c>
      <c r="BH257" s="1">
        <f t="shared" si="232"/>
        <v>0</v>
      </c>
      <c r="BI257" s="1">
        <v>1</v>
      </c>
      <c r="BJ257" s="1">
        <v>1</v>
      </c>
      <c r="BK257" s="1">
        <v>2</v>
      </c>
      <c r="BL257" s="1">
        <v>2</v>
      </c>
      <c r="BM257" s="1">
        <v>2</v>
      </c>
      <c r="BN257" s="1">
        <v>2</v>
      </c>
      <c r="BO257" s="1">
        <v>2</v>
      </c>
      <c r="BP257" s="1">
        <v>2</v>
      </c>
      <c r="BQ257" s="1">
        <f>IF(HRRVL,2,0)</f>
        <v>0</v>
      </c>
      <c r="BR257" s="1">
        <v>2</v>
      </c>
      <c r="BS257" s="1">
        <v>2</v>
      </c>
      <c r="BT257" s="1">
        <f>IF(HRXPH,2,0)</f>
        <v>0</v>
      </c>
      <c r="BU257" s="1">
        <f>IF(HRRVL,2,0)</f>
        <v>0</v>
      </c>
      <c r="BV257" s="1">
        <v>2</v>
      </c>
      <c r="BW257" s="1">
        <v>2</v>
      </c>
      <c r="BX257" s="1">
        <v>2</v>
      </c>
      <c r="BY257" s="1">
        <v>2</v>
      </c>
      <c r="BZ257" s="1">
        <v>2</v>
      </c>
      <c r="CA257" s="1">
        <v>2</v>
      </c>
      <c r="CB257" s="1">
        <v>2</v>
      </c>
      <c r="CC257" s="1">
        <v>2</v>
      </c>
      <c r="CD257" s="1">
        <v>2</v>
      </c>
      <c r="CE257" s="1">
        <v>2</v>
      </c>
      <c r="CF257" s="1">
        <v>1</v>
      </c>
      <c r="CG257" s="1">
        <f t="shared" si="233"/>
        <v>0</v>
      </c>
      <c r="CH257" s="1">
        <v>1</v>
      </c>
      <c r="CI257" s="1">
        <v>1</v>
      </c>
      <c r="CJ257" s="1">
        <v>1</v>
      </c>
      <c r="CK257" s="1">
        <v>1</v>
      </c>
      <c r="CL257" s="1">
        <v>1</v>
      </c>
      <c r="CM257" s="1">
        <v>1</v>
      </c>
      <c r="CN257" s="1">
        <v>1</v>
      </c>
      <c r="CO257" s="1">
        <v>1</v>
      </c>
      <c r="CP257" s="1">
        <v>2</v>
      </c>
      <c r="CQ257" s="1">
        <v>2</v>
      </c>
      <c r="CR257" s="1">
        <v>2</v>
      </c>
      <c r="CS257" s="1">
        <v>2</v>
      </c>
      <c r="CT257" s="1">
        <v>2</v>
      </c>
      <c r="CU257" s="1">
        <v>2</v>
      </c>
      <c r="CV257" s="1">
        <f t="shared" si="236"/>
        <v>0</v>
      </c>
      <c r="CW257" s="1">
        <v>1</v>
      </c>
      <c r="CX257" s="1">
        <v>1</v>
      </c>
      <c r="CY257" s="1">
        <v>1</v>
      </c>
      <c r="CZ257" s="1">
        <f t="shared" si="234"/>
        <v>0</v>
      </c>
      <c r="DA257" s="1">
        <v>1</v>
      </c>
      <c r="DB257" s="1">
        <v>1</v>
      </c>
      <c r="DC257" s="1">
        <v>2</v>
      </c>
      <c r="DD257" s="1">
        <v>1</v>
      </c>
      <c r="DE257" s="1">
        <v>1</v>
      </c>
      <c r="DF257" s="1">
        <v>1</v>
      </c>
      <c r="DG257" s="1">
        <v>1</v>
      </c>
      <c r="DH257" s="1">
        <v>2</v>
      </c>
      <c r="DI257" s="1">
        <f t="shared" si="237"/>
        <v>0</v>
      </c>
      <c r="DJ257" s="1">
        <v>1</v>
      </c>
      <c r="DK257" s="1" t="s">
        <v>700</v>
      </c>
      <c r="DL257" s="1" t="s">
        <v>170</v>
      </c>
      <c r="DW257" s="1" t="b">
        <f>SkKnowledgeArcanaRanks&gt;=4</f>
        <v>0</v>
      </c>
      <c r="DX257" s="1" t="b">
        <f>SkSpellcraftRanks&gt;=8</f>
        <v>0</v>
      </c>
      <c r="DY257" s="1" t="b">
        <f>MetamagicSelected&gt;=1</f>
        <v>0</v>
      </c>
      <c r="DZ257" s="1" t="b">
        <f t="shared" si="229"/>
        <v>1</v>
      </c>
      <c r="EA257" s="1" t="b">
        <f t="shared" si="235"/>
        <v>0</v>
      </c>
      <c r="EB257" s="11" t="s">
        <v>338</v>
      </c>
      <c r="EC257" s="1" t="str">
        <f>IF(DW257,"","• 4 ranks Knowledge (arcana).
")&amp;IF(DX257,"","• 8 ranks Spellcraft.
")&amp;IF(DY257,"","• Any Metamagic feat.
")&amp;"• Able to spontaneously cast 1st-level arcane spells,
  able to prepare and cast 2nd-level arcane spells from a spellbook (not verified)"</f>
        <v>• 4 ranks Knowledge (arcana).
• 8 ranks Spellcraft.
• Any Metamagic feat.
• Able to spontaneously cast 1st-level arcane spells,
  able to prepare and cast 2nd-level arcane spells from a spellbook (not verified)</v>
      </c>
      <c r="ED257" s="11" t="s">
        <v>335</v>
      </c>
      <c r="EE257" s="17"/>
      <c r="EF257" s="18"/>
      <c r="EG257" s="18"/>
      <c r="EH257" s="18"/>
      <c r="EI257" s="18"/>
      <c r="EJ257" s="18"/>
      <c r="EK257" s="18"/>
      <c r="EL257" s="18"/>
      <c r="EM257" s="18"/>
      <c r="EN257" s="18"/>
      <c r="EO257" s="19"/>
    </row>
    <row r="258" spans="1:145" ht="11.25" customHeight="1" x14ac:dyDescent="0.2">
      <c r="A258" s="1">
        <f t="shared" si="186"/>
        <v>255</v>
      </c>
      <c r="B258" s="1" t="s">
        <v>719</v>
      </c>
      <c r="C258" s="1" t="s">
        <v>720</v>
      </c>
      <c r="D258" s="1" t="s">
        <v>720</v>
      </c>
      <c r="E258" s="1">
        <f t="shared" si="204"/>
        <v>0</v>
      </c>
      <c r="G258" s="1">
        <f>UnSLvl</f>
        <v>0</v>
      </c>
      <c r="K258" s="1">
        <v>6</v>
      </c>
      <c r="L258" s="1">
        <v>4</v>
      </c>
      <c r="V258" s="1">
        <v>0.75</v>
      </c>
      <c r="W258" s="1">
        <v>0.34</v>
      </c>
      <c r="X258" s="1">
        <v>0.34</v>
      </c>
      <c r="Y258" s="1">
        <v>0.5</v>
      </c>
      <c r="Z258" s="1" t="b">
        <f>FALSE</f>
        <v>0</v>
      </c>
      <c r="AA258" s="1" t="str">
        <f t="shared" si="207"/>
        <v/>
      </c>
      <c r="AB258" s="1" t="str">
        <f t="shared" si="208"/>
        <v/>
      </c>
      <c r="AC258" s="1">
        <f t="shared" si="205"/>
        <v>0</v>
      </c>
      <c r="AD258" s="1" t="str">
        <f t="shared" si="209"/>
        <v/>
      </c>
      <c r="AE258" s="1" t="str">
        <f t="shared" si="210"/>
        <v/>
      </c>
      <c r="AF258" s="1">
        <f t="shared" si="206"/>
        <v>0</v>
      </c>
      <c r="AG258" s="1">
        <f t="shared" si="211"/>
        <v>5</v>
      </c>
      <c r="AH258" s="1" t="str">
        <f t="shared" si="203"/>
        <v/>
      </c>
      <c r="AI258" s="1">
        <v>1</v>
      </c>
      <c r="AJ258" s="1">
        <f t="shared" si="238"/>
        <v>0</v>
      </c>
      <c r="AK258" s="1">
        <v>1</v>
      </c>
      <c r="AL258" s="1">
        <v>2</v>
      </c>
      <c r="AM258" s="1">
        <v>1</v>
      </c>
      <c r="AN258" s="1">
        <f t="shared" si="231"/>
        <v>0</v>
      </c>
      <c r="AO258" s="1">
        <v>2</v>
      </c>
      <c r="AP258" s="1">
        <v>1</v>
      </c>
      <c r="AQ258" s="1">
        <v>1</v>
      </c>
      <c r="AR258" s="1">
        <v>1</v>
      </c>
      <c r="AS258" s="1">
        <v>1</v>
      </c>
      <c r="AT258" s="1">
        <v>1</v>
      </c>
      <c r="AU258" s="1">
        <v>1</v>
      </c>
      <c r="AV258" s="1">
        <v>1</v>
      </c>
      <c r="AW258" s="1">
        <v>2</v>
      </c>
      <c r="AX258" s="1">
        <v>2</v>
      </c>
      <c r="AY258" s="1">
        <v>1</v>
      </c>
      <c r="AZ258" s="1">
        <v>2</v>
      </c>
      <c r="BA258" s="1">
        <v>1</v>
      </c>
      <c r="BB258" s="1">
        <v>2</v>
      </c>
      <c r="BC258" s="1">
        <v>2</v>
      </c>
      <c r="BD258" s="1">
        <v>1</v>
      </c>
      <c r="BE258" s="1">
        <v>1</v>
      </c>
      <c r="BF258" s="1">
        <v>2</v>
      </c>
      <c r="BG258" s="1">
        <f t="shared" si="225"/>
        <v>0</v>
      </c>
      <c r="BH258" s="1">
        <f t="shared" si="232"/>
        <v>0</v>
      </c>
      <c r="BI258" s="1">
        <v>1</v>
      </c>
      <c r="BJ258" s="1">
        <v>1</v>
      </c>
      <c r="BK258" s="1">
        <v>2</v>
      </c>
      <c r="BL258" s="1">
        <v>2</v>
      </c>
      <c r="BM258" s="1">
        <v>2</v>
      </c>
      <c r="BN258" s="1">
        <v>2</v>
      </c>
      <c r="BO258" s="1">
        <v>2</v>
      </c>
      <c r="BP258" s="1">
        <v>2</v>
      </c>
      <c r="BQ258" s="1">
        <f>IF(HRRVL,2,0)</f>
        <v>0</v>
      </c>
      <c r="BR258" s="1">
        <v>2</v>
      </c>
      <c r="BS258" s="1">
        <v>2</v>
      </c>
      <c r="BT258" s="1">
        <f>IF(HRXPH,2,0)</f>
        <v>0</v>
      </c>
      <c r="BU258" s="1">
        <f>IF(HRRVL,2,0)</f>
        <v>0</v>
      </c>
      <c r="BV258" s="1">
        <v>2</v>
      </c>
      <c r="BW258" s="1">
        <v>2</v>
      </c>
      <c r="BX258" s="1">
        <v>2</v>
      </c>
      <c r="BY258" s="1">
        <v>2</v>
      </c>
      <c r="BZ258" s="1">
        <v>2</v>
      </c>
      <c r="CA258" s="1">
        <v>2</v>
      </c>
      <c r="CB258" s="1">
        <v>2</v>
      </c>
      <c r="CC258" s="1">
        <v>2</v>
      </c>
      <c r="CD258" s="1">
        <v>2</v>
      </c>
      <c r="CE258" s="1">
        <v>2</v>
      </c>
      <c r="CF258" s="1">
        <v>2</v>
      </c>
      <c r="CG258" s="1">
        <f t="shared" si="233"/>
        <v>0</v>
      </c>
      <c r="CH258" s="1">
        <v>2</v>
      </c>
      <c r="CI258" s="1">
        <v>1</v>
      </c>
      <c r="CJ258" s="1">
        <v>1</v>
      </c>
      <c r="CK258" s="1">
        <v>1</v>
      </c>
      <c r="CL258" s="1">
        <v>1</v>
      </c>
      <c r="CM258" s="1">
        <v>1</v>
      </c>
      <c r="CN258" s="1">
        <v>1</v>
      </c>
      <c r="CO258" s="1">
        <v>1</v>
      </c>
      <c r="CP258" s="1">
        <v>2</v>
      </c>
      <c r="CQ258" s="1">
        <v>2</v>
      </c>
      <c r="CR258" s="1">
        <v>2</v>
      </c>
      <c r="CS258" s="1">
        <v>2</v>
      </c>
      <c r="CT258" s="1">
        <v>2</v>
      </c>
      <c r="CU258" s="1">
        <v>2</v>
      </c>
      <c r="CV258" s="1">
        <f t="shared" si="236"/>
        <v>0</v>
      </c>
      <c r="CW258" s="1">
        <v>1</v>
      </c>
      <c r="CX258" s="1">
        <v>2</v>
      </c>
      <c r="CY258" s="1">
        <v>2</v>
      </c>
      <c r="CZ258" s="1">
        <f t="shared" si="234"/>
        <v>0</v>
      </c>
      <c r="DA258" s="1">
        <v>1</v>
      </c>
      <c r="DB258" s="1">
        <v>1</v>
      </c>
      <c r="DC258" s="1">
        <v>2</v>
      </c>
      <c r="DD258" s="1">
        <v>2</v>
      </c>
      <c r="DE258" s="1">
        <v>1</v>
      </c>
      <c r="DF258" s="1">
        <v>1</v>
      </c>
      <c r="DG258" s="1">
        <v>1</v>
      </c>
      <c r="DH258" s="1">
        <v>1</v>
      </c>
      <c r="DI258" s="1">
        <f t="shared" si="237"/>
        <v>0</v>
      </c>
      <c r="DJ258" s="1">
        <v>1</v>
      </c>
      <c r="DK258" s="1" t="s">
        <v>700</v>
      </c>
      <c r="DL258" s="1" t="s">
        <v>40</v>
      </c>
      <c r="DT258" s="1" t="b">
        <f>SkHideRanks&gt;=8</f>
        <v>0</v>
      </c>
      <c r="DU258" s="1" t="b">
        <f>SkSearchRanks&gt;=8</f>
        <v>0</v>
      </c>
      <c r="DV258" s="1" t="b">
        <f>SkSenseMotiveRanks&gt;=4</f>
        <v>0</v>
      </c>
      <c r="DW258" s="1" t="b">
        <f>SkSpellcraftRanks&gt;=4</f>
        <v>0</v>
      </c>
      <c r="DX258" s="1" t="b">
        <f>SkSpotRanks&gt;=8</f>
        <v>0</v>
      </c>
      <c r="DY258" s="1" t="b">
        <f ca="1">MaxArcaneSpellLevel&gt;=1</f>
        <v>0</v>
      </c>
      <c r="DZ258" s="1" t="b">
        <f t="shared" si="229"/>
        <v>1</v>
      </c>
      <c r="EA258" s="1" t="b">
        <f t="shared" ca="1" si="235"/>
        <v>0</v>
      </c>
      <c r="EB258" s="11" t="s">
        <v>338</v>
      </c>
      <c r="EC258" s="1" t="str">
        <f ca="1">IF(DT258,"","• 8 ranks in Hide.
")&amp;IF(DU258,"","• 8 ranks in Search.
")&amp;IF(DV258,"","• 4 ranks in Sense Motive.
")&amp;IF(DW258,"","• 4 ranks in Spellcraft.
")&amp;IF(DX258,"","• 8 ranks in Spot.
")&amp;IF(DY258,"","• Ability to cast 1st level arcane spells.
")&amp;"• Ability to cast two divination spells (not verified)"</f>
        <v>• 8 ranks in Hide.
• 8 ranks in Search.
• 4 ranks in Sense Motive.
• 4 ranks in Spellcraft.
• 8 ranks in Spot.
• Ability to cast 1st level arcane spells.
• Ability to cast two divination spells (not verified)</v>
      </c>
      <c r="ED258" s="11" t="s">
        <v>335</v>
      </c>
    </row>
    <row r="259" spans="1:145" ht="11.25" customHeight="1" x14ac:dyDescent="0.2">
      <c r="A259" s="1">
        <f t="shared" si="186"/>
        <v>256</v>
      </c>
      <c r="B259" s="1" t="s">
        <v>721</v>
      </c>
      <c r="C259" s="1" t="s">
        <v>722</v>
      </c>
      <c r="D259" s="1" t="s">
        <v>722</v>
      </c>
      <c r="E259" s="1">
        <f t="shared" si="204"/>
        <v>0</v>
      </c>
      <c r="G259" s="1">
        <f>MAX(0,WSlLvl-1)</f>
        <v>0</v>
      </c>
      <c r="K259" s="1">
        <v>2</v>
      </c>
      <c r="L259" s="1">
        <v>4</v>
      </c>
      <c r="V259" s="1">
        <v>0.5</v>
      </c>
      <c r="W259" s="1">
        <v>0.34</v>
      </c>
      <c r="X259" s="1">
        <v>0.34</v>
      </c>
      <c r="Y259" s="1">
        <v>0.5</v>
      </c>
      <c r="Z259" s="1" t="b">
        <f>FALSE</f>
        <v>0</v>
      </c>
      <c r="AA259" s="1" t="str">
        <f t="shared" si="207"/>
        <v/>
      </c>
      <c r="AB259" s="1" t="str">
        <f t="shared" si="208"/>
        <v/>
      </c>
      <c r="AC259" s="1">
        <f t="shared" si="205"/>
        <v>0</v>
      </c>
      <c r="AD259" s="1" t="str">
        <f t="shared" si="209"/>
        <v/>
      </c>
      <c r="AE259" s="1" t="str">
        <f t="shared" si="210"/>
        <v/>
      </c>
      <c r="AF259" s="1">
        <f t="shared" si="206"/>
        <v>0</v>
      </c>
      <c r="AG259" s="1">
        <f t="shared" si="211"/>
        <v>5</v>
      </c>
      <c r="AH259" s="1" t="str">
        <f t="shared" si="203"/>
        <v/>
      </c>
      <c r="AI259" s="1">
        <v>1</v>
      </c>
      <c r="AJ259" s="1">
        <f t="shared" si="238"/>
        <v>0</v>
      </c>
      <c r="AK259" s="1">
        <v>1</v>
      </c>
      <c r="AL259" s="1">
        <v>1</v>
      </c>
      <c r="AM259" s="1">
        <v>1</v>
      </c>
      <c r="AN259" s="1">
        <f t="shared" si="231"/>
        <v>0</v>
      </c>
      <c r="AO259" s="1">
        <v>2</v>
      </c>
      <c r="AP259" s="1">
        <v>2</v>
      </c>
      <c r="AQ259" s="1">
        <v>2</v>
      </c>
      <c r="AR259" s="1">
        <v>2</v>
      </c>
      <c r="AS259" s="1">
        <v>2</v>
      </c>
      <c r="AT259" s="1">
        <v>2</v>
      </c>
      <c r="AU259" s="1">
        <v>2</v>
      </c>
      <c r="AV259" s="1">
        <v>2</v>
      </c>
      <c r="AW259" s="1">
        <v>1</v>
      </c>
      <c r="AX259" s="1">
        <v>2</v>
      </c>
      <c r="AY259" s="1">
        <v>1</v>
      </c>
      <c r="AZ259" s="1">
        <v>1</v>
      </c>
      <c r="BA259" s="1">
        <v>1</v>
      </c>
      <c r="BB259" s="1">
        <v>1</v>
      </c>
      <c r="BC259" s="1">
        <v>1</v>
      </c>
      <c r="BD259" s="1">
        <v>1</v>
      </c>
      <c r="BE259" s="1">
        <v>1</v>
      </c>
      <c r="BF259" s="1">
        <v>1</v>
      </c>
      <c r="BG259" s="1">
        <f t="shared" si="225"/>
        <v>0</v>
      </c>
      <c r="BH259" s="1">
        <f t="shared" si="232"/>
        <v>0</v>
      </c>
      <c r="BI259" s="1">
        <v>1</v>
      </c>
      <c r="BJ259" s="1">
        <v>1</v>
      </c>
      <c r="BK259" s="1">
        <v>2</v>
      </c>
      <c r="BL259" s="1">
        <v>1</v>
      </c>
      <c r="BM259" s="1">
        <v>1</v>
      </c>
      <c r="BN259" s="1">
        <v>1</v>
      </c>
      <c r="BO259" s="1">
        <v>1</v>
      </c>
      <c r="BP259" s="1">
        <v>1</v>
      </c>
      <c r="BQ259" s="1">
        <f>IF(HRRVL,1,0)</f>
        <v>0</v>
      </c>
      <c r="BR259" s="1">
        <v>2</v>
      </c>
      <c r="BS259" s="1">
        <v>1</v>
      </c>
      <c r="BT259" s="1">
        <f t="shared" si="239"/>
        <v>0</v>
      </c>
      <c r="BU259" s="1">
        <f>IF(HRRVL,1,0)</f>
        <v>0</v>
      </c>
      <c r="BV259" s="1">
        <v>1</v>
      </c>
      <c r="BW259" s="1">
        <v>2</v>
      </c>
      <c r="BX259" s="1">
        <v>1</v>
      </c>
      <c r="BY259" s="1">
        <v>1</v>
      </c>
      <c r="BZ259" s="1">
        <v>1</v>
      </c>
      <c r="CA259" s="1">
        <v>1</v>
      </c>
      <c r="CB259" s="1">
        <v>1</v>
      </c>
      <c r="CC259" s="1">
        <v>1</v>
      </c>
      <c r="CD259" s="1">
        <v>1</v>
      </c>
      <c r="CE259" s="1">
        <v>1</v>
      </c>
      <c r="CF259" s="1">
        <v>1</v>
      </c>
      <c r="CG259" s="1">
        <f t="shared" si="233"/>
        <v>0</v>
      </c>
      <c r="CH259" s="1">
        <v>1</v>
      </c>
      <c r="CI259" s="1">
        <v>1</v>
      </c>
      <c r="CJ259" s="1">
        <v>1</v>
      </c>
      <c r="CK259" s="1">
        <v>1</v>
      </c>
      <c r="CL259" s="1">
        <v>1</v>
      </c>
      <c r="CM259" s="1">
        <v>1</v>
      </c>
      <c r="CN259" s="1">
        <v>1</v>
      </c>
      <c r="CO259" s="1">
        <v>1</v>
      </c>
      <c r="CP259" s="1">
        <v>1</v>
      </c>
      <c r="CQ259" s="1">
        <v>1</v>
      </c>
      <c r="CR259" s="1">
        <v>1</v>
      </c>
      <c r="CS259" s="1">
        <v>1</v>
      </c>
      <c r="CT259" s="1">
        <v>1</v>
      </c>
      <c r="CU259" s="1">
        <v>1</v>
      </c>
      <c r="CV259" s="1">
        <f t="shared" si="236"/>
        <v>0</v>
      </c>
      <c r="CW259" s="1">
        <v>1</v>
      </c>
      <c r="CX259" s="1">
        <v>1</v>
      </c>
      <c r="CY259" s="1">
        <v>1</v>
      </c>
      <c r="CZ259" s="1">
        <f t="shared" si="234"/>
        <v>0</v>
      </c>
      <c r="DA259" s="1">
        <v>1</v>
      </c>
      <c r="DB259" s="1">
        <v>1</v>
      </c>
      <c r="DC259" s="1">
        <v>2</v>
      </c>
      <c r="DD259" s="1">
        <v>1</v>
      </c>
      <c r="DE259" s="1">
        <v>1</v>
      </c>
      <c r="DF259" s="1">
        <v>1</v>
      </c>
      <c r="DG259" s="1">
        <v>1</v>
      </c>
      <c r="DH259" s="1">
        <v>1</v>
      </c>
      <c r="DI259" s="1">
        <f t="shared" si="237"/>
        <v>0</v>
      </c>
      <c r="DJ259" s="1">
        <v>1</v>
      </c>
      <c r="DK259" s="1" t="s">
        <v>700</v>
      </c>
      <c r="DL259" s="1" t="s">
        <v>40</v>
      </c>
      <c r="DV259" s="1" t="b">
        <f>AlignmentNonLawful</f>
        <v>0</v>
      </c>
      <c r="DW259" s="1" t="b">
        <f>SkKnowledgeArcanaRanks&gt;=8</f>
        <v>0</v>
      </c>
      <c r="DX259" s="1" t="b">
        <f>SkKnowledgeNatureRanks&gt;=4</f>
        <v>0</v>
      </c>
      <c r="DY259" s="1" t="b">
        <f ca="1">MaxArcaneSpellLevel&gt;=2</f>
        <v>0</v>
      </c>
      <c r="DZ259" s="1" t="b">
        <f t="shared" si="229"/>
        <v>1</v>
      </c>
      <c r="EA259" s="1" t="b">
        <f t="shared" ca="1" si="235"/>
        <v>0</v>
      </c>
      <c r="EB259" s="11" t="s">
        <v>338</v>
      </c>
      <c r="EC259" s="1" t="str">
        <f ca="1">IF(DV259,"","• Any non-lawful alignment.
")&amp;IF(DW259,"","• 8 ranks in Knowledge (arcana).
")&amp;IF(DX259,"","• 4 ranks in Knowledge (nature).
")&amp;IF(DY259,"","• Ability to cast 2st level arcane spells.
")&amp;"• Must have made peaceful contact with a fey creature
  and have spent 6 days among fey (not verified)."</f>
        <v>• Any non-lawful alignment.
• 8 ranks in Knowledge (arcana).
• 4 ranks in Knowledge (nature).
• Ability to cast 2st level arcane spells.
• Must have made peaceful contact with a fey creature
  and have spent 6 days among fey (not verified).</v>
      </c>
      <c r="ED259" s="11" t="s">
        <v>335</v>
      </c>
      <c r="EE259" s="1" t="s">
        <v>723</v>
      </c>
      <c r="EF259" s="1">
        <f>COUNTA($EE$227:$EE$257)</f>
        <v>26</v>
      </c>
    </row>
    <row r="260" spans="1:145" ht="11.25" customHeight="1" x14ac:dyDescent="0.2">
      <c r="A260" s="1">
        <f t="shared" si="186"/>
        <v>257</v>
      </c>
      <c r="B260" s="1" t="s">
        <v>724</v>
      </c>
      <c r="E260" s="1">
        <f t="shared" si="204"/>
        <v>0</v>
      </c>
      <c r="F260" s="1">
        <v>1</v>
      </c>
      <c r="Z260" s="1" t="b">
        <f>FALSE</f>
        <v>0</v>
      </c>
      <c r="AA260" s="1" t="str">
        <f t="shared" si="207"/>
        <v/>
      </c>
      <c r="AB260" s="1" t="str">
        <f t="shared" si="208"/>
        <v/>
      </c>
      <c r="AC260" s="1">
        <f t="shared" si="205"/>
        <v>0</v>
      </c>
      <c r="AD260" s="1" t="str">
        <f t="shared" si="209"/>
        <v/>
      </c>
      <c r="AE260" s="1" t="str">
        <f t="shared" si="210"/>
        <v/>
      </c>
      <c r="AF260" s="1">
        <f t="shared" si="206"/>
        <v>0</v>
      </c>
      <c r="AG260" s="1">
        <f t="shared" si="211"/>
        <v>5</v>
      </c>
      <c r="AH260" s="1" t="str">
        <f t="shared" si="203"/>
        <v/>
      </c>
      <c r="EB260" s="11"/>
      <c r="ED260" s="11" t="s">
        <v>335</v>
      </c>
      <c r="EE260" s="1" t="s">
        <v>725</v>
      </c>
      <c r="EF260" s="1" t="b">
        <f>OR($EI$228:INDEX(TblClassSubtypeMod,ClassSubtypeModRowsCnt,5))</f>
        <v>0</v>
      </c>
    </row>
    <row r="261" spans="1:145" ht="11.25" customHeight="1" x14ac:dyDescent="0.2">
      <c r="A261" s="1">
        <f t="shared" si="186"/>
        <v>258</v>
      </c>
      <c r="B261" s="1" t="s">
        <v>726</v>
      </c>
      <c r="C261" s="1" t="s">
        <v>727</v>
      </c>
      <c r="D261" s="1" t="s">
        <v>727</v>
      </c>
      <c r="E261" s="1">
        <f t="shared" si="204"/>
        <v>0</v>
      </c>
      <c r="K261" s="1">
        <v>6</v>
      </c>
      <c r="L261" s="1">
        <v>8</v>
      </c>
      <c r="V261" s="1">
        <v>0.75</v>
      </c>
      <c r="W261" s="1">
        <v>0.34</v>
      </c>
      <c r="X261" s="1">
        <v>0.5</v>
      </c>
      <c r="Y261" s="1">
        <v>0.5</v>
      </c>
      <c r="Z261" s="1" t="b">
        <f>FALSE</f>
        <v>0</v>
      </c>
      <c r="AA261" s="1" t="str">
        <f t="shared" si="207"/>
        <v/>
      </c>
      <c r="AB261" s="1" t="str">
        <f t="shared" si="208"/>
        <v/>
      </c>
      <c r="AC261" s="1">
        <f t="shared" si="205"/>
        <v>0</v>
      </c>
      <c r="AD261" s="1" t="str">
        <f t="shared" si="209"/>
        <v/>
      </c>
      <c r="AE261" s="1" t="str">
        <f t="shared" si="210"/>
        <v/>
      </c>
      <c r="AF261" s="1">
        <f t="shared" si="206"/>
        <v>0</v>
      </c>
      <c r="AG261" s="1">
        <f t="shared" si="211"/>
        <v>5</v>
      </c>
      <c r="AH261" s="1" t="str">
        <f t="shared" si="203"/>
        <v/>
      </c>
      <c r="AI261" s="1">
        <v>1</v>
      </c>
      <c r="AJ261" s="1">
        <f t="shared" si="238"/>
        <v>0</v>
      </c>
      <c r="AK261" s="1">
        <v>2</v>
      </c>
      <c r="AL261" s="1">
        <v>2</v>
      </c>
      <c r="AM261" s="1">
        <v>2</v>
      </c>
      <c r="AN261" s="1">
        <f t="shared" ref="AN261:AN273" si="240">IF(IsLycanthrope,2,0)</f>
        <v>0</v>
      </c>
      <c r="AO261" s="1">
        <v>1</v>
      </c>
      <c r="AP261" s="1">
        <v>2</v>
      </c>
      <c r="AQ261" s="1">
        <v>2</v>
      </c>
      <c r="AR261" s="1">
        <v>2</v>
      </c>
      <c r="AS261" s="1">
        <v>2</v>
      </c>
      <c r="AT261" s="1">
        <v>2</v>
      </c>
      <c r="AU261" s="1">
        <v>2</v>
      </c>
      <c r="AV261" s="1">
        <v>2</v>
      </c>
      <c r="AW261" s="1">
        <v>1</v>
      </c>
      <c r="AX261" s="1">
        <v>1</v>
      </c>
      <c r="AY261" s="1">
        <v>1</v>
      </c>
      <c r="AZ261" s="1">
        <v>2</v>
      </c>
      <c r="BA261" s="1">
        <v>2</v>
      </c>
      <c r="BB261" s="1">
        <v>1</v>
      </c>
      <c r="BC261" s="1">
        <v>1</v>
      </c>
      <c r="BD261" s="1">
        <v>1</v>
      </c>
      <c r="BE261" s="1">
        <v>1</v>
      </c>
      <c r="BF261" s="1">
        <v>2</v>
      </c>
      <c r="BG261" s="1">
        <f t="shared" si="225"/>
        <v>0</v>
      </c>
      <c r="BH261" s="1">
        <f t="shared" ref="BH261:BH273" si="241">IF(HROA,1,0)</f>
        <v>0</v>
      </c>
      <c r="BI261" s="1">
        <v>2</v>
      </c>
      <c r="BJ261" s="1">
        <v>2</v>
      </c>
      <c r="BK261" s="1">
        <v>1</v>
      </c>
      <c r="BL261" s="1">
        <v>1</v>
      </c>
      <c r="BM261" s="1">
        <v>1</v>
      </c>
      <c r="BN261" s="1">
        <v>1</v>
      </c>
      <c r="BO261" s="1">
        <v>1</v>
      </c>
      <c r="BP261" s="1">
        <v>1</v>
      </c>
      <c r="BQ261" s="1">
        <f t="shared" ref="BQ261:BQ285" si="242">IF(HRRVL,1,0)</f>
        <v>0</v>
      </c>
      <c r="BR261" s="1">
        <v>1</v>
      </c>
      <c r="BS261" s="1">
        <v>1</v>
      </c>
      <c r="BT261" s="1">
        <f t="shared" si="239"/>
        <v>0</v>
      </c>
      <c r="BU261" s="1">
        <f t="shared" ref="BU261:BU285" si="243">IF(HRRVL,1,0)</f>
        <v>0</v>
      </c>
      <c r="BV261" s="1">
        <v>1</v>
      </c>
      <c r="BW261" s="1">
        <v>1</v>
      </c>
      <c r="BX261" s="1">
        <v>1</v>
      </c>
      <c r="BY261" s="1">
        <v>1</v>
      </c>
      <c r="BZ261" s="1">
        <v>1</v>
      </c>
      <c r="CA261" s="1">
        <v>1</v>
      </c>
      <c r="CB261" s="1">
        <v>1</v>
      </c>
      <c r="CC261" s="1">
        <v>1</v>
      </c>
      <c r="CD261" s="1">
        <v>1</v>
      </c>
      <c r="CE261" s="1">
        <v>1</v>
      </c>
      <c r="CF261" s="1">
        <v>2</v>
      </c>
      <c r="CG261" s="1">
        <f t="shared" ref="CG261:CG273" si="244">IF(HRToB,1,0)</f>
        <v>0</v>
      </c>
      <c r="CH261" s="1">
        <v>2</v>
      </c>
      <c r="CI261" s="1">
        <v>2</v>
      </c>
      <c r="CJ261" s="1">
        <v>1</v>
      </c>
      <c r="CK261" s="1">
        <v>1</v>
      </c>
      <c r="CL261" s="1">
        <v>1</v>
      </c>
      <c r="CM261" s="1">
        <v>1</v>
      </c>
      <c r="CN261" s="1">
        <v>1</v>
      </c>
      <c r="CO261" s="1">
        <v>1</v>
      </c>
      <c r="CP261" s="1">
        <v>2</v>
      </c>
      <c r="CQ261" s="1">
        <v>2</v>
      </c>
      <c r="CR261" s="1">
        <v>2</v>
      </c>
      <c r="CS261" s="1">
        <v>2</v>
      </c>
      <c r="CT261" s="1">
        <v>2</v>
      </c>
      <c r="CU261" s="1">
        <v>2</v>
      </c>
      <c r="CV261" s="1">
        <f t="shared" si="236"/>
        <v>0</v>
      </c>
      <c r="CW261" s="1">
        <v>1</v>
      </c>
      <c r="CX261" s="1">
        <v>1</v>
      </c>
      <c r="CY261" s="1">
        <v>1</v>
      </c>
      <c r="CZ261" s="1">
        <f t="shared" ref="CZ261:CZ273" si="245">IF(HRCS,1,0)</f>
        <v>0</v>
      </c>
      <c r="DA261" s="1">
        <v>1</v>
      </c>
      <c r="DB261" s="1">
        <v>1</v>
      </c>
      <c r="DC261" s="1">
        <v>1</v>
      </c>
      <c r="DD261" s="1">
        <v>2</v>
      </c>
      <c r="DE261" s="1">
        <v>1</v>
      </c>
      <c r="DF261" s="1">
        <v>1</v>
      </c>
      <c r="DG261" s="1">
        <v>1</v>
      </c>
      <c r="DH261" s="1">
        <v>1</v>
      </c>
      <c r="DI261" s="1">
        <f t="shared" si="237"/>
        <v>0</v>
      </c>
      <c r="DJ261" s="1">
        <v>2</v>
      </c>
      <c r="DK261" s="1" t="s">
        <v>728</v>
      </c>
      <c r="DL261" s="1" t="s">
        <v>101</v>
      </c>
      <c r="DU261" s="1" t="b">
        <f>AlignmentNonGood</f>
        <v>0</v>
      </c>
      <c r="DV261" s="1" t="b">
        <f>BaseAtk&gt;=5</f>
        <v>0</v>
      </c>
      <c r="DW261" s="1" t="b">
        <f>SkHideRanks&gt;=4</f>
        <v>0</v>
      </c>
      <c r="DX261" s="1" t="b">
        <f>SkIntimidateRanks&gt;=6</f>
        <v>0</v>
      </c>
      <c r="DY261" s="1" t="b">
        <f>SkMoveSilentlyRanks&gt;=4</f>
        <v>0</v>
      </c>
      <c r="DZ261" s="1" t="b">
        <f t="shared" si="229"/>
        <v>1</v>
      </c>
      <c r="EA261" s="1" t="b">
        <f t="shared" ref="EA261:EA273" si="246">AND(DM261:DZ261)</f>
        <v>0</v>
      </c>
      <c r="EB261" s="11" t="s">
        <v>338</v>
      </c>
      <c r="EC261" s="1" t="str">
        <f>IF(DU261,"","• Any nongood.
")&amp;IF(DV261,"","• Base Attack bonus +5.
")&amp;IF(DW261,"","• Hide 4 ranks.
")&amp;IF(DX261,"","• Intimidate 6 ranks.
")&amp;IF(DY261,"","• Move Silently 4 ranks.
")&amp;"• Must have been mortaly wounded in some way (not verified)."</f>
        <v>• Any nongood.
• Base Attack bonus +5.
• Hide 4 ranks.
• Intimidate 6 ranks.
• Move Silently 4 ranks.
• Must have been mortaly wounded in some way (not verified).</v>
      </c>
      <c r="ED261" s="11" t="s">
        <v>335</v>
      </c>
      <c r="EE261" s="1" t="s">
        <v>729</v>
      </c>
      <c r="EF261" s="1" t="str">
        <f>IF(DoClassSubtypeMod,RANGECONCAT(",",TRUE,$EO$228:INDEX(TblClassSubtypeMod,ClassSubtypeModRowsCnt,11)),"")</f>
        <v/>
      </c>
    </row>
    <row r="262" spans="1:145" ht="11.25" customHeight="1" x14ac:dyDescent="0.2">
      <c r="A262" s="1">
        <f t="shared" ref="A262:A325" si="247">A261+1</f>
        <v>259</v>
      </c>
      <c r="B262" s="1" t="s">
        <v>730</v>
      </c>
      <c r="C262" s="1" t="s">
        <v>731</v>
      </c>
      <c r="D262" s="1" t="s">
        <v>731</v>
      </c>
      <c r="E262" s="1">
        <f t="shared" si="204"/>
        <v>0</v>
      </c>
      <c r="K262" s="1">
        <v>4</v>
      </c>
      <c r="L262" s="1">
        <v>10</v>
      </c>
      <c r="V262" s="1">
        <v>1</v>
      </c>
      <c r="W262" s="1">
        <v>0.5</v>
      </c>
      <c r="X262" s="1">
        <v>0.34</v>
      </c>
      <c r="Y262" s="1">
        <v>0.34</v>
      </c>
      <c r="Z262" s="1" t="b">
        <f>FALSE</f>
        <v>0</v>
      </c>
      <c r="AA262" s="1" t="str">
        <f t="shared" si="207"/>
        <v/>
      </c>
      <c r="AB262" s="1" t="str">
        <f t="shared" si="208"/>
        <v/>
      </c>
      <c r="AC262" s="1">
        <f t="shared" si="205"/>
        <v>0</v>
      </c>
      <c r="AD262" s="1" t="str">
        <f t="shared" si="209"/>
        <v/>
      </c>
      <c r="AE262" s="1" t="str">
        <f t="shared" si="210"/>
        <v/>
      </c>
      <c r="AF262" s="1">
        <f t="shared" si="206"/>
        <v>0</v>
      </c>
      <c r="AG262" s="1">
        <f t="shared" si="211"/>
        <v>5</v>
      </c>
      <c r="AH262" s="1" t="str">
        <f t="shared" si="203"/>
        <v/>
      </c>
      <c r="AI262" s="1">
        <v>1</v>
      </c>
      <c r="AJ262" s="1">
        <f t="shared" si="238"/>
        <v>0</v>
      </c>
      <c r="AK262" s="1">
        <v>2</v>
      </c>
      <c r="AL262" s="1">
        <v>2</v>
      </c>
      <c r="AM262" s="1">
        <v>2</v>
      </c>
      <c r="AN262" s="1">
        <f t="shared" si="240"/>
        <v>0</v>
      </c>
      <c r="AO262" s="1">
        <v>1</v>
      </c>
      <c r="AP262" s="1">
        <v>2</v>
      </c>
      <c r="AQ262" s="1">
        <v>2</v>
      </c>
      <c r="AR262" s="1">
        <v>2</v>
      </c>
      <c r="AS262" s="1">
        <v>2</v>
      </c>
      <c r="AT262" s="1">
        <v>2</v>
      </c>
      <c r="AU262" s="1">
        <v>2</v>
      </c>
      <c r="AV262" s="1">
        <v>2</v>
      </c>
      <c r="AW262" s="1">
        <v>1</v>
      </c>
      <c r="AX262" s="1">
        <v>1</v>
      </c>
      <c r="AY262" s="1">
        <v>1</v>
      </c>
      <c r="AZ262" s="1">
        <v>1</v>
      </c>
      <c r="BA262" s="1">
        <v>1</v>
      </c>
      <c r="BB262" s="1">
        <v>1</v>
      </c>
      <c r="BC262" s="1">
        <v>1</v>
      </c>
      <c r="BD262" s="1">
        <v>2</v>
      </c>
      <c r="BE262" s="1">
        <v>1</v>
      </c>
      <c r="BF262" s="1">
        <v>1</v>
      </c>
      <c r="BG262" s="1">
        <f t="shared" si="225"/>
        <v>0</v>
      </c>
      <c r="BH262" s="1">
        <f t="shared" si="241"/>
        <v>0</v>
      </c>
      <c r="BI262" s="1">
        <v>1</v>
      </c>
      <c r="BJ262" s="1">
        <v>2</v>
      </c>
      <c r="BK262" s="1">
        <v>1</v>
      </c>
      <c r="BL262" s="1">
        <v>1</v>
      </c>
      <c r="BM262" s="1">
        <v>1</v>
      </c>
      <c r="BN262" s="1">
        <v>1</v>
      </c>
      <c r="BO262" s="1">
        <v>1</v>
      </c>
      <c r="BP262" s="1">
        <v>1</v>
      </c>
      <c r="BQ262" s="1">
        <f t="shared" si="242"/>
        <v>0</v>
      </c>
      <c r="BR262" s="1">
        <v>1</v>
      </c>
      <c r="BS262" s="1">
        <v>1</v>
      </c>
      <c r="BT262" s="1">
        <f t="shared" si="239"/>
        <v>0</v>
      </c>
      <c r="BU262" s="1">
        <f t="shared" si="243"/>
        <v>0</v>
      </c>
      <c r="BV262" s="1">
        <v>1</v>
      </c>
      <c r="BW262" s="1">
        <v>1</v>
      </c>
      <c r="BX262" s="1">
        <v>1</v>
      </c>
      <c r="BY262" s="1">
        <v>1</v>
      </c>
      <c r="BZ262" s="1">
        <v>1</v>
      </c>
      <c r="CA262" s="1">
        <v>1</v>
      </c>
      <c r="CB262" s="1">
        <v>1</v>
      </c>
      <c r="CC262" s="1">
        <v>1</v>
      </c>
      <c r="CD262" s="1">
        <v>1</v>
      </c>
      <c r="CE262" s="1">
        <v>1</v>
      </c>
      <c r="CF262" s="1">
        <v>1</v>
      </c>
      <c r="CG262" s="1">
        <f t="shared" si="244"/>
        <v>0</v>
      </c>
      <c r="CH262" s="1">
        <v>1</v>
      </c>
      <c r="CI262" s="1">
        <v>1</v>
      </c>
      <c r="CJ262" s="1">
        <v>1</v>
      </c>
      <c r="CK262" s="1">
        <v>1</v>
      </c>
      <c r="CL262" s="1">
        <v>1</v>
      </c>
      <c r="CM262" s="1">
        <v>1</v>
      </c>
      <c r="CN262" s="1">
        <v>1</v>
      </c>
      <c r="CO262" s="1">
        <v>1</v>
      </c>
      <c r="CP262" s="1">
        <v>2</v>
      </c>
      <c r="CQ262" s="1">
        <v>2</v>
      </c>
      <c r="CR262" s="1">
        <v>2</v>
      </c>
      <c r="CS262" s="1">
        <v>2</v>
      </c>
      <c r="CT262" s="1">
        <v>2</v>
      </c>
      <c r="CU262" s="1">
        <v>2</v>
      </c>
      <c r="CV262" s="1">
        <f t="shared" si="236"/>
        <v>0</v>
      </c>
      <c r="CW262" s="1">
        <v>2</v>
      </c>
      <c r="CX262" s="1">
        <v>1</v>
      </c>
      <c r="CY262" s="1">
        <v>1</v>
      </c>
      <c r="CZ262" s="1">
        <f t="shared" si="245"/>
        <v>0</v>
      </c>
      <c r="DA262" s="1">
        <v>1</v>
      </c>
      <c r="DB262" s="1">
        <v>1</v>
      </c>
      <c r="DC262" s="1">
        <v>1</v>
      </c>
      <c r="DD262" s="1">
        <v>1</v>
      </c>
      <c r="DE262" s="1">
        <v>1</v>
      </c>
      <c r="DF262" s="1">
        <v>2</v>
      </c>
      <c r="DG262" s="1">
        <v>2</v>
      </c>
      <c r="DH262" s="1">
        <v>1</v>
      </c>
      <c r="DI262" s="1">
        <f t="shared" si="237"/>
        <v>0</v>
      </c>
      <c r="DJ262" s="1">
        <v>2</v>
      </c>
      <c r="DK262" s="1" t="s">
        <v>728</v>
      </c>
      <c r="DL262" s="1" t="s">
        <v>101</v>
      </c>
      <c r="DX262" s="1" t="b">
        <f>BaseAtk&gt;=5</f>
        <v>0</v>
      </c>
      <c r="DY262" s="1" t="b">
        <f>SkillTricksSelected&gt;=2</f>
        <v>0</v>
      </c>
      <c r="DZ262" s="1" t="b">
        <f>NOT(HRLivingGreyhawk)</f>
        <v>1</v>
      </c>
      <c r="EA262" s="1" t="b">
        <f t="shared" si="246"/>
        <v>0</v>
      </c>
      <c r="EB262" s="11" t="s">
        <v>338</v>
      </c>
      <c r="EC262" s="1" t="str">
        <f>IF(DX262,"","• Base Attack +5.
")&amp;IF(DY262,"","• Any two skill tricks.
")&amp;"• Any three skills 6 ranks each (not verified)"</f>
        <v>• Base Attack +5.
• Any two skill tricks.
• Any three skills 6 ranks each (not verified)</v>
      </c>
      <c r="ED262" s="11" t="s">
        <v>335</v>
      </c>
    </row>
    <row r="263" spans="1:145" ht="11.25" customHeight="1" thickBot="1" x14ac:dyDescent="0.25">
      <c r="A263" s="1">
        <f t="shared" si="247"/>
        <v>260</v>
      </c>
      <c r="B263" s="1" t="s">
        <v>732</v>
      </c>
      <c r="C263" s="1" t="s">
        <v>733</v>
      </c>
      <c r="D263" s="1" t="s">
        <v>733</v>
      </c>
      <c r="E263" s="1">
        <f t="shared" si="204"/>
        <v>0</v>
      </c>
      <c r="G263" s="1">
        <f>INT(ClDLvl/2)</f>
        <v>0</v>
      </c>
      <c r="K263" s="1">
        <v>6</v>
      </c>
      <c r="L263" s="1">
        <v>6</v>
      </c>
      <c r="V263" s="1">
        <v>0.75</v>
      </c>
      <c r="W263" s="1">
        <v>0.34</v>
      </c>
      <c r="X263" s="1">
        <v>0.5</v>
      </c>
      <c r="Y263" s="1">
        <v>0.34</v>
      </c>
      <c r="Z263" s="1" t="b">
        <f>FALSE</f>
        <v>0</v>
      </c>
      <c r="AA263" s="1" t="str">
        <f t="shared" si="207"/>
        <v/>
      </c>
      <c r="AB263" s="1" t="str">
        <f t="shared" si="208"/>
        <v/>
      </c>
      <c r="AC263" s="1">
        <f t="shared" si="205"/>
        <v>0</v>
      </c>
      <c r="AD263" s="1" t="str">
        <f t="shared" si="209"/>
        <v/>
      </c>
      <c r="AE263" s="1" t="str">
        <f t="shared" si="210"/>
        <v/>
      </c>
      <c r="AF263" s="1">
        <f t="shared" si="206"/>
        <v>0</v>
      </c>
      <c r="AG263" s="1">
        <f t="shared" si="211"/>
        <v>5</v>
      </c>
      <c r="AH263" s="1" t="str">
        <f t="shared" si="203"/>
        <v/>
      </c>
      <c r="AI263" s="1">
        <v>2</v>
      </c>
      <c r="AJ263" s="1">
        <f t="shared" si="238"/>
        <v>0</v>
      </c>
      <c r="AK263" s="1">
        <v>2</v>
      </c>
      <c r="AL263" s="1">
        <v>2</v>
      </c>
      <c r="AM263" s="1">
        <v>2</v>
      </c>
      <c r="AN263" s="1">
        <f t="shared" si="240"/>
        <v>0</v>
      </c>
      <c r="AO263" s="1">
        <v>2</v>
      </c>
      <c r="AP263" s="1">
        <v>2</v>
      </c>
      <c r="AQ263" s="1">
        <v>2</v>
      </c>
      <c r="AR263" s="1">
        <v>2</v>
      </c>
      <c r="AS263" s="1">
        <v>2</v>
      </c>
      <c r="AT263" s="1">
        <v>2</v>
      </c>
      <c r="AU263" s="1">
        <v>2</v>
      </c>
      <c r="AV263" s="1">
        <v>2</v>
      </c>
      <c r="AW263" s="1">
        <v>1</v>
      </c>
      <c r="AX263" s="1">
        <v>2</v>
      </c>
      <c r="AY263" s="1">
        <v>1</v>
      </c>
      <c r="AZ263" s="1">
        <v>2</v>
      </c>
      <c r="BA263" s="1">
        <v>2</v>
      </c>
      <c r="BB263" s="1">
        <v>1</v>
      </c>
      <c r="BC263" s="1">
        <v>2</v>
      </c>
      <c r="BD263" s="1">
        <v>1</v>
      </c>
      <c r="BE263" s="1">
        <v>1</v>
      </c>
      <c r="BF263" s="1">
        <v>1</v>
      </c>
      <c r="BG263" s="1">
        <f t="shared" si="225"/>
        <v>0</v>
      </c>
      <c r="BH263" s="1">
        <f t="shared" si="241"/>
        <v>0</v>
      </c>
      <c r="BI263" s="1">
        <v>1</v>
      </c>
      <c r="BJ263" s="1">
        <v>2</v>
      </c>
      <c r="BK263" s="1">
        <v>1</v>
      </c>
      <c r="BL263" s="1">
        <v>1</v>
      </c>
      <c r="BM263" s="1">
        <v>1</v>
      </c>
      <c r="BN263" s="1">
        <v>1</v>
      </c>
      <c r="BO263" s="1">
        <v>1</v>
      </c>
      <c r="BP263" s="1">
        <v>1</v>
      </c>
      <c r="BQ263" s="1">
        <f t="shared" si="242"/>
        <v>0</v>
      </c>
      <c r="BR263" s="1">
        <v>1</v>
      </c>
      <c r="BS263" s="1">
        <v>1</v>
      </c>
      <c r="BT263" s="1">
        <f t="shared" si="239"/>
        <v>0</v>
      </c>
      <c r="BU263" s="1">
        <f t="shared" si="243"/>
        <v>0</v>
      </c>
      <c r="BV263" s="1">
        <v>1</v>
      </c>
      <c r="BW263" s="1">
        <v>1</v>
      </c>
      <c r="BX263" s="1">
        <v>1</v>
      </c>
      <c r="BY263" s="1">
        <v>1</v>
      </c>
      <c r="BZ263" s="1">
        <v>1</v>
      </c>
      <c r="CA263" s="1">
        <v>1</v>
      </c>
      <c r="CB263" s="1">
        <v>1</v>
      </c>
      <c r="CC263" s="1">
        <v>1</v>
      </c>
      <c r="CD263" s="1">
        <v>1</v>
      </c>
      <c r="CE263" s="1">
        <v>1</v>
      </c>
      <c r="CF263" s="1">
        <v>1</v>
      </c>
      <c r="CG263" s="1">
        <f t="shared" si="244"/>
        <v>0</v>
      </c>
      <c r="CH263" s="1">
        <v>1</v>
      </c>
      <c r="CI263" s="1">
        <v>1</v>
      </c>
      <c r="CJ263" s="1">
        <v>2</v>
      </c>
      <c r="CK263" s="1">
        <v>2</v>
      </c>
      <c r="CL263" s="1">
        <v>2</v>
      </c>
      <c r="CM263" s="1">
        <v>2</v>
      </c>
      <c r="CN263" s="1">
        <v>2</v>
      </c>
      <c r="CO263" s="1">
        <v>2</v>
      </c>
      <c r="CP263" s="1">
        <v>2</v>
      </c>
      <c r="CQ263" s="1">
        <v>2</v>
      </c>
      <c r="CR263" s="1">
        <v>2</v>
      </c>
      <c r="CS263" s="1">
        <v>2</v>
      </c>
      <c r="CT263" s="1">
        <v>2</v>
      </c>
      <c r="CU263" s="1">
        <v>2</v>
      </c>
      <c r="CV263" s="1">
        <f t="shared" si="236"/>
        <v>0</v>
      </c>
      <c r="CW263" s="1">
        <v>1</v>
      </c>
      <c r="CX263" s="1">
        <v>1</v>
      </c>
      <c r="CY263" s="1">
        <v>2</v>
      </c>
      <c r="CZ263" s="1">
        <f t="shared" si="245"/>
        <v>0</v>
      </c>
      <c r="DA263" s="1">
        <v>2</v>
      </c>
      <c r="DB263" s="1">
        <v>2</v>
      </c>
      <c r="DC263" s="1">
        <v>1</v>
      </c>
      <c r="DD263" s="1">
        <v>1</v>
      </c>
      <c r="DE263" s="1">
        <v>1</v>
      </c>
      <c r="DF263" s="1">
        <v>2</v>
      </c>
      <c r="DG263" s="1">
        <v>2</v>
      </c>
      <c r="DH263" s="1">
        <v>2</v>
      </c>
      <c r="DI263" s="1">
        <f t="shared" si="237"/>
        <v>0</v>
      </c>
      <c r="DJ263" s="1">
        <v>2</v>
      </c>
      <c r="DK263" s="1" t="s">
        <v>728</v>
      </c>
      <c r="DL263" s="1" t="s">
        <v>40</v>
      </c>
      <c r="DW263" s="1" t="b">
        <f>SkHideRanks&gt;=5</f>
        <v>0</v>
      </c>
      <c r="DX263" s="1" t="b">
        <f>IF(NOT(ISNA(MATCH("Dance",TblPerformSkills,0))),INDEX(TblPerformRanks,MATCH("Dance",TblPerformSkills,0),1)&gt;=10,FALSE)</f>
        <v>0</v>
      </c>
      <c r="DY263" s="1" t="b">
        <f>SkSleightOfHandRanks&gt;=5</f>
        <v>0</v>
      </c>
      <c r="DZ263" s="1" t="b">
        <f t="shared" si="229"/>
        <v>1</v>
      </c>
      <c r="EA263" s="1" t="b">
        <f t="shared" si="246"/>
        <v>0</v>
      </c>
      <c r="EB263" s="11" t="s">
        <v>334</v>
      </c>
      <c r="EC263" s="1" t="str">
        <f>IF(DW263,"","• Hide 5 ranks.
")&amp;IF(DX263,"","• Perform (dance) 10 ranks.
")&amp;IF(DY263,"","• Sleight of Hand 5 ranks.
")</f>
        <v xml:space="preserve">• Hide 5 ranks.
• Perform (dance) 10 ranks.
• Sleight of Hand 5 ranks.
</v>
      </c>
      <c r="ED263" s="11" t="s">
        <v>335</v>
      </c>
      <c r="EE263" s="4" t="s">
        <v>734</v>
      </c>
    </row>
    <row r="264" spans="1:145" ht="11.25" customHeight="1" x14ac:dyDescent="0.2">
      <c r="A264" s="1">
        <f t="shared" si="247"/>
        <v>261</v>
      </c>
      <c r="B264" s="1" t="s">
        <v>735</v>
      </c>
      <c r="C264" s="1" t="s">
        <v>736</v>
      </c>
      <c r="D264" s="1" t="s">
        <v>736</v>
      </c>
      <c r="E264" s="1">
        <f t="shared" si="204"/>
        <v>0</v>
      </c>
      <c r="K264" s="1">
        <v>6</v>
      </c>
      <c r="L264" s="1">
        <v>6</v>
      </c>
      <c r="V264" s="1">
        <v>0.75</v>
      </c>
      <c r="W264" s="1">
        <v>0.5</v>
      </c>
      <c r="X264" s="1">
        <v>0.5</v>
      </c>
      <c r="Y264" s="1">
        <v>0.34</v>
      </c>
      <c r="Z264" s="1" t="b">
        <f>FALSE</f>
        <v>0</v>
      </c>
      <c r="AA264" s="1" t="str">
        <f t="shared" si="207"/>
        <v/>
      </c>
      <c r="AB264" s="1" t="str">
        <f t="shared" si="208"/>
        <v/>
      </c>
      <c r="AC264" s="1">
        <f t="shared" si="205"/>
        <v>0</v>
      </c>
      <c r="AD264" s="1" t="str">
        <f t="shared" si="209"/>
        <v/>
      </c>
      <c r="AE264" s="1" t="str">
        <f t="shared" si="210"/>
        <v/>
      </c>
      <c r="AF264" s="1">
        <f t="shared" si="206"/>
        <v>0</v>
      </c>
      <c r="AG264" s="1">
        <f t="shared" si="211"/>
        <v>5</v>
      </c>
      <c r="AH264" s="1" t="str">
        <f t="shared" si="203"/>
        <v/>
      </c>
      <c r="AI264" s="1">
        <v>2</v>
      </c>
      <c r="AJ264" s="1">
        <f t="shared" si="238"/>
        <v>0</v>
      </c>
      <c r="AK264" s="1">
        <v>2</v>
      </c>
      <c r="AL264" s="1">
        <v>1</v>
      </c>
      <c r="AM264" s="1">
        <v>2</v>
      </c>
      <c r="AN264" s="1">
        <f t="shared" si="240"/>
        <v>0</v>
      </c>
      <c r="AO264" s="1">
        <v>2</v>
      </c>
      <c r="AP264" s="1">
        <v>2</v>
      </c>
      <c r="AQ264" s="1">
        <v>2</v>
      </c>
      <c r="AR264" s="1">
        <v>2</v>
      </c>
      <c r="AS264" s="1">
        <v>2</v>
      </c>
      <c r="AT264" s="1">
        <v>2</v>
      </c>
      <c r="AU264" s="1">
        <v>2</v>
      </c>
      <c r="AV264" s="1">
        <v>2</v>
      </c>
      <c r="AW264" s="1">
        <v>1</v>
      </c>
      <c r="AX264" s="1">
        <v>1</v>
      </c>
      <c r="AY264" s="1">
        <v>2</v>
      </c>
      <c r="AZ264" s="1">
        <v>1</v>
      </c>
      <c r="BA264" s="1">
        <v>2</v>
      </c>
      <c r="BB264" s="1">
        <v>1</v>
      </c>
      <c r="BC264" s="1">
        <v>1</v>
      </c>
      <c r="BD264" s="1">
        <v>1</v>
      </c>
      <c r="BE264" s="1">
        <v>1</v>
      </c>
      <c r="BF264" s="1">
        <v>2</v>
      </c>
      <c r="BG264" s="1">
        <f t="shared" si="225"/>
        <v>0</v>
      </c>
      <c r="BH264" s="1">
        <f t="shared" si="241"/>
        <v>0</v>
      </c>
      <c r="BI264" s="1">
        <v>1</v>
      </c>
      <c r="BJ264" s="1">
        <v>2</v>
      </c>
      <c r="BK264" s="1">
        <v>1</v>
      </c>
      <c r="BL264" s="1">
        <v>2</v>
      </c>
      <c r="BM264" s="1">
        <v>1</v>
      </c>
      <c r="BN264" s="1">
        <v>1</v>
      </c>
      <c r="BO264" s="1">
        <v>1</v>
      </c>
      <c r="BP264" s="1">
        <v>1</v>
      </c>
      <c r="BQ264" s="1">
        <f t="shared" si="242"/>
        <v>0</v>
      </c>
      <c r="BR264" s="1">
        <v>1</v>
      </c>
      <c r="BS264" s="1">
        <v>1</v>
      </c>
      <c r="BT264" s="1">
        <f t="shared" si="239"/>
        <v>0</v>
      </c>
      <c r="BU264" s="1">
        <f t="shared" si="243"/>
        <v>0</v>
      </c>
      <c r="BV264" s="1">
        <v>1</v>
      </c>
      <c r="BW264" s="1">
        <v>1</v>
      </c>
      <c r="BX264" s="1">
        <v>1</v>
      </c>
      <c r="BY264" s="1">
        <v>1</v>
      </c>
      <c r="BZ264" s="1">
        <v>1</v>
      </c>
      <c r="CA264" s="1">
        <v>1</v>
      </c>
      <c r="CB264" s="1">
        <v>1</v>
      </c>
      <c r="CC264" s="1">
        <v>1</v>
      </c>
      <c r="CD264" s="1">
        <v>1</v>
      </c>
      <c r="CE264" s="1">
        <v>1</v>
      </c>
      <c r="CF264" s="1">
        <v>2</v>
      </c>
      <c r="CG264" s="1">
        <f t="shared" si="244"/>
        <v>0</v>
      </c>
      <c r="CH264" s="1">
        <v>2</v>
      </c>
      <c r="CI264" s="1">
        <v>1</v>
      </c>
      <c r="CJ264" s="1">
        <v>1</v>
      </c>
      <c r="CK264" s="1">
        <v>1</v>
      </c>
      <c r="CL264" s="1">
        <v>1</v>
      </c>
      <c r="CM264" s="1">
        <v>1</v>
      </c>
      <c r="CN264" s="1">
        <v>1</v>
      </c>
      <c r="CO264" s="1">
        <v>1</v>
      </c>
      <c r="CP264" s="1">
        <v>1</v>
      </c>
      <c r="CQ264" s="1">
        <v>1</v>
      </c>
      <c r="CR264" s="1">
        <v>1</v>
      </c>
      <c r="CS264" s="1">
        <v>1</v>
      </c>
      <c r="CT264" s="1">
        <v>1</v>
      </c>
      <c r="CU264" s="1">
        <v>1</v>
      </c>
      <c r="CV264" s="1">
        <f t="shared" si="236"/>
        <v>0</v>
      </c>
      <c r="CW264" s="1">
        <v>1</v>
      </c>
      <c r="CX264" s="1">
        <v>2</v>
      </c>
      <c r="CY264" s="1">
        <v>1</v>
      </c>
      <c r="CZ264" s="1">
        <f t="shared" si="245"/>
        <v>0</v>
      </c>
      <c r="DA264" s="1">
        <v>1</v>
      </c>
      <c r="DB264" s="1">
        <v>1</v>
      </c>
      <c r="DC264" s="1">
        <v>1</v>
      </c>
      <c r="DD264" s="1">
        <v>2</v>
      </c>
      <c r="DE264" s="1">
        <v>1</v>
      </c>
      <c r="DF264" s="1">
        <v>1</v>
      </c>
      <c r="DG264" s="1">
        <v>2</v>
      </c>
      <c r="DH264" s="1">
        <v>1</v>
      </c>
      <c r="DI264" s="1">
        <f t="shared" si="237"/>
        <v>0</v>
      </c>
      <c r="DJ264" s="1">
        <v>2</v>
      </c>
      <c r="DK264" s="1" t="s">
        <v>728</v>
      </c>
      <c r="DL264" s="1" t="s">
        <v>101</v>
      </c>
      <c r="DV264" s="1" t="b">
        <f>IF(NOT(ISNA(MATCH("Trapmaking",TblCraftSkills,0))),INDEX(TblCraftRanks,MATCH("trapmaking",TblCraftSkills,0),1)&gt;=8,FALSE)</f>
        <v>0</v>
      </c>
      <c r="DW264" s="1" t="b">
        <f>SkDisableDeviceRanks&gt;=6</f>
        <v>0</v>
      </c>
      <c r="DX264" s="1" t="b">
        <f>SkSearchRanks&gt;=6</f>
        <v>0</v>
      </c>
      <c r="DY264" s="1" t="b">
        <f>hasTrapfinding</f>
        <v>0</v>
      </c>
      <c r="DZ264" s="1" t="b">
        <f t="shared" si="229"/>
        <v>1</v>
      </c>
      <c r="EA264" s="1" t="b">
        <f t="shared" si="246"/>
        <v>0</v>
      </c>
      <c r="EB264" s="11" t="s">
        <v>334</v>
      </c>
      <c r="EC264" s="1" t="str">
        <f>IF(DV264,"","• Craft (Tapmaking) 8 ranks.
")&amp;IF(DW264,"","• Disable Device 6 ranks.
")&amp;IF(DX264,"","• Search 6 ranks.
")&amp;IF(DY264,"","• Trapfinding.
")</f>
        <v xml:space="preserve">• Craft (Tapmaking) 8 ranks.
• Disable Device 6 ranks.
• Search 6 ranks.
• Trapfinding.
</v>
      </c>
      <c r="ED264" s="11" t="s">
        <v>335</v>
      </c>
      <c r="EE264" s="5" t="s">
        <v>106</v>
      </c>
      <c r="EF264" s="6" t="s">
        <v>737</v>
      </c>
      <c r="EG264" s="6" t="s">
        <v>738</v>
      </c>
      <c r="EH264" s="6" t="s">
        <v>739</v>
      </c>
      <c r="EI264" s="6" t="s">
        <v>645</v>
      </c>
      <c r="EJ264" s="6" t="s">
        <v>52</v>
      </c>
      <c r="EK264" s="6" t="s">
        <v>110</v>
      </c>
      <c r="EL264" s="6" t="s">
        <v>111</v>
      </c>
      <c r="EM264" s="6"/>
      <c r="EN264" s="6" t="s">
        <v>113</v>
      </c>
      <c r="EO264" s="7" t="s">
        <v>740</v>
      </c>
    </row>
    <row r="265" spans="1:145" ht="11.25" customHeight="1" x14ac:dyDescent="0.2">
      <c r="A265" s="1">
        <f t="shared" si="247"/>
        <v>262</v>
      </c>
      <c r="B265" s="1" t="s">
        <v>741</v>
      </c>
      <c r="C265" s="1" t="s">
        <v>742</v>
      </c>
      <c r="D265" s="1" t="s">
        <v>742</v>
      </c>
      <c r="E265" s="1">
        <f t="shared" si="204"/>
        <v>0</v>
      </c>
      <c r="G265" s="1">
        <f>INT(FFrLvl/2)</f>
        <v>0</v>
      </c>
      <c r="K265" s="1">
        <v>6</v>
      </c>
      <c r="L265" s="1">
        <v>6</v>
      </c>
      <c r="V265" s="1">
        <v>0.5</v>
      </c>
      <c r="W265" s="1">
        <v>0.34</v>
      </c>
      <c r="X265" s="1">
        <v>0.5</v>
      </c>
      <c r="Y265" s="1">
        <v>0.34</v>
      </c>
      <c r="Z265" s="1" t="b">
        <f>FALSE</f>
        <v>0</v>
      </c>
      <c r="AA265" s="1" t="str">
        <f t="shared" si="207"/>
        <v/>
      </c>
      <c r="AB265" s="1" t="str">
        <f t="shared" si="208"/>
        <v/>
      </c>
      <c r="AC265" s="1">
        <f t="shared" si="205"/>
        <v>0</v>
      </c>
      <c r="AD265" s="1" t="str">
        <f t="shared" si="209"/>
        <v/>
      </c>
      <c r="AE265" s="1" t="str">
        <f t="shared" si="210"/>
        <v/>
      </c>
      <c r="AF265" s="1">
        <f t="shared" si="206"/>
        <v>0</v>
      </c>
      <c r="AG265" s="1">
        <f t="shared" si="211"/>
        <v>5</v>
      </c>
      <c r="AH265" s="1" t="str">
        <f t="shared" si="203"/>
        <v/>
      </c>
      <c r="AI265" s="1">
        <v>1</v>
      </c>
      <c r="AJ265" s="1">
        <f t="shared" si="238"/>
        <v>0</v>
      </c>
      <c r="AK265" s="1">
        <v>2</v>
      </c>
      <c r="AL265" s="1">
        <v>2</v>
      </c>
      <c r="AM265" s="1">
        <v>2</v>
      </c>
      <c r="AN265" s="1">
        <f t="shared" si="240"/>
        <v>0</v>
      </c>
      <c r="AO265" s="1">
        <v>1</v>
      </c>
      <c r="AP265" s="1">
        <v>2</v>
      </c>
      <c r="AQ265" s="1">
        <v>2</v>
      </c>
      <c r="AR265" s="1">
        <v>2</v>
      </c>
      <c r="AS265" s="1">
        <v>2</v>
      </c>
      <c r="AT265" s="1">
        <v>2</v>
      </c>
      <c r="AU265" s="1">
        <v>2</v>
      </c>
      <c r="AV265" s="1">
        <v>2</v>
      </c>
      <c r="AW265" s="1">
        <v>2</v>
      </c>
      <c r="AX265" s="1">
        <v>2</v>
      </c>
      <c r="AY265" s="1">
        <v>2</v>
      </c>
      <c r="AZ265" s="1">
        <v>2</v>
      </c>
      <c r="BA265" s="1">
        <v>2</v>
      </c>
      <c r="BB265" s="1">
        <v>1</v>
      </c>
      <c r="BC265" s="1">
        <v>2</v>
      </c>
      <c r="BD265" s="1">
        <v>1</v>
      </c>
      <c r="BE265" s="1">
        <v>1</v>
      </c>
      <c r="BF265" s="1">
        <v>2</v>
      </c>
      <c r="BG265" s="1">
        <f t="shared" si="225"/>
        <v>0</v>
      </c>
      <c r="BH265" s="1">
        <f t="shared" si="241"/>
        <v>0</v>
      </c>
      <c r="BI265" s="1">
        <v>1</v>
      </c>
      <c r="BJ265" s="1">
        <v>2</v>
      </c>
      <c r="BK265" s="1">
        <v>1</v>
      </c>
      <c r="BL265" s="1">
        <v>1</v>
      </c>
      <c r="BM265" s="1">
        <v>1</v>
      </c>
      <c r="BN265" s="1">
        <v>1</v>
      </c>
      <c r="BO265" s="1">
        <v>1</v>
      </c>
      <c r="BP265" s="1">
        <v>1</v>
      </c>
      <c r="BQ265" s="1">
        <f t="shared" si="242"/>
        <v>0</v>
      </c>
      <c r="BR265" s="1">
        <v>1</v>
      </c>
      <c r="BS265" s="1">
        <v>1</v>
      </c>
      <c r="BT265" s="1">
        <f t="shared" si="239"/>
        <v>0</v>
      </c>
      <c r="BU265" s="1">
        <f t="shared" si="243"/>
        <v>0</v>
      </c>
      <c r="BV265" s="1">
        <v>1</v>
      </c>
      <c r="BW265" s="1">
        <v>1</v>
      </c>
      <c r="BX265" s="1">
        <v>1</v>
      </c>
      <c r="BY265" s="1">
        <v>1</v>
      </c>
      <c r="BZ265" s="1">
        <v>1</v>
      </c>
      <c r="CA265" s="1">
        <v>1</v>
      </c>
      <c r="CB265" s="1">
        <v>1</v>
      </c>
      <c r="CC265" s="1">
        <v>1</v>
      </c>
      <c r="CD265" s="1">
        <v>1</v>
      </c>
      <c r="CE265" s="1">
        <v>1</v>
      </c>
      <c r="CF265" s="1">
        <v>2</v>
      </c>
      <c r="CG265" s="1">
        <f t="shared" si="244"/>
        <v>0</v>
      </c>
      <c r="CH265" s="1">
        <v>2</v>
      </c>
      <c r="CI265" s="1">
        <v>2</v>
      </c>
      <c r="CJ265" s="1">
        <v>2</v>
      </c>
      <c r="CK265" s="1">
        <v>2</v>
      </c>
      <c r="CL265" s="1">
        <v>2</v>
      </c>
      <c r="CM265" s="1">
        <v>2</v>
      </c>
      <c r="CN265" s="1">
        <v>2</v>
      </c>
      <c r="CO265" s="1">
        <v>2</v>
      </c>
      <c r="CP265" s="1">
        <v>2</v>
      </c>
      <c r="CQ265" s="1">
        <v>2</v>
      </c>
      <c r="CR265" s="1">
        <v>2</v>
      </c>
      <c r="CS265" s="1">
        <v>2</v>
      </c>
      <c r="CT265" s="1">
        <v>2</v>
      </c>
      <c r="CU265" s="1">
        <v>2</v>
      </c>
      <c r="CV265" s="1">
        <f t="shared" si="236"/>
        <v>0</v>
      </c>
      <c r="CW265" s="1">
        <v>1</v>
      </c>
      <c r="CX265" s="1">
        <v>2</v>
      </c>
      <c r="CY265" s="1">
        <v>1</v>
      </c>
      <c r="CZ265" s="1">
        <f t="shared" si="245"/>
        <v>0</v>
      </c>
      <c r="DA265" s="1">
        <v>2</v>
      </c>
      <c r="DB265" s="1">
        <v>1</v>
      </c>
      <c r="DC265" s="1">
        <v>1</v>
      </c>
      <c r="DD265" s="1">
        <v>2</v>
      </c>
      <c r="DE265" s="1">
        <v>1</v>
      </c>
      <c r="DF265" s="1">
        <v>2</v>
      </c>
      <c r="DG265" s="1">
        <v>2</v>
      </c>
      <c r="DH265" s="1">
        <v>2</v>
      </c>
      <c r="DI265" s="1">
        <f t="shared" si="237"/>
        <v>0</v>
      </c>
      <c r="DJ265" s="1">
        <v>2</v>
      </c>
      <c r="DK265" s="1" t="s">
        <v>728</v>
      </c>
      <c r="DL265" s="1" t="s">
        <v>40</v>
      </c>
      <c r="DW265" s="1" t="b">
        <f>BaseAtk&gt;=3</f>
        <v>0</v>
      </c>
      <c r="DY265" s="1" t="b">
        <f>LuckFeatsSelected&gt;=1</f>
        <v>0</v>
      </c>
      <c r="DZ265" s="1" t="b">
        <f t="shared" si="229"/>
        <v>1</v>
      </c>
      <c r="EA265" s="1" t="b">
        <f t="shared" si="246"/>
        <v>0</v>
      </c>
      <c r="EB265" s="11" t="s">
        <v>338</v>
      </c>
      <c r="EC265" s="1" t="str">
        <f>IF(DW265,"","• Base Attack +3.
")&amp;IF(DY265,"","• Any Luck feat.
")&amp;"• Any skill with 8 ranks (not verified)"</f>
        <v>• Base Attack +3.
• Any Luck feat.
• Any skill with 8 ranks (not verified)</v>
      </c>
      <c r="ED265" s="11" t="s">
        <v>335</v>
      </c>
      <c r="EE265" s="8" t="s">
        <v>743</v>
      </c>
      <c r="EF265" s="9">
        <v>2</v>
      </c>
      <c r="EG265" s="9">
        <f>INDEX(TblTLAList,UnTBonusLevelCell1)</f>
        <v>0</v>
      </c>
      <c r="EH265" s="9">
        <f>MATCH($EE265,TblTLAList,0)</f>
        <v>270</v>
      </c>
      <c r="EI265" s="9" t="b">
        <f>(COUNTIF(TblClassesAtLvlCS,$EH265)+IF(HRGestalt,COUNTIF(TblGClassesAtLvlCS,$EH265),0))&gt;=EF265</f>
        <v>0</v>
      </c>
      <c r="EJ265" s="9" t="str">
        <f>IF(EI265,$EE265&amp;$EF265,"")</f>
        <v/>
      </c>
      <c r="EK265" s="9">
        <f>IF($EI265,MATCH($EJ265,TblClassN,0),99)</f>
        <v>99</v>
      </c>
      <c r="EL265" s="9">
        <f>IF($EI265,IF(HRGestalt,MATCH($EJ265,TblGClassN,0),99),99)</f>
        <v>99</v>
      </c>
      <c r="EM265" s="9"/>
      <c r="EN265" s="9">
        <f>IF($EI265,MIN(IF(ISNA($EK265),99,$EK265),IF(ISNA($EL265),99,$EL265),IF(ISNA($EM265),99,$EM265)),99)</f>
        <v>99</v>
      </c>
      <c r="EO265" s="10" t="str">
        <f>IF($EN265&lt;=LvlCS,MATCH($EG265,TblTLAList,0),"")</f>
        <v/>
      </c>
    </row>
    <row r="266" spans="1:145" ht="11.25" customHeight="1" x14ac:dyDescent="0.2">
      <c r="A266" s="1">
        <f t="shared" si="247"/>
        <v>263</v>
      </c>
      <c r="B266" s="1" t="s">
        <v>744</v>
      </c>
      <c r="C266" s="1" t="s">
        <v>745</v>
      </c>
      <c r="D266" s="1" t="s">
        <v>745</v>
      </c>
      <c r="E266" s="1">
        <f t="shared" si="204"/>
        <v>0</v>
      </c>
      <c r="G266" s="1">
        <f>INT(GrGLvl/2)</f>
        <v>0</v>
      </c>
      <c r="K266" s="1">
        <v>2</v>
      </c>
      <c r="L266" s="1">
        <v>10</v>
      </c>
      <c r="V266" s="1">
        <v>1</v>
      </c>
      <c r="W266" s="1">
        <v>0.5</v>
      </c>
      <c r="X266" s="1">
        <v>0.34</v>
      </c>
      <c r="Y266" s="1">
        <v>0.5</v>
      </c>
      <c r="Z266" s="1" t="b">
        <f>FALSE</f>
        <v>0</v>
      </c>
      <c r="AA266" s="1" t="str">
        <f t="shared" si="207"/>
        <v/>
      </c>
      <c r="AB266" s="1" t="str">
        <f t="shared" si="208"/>
        <v/>
      </c>
      <c r="AC266" s="1">
        <f t="shared" si="205"/>
        <v>0</v>
      </c>
      <c r="AD266" s="1" t="str">
        <f t="shared" si="209"/>
        <v/>
      </c>
      <c r="AE266" s="1" t="str">
        <f t="shared" si="210"/>
        <v/>
      </c>
      <c r="AF266" s="1">
        <f t="shared" si="206"/>
        <v>0</v>
      </c>
      <c r="AG266" s="1">
        <f t="shared" si="211"/>
        <v>5</v>
      </c>
      <c r="AH266" s="1" t="str">
        <f t="shared" si="203"/>
        <v/>
      </c>
      <c r="AI266" s="1">
        <v>1</v>
      </c>
      <c r="AJ266" s="1">
        <f t="shared" si="238"/>
        <v>0</v>
      </c>
      <c r="AK266" s="1">
        <v>1</v>
      </c>
      <c r="AL266" s="1">
        <v>2</v>
      </c>
      <c r="AM266" s="1">
        <v>1</v>
      </c>
      <c r="AN266" s="1">
        <f t="shared" si="240"/>
        <v>0</v>
      </c>
      <c r="AO266" s="1">
        <v>2</v>
      </c>
      <c r="AP266" s="1">
        <v>1</v>
      </c>
      <c r="AQ266" s="1">
        <v>1</v>
      </c>
      <c r="AR266" s="1">
        <v>1</v>
      </c>
      <c r="AS266" s="1">
        <v>1</v>
      </c>
      <c r="AT266" s="1">
        <v>1</v>
      </c>
      <c r="AU266" s="1">
        <v>1</v>
      </c>
      <c r="AV266" s="1">
        <v>1</v>
      </c>
      <c r="AW266" s="1">
        <v>1</v>
      </c>
      <c r="AX266" s="1">
        <v>1</v>
      </c>
      <c r="AY266" s="1">
        <v>1</v>
      </c>
      <c r="AZ266" s="1">
        <v>2</v>
      </c>
      <c r="BA266" s="1">
        <v>1</v>
      </c>
      <c r="BB266" s="1">
        <v>2</v>
      </c>
      <c r="BC266" s="1">
        <v>1</v>
      </c>
      <c r="BD266" s="1">
        <v>2</v>
      </c>
      <c r="BE266" s="1">
        <v>2</v>
      </c>
      <c r="BF266" s="1">
        <v>1</v>
      </c>
      <c r="BG266" s="1">
        <f t="shared" si="225"/>
        <v>0</v>
      </c>
      <c r="BH266" s="1">
        <f t="shared" si="241"/>
        <v>0</v>
      </c>
      <c r="BI266" s="1">
        <v>2</v>
      </c>
      <c r="BJ266" s="1">
        <v>1</v>
      </c>
      <c r="BK266" s="1">
        <v>1</v>
      </c>
      <c r="BL266" s="1">
        <v>1</v>
      </c>
      <c r="BM266" s="1">
        <v>1</v>
      </c>
      <c r="BN266" s="1">
        <v>1</v>
      </c>
      <c r="BO266" s="1">
        <v>1</v>
      </c>
      <c r="BP266" s="1">
        <f>1+NOT(HRLivingGreyhawk)</f>
        <v>2</v>
      </c>
      <c r="BQ266" s="1">
        <f t="shared" si="242"/>
        <v>0</v>
      </c>
      <c r="BR266" s="1">
        <v>1</v>
      </c>
      <c r="BS266" s="1">
        <v>2</v>
      </c>
      <c r="BT266" s="1">
        <f t="shared" si="239"/>
        <v>0</v>
      </c>
      <c r="BU266" s="1">
        <f t="shared" si="243"/>
        <v>0</v>
      </c>
      <c r="BV266" s="1">
        <v>2</v>
      </c>
      <c r="BW266" s="1">
        <v>1</v>
      </c>
      <c r="BX266" s="1">
        <v>1</v>
      </c>
      <c r="BY266" s="1">
        <f t="shared" ref="BY266:CE266" si="248">1+NOT(ISERROR(MATCH(BY$2,TblLGMetaRegions,0)))</f>
        <v>1</v>
      </c>
      <c r="BZ266" s="1">
        <f t="shared" si="248"/>
        <v>1</v>
      </c>
      <c r="CA266" s="1">
        <f t="shared" si="248"/>
        <v>1</v>
      </c>
      <c r="CB266" s="1">
        <f t="shared" si="248"/>
        <v>1</v>
      </c>
      <c r="CC266" s="1">
        <f t="shared" si="248"/>
        <v>1</v>
      </c>
      <c r="CD266" s="1">
        <f t="shared" si="248"/>
        <v>1</v>
      </c>
      <c r="CE266" s="1">
        <f t="shared" si="248"/>
        <v>1</v>
      </c>
      <c r="CF266" s="1">
        <v>1</v>
      </c>
      <c r="CG266" s="1">
        <f t="shared" si="244"/>
        <v>0</v>
      </c>
      <c r="CH266" s="1">
        <v>1</v>
      </c>
      <c r="CI266" s="1">
        <v>1</v>
      </c>
      <c r="CJ266" s="1">
        <v>1</v>
      </c>
      <c r="CK266" s="1">
        <v>1</v>
      </c>
      <c r="CL266" s="1">
        <v>1</v>
      </c>
      <c r="CM266" s="1">
        <v>1</v>
      </c>
      <c r="CN266" s="1">
        <v>1</v>
      </c>
      <c r="CO266" s="1">
        <v>1</v>
      </c>
      <c r="CP266" s="1">
        <v>1</v>
      </c>
      <c r="CQ266" s="1">
        <v>1</v>
      </c>
      <c r="CR266" s="1">
        <v>1</v>
      </c>
      <c r="CS266" s="1">
        <v>1</v>
      </c>
      <c r="CT266" s="1">
        <v>1</v>
      </c>
      <c r="CU266" s="1">
        <v>1</v>
      </c>
      <c r="CV266" s="1">
        <f t="shared" si="236"/>
        <v>0</v>
      </c>
      <c r="CW266" s="1">
        <v>2</v>
      </c>
      <c r="CX266" s="1">
        <v>1</v>
      </c>
      <c r="CY266" s="1">
        <v>2</v>
      </c>
      <c r="CZ266" s="1">
        <f t="shared" si="245"/>
        <v>0</v>
      </c>
      <c r="DA266" s="1">
        <v>1</v>
      </c>
      <c r="DB266" s="1">
        <v>1</v>
      </c>
      <c r="DC266" s="1">
        <v>1</v>
      </c>
      <c r="DD266" s="1">
        <v>1</v>
      </c>
      <c r="DE266" s="1">
        <v>1</v>
      </c>
      <c r="DF266" s="1">
        <v>1</v>
      </c>
      <c r="DG266" s="1">
        <v>1</v>
      </c>
      <c r="DH266" s="1">
        <v>1</v>
      </c>
      <c r="DI266" s="1">
        <f t="shared" si="237"/>
        <v>0</v>
      </c>
      <c r="DJ266" s="1">
        <v>1</v>
      </c>
      <c r="DK266" s="1" t="s">
        <v>728</v>
      </c>
      <c r="DL266" s="1" t="s">
        <v>40</v>
      </c>
      <c r="DV266" s="1" t="b">
        <f>AND(AlignmentLawful,AlignmentGood)</f>
        <v>1</v>
      </c>
      <c r="DW266" s="1" t="b">
        <f>SkKnowledgeReligionRanks&gt;=8</f>
        <v>0</v>
      </c>
      <c r="DX266" s="1" t="b">
        <f>SkSenseMotiveRanks&gt;=4</f>
        <v>0</v>
      </c>
      <c r="DY266" s="1" t="b">
        <f>LayOnHands&gt;0</f>
        <v>0</v>
      </c>
      <c r="DZ266" s="1" t="b">
        <f t="shared" si="229"/>
        <v>1</v>
      </c>
      <c r="EA266" s="1" t="b">
        <f t="shared" si="246"/>
        <v>0</v>
      </c>
      <c r="EB266" s="11" t="s">
        <v>338</v>
      </c>
      <c r="EC266" s="1" t="str">
        <f>IF(DV266,"","• Lawful Good.
")&amp;IF(DW266,"","• Knowledge (Religion) 8 ranks.
")&amp;IF(DX266,"","• Sense Motive 4 ranks.
")&amp;IF(DY266,"","• Lay on Hands class feature.
")&amp;"• Must adhere to a code of conduct that prevents evil acts (not verified)."</f>
        <v>• Knowledge (Religion) 8 ranks.
• Sense Motive 4 ranks.
• Lay on Hands class feature.
• Must adhere to a code of conduct that prevents evil acts (not verified).</v>
      </c>
      <c r="ED266" s="11" t="s">
        <v>335</v>
      </c>
      <c r="EE266" s="8" t="s">
        <v>743</v>
      </c>
      <c r="EF266" s="9">
        <v>3</v>
      </c>
      <c r="EG266" s="9">
        <f>INDEX(TblTLAList,UnTBonusLevelCell2)</f>
        <v>0</v>
      </c>
      <c r="EH266" s="9">
        <f>MATCH($EE266,TblTLAList,0)</f>
        <v>270</v>
      </c>
      <c r="EI266" s="9" t="b">
        <f>(COUNTIF(TblClassesAtLvlCS,$EH266)+IF(HRGestalt,COUNTIF(TblGClassesAtLvlCS,$EH266),0))&gt;=EF266</f>
        <v>0</v>
      </c>
      <c r="EJ266" s="9" t="str">
        <f>IF(EI266,$EE266&amp;$EF266,"")</f>
        <v/>
      </c>
      <c r="EK266" s="9">
        <f>IF($EI266,MATCH($EJ266,TblClassN,0),99)</f>
        <v>99</v>
      </c>
      <c r="EL266" s="9">
        <f>IF($EI266,IF(HRGestalt,MATCH($EJ266,TblGClassN,0),99),99)</f>
        <v>99</v>
      </c>
      <c r="EM266" s="9"/>
      <c r="EN266" s="9">
        <f>IF($EI266,MIN(IF(ISNA($EK266),99,$EK266),IF(ISNA($EL266),99,$EL266),IF(ISNA($EM266),99,$EM266)),99)</f>
        <v>99</v>
      </c>
      <c r="EO266" s="10" t="str">
        <f>IF($EN266&lt;=LvlCS,MATCH($EG266,TblTLAList,0),"")</f>
        <v/>
      </c>
    </row>
    <row r="267" spans="1:145" ht="11.25" customHeight="1" x14ac:dyDescent="0.2">
      <c r="A267" s="1">
        <f t="shared" si="247"/>
        <v>264</v>
      </c>
      <c r="B267" s="1" t="s">
        <v>746</v>
      </c>
      <c r="C267" s="1" t="s">
        <v>747</v>
      </c>
      <c r="D267" s="1" t="s">
        <v>747</v>
      </c>
      <c r="E267" s="1">
        <f t="shared" si="204"/>
        <v>0</v>
      </c>
      <c r="G267" s="1">
        <f>MAX(0,MagTLvl-1)</f>
        <v>0</v>
      </c>
      <c r="K267" s="1">
        <v>4</v>
      </c>
      <c r="L267" s="1">
        <v>6</v>
      </c>
      <c r="V267" s="1">
        <v>0.5</v>
      </c>
      <c r="W267" s="1">
        <v>0.34</v>
      </c>
      <c r="X267" s="1">
        <v>0.34</v>
      </c>
      <c r="Y267" s="1">
        <v>0.5</v>
      </c>
      <c r="Z267" s="1" t="b">
        <f>FALSE</f>
        <v>0</v>
      </c>
      <c r="AA267" s="1" t="str">
        <f t="shared" si="207"/>
        <v/>
      </c>
      <c r="AB267" s="1" t="str">
        <f t="shared" si="208"/>
        <v/>
      </c>
      <c r="AC267" s="1">
        <f t="shared" si="205"/>
        <v>0</v>
      </c>
      <c r="AD267" s="1" t="str">
        <f t="shared" si="209"/>
        <v/>
      </c>
      <c r="AE267" s="1" t="str">
        <f t="shared" si="210"/>
        <v/>
      </c>
      <c r="AF267" s="1">
        <f t="shared" si="206"/>
        <v>0</v>
      </c>
      <c r="AG267" s="1">
        <f t="shared" si="211"/>
        <v>5</v>
      </c>
      <c r="AH267" s="1" t="str">
        <f t="shared" si="203"/>
        <v/>
      </c>
      <c r="AI267" s="1">
        <v>1</v>
      </c>
      <c r="AJ267" s="1">
        <f t="shared" si="238"/>
        <v>0</v>
      </c>
      <c r="AK267" s="1">
        <v>1</v>
      </c>
      <c r="AL267" s="1">
        <v>2</v>
      </c>
      <c r="AM267" s="1">
        <v>2</v>
      </c>
      <c r="AN267" s="1">
        <f t="shared" si="240"/>
        <v>0</v>
      </c>
      <c r="AO267" s="1">
        <v>2</v>
      </c>
      <c r="AP267" s="1">
        <v>2</v>
      </c>
      <c r="AQ267" s="1">
        <v>2</v>
      </c>
      <c r="AR267" s="1">
        <v>2</v>
      </c>
      <c r="AS267" s="1">
        <v>2</v>
      </c>
      <c r="AT267" s="1">
        <v>2</v>
      </c>
      <c r="AU267" s="1">
        <v>2</v>
      </c>
      <c r="AV267" s="1">
        <v>2</v>
      </c>
      <c r="AW267" s="1">
        <v>1</v>
      </c>
      <c r="AX267" s="1">
        <v>2</v>
      </c>
      <c r="AY267" s="1">
        <v>1</v>
      </c>
      <c r="AZ267" s="1">
        <v>1</v>
      </c>
      <c r="BA267" s="1">
        <v>1</v>
      </c>
      <c r="BB267" s="1">
        <v>1</v>
      </c>
      <c r="BC267" s="1">
        <v>1</v>
      </c>
      <c r="BD267" s="1">
        <v>1</v>
      </c>
      <c r="BE267" s="1">
        <v>1</v>
      </c>
      <c r="BF267" s="1">
        <v>1</v>
      </c>
      <c r="BG267" s="1">
        <f t="shared" si="225"/>
        <v>0</v>
      </c>
      <c r="BH267" s="1">
        <f t="shared" si="241"/>
        <v>0</v>
      </c>
      <c r="BI267" s="1">
        <v>1</v>
      </c>
      <c r="BJ267" s="1">
        <v>2</v>
      </c>
      <c r="BK267" s="1">
        <v>2</v>
      </c>
      <c r="BL267" s="1">
        <v>1</v>
      </c>
      <c r="BM267" s="1">
        <v>1</v>
      </c>
      <c r="BN267" s="1">
        <v>1</v>
      </c>
      <c r="BO267" s="1">
        <v>1</v>
      </c>
      <c r="BP267" s="1">
        <v>1</v>
      </c>
      <c r="BQ267" s="1">
        <f t="shared" si="242"/>
        <v>0</v>
      </c>
      <c r="BR267" s="1">
        <v>1</v>
      </c>
      <c r="BS267" s="1">
        <v>1</v>
      </c>
      <c r="BT267" s="1">
        <f t="shared" si="239"/>
        <v>0</v>
      </c>
      <c r="BU267" s="1">
        <f t="shared" si="243"/>
        <v>0</v>
      </c>
      <c r="BV267" s="1">
        <v>2</v>
      </c>
      <c r="BW267" s="1">
        <v>1</v>
      </c>
      <c r="BX267" s="1">
        <v>1</v>
      </c>
      <c r="BY267" s="1">
        <v>1</v>
      </c>
      <c r="BZ267" s="1">
        <v>1</v>
      </c>
      <c r="CA267" s="1">
        <v>1</v>
      </c>
      <c r="CB267" s="1">
        <v>1</v>
      </c>
      <c r="CC267" s="1">
        <v>1</v>
      </c>
      <c r="CD267" s="1">
        <v>1</v>
      </c>
      <c r="CE267" s="1">
        <v>1</v>
      </c>
      <c r="CF267" s="1">
        <v>1</v>
      </c>
      <c r="CG267" s="1">
        <f t="shared" si="244"/>
        <v>0</v>
      </c>
      <c r="CH267" s="1">
        <v>1</v>
      </c>
      <c r="CI267" s="1">
        <v>1</v>
      </c>
      <c r="CJ267" s="1">
        <v>1</v>
      </c>
      <c r="CK267" s="1">
        <v>1</v>
      </c>
      <c r="CL267" s="1">
        <v>1</v>
      </c>
      <c r="CM267" s="1">
        <v>1</v>
      </c>
      <c r="CN267" s="1">
        <v>1</v>
      </c>
      <c r="CO267" s="1">
        <v>1</v>
      </c>
      <c r="CP267" s="1">
        <v>2</v>
      </c>
      <c r="CQ267" s="1">
        <v>2</v>
      </c>
      <c r="CR267" s="1">
        <v>2</v>
      </c>
      <c r="CS267" s="1">
        <v>2</v>
      </c>
      <c r="CT267" s="1">
        <v>2</v>
      </c>
      <c r="CU267" s="1">
        <v>2</v>
      </c>
      <c r="CV267" s="1">
        <f t="shared" si="236"/>
        <v>0</v>
      </c>
      <c r="CW267" s="1">
        <v>1</v>
      </c>
      <c r="CX267" s="1">
        <v>1</v>
      </c>
      <c r="CY267" s="1">
        <v>1</v>
      </c>
      <c r="CZ267" s="1">
        <f t="shared" si="245"/>
        <v>0</v>
      </c>
      <c r="DA267" s="1">
        <v>1</v>
      </c>
      <c r="DB267" s="1">
        <v>1</v>
      </c>
      <c r="DC267" s="1">
        <v>2</v>
      </c>
      <c r="DD267" s="1">
        <v>1</v>
      </c>
      <c r="DE267" s="1">
        <v>1</v>
      </c>
      <c r="DF267" s="1">
        <v>1</v>
      </c>
      <c r="DG267" s="1">
        <v>2</v>
      </c>
      <c r="DH267" s="1">
        <v>1</v>
      </c>
      <c r="DI267" s="1">
        <f>IF(HRXPH,1,0)</f>
        <v>0</v>
      </c>
      <c r="DJ267" s="1">
        <v>2</v>
      </c>
      <c r="DK267" s="1" t="s">
        <v>728</v>
      </c>
      <c r="DL267" s="1" t="s">
        <v>170</v>
      </c>
      <c r="DW267" s="1" t="b">
        <f>MetamagicSelected&gt;0</f>
        <v>0</v>
      </c>
      <c r="DX267" s="1" t="b">
        <f ca="1">MaxSpellLevel&gt;=3</f>
        <v>0</v>
      </c>
      <c r="DY267" s="1" t="b">
        <f>SkillTricksSelected&gt;1</f>
        <v>0</v>
      </c>
      <c r="DZ267" s="1" t="b">
        <f t="shared" si="229"/>
        <v>1</v>
      </c>
      <c r="EA267" s="1" t="b">
        <f ca="1">AND(DM267:DZ267)</f>
        <v>0</v>
      </c>
      <c r="EB267" s="11" t="s">
        <v>334</v>
      </c>
      <c r="EC267" s="1" t="str">
        <f ca="1">IF(DW267,"","• Any one metamagic feat.
")&amp;IF(DX267,"","• Ability to cast 3rd level spells.
")&amp;IF(DY267,"","• Any two skill tricks.
")</f>
        <v xml:space="preserve">• Any one metamagic feat.
• Ability to cast 3rd level spells.
• Any two skill tricks.
</v>
      </c>
      <c r="ED267" s="11" t="s">
        <v>335</v>
      </c>
      <c r="EE267" s="14"/>
      <c r="EF267" s="15"/>
      <c r="EG267" s="15"/>
      <c r="EH267" s="15"/>
      <c r="EI267" s="15"/>
      <c r="EJ267" s="15"/>
      <c r="EK267" s="15"/>
      <c r="EL267" s="15"/>
      <c r="EM267" s="15"/>
      <c r="EN267" s="15"/>
      <c r="EO267" s="16"/>
    </row>
    <row r="268" spans="1:145" ht="11.25" customHeight="1" x14ac:dyDescent="0.2">
      <c r="A268" s="1">
        <f t="shared" si="247"/>
        <v>265</v>
      </c>
      <c r="B268" s="1" t="s">
        <v>748</v>
      </c>
      <c r="C268" s="1" t="s">
        <v>749</v>
      </c>
      <c r="D268" s="1" t="s">
        <v>749</v>
      </c>
      <c r="E268" s="1">
        <f t="shared" si="204"/>
        <v>0</v>
      </c>
      <c r="G268" s="1">
        <f>MAX(0,MalLvl-1)</f>
        <v>0</v>
      </c>
      <c r="K268" s="1">
        <v>2</v>
      </c>
      <c r="L268" s="1">
        <v>4</v>
      </c>
      <c r="V268" s="1">
        <v>0.5</v>
      </c>
      <c r="W268" s="1">
        <v>0.34</v>
      </c>
      <c r="X268" s="1">
        <v>0.34</v>
      </c>
      <c r="Y268" s="1">
        <v>0.5</v>
      </c>
      <c r="Z268" s="1" t="b">
        <f>FALSE</f>
        <v>0</v>
      </c>
      <c r="AA268" s="1" t="str">
        <f t="shared" si="207"/>
        <v/>
      </c>
      <c r="AB268" s="1" t="str">
        <f t="shared" si="208"/>
        <v/>
      </c>
      <c r="AC268" s="1">
        <f t="shared" si="205"/>
        <v>0</v>
      </c>
      <c r="AD268" s="1" t="str">
        <f t="shared" si="209"/>
        <v/>
      </c>
      <c r="AE268" s="1" t="str">
        <f t="shared" si="210"/>
        <v/>
      </c>
      <c r="AF268" s="1">
        <f t="shared" si="206"/>
        <v>0</v>
      </c>
      <c r="AG268" s="1">
        <f t="shared" si="211"/>
        <v>5</v>
      </c>
      <c r="AH268" s="1" t="str">
        <f t="shared" si="203"/>
        <v/>
      </c>
      <c r="AI268" s="1">
        <v>1</v>
      </c>
      <c r="AJ268" s="1">
        <f t="shared" si="238"/>
        <v>0</v>
      </c>
      <c r="AK268" s="1">
        <v>1</v>
      </c>
      <c r="AL268" s="1">
        <v>2</v>
      </c>
      <c r="AM268" s="1">
        <v>1</v>
      </c>
      <c r="AN268" s="1">
        <f t="shared" si="240"/>
        <v>0</v>
      </c>
      <c r="AO268" s="1">
        <v>2</v>
      </c>
      <c r="AP268" s="1">
        <v>2</v>
      </c>
      <c r="AQ268" s="1">
        <v>2</v>
      </c>
      <c r="AR268" s="1">
        <v>2</v>
      </c>
      <c r="AS268" s="1">
        <v>2</v>
      </c>
      <c r="AT268" s="1">
        <v>2</v>
      </c>
      <c r="AU268" s="1">
        <v>2</v>
      </c>
      <c r="AV268" s="1">
        <v>2</v>
      </c>
      <c r="AW268" s="1">
        <v>1</v>
      </c>
      <c r="AX268" s="1">
        <v>1</v>
      </c>
      <c r="AY268" s="1">
        <v>1</v>
      </c>
      <c r="AZ268" s="1">
        <v>2</v>
      </c>
      <c r="BA268" s="1">
        <v>1</v>
      </c>
      <c r="BB268" s="1">
        <v>1</v>
      </c>
      <c r="BC268" s="1">
        <v>1</v>
      </c>
      <c r="BD268" s="1">
        <v>1</v>
      </c>
      <c r="BE268" s="1">
        <v>1</v>
      </c>
      <c r="BF268" s="1">
        <v>1</v>
      </c>
      <c r="BG268" s="1">
        <f t="shared" si="225"/>
        <v>0</v>
      </c>
      <c r="BH268" s="1">
        <f t="shared" si="241"/>
        <v>0</v>
      </c>
      <c r="BI268" s="1">
        <v>1</v>
      </c>
      <c r="BJ268" s="1">
        <v>1</v>
      </c>
      <c r="BK268" s="1">
        <v>2</v>
      </c>
      <c r="BL268" s="1">
        <v>1</v>
      </c>
      <c r="BM268" s="1">
        <v>1</v>
      </c>
      <c r="BN268" s="1">
        <v>1</v>
      </c>
      <c r="BO268" s="1">
        <v>1</v>
      </c>
      <c r="BP268" s="1">
        <v>1</v>
      </c>
      <c r="BQ268" s="1">
        <f t="shared" si="242"/>
        <v>0</v>
      </c>
      <c r="BR268" s="1">
        <v>1</v>
      </c>
      <c r="BS268" s="1">
        <v>1</v>
      </c>
      <c r="BT268" s="1">
        <f t="shared" si="239"/>
        <v>0</v>
      </c>
      <c r="BU268" s="1">
        <f t="shared" si="243"/>
        <v>0</v>
      </c>
      <c r="BV268" s="1">
        <v>2</v>
      </c>
      <c r="BW268" s="1">
        <v>2</v>
      </c>
      <c r="BX268" s="1">
        <v>1</v>
      </c>
      <c r="BY268" s="1">
        <v>1</v>
      </c>
      <c r="BZ268" s="1">
        <v>1</v>
      </c>
      <c r="CA268" s="1">
        <v>1</v>
      </c>
      <c r="CB268" s="1">
        <v>1</v>
      </c>
      <c r="CC268" s="1">
        <v>1</v>
      </c>
      <c r="CD268" s="1">
        <v>1</v>
      </c>
      <c r="CE268" s="1">
        <v>1</v>
      </c>
      <c r="CF268" s="1">
        <v>1</v>
      </c>
      <c r="CG268" s="1">
        <f t="shared" si="244"/>
        <v>0</v>
      </c>
      <c r="CH268" s="1">
        <v>1</v>
      </c>
      <c r="CI268" s="1">
        <v>1</v>
      </c>
      <c r="CJ268" s="1">
        <v>1</v>
      </c>
      <c r="CK268" s="1">
        <v>1</v>
      </c>
      <c r="CL268" s="1">
        <v>1</v>
      </c>
      <c r="CM268" s="1">
        <v>1</v>
      </c>
      <c r="CN268" s="1">
        <v>1</v>
      </c>
      <c r="CO268" s="1">
        <v>1</v>
      </c>
      <c r="CP268" s="1">
        <v>2</v>
      </c>
      <c r="CQ268" s="1">
        <v>2</v>
      </c>
      <c r="CR268" s="1">
        <v>2</v>
      </c>
      <c r="CS268" s="1">
        <v>2</v>
      </c>
      <c r="CT268" s="1">
        <v>2</v>
      </c>
      <c r="CU268" s="1">
        <v>2</v>
      </c>
      <c r="CV268" s="1">
        <f t="shared" si="236"/>
        <v>0</v>
      </c>
      <c r="CW268" s="1">
        <v>1</v>
      </c>
      <c r="CX268" s="1">
        <v>1</v>
      </c>
      <c r="CY268" s="1">
        <v>1</v>
      </c>
      <c r="CZ268" s="1">
        <f t="shared" si="245"/>
        <v>0</v>
      </c>
      <c r="DA268" s="1">
        <v>1</v>
      </c>
      <c r="DB268" s="1">
        <v>1</v>
      </c>
      <c r="DC268" s="1">
        <v>2</v>
      </c>
      <c r="DD268" s="1">
        <v>1</v>
      </c>
      <c r="DE268" s="1">
        <v>1</v>
      </c>
      <c r="DF268" s="1">
        <v>1</v>
      </c>
      <c r="DG268" s="1">
        <v>1</v>
      </c>
      <c r="DH268" s="1">
        <v>1</v>
      </c>
      <c r="DI268" s="1">
        <f t="shared" si="237"/>
        <v>0</v>
      </c>
      <c r="DJ268" s="1">
        <v>1</v>
      </c>
      <c r="DK268" s="1" t="s">
        <v>728</v>
      </c>
      <c r="DL268" s="1" t="s">
        <v>170</v>
      </c>
      <c r="DT268" s="1" t="b">
        <f>AlignmentNonEvil</f>
        <v>1</v>
      </c>
      <c r="DU268" s="1" t="b">
        <f>SkBluffRanks&gt;=4</f>
        <v>0</v>
      </c>
      <c r="DV268" s="1" t="b">
        <f>SkKnowledgePlanesRanks&gt;=4</f>
        <v>0</v>
      </c>
      <c r="DW268" s="1" t="b">
        <f>AND(NOT(ISNA(MATCH("Celestial",TblLangKnown,0))),NOT(ISNA(MATCH("Infernal",TblLangKnown,0))))</f>
        <v>0</v>
      </c>
      <c r="DX268" s="1" t="b">
        <f>FtAugmentSummoning</f>
        <v>0</v>
      </c>
      <c r="DY268" s="1" t="b">
        <f>NOT(ISNA(MATCH("Conjuration",TblSpellFocus,0)))</f>
        <v>0</v>
      </c>
      <c r="DZ268" s="1" t="b">
        <f t="shared" si="229"/>
        <v>1</v>
      </c>
      <c r="EA268" s="1" t="b">
        <f t="shared" si="246"/>
        <v>0</v>
      </c>
      <c r="EB268" s="11" t="s">
        <v>338</v>
      </c>
      <c r="EC268" s="1" t="str">
        <f>IF(DT268,"","• Any non-evil.
")&amp;IF(DU268,"","• Bluff 4 ranks.
")&amp;IF(DV268,"","• Knowledge (the planes) 4 ranks.
")&amp;IF(DW268,"","• Speak Celestial and Infernal.
")&amp;IF(DX268,"","• Augment Summoning feat.
")&amp;IF(DY268,"","• Spell Focus (Conjuration) feat.
")&amp;"• Ability to cast summon monster III (not verified)."</f>
        <v>• Bluff 4 ranks.
• Knowledge (the planes) 4 ranks.
• Speak Celestial and Infernal.
• Augment Summoning feat.
• Spell Focus (Conjuration) feat.
• Ability to cast summon monster III (not verified).</v>
      </c>
      <c r="ED268" s="11" t="s">
        <v>335</v>
      </c>
      <c r="EE268" s="14"/>
      <c r="EF268" s="15"/>
      <c r="EG268" s="15"/>
      <c r="EH268" s="15"/>
      <c r="EI268" s="15"/>
      <c r="EJ268" s="15"/>
      <c r="EK268" s="15"/>
      <c r="EL268" s="15"/>
      <c r="EM268" s="15"/>
      <c r="EN268" s="15"/>
      <c r="EO268" s="16"/>
    </row>
    <row r="269" spans="1:145" ht="11.25" customHeight="1" x14ac:dyDescent="0.2">
      <c r="A269" s="1">
        <f t="shared" si="247"/>
        <v>266</v>
      </c>
      <c r="B269" s="1" t="s">
        <v>750</v>
      </c>
      <c r="C269" s="1" t="s">
        <v>751</v>
      </c>
      <c r="D269" s="1" t="s">
        <v>751</v>
      </c>
      <c r="E269" s="1">
        <f t="shared" si="204"/>
        <v>0</v>
      </c>
      <c r="G269" s="1">
        <f>(MoMLvl&gt;=2)+(MoMLvl&gt;=4)+(MoMLvl&gt;=7)+(MoMLvl&gt;=9)</f>
        <v>0</v>
      </c>
      <c r="K269" s="1">
        <v>4</v>
      </c>
      <c r="L269" s="1">
        <v>6</v>
      </c>
      <c r="V269" s="1">
        <v>0.5</v>
      </c>
      <c r="W269" s="1">
        <v>0.34</v>
      </c>
      <c r="X269" s="1">
        <v>0.5</v>
      </c>
      <c r="Y269" s="1">
        <v>0.5</v>
      </c>
      <c r="Z269" s="1" t="b">
        <f>FALSE</f>
        <v>0</v>
      </c>
      <c r="AA269" s="1" t="str">
        <f t="shared" si="207"/>
        <v/>
      </c>
      <c r="AB269" s="1" t="str">
        <f t="shared" si="208"/>
        <v/>
      </c>
      <c r="AC269" s="1">
        <f t="shared" si="205"/>
        <v>0</v>
      </c>
      <c r="AD269" s="1" t="str">
        <f t="shared" si="209"/>
        <v/>
      </c>
      <c r="AE269" s="1" t="str">
        <f t="shared" si="210"/>
        <v/>
      </c>
      <c r="AF269" s="1">
        <f t="shared" si="206"/>
        <v>0</v>
      </c>
      <c r="AG269" s="1">
        <f t="shared" si="211"/>
        <v>5</v>
      </c>
      <c r="AH269" s="1" t="str">
        <f t="shared" si="203"/>
        <v/>
      </c>
      <c r="AI269" s="1">
        <v>1</v>
      </c>
      <c r="AJ269" s="1">
        <f t="shared" si="238"/>
        <v>0</v>
      </c>
      <c r="AK269" s="1">
        <v>1</v>
      </c>
      <c r="AL269" s="1">
        <v>2</v>
      </c>
      <c r="AM269" s="1">
        <v>1</v>
      </c>
      <c r="AN269" s="1">
        <f t="shared" si="240"/>
        <v>0</v>
      </c>
      <c r="AO269" s="1">
        <v>1</v>
      </c>
      <c r="AP269" s="1">
        <v>2</v>
      </c>
      <c r="AQ269" s="1">
        <v>2</v>
      </c>
      <c r="AR269" s="1">
        <v>2</v>
      </c>
      <c r="AS269" s="1">
        <v>2</v>
      </c>
      <c r="AT269" s="1">
        <v>2</v>
      </c>
      <c r="AU269" s="1">
        <v>2</v>
      </c>
      <c r="AV269" s="1">
        <v>2</v>
      </c>
      <c r="AW269" s="1">
        <v>1</v>
      </c>
      <c r="AX269" s="1">
        <v>1</v>
      </c>
      <c r="AY269" s="1">
        <v>1</v>
      </c>
      <c r="AZ269" s="1">
        <v>2</v>
      </c>
      <c r="BA269" s="1">
        <v>1</v>
      </c>
      <c r="BB269" s="1">
        <v>2</v>
      </c>
      <c r="BC269" s="1">
        <v>1</v>
      </c>
      <c r="BD269" s="1">
        <v>1</v>
      </c>
      <c r="BE269" s="1">
        <v>1</v>
      </c>
      <c r="BF269" s="1">
        <v>1</v>
      </c>
      <c r="BG269" s="1">
        <v>1</v>
      </c>
      <c r="BH269" s="1">
        <f t="shared" si="241"/>
        <v>0</v>
      </c>
      <c r="BI269" s="1">
        <v>1</v>
      </c>
      <c r="BJ269" s="1">
        <v>1</v>
      </c>
      <c r="BK269" s="1">
        <v>1</v>
      </c>
      <c r="BL269" s="1">
        <v>1</v>
      </c>
      <c r="BM269" s="1">
        <v>1</v>
      </c>
      <c r="BN269" s="1">
        <v>1</v>
      </c>
      <c r="BO269" s="1">
        <v>1</v>
      </c>
      <c r="BP269" s="1">
        <v>1</v>
      </c>
      <c r="BQ269" s="1">
        <f t="shared" si="242"/>
        <v>0</v>
      </c>
      <c r="BR269" s="1">
        <v>1</v>
      </c>
      <c r="BS269" s="1">
        <v>1</v>
      </c>
      <c r="BT269" s="1">
        <f t="shared" si="239"/>
        <v>0</v>
      </c>
      <c r="BU269" s="1">
        <f t="shared" si="243"/>
        <v>0</v>
      </c>
      <c r="BV269" s="1">
        <v>1</v>
      </c>
      <c r="BW269" s="1">
        <v>1</v>
      </c>
      <c r="BX269" s="1">
        <v>1</v>
      </c>
      <c r="BY269" s="1">
        <v>1</v>
      </c>
      <c r="BZ269" s="1">
        <v>1</v>
      </c>
      <c r="CA269" s="1">
        <v>1</v>
      </c>
      <c r="CB269" s="1">
        <v>1</v>
      </c>
      <c r="CC269" s="1">
        <v>1</v>
      </c>
      <c r="CD269" s="1">
        <v>1</v>
      </c>
      <c r="CE269" s="1">
        <v>1</v>
      </c>
      <c r="CF269" s="1">
        <v>1</v>
      </c>
      <c r="CG269" s="1">
        <f t="shared" si="244"/>
        <v>0</v>
      </c>
      <c r="CH269" s="1">
        <v>1</v>
      </c>
      <c r="CI269" s="1">
        <v>1</v>
      </c>
      <c r="CJ269" s="1">
        <v>2</v>
      </c>
      <c r="CK269" s="1">
        <v>2</v>
      </c>
      <c r="CL269" s="1">
        <v>2</v>
      </c>
      <c r="CM269" s="1">
        <v>2</v>
      </c>
      <c r="CN269" s="1">
        <v>2</v>
      </c>
      <c r="CO269" s="1">
        <v>2</v>
      </c>
      <c r="CP269" s="1">
        <v>1</v>
      </c>
      <c r="CQ269" s="1">
        <v>1</v>
      </c>
      <c r="CR269" s="1">
        <v>1</v>
      </c>
      <c r="CS269" s="1">
        <v>1</v>
      </c>
      <c r="CT269" s="1">
        <v>1</v>
      </c>
      <c r="CU269" s="1">
        <v>1</v>
      </c>
      <c r="CV269" s="1">
        <f t="shared" si="236"/>
        <v>0</v>
      </c>
      <c r="CW269" s="1">
        <v>1</v>
      </c>
      <c r="CX269" s="1">
        <v>1</v>
      </c>
      <c r="CY269" s="1">
        <v>1</v>
      </c>
      <c r="CZ269" s="1">
        <f t="shared" si="245"/>
        <v>0</v>
      </c>
      <c r="DA269" s="1">
        <v>2</v>
      </c>
      <c r="DB269" s="1">
        <v>2</v>
      </c>
      <c r="DC269" s="1">
        <v>1</v>
      </c>
      <c r="DD269" s="1">
        <v>1</v>
      </c>
      <c r="DE269" s="1">
        <v>1</v>
      </c>
      <c r="DF269" s="1">
        <v>1</v>
      </c>
      <c r="DG269" s="1">
        <v>1</v>
      </c>
      <c r="DH269" s="1">
        <v>1</v>
      </c>
      <c r="DI269" s="1">
        <f t="shared" si="237"/>
        <v>0</v>
      </c>
      <c r="DJ269" s="1">
        <v>1</v>
      </c>
      <c r="DK269" s="1" t="s">
        <v>728</v>
      </c>
      <c r="DL269" s="1" t="s">
        <v>101</v>
      </c>
      <c r="DV269" s="1" t="b">
        <f>SkBluffRanks&gt;=8</f>
        <v>0</v>
      </c>
      <c r="DW269" s="1" t="b">
        <f>SkDisguiseRanks&gt;=8</f>
        <v>0</v>
      </c>
      <c r="DX269" s="1" t="b">
        <f>IF(NOT(ISNA(MATCH("Act",TblPerformSkills,0))),INDEX(TblPerformRanks,MATCH("Act",TblPerformSkills,0),1)&gt;=8,FALSE)</f>
        <v>0</v>
      </c>
      <c r="DY269" s="1" t="b">
        <f>LanguagesKnown&gt;=4</f>
        <v>0</v>
      </c>
      <c r="DZ269" s="1" t="b">
        <f t="shared" si="229"/>
        <v>1</v>
      </c>
      <c r="EA269" s="1" t="b">
        <f t="shared" si="246"/>
        <v>0</v>
      </c>
      <c r="EB269" s="11" t="s">
        <v>338</v>
      </c>
      <c r="EC269" s="1" t="str">
        <f>IF(DV269,"","• Bluff 8 ranks.
")&amp;IF(DW269,"","• Disguise 8 ranks.
")&amp;IF(DX269,"","• Perform (Act) 8 ranks.
")&amp;IF(DY269,"","• Any four languages.
")&amp;"• Must have successfully impersonated an individual fooling
  even their friends and associates (not verified)."</f>
        <v>• Bluff 8 ranks.
• Disguise 8 ranks.
• Perform (Act) 8 ranks.
• Any four languages.
• Must have successfully impersonated an individual fooling
  even their friends and associates (not verified).</v>
      </c>
      <c r="ED269" s="11" t="s">
        <v>335</v>
      </c>
      <c r="EE269" s="14"/>
      <c r="EF269" s="15"/>
      <c r="EG269" s="15"/>
      <c r="EH269" s="15"/>
      <c r="EI269" s="15"/>
      <c r="EJ269" s="15"/>
      <c r="EK269" s="15"/>
      <c r="EL269" s="15"/>
      <c r="EM269" s="15"/>
      <c r="EN269" s="15"/>
      <c r="EO269" s="16"/>
    </row>
    <row r="270" spans="1:145" ht="11.25" customHeight="1" x14ac:dyDescent="0.2">
      <c r="A270" s="1">
        <f t="shared" si="247"/>
        <v>267</v>
      </c>
      <c r="B270" s="1" t="s">
        <v>752</v>
      </c>
      <c r="C270" s="1" t="s">
        <v>753</v>
      </c>
      <c r="D270" s="1" t="s">
        <v>753</v>
      </c>
      <c r="E270" s="1">
        <f t="shared" si="204"/>
        <v>0</v>
      </c>
      <c r="K270" s="1">
        <v>4</v>
      </c>
      <c r="L270" s="1">
        <v>6</v>
      </c>
      <c r="V270" s="1">
        <v>0.75</v>
      </c>
      <c r="W270" s="1">
        <v>0.34</v>
      </c>
      <c r="X270" s="1">
        <v>0.5</v>
      </c>
      <c r="Y270" s="1">
        <v>0.34</v>
      </c>
      <c r="Z270" s="1" t="b">
        <f>FALSE</f>
        <v>0</v>
      </c>
      <c r="AA270" s="1" t="str">
        <f t="shared" si="207"/>
        <v/>
      </c>
      <c r="AB270" s="1" t="str">
        <f t="shared" si="208"/>
        <v/>
      </c>
      <c r="AC270" s="1">
        <f t="shared" si="205"/>
        <v>0</v>
      </c>
      <c r="AD270" s="1" t="str">
        <f t="shared" si="209"/>
        <v/>
      </c>
      <c r="AE270" s="1" t="str">
        <f t="shared" si="210"/>
        <v/>
      </c>
      <c r="AF270" s="1">
        <f t="shared" si="206"/>
        <v>0</v>
      </c>
      <c r="AG270" s="1">
        <f t="shared" si="211"/>
        <v>5</v>
      </c>
      <c r="AH270" s="1" t="str">
        <f t="shared" si="203"/>
        <v/>
      </c>
      <c r="AI270" s="1">
        <v>2</v>
      </c>
      <c r="AJ270" s="1">
        <f t="shared" si="238"/>
        <v>0</v>
      </c>
      <c r="AK270" s="1">
        <v>1</v>
      </c>
      <c r="AL270" s="1">
        <v>2</v>
      </c>
      <c r="AM270" s="1">
        <v>1</v>
      </c>
      <c r="AN270" s="1">
        <f t="shared" si="240"/>
        <v>0</v>
      </c>
      <c r="AO270" s="1">
        <v>2</v>
      </c>
      <c r="AP270" s="1">
        <v>1</v>
      </c>
      <c r="AQ270" s="1">
        <v>1</v>
      </c>
      <c r="AR270" s="1">
        <v>1</v>
      </c>
      <c r="AS270" s="1">
        <v>1</v>
      </c>
      <c r="AT270" s="1">
        <v>1</v>
      </c>
      <c r="AU270" s="1">
        <v>1</v>
      </c>
      <c r="AV270" s="1">
        <v>1</v>
      </c>
      <c r="AW270" s="1">
        <v>1</v>
      </c>
      <c r="AX270" s="1">
        <v>2</v>
      </c>
      <c r="AY270" s="1">
        <v>1</v>
      </c>
      <c r="AZ270" s="1">
        <v>2</v>
      </c>
      <c r="BA270" s="1">
        <v>2</v>
      </c>
      <c r="BB270" s="1">
        <v>2</v>
      </c>
      <c r="BC270" s="1">
        <v>1</v>
      </c>
      <c r="BD270" s="1">
        <v>1</v>
      </c>
      <c r="BE270" s="1">
        <v>1</v>
      </c>
      <c r="BF270" s="1">
        <v>1</v>
      </c>
      <c r="BG270" s="1">
        <f t="shared" si="225"/>
        <v>0</v>
      </c>
      <c r="BH270" s="1">
        <f t="shared" si="241"/>
        <v>0</v>
      </c>
      <c r="BI270" s="1">
        <v>2</v>
      </c>
      <c r="BJ270" s="1">
        <v>2</v>
      </c>
      <c r="BK270" s="1">
        <v>2</v>
      </c>
      <c r="BL270" s="1">
        <v>1</v>
      </c>
      <c r="BM270" s="1">
        <v>1</v>
      </c>
      <c r="BN270" s="1">
        <v>1</v>
      </c>
      <c r="BO270" s="1">
        <v>1</v>
      </c>
      <c r="BP270" s="1">
        <f>1+NOT(HRLivingGreyhawk)</f>
        <v>2</v>
      </c>
      <c r="BQ270" s="1">
        <f t="shared" si="242"/>
        <v>0</v>
      </c>
      <c r="BR270" s="1">
        <v>1</v>
      </c>
      <c r="BS270" s="1">
        <v>1</v>
      </c>
      <c r="BT270" s="1">
        <v>2</v>
      </c>
      <c r="BU270" s="1">
        <f t="shared" si="243"/>
        <v>0</v>
      </c>
      <c r="BV270" s="1">
        <v>1</v>
      </c>
      <c r="BW270" s="1">
        <v>1</v>
      </c>
      <c r="BX270" s="1">
        <v>1</v>
      </c>
      <c r="BY270" s="1">
        <f t="shared" ref="BY270:CE271" si="249">1+NOT(ISERROR(MATCH(BY$2,TblLGMetaRegions,0)))</f>
        <v>1</v>
      </c>
      <c r="BZ270" s="1">
        <f t="shared" si="249"/>
        <v>1</v>
      </c>
      <c r="CA270" s="1">
        <f t="shared" si="249"/>
        <v>1</v>
      </c>
      <c r="CB270" s="1">
        <f t="shared" si="249"/>
        <v>1</v>
      </c>
      <c r="CC270" s="1">
        <f t="shared" si="249"/>
        <v>1</v>
      </c>
      <c r="CD270" s="1">
        <f t="shared" si="249"/>
        <v>1</v>
      </c>
      <c r="CE270" s="1">
        <f t="shared" si="249"/>
        <v>1</v>
      </c>
      <c r="CF270" s="1">
        <v>2</v>
      </c>
      <c r="CG270" s="1">
        <f t="shared" si="244"/>
        <v>0</v>
      </c>
      <c r="CH270" s="1">
        <v>1</v>
      </c>
      <c r="CI270" s="1">
        <v>1</v>
      </c>
      <c r="CJ270" s="1">
        <v>1</v>
      </c>
      <c r="CK270" s="1">
        <v>1</v>
      </c>
      <c r="CL270" s="1">
        <v>1</v>
      </c>
      <c r="CM270" s="1">
        <v>1</v>
      </c>
      <c r="CN270" s="1">
        <v>1</v>
      </c>
      <c r="CO270" s="1">
        <v>1</v>
      </c>
      <c r="CP270" s="1">
        <v>1</v>
      </c>
      <c r="CQ270" s="1">
        <v>1</v>
      </c>
      <c r="CR270" s="1">
        <v>1</v>
      </c>
      <c r="CS270" s="1">
        <v>1</v>
      </c>
      <c r="CT270" s="1">
        <v>1</v>
      </c>
      <c r="CU270" s="1">
        <v>1</v>
      </c>
      <c r="CV270" s="1">
        <f t="shared" si="236"/>
        <v>0</v>
      </c>
      <c r="CW270" s="1">
        <v>1</v>
      </c>
      <c r="CX270" s="1">
        <v>1</v>
      </c>
      <c r="CY270" s="1">
        <v>2</v>
      </c>
      <c r="CZ270" s="1">
        <f t="shared" si="245"/>
        <v>0</v>
      </c>
      <c r="DA270" s="1">
        <v>2</v>
      </c>
      <c r="DB270" s="1">
        <v>1</v>
      </c>
      <c r="DC270" s="1">
        <v>2</v>
      </c>
      <c r="DD270" s="1">
        <v>2</v>
      </c>
      <c r="DE270" s="1">
        <v>1</v>
      </c>
      <c r="DF270" s="1">
        <v>1</v>
      </c>
      <c r="DG270" s="1">
        <v>2</v>
      </c>
      <c r="DH270" s="1">
        <v>1</v>
      </c>
      <c r="DI270" s="1">
        <f t="shared" si="237"/>
        <v>0</v>
      </c>
      <c r="DJ270" s="1">
        <v>1</v>
      </c>
      <c r="DK270" s="1" t="s">
        <v>728</v>
      </c>
      <c r="DL270" s="1" t="s">
        <v>40</v>
      </c>
      <c r="DU270" s="1" t="b">
        <f>AlignmentNonLawful</f>
        <v>0</v>
      </c>
      <c r="DV270" s="1" t="b">
        <f>SkBluffRanks&gt;=8</f>
        <v>0</v>
      </c>
      <c r="DW270" s="1" t="b">
        <f>OR(SkKnowledgeArcanaRanks&gt;=4,SkKnowledgeLocalRanks&gt;=4,SkKnowledgePsionicsRanks&gt;=4)</f>
        <v>0</v>
      </c>
      <c r="DX270" s="1" t="b">
        <f>SkSpellcraftRanks&gt;=4</f>
        <v>0</v>
      </c>
      <c r="DY270" s="1" t="b">
        <f>FtDeceitful</f>
        <v>0</v>
      </c>
      <c r="DZ270" s="1" t="b">
        <f t="shared" si="229"/>
        <v>1</v>
      </c>
      <c r="EA270" s="1" t="b">
        <f t="shared" si="246"/>
        <v>0</v>
      </c>
      <c r="EB270" s="11" t="s">
        <v>334</v>
      </c>
      <c r="EC270" s="1" t="str">
        <f>IF(DU270,"","• Any nonlawful.
")&amp;IF(DV270,"","• Bluff 8 ranks.
")&amp;IF(DW270,"","• Knowledge (arcana), (local) or (psionics) 4 ranks.
")&amp;IF(DX270,"","• Spellcraft 4 ranks.
")&amp;IF(DY270,"","• Deceitful feat.
")</f>
        <v xml:space="preserve">• Any nonlawful.
• Bluff 8 ranks.
• Knowledge (arcana), (local) or (psionics) 4 ranks.
• Spellcraft 4 ranks.
• Deceitful feat.
</v>
      </c>
      <c r="ED270" s="11" t="s">
        <v>335</v>
      </c>
      <c r="EE270" s="14"/>
      <c r="EF270" s="15"/>
      <c r="EG270" s="15"/>
      <c r="EH270" s="15"/>
      <c r="EI270" s="15"/>
      <c r="EJ270" s="15"/>
      <c r="EK270" s="15"/>
      <c r="EL270" s="15"/>
      <c r="EM270" s="15"/>
      <c r="EN270" s="15"/>
      <c r="EO270" s="16"/>
    </row>
    <row r="271" spans="1:145" ht="11.25" customHeight="1" x14ac:dyDescent="0.2">
      <c r="A271" s="1">
        <f t="shared" si="247"/>
        <v>268</v>
      </c>
      <c r="B271" s="1" t="s">
        <v>754</v>
      </c>
      <c r="C271" s="1" t="s">
        <v>755</v>
      </c>
      <c r="D271" s="1" t="s">
        <v>755</v>
      </c>
      <c r="E271" s="1">
        <f t="shared" si="204"/>
        <v>0</v>
      </c>
      <c r="K271" s="1">
        <v>6</v>
      </c>
      <c r="L271" s="1">
        <v>6</v>
      </c>
      <c r="V271" s="1">
        <v>0.75</v>
      </c>
      <c r="W271" s="1">
        <v>0.34</v>
      </c>
      <c r="X271" s="1">
        <v>0.5</v>
      </c>
      <c r="Y271" s="1">
        <v>0.34</v>
      </c>
      <c r="Z271" s="1" t="b">
        <f>FALSE</f>
        <v>0</v>
      </c>
      <c r="AA271" s="1" t="str">
        <f t="shared" si="207"/>
        <v/>
      </c>
      <c r="AB271" s="1" t="str">
        <f t="shared" si="208"/>
        <v/>
      </c>
      <c r="AC271" s="1">
        <f t="shared" si="205"/>
        <v>0</v>
      </c>
      <c r="AD271" s="1" t="str">
        <f t="shared" si="209"/>
        <v/>
      </c>
      <c r="AE271" s="1" t="str">
        <f t="shared" si="210"/>
        <v/>
      </c>
      <c r="AF271" s="1">
        <f t="shared" si="206"/>
        <v>0</v>
      </c>
      <c r="AG271" s="1">
        <f t="shared" si="211"/>
        <v>5</v>
      </c>
      <c r="AH271" s="1" t="str">
        <f t="shared" si="203"/>
        <v/>
      </c>
      <c r="AI271" s="1">
        <v>2</v>
      </c>
      <c r="AJ271" s="1">
        <f t="shared" si="238"/>
        <v>0</v>
      </c>
      <c r="AK271" s="1">
        <v>2</v>
      </c>
      <c r="AL271" s="1">
        <v>2</v>
      </c>
      <c r="AM271" s="1">
        <v>2</v>
      </c>
      <c r="AN271" s="1">
        <f t="shared" si="240"/>
        <v>0</v>
      </c>
      <c r="AO271" s="1">
        <v>2</v>
      </c>
      <c r="AP271" s="1">
        <v>2</v>
      </c>
      <c r="AQ271" s="1">
        <v>2</v>
      </c>
      <c r="AR271" s="1">
        <v>2</v>
      </c>
      <c r="AS271" s="1">
        <v>2</v>
      </c>
      <c r="AT271" s="1">
        <v>2</v>
      </c>
      <c r="AU271" s="1">
        <v>2</v>
      </c>
      <c r="AV271" s="1">
        <v>2</v>
      </c>
      <c r="AW271" s="1">
        <v>2</v>
      </c>
      <c r="AX271" s="1">
        <v>2</v>
      </c>
      <c r="AY271" s="1">
        <v>2</v>
      </c>
      <c r="AZ271" s="1">
        <v>2</v>
      </c>
      <c r="BA271" s="1">
        <v>2</v>
      </c>
      <c r="BB271" s="1">
        <v>2</v>
      </c>
      <c r="BC271" s="1">
        <v>2</v>
      </c>
      <c r="BD271" s="1">
        <v>1</v>
      </c>
      <c r="BE271" s="1">
        <v>1</v>
      </c>
      <c r="BF271" s="1">
        <v>2</v>
      </c>
      <c r="BG271" s="1">
        <f t="shared" si="225"/>
        <v>0</v>
      </c>
      <c r="BH271" s="1">
        <f t="shared" si="241"/>
        <v>0</v>
      </c>
      <c r="BI271" s="1">
        <v>2</v>
      </c>
      <c r="BJ271" s="1">
        <v>2</v>
      </c>
      <c r="BK271" s="1">
        <v>1</v>
      </c>
      <c r="BL271" s="1">
        <v>1</v>
      </c>
      <c r="BM271" s="1">
        <v>1</v>
      </c>
      <c r="BN271" s="1">
        <v>1</v>
      </c>
      <c r="BO271" s="1">
        <v>1</v>
      </c>
      <c r="BP271" s="1">
        <f>1+NOT(HRLivingGreyhawk)</f>
        <v>2</v>
      </c>
      <c r="BQ271" s="1">
        <f t="shared" si="242"/>
        <v>0</v>
      </c>
      <c r="BR271" s="1">
        <v>1</v>
      </c>
      <c r="BS271" s="1">
        <v>1</v>
      </c>
      <c r="BT271" s="1">
        <f t="shared" si="239"/>
        <v>0</v>
      </c>
      <c r="BU271" s="1">
        <f t="shared" si="243"/>
        <v>0</v>
      </c>
      <c r="BV271" s="1">
        <v>1</v>
      </c>
      <c r="BW271" s="1">
        <v>1</v>
      </c>
      <c r="BX271" s="1">
        <v>1</v>
      </c>
      <c r="BY271" s="1">
        <f t="shared" si="249"/>
        <v>1</v>
      </c>
      <c r="BZ271" s="1">
        <f t="shared" si="249"/>
        <v>1</v>
      </c>
      <c r="CA271" s="1">
        <f t="shared" si="249"/>
        <v>1</v>
      </c>
      <c r="CB271" s="1">
        <f t="shared" si="249"/>
        <v>1</v>
      </c>
      <c r="CC271" s="1">
        <f t="shared" si="249"/>
        <v>1</v>
      </c>
      <c r="CD271" s="1">
        <f t="shared" si="249"/>
        <v>1</v>
      </c>
      <c r="CE271" s="1">
        <f t="shared" si="249"/>
        <v>1</v>
      </c>
      <c r="CF271" s="1">
        <v>2</v>
      </c>
      <c r="CG271" s="1">
        <f t="shared" si="244"/>
        <v>0</v>
      </c>
      <c r="CH271" s="1">
        <v>2</v>
      </c>
      <c r="CI271" s="1">
        <v>2</v>
      </c>
      <c r="CJ271" s="1">
        <v>2</v>
      </c>
      <c r="CK271" s="1">
        <v>2</v>
      </c>
      <c r="CL271" s="1">
        <v>2</v>
      </c>
      <c r="CM271" s="1">
        <v>2</v>
      </c>
      <c r="CN271" s="1">
        <v>2</v>
      </c>
      <c r="CO271" s="1">
        <v>2</v>
      </c>
      <c r="CP271" s="1">
        <v>2</v>
      </c>
      <c r="CQ271" s="1">
        <v>2</v>
      </c>
      <c r="CR271" s="1">
        <v>2</v>
      </c>
      <c r="CS271" s="1">
        <v>2</v>
      </c>
      <c r="CT271" s="1">
        <v>2</v>
      </c>
      <c r="CU271" s="1">
        <v>2</v>
      </c>
      <c r="CV271" s="1">
        <f t="shared" si="236"/>
        <v>0</v>
      </c>
      <c r="CW271" s="1">
        <v>1</v>
      </c>
      <c r="CX271" s="1">
        <v>2</v>
      </c>
      <c r="CY271" s="1">
        <v>2</v>
      </c>
      <c r="CZ271" s="1">
        <f t="shared" si="245"/>
        <v>0</v>
      </c>
      <c r="DA271" s="1">
        <v>2</v>
      </c>
      <c r="DB271" s="1">
        <v>2</v>
      </c>
      <c r="DC271" s="1">
        <v>1</v>
      </c>
      <c r="DD271" s="1">
        <v>2</v>
      </c>
      <c r="DE271" s="1">
        <v>1</v>
      </c>
      <c r="DF271" s="1">
        <v>2</v>
      </c>
      <c r="DG271" s="1">
        <v>2</v>
      </c>
      <c r="DH271" s="1">
        <v>1</v>
      </c>
      <c r="DI271" s="1">
        <v>2</v>
      </c>
      <c r="DJ271" s="1">
        <v>2</v>
      </c>
      <c r="DK271" s="1" t="s">
        <v>728</v>
      </c>
      <c r="DL271" s="1" t="s">
        <v>101</v>
      </c>
      <c r="DU271" s="1" t="b">
        <f>SkGatherInformationRanks&gt;=8</f>
        <v>0</v>
      </c>
      <c r="DV271" s="1" t="b">
        <f>SkSenseMotiveRanks&gt;=4</f>
        <v>0</v>
      </c>
      <c r="DW271" s="1" t="b">
        <f>LanguagesKnown&gt;=3</f>
        <v>0</v>
      </c>
      <c r="DX271" s="1" t="b">
        <f>PowerPointReserve&gt;0</f>
        <v>0</v>
      </c>
      <c r="DY271" s="1" t="b">
        <f>(SneakAttack+RangedSneakAttack+SuddenStrike+PsionicSneakAttack)&gt;=1</f>
        <v>0</v>
      </c>
      <c r="DZ271" s="1" t="b">
        <f t="shared" si="229"/>
        <v>1</v>
      </c>
      <c r="EA271" s="1" t="b">
        <f t="shared" si="246"/>
        <v>0</v>
      </c>
      <c r="EB271" s="11" t="s">
        <v>334</v>
      </c>
      <c r="EC271" s="1" t="str">
        <f>IF(DU271,"","• Gather Information 8 ranks.
")&amp;IF(DV271,"","• Sense Motive 4 ranks.
")&amp;IF(DW271,"","• Know any three languages.
")&amp;IF(DX271,"","• Power point reserve of at least 1.
")&amp;IF(DY271,"","• Sneak Attack +1d6.
")</f>
        <v xml:space="preserve">• Gather Information 8 ranks.
• Sense Motive 4 ranks.
• Know any three languages.
• Power point reserve of at least 1.
• Sneak Attack +1d6.
</v>
      </c>
      <c r="ED271" s="11" t="s">
        <v>335</v>
      </c>
      <c r="EE271" s="14"/>
      <c r="EF271" s="15"/>
      <c r="EG271" s="15"/>
      <c r="EH271" s="15"/>
      <c r="EI271" s="15"/>
      <c r="EJ271" s="15"/>
      <c r="EK271" s="15"/>
      <c r="EL271" s="15"/>
      <c r="EM271" s="15"/>
      <c r="EN271" s="15"/>
      <c r="EO271" s="16"/>
    </row>
    <row r="272" spans="1:145" ht="11.25" customHeight="1" x14ac:dyDescent="0.2">
      <c r="A272" s="1">
        <f t="shared" si="247"/>
        <v>269</v>
      </c>
      <c r="B272" s="1" t="s">
        <v>756</v>
      </c>
      <c r="C272" s="1" t="s">
        <v>757</v>
      </c>
      <c r="D272" s="1" t="s">
        <v>757</v>
      </c>
      <c r="E272" s="1">
        <f t="shared" si="204"/>
        <v>0</v>
      </c>
      <c r="G272" s="1">
        <f>SpwSLvl</f>
        <v>0</v>
      </c>
      <c r="K272" s="1">
        <v>4</v>
      </c>
      <c r="L272" s="1">
        <v>6</v>
      </c>
      <c r="V272" s="1">
        <v>0.75</v>
      </c>
      <c r="W272" s="1">
        <v>0.34</v>
      </c>
      <c r="X272" s="1">
        <v>0.34</v>
      </c>
      <c r="Y272" s="1">
        <v>0.5</v>
      </c>
      <c r="Z272" s="1" t="b">
        <f>FALSE</f>
        <v>0</v>
      </c>
      <c r="AA272" s="1" t="str">
        <f t="shared" si="207"/>
        <v/>
      </c>
      <c r="AB272" s="1" t="str">
        <f t="shared" si="208"/>
        <v/>
      </c>
      <c r="AC272" s="1">
        <f t="shared" si="205"/>
        <v>0</v>
      </c>
      <c r="AD272" s="1" t="str">
        <f t="shared" si="209"/>
        <v/>
      </c>
      <c r="AE272" s="1" t="str">
        <f t="shared" si="210"/>
        <v/>
      </c>
      <c r="AF272" s="1">
        <f t="shared" si="206"/>
        <v>0</v>
      </c>
      <c r="AG272" s="1">
        <f t="shared" si="211"/>
        <v>5</v>
      </c>
      <c r="AH272" s="1" t="str">
        <f t="shared" si="203"/>
        <v/>
      </c>
      <c r="AI272" s="1">
        <v>1</v>
      </c>
      <c r="AJ272" s="1">
        <f t="shared" si="238"/>
        <v>0</v>
      </c>
      <c r="AK272" s="1">
        <v>1</v>
      </c>
      <c r="AL272" s="1">
        <v>1</v>
      </c>
      <c r="AM272" s="1">
        <v>1</v>
      </c>
      <c r="AN272" s="1">
        <f t="shared" si="240"/>
        <v>0</v>
      </c>
      <c r="AO272" s="1">
        <v>2</v>
      </c>
      <c r="AP272" s="1">
        <v>2</v>
      </c>
      <c r="AQ272" s="1">
        <v>2</v>
      </c>
      <c r="AR272" s="1">
        <v>2</v>
      </c>
      <c r="AS272" s="1">
        <v>2</v>
      </c>
      <c r="AT272" s="1">
        <v>2</v>
      </c>
      <c r="AU272" s="1">
        <v>2</v>
      </c>
      <c r="AV272" s="1">
        <v>2</v>
      </c>
      <c r="AW272" s="1">
        <v>1</v>
      </c>
      <c r="AX272" s="1">
        <v>1</v>
      </c>
      <c r="AY272" s="1">
        <v>1</v>
      </c>
      <c r="AZ272" s="1">
        <v>1</v>
      </c>
      <c r="BA272" s="1">
        <v>1</v>
      </c>
      <c r="BB272" s="1">
        <v>1</v>
      </c>
      <c r="BC272" s="1">
        <v>1</v>
      </c>
      <c r="BD272" s="1">
        <v>1</v>
      </c>
      <c r="BE272" s="1">
        <v>1</v>
      </c>
      <c r="BF272" s="1">
        <v>2</v>
      </c>
      <c r="BG272" s="1">
        <f t="shared" si="225"/>
        <v>0</v>
      </c>
      <c r="BH272" s="1">
        <f t="shared" si="241"/>
        <v>0</v>
      </c>
      <c r="BI272" s="1">
        <v>2</v>
      </c>
      <c r="BJ272" s="1">
        <v>1</v>
      </c>
      <c r="BK272" s="1">
        <v>2</v>
      </c>
      <c r="BL272" s="1">
        <v>1</v>
      </c>
      <c r="BM272" s="1">
        <v>1</v>
      </c>
      <c r="BN272" s="1">
        <v>1</v>
      </c>
      <c r="BO272" s="1">
        <v>1</v>
      </c>
      <c r="BP272" s="1">
        <v>1</v>
      </c>
      <c r="BQ272" s="1">
        <f t="shared" si="242"/>
        <v>0</v>
      </c>
      <c r="BR272" s="1">
        <v>1</v>
      </c>
      <c r="BS272" s="1">
        <v>1</v>
      </c>
      <c r="BT272" s="1">
        <f t="shared" si="239"/>
        <v>0</v>
      </c>
      <c r="BU272" s="1">
        <f t="shared" si="243"/>
        <v>0</v>
      </c>
      <c r="BV272" s="1">
        <v>1</v>
      </c>
      <c r="BW272" s="1">
        <v>1</v>
      </c>
      <c r="BX272" s="1">
        <v>1</v>
      </c>
      <c r="BY272" s="1">
        <v>1</v>
      </c>
      <c r="BZ272" s="1">
        <v>1</v>
      </c>
      <c r="CA272" s="1">
        <v>1</v>
      </c>
      <c r="CB272" s="1">
        <v>1</v>
      </c>
      <c r="CC272" s="1">
        <v>1</v>
      </c>
      <c r="CD272" s="1">
        <v>1</v>
      </c>
      <c r="CE272" s="1">
        <v>1</v>
      </c>
      <c r="CF272" s="1">
        <v>1</v>
      </c>
      <c r="CG272" s="1">
        <f t="shared" si="244"/>
        <v>0</v>
      </c>
      <c r="CH272" s="1">
        <v>1</v>
      </c>
      <c r="CI272" s="1">
        <v>1</v>
      </c>
      <c r="CJ272" s="1">
        <v>1</v>
      </c>
      <c r="CK272" s="1">
        <v>1</v>
      </c>
      <c r="CL272" s="1">
        <v>1</v>
      </c>
      <c r="CM272" s="1">
        <v>1</v>
      </c>
      <c r="CN272" s="1">
        <v>1</v>
      </c>
      <c r="CO272" s="1">
        <v>1</v>
      </c>
      <c r="CP272" s="1">
        <v>2</v>
      </c>
      <c r="CQ272" s="1">
        <v>2</v>
      </c>
      <c r="CR272" s="1">
        <v>2</v>
      </c>
      <c r="CS272" s="1">
        <v>2</v>
      </c>
      <c r="CT272" s="1">
        <v>2</v>
      </c>
      <c r="CU272" s="1">
        <v>2</v>
      </c>
      <c r="CV272" s="1">
        <f t="shared" si="236"/>
        <v>0</v>
      </c>
      <c r="CW272" s="1">
        <v>1</v>
      </c>
      <c r="CX272" s="1">
        <v>1</v>
      </c>
      <c r="CY272" s="1">
        <v>1</v>
      </c>
      <c r="CZ272" s="1">
        <f t="shared" si="245"/>
        <v>0</v>
      </c>
      <c r="DA272" s="1">
        <v>1</v>
      </c>
      <c r="DB272" s="1">
        <v>1</v>
      </c>
      <c r="DC272" s="1">
        <v>2</v>
      </c>
      <c r="DD272" s="1">
        <v>2</v>
      </c>
      <c r="DE272" s="1">
        <v>1</v>
      </c>
      <c r="DF272" s="1">
        <v>1</v>
      </c>
      <c r="DG272" s="1">
        <v>1</v>
      </c>
      <c r="DH272" s="1">
        <v>1</v>
      </c>
      <c r="DI272" s="1">
        <f t="shared" si="237"/>
        <v>0</v>
      </c>
      <c r="DJ272" s="1">
        <v>1</v>
      </c>
      <c r="DK272" s="1" t="s">
        <v>728</v>
      </c>
      <c r="DL272" s="1" t="s">
        <v>40</v>
      </c>
      <c r="DU272" s="1" t="b">
        <f>SkConcentrationRanks&gt;=8</f>
        <v>0</v>
      </c>
      <c r="DV272" s="1" t="b">
        <f>SkSpellcraftRanks&gt;=8</f>
        <v>0</v>
      </c>
      <c r="DW272" s="1" t="b">
        <f>FtPointBlankShot</f>
        <v>0</v>
      </c>
      <c r="DX272" s="1" t="b">
        <f ca="1">MaxSpellLevel&gt;=3</f>
        <v>0</v>
      </c>
      <c r="DY272" s="1" t="b">
        <f>(SneakAttack+RangedSneakAttack+SuddenStrike+PsionicSneakAttack)&gt;=1</f>
        <v>0</v>
      </c>
      <c r="DZ272" s="1" t="b">
        <f t="shared" si="229"/>
        <v>1</v>
      </c>
      <c r="EA272" s="1" t="b">
        <f ca="1">AND(DM272:DZ272)</f>
        <v>0</v>
      </c>
      <c r="EB272" s="11" t="s">
        <v>334</v>
      </c>
      <c r="EC272" s="1" t="str">
        <f ca="1">IF(DU272,"","• Concentration 8 ranks.
")&amp;IF(DV272,"","• Spellcraft 8 ranks.
")&amp;IF(DW272,"","• Point Blank Shot feat.
")&amp;IF(DX272,"","• Ability to cast 3rd level spells.
")&amp;IF(DY272,"","• Sneak Attack or Sudden Strike +1d6.
")</f>
        <v xml:space="preserve">• Concentration 8 ranks.
• Spellcraft 8 ranks.
• Point Blank Shot feat.
• Ability to cast 3rd level spells.
• Sneak Attack or Sudden Strike +1d6.
</v>
      </c>
      <c r="ED272" s="11" t="s">
        <v>335</v>
      </c>
      <c r="EE272" s="14"/>
      <c r="EF272" s="15"/>
      <c r="EG272" s="15"/>
      <c r="EH272" s="15"/>
      <c r="EI272" s="15"/>
      <c r="EJ272" s="15"/>
      <c r="EK272" s="15"/>
      <c r="EL272" s="15"/>
      <c r="EM272" s="15"/>
      <c r="EN272" s="15"/>
      <c r="EO272" s="16"/>
    </row>
    <row r="273" spans="1:149" ht="11.25" customHeight="1" x14ac:dyDescent="0.2">
      <c r="A273" s="1">
        <f t="shared" si="247"/>
        <v>270</v>
      </c>
      <c r="B273" s="1" t="s">
        <v>758</v>
      </c>
      <c r="C273" s="1" t="s">
        <v>743</v>
      </c>
      <c r="D273" s="1" t="s">
        <v>743</v>
      </c>
      <c r="E273" s="1">
        <f t="shared" si="204"/>
        <v>0</v>
      </c>
      <c r="K273" s="1">
        <v>8</v>
      </c>
      <c r="L273" s="1">
        <v>6</v>
      </c>
      <c r="V273" s="1">
        <v>0.75</v>
      </c>
      <c r="W273" s="1">
        <v>0.34</v>
      </c>
      <c r="X273" s="1">
        <v>0.5</v>
      </c>
      <c r="Y273" s="1">
        <v>0.34</v>
      </c>
      <c r="Z273" s="1" t="b">
        <f>FALSE</f>
        <v>0</v>
      </c>
      <c r="AA273" s="1" t="str">
        <f t="shared" si="207"/>
        <v/>
      </c>
      <c r="AB273" s="1" t="str">
        <f t="shared" si="208"/>
        <v/>
      </c>
      <c r="AC273" s="1">
        <f t="shared" si="205"/>
        <v>0</v>
      </c>
      <c r="AD273" s="1" t="str">
        <f t="shared" si="209"/>
        <v/>
      </c>
      <c r="AE273" s="1" t="str">
        <f t="shared" si="210"/>
        <v/>
      </c>
      <c r="AF273" s="1">
        <f t="shared" si="206"/>
        <v>0</v>
      </c>
      <c r="AG273" s="1">
        <f t="shared" si="211"/>
        <v>5</v>
      </c>
      <c r="AH273" s="1" t="str">
        <f t="shared" si="203"/>
        <v/>
      </c>
      <c r="AI273" s="1">
        <v>2</v>
      </c>
      <c r="AJ273" s="1">
        <f t="shared" si="238"/>
        <v>0</v>
      </c>
      <c r="AK273" s="1">
        <v>2</v>
      </c>
      <c r="AL273" s="1">
        <v>2</v>
      </c>
      <c r="AM273" s="1">
        <v>2</v>
      </c>
      <c r="AN273" s="1">
        <f t="shared" si="240"/>
        <v>0</v>
      </c>
      <c r="AO273" s="1">
        <v>1</v>
      </c>
      <c r="AP273" s="1">
        <v>2</v>
      </c>
      <c r="AQ273" s="1">
        <v>2</v>
      </c>
      <c r="AR273" s="1">
        <v>2</v>
      </c>
      <c r="AS273" s="1">
        <v>2</v>
      </c>
      <c r="AT273" s="1">
        <v>2</v>
      </c>
      <c r="AU273" s="1">
        <v>2</v>
      </c>
      <c r="AV273" s="1">
        <v>2</v>
      </c>
      <c r="AW273" s="1">
        <v>2</v>
      </c>
      <c r="AX273" s="1">
        <v>2</v>
      </c>
      <c r="AY273" s="1">
        <v>2</v>
      </c>
      <c r="AZ273" s="1">
        <v>2</v>
      </c>
      <c r="BA273" s="1">
        <v>2</v>
      </c>
      <c r="BB273" s="1">
        <v>2</v>
      </c>
      <c r="BC273" s="1">
        <v>2</v>
      </c>
      <c r="BD273" s="1">
        <v>1</v>
      </c>
      <c r="BE273" s="1">
        <v>1</v>
      </c>
      <c r="BF273" s="1">
        <v>2</v>
      </c>
      <c r="BG273" s="1">
        <f t="shared" si="225"/>
        <v>0</v>
      </c>
      <c r="BH273" s="1">
        <f t="shared" si="241"/>
        <v>0</v>
      </c>
      <c r="BI273" s="1">
        <v>2</v>
      </c>
      <c r="BJ273" s="1">
        <v>2</v>
      </c>
      <c r="BK273" s="1">
        <v>1</v>
      </c>
      <c r="BL273" s="1">
        <v>1</v>
      </c>
      <c r="BM273" s="1">
        <v>1</v>
      </c>
      <c r="BN273" s="1">
        <v>1</v>
      </c>
      <c r="BO273" s="1">
        <v>1</v>
      </c>
      <c r="BP273" s="1">
        <v>1</v>
      </c>
      <c r="BQ273" s="1">
        <f t="shared" si="242"/>
        <v>0</v>
      </c>
      <c r="BR273" s="1">
        <v>1</v>
      </c>
      <c r="BS273" s="1">
        <v>1</v>
      </c>
      <c r="BT273" s="1">
        <f t="shared" si="239"/>
        <v>0</v>
      </c>
      <c r="BU273" s="1">
        <f t="shared" si="243"/>
        <v>0</v>
      </c>
      <c r="BV273" s="1">
        <v>1</v>
      </c>
      <c r="BW273" s="1">
        <v>1</v>
      </c>
      <c r="BX273" s="1">
        <v>1</v>
      </c>
      <c r="BY273" s="1">
        <v>1</v>
      </c>
      <c r="BZ273" s="1">
        <v>1</v>
      </c>
      <c r="CA273" s="1">
        <v>1</v>
      </c>
      <c r="CB273" s="1">
        <v>1</v>
      </c>
      <c r="CC273" s="1">
        <v>1</v>
      </c>
      <c r="CD273" s="1">
        <v>1</v>
      </c>
      <c r="CE273" s="1">
        <v>1</v>
      </c>
      <c r="CF273" s="1">
        <v>2</v>
      </c>
      <c r="CG273" s="1">
        <f t="shared" si="244"/>
        <v>0</v>
      </c>
      <c r="CH273" s="1">
        <v>2</v>
      </c>
      <c r="CI273" s="1">
        <v>2</v>
      </c>
      <c r="CJ273" s="1">
        <v>2</v>
      </c>
      <c r="CK273" s="1">
        <v>2</v>
      </c>
      <c r="CL273" s="1">
        <v>2</v>
      </c>
      <c r="CM273" s="1">
        <v>2</v>
      </c>
      <c r="CN273" s="1">
        <v>2</v>
      </c>
      <c r="CO273" s="1">
        <v>2</v>
      </c>
      <c r="CP273" s="1">
        <v>2</v>
      </c>
      <c r="CQ273" s="1">
        <v>2</v>
      </c>
      <c r="CR273" s="1">
        <v>2</v>
      </c>
      <c r="CS273" s="1">
        <v>2</v>
      </c>
      <c r="CT273" s="1">
        <v>2</v>
      </c>
      <c r="CU273" s="1">
        <v>2</v>
      </c>
      <c r="CV273" s="1">
        <f t="shared" si="236"/>
        <v>0</v>
      </c>
      <c r="CW273" s="1">
        <v>1</v>
      </c>
      <c r="CX273" s="1">
        <v>2</v>
      </c>
      <c r="CY273" s="1">
        <v>2</v>
      </c>
      <c r="CZ273" s="1">
        <f t="shared" si="245"/>
        <v>0</v>
      </c>
      <c r="DA273" s="1">
        <v>2</v>
      </c>
      <c r="DB273" s="1">
        <v>1</v>
      </c>
      <c r="DC273" s="1">
        <v>1</v>
      </c>
      <c r="DD273" s="1">
        <v>2</v>
      </c>
      <c r="DE273" s="1">
        <v>1</v>
      </c>
      <c r="DF273" s="1">
        <v>2</v>
      </c>
      <c r="DG273" s="1">
        <v>2</v>
      </c>
      <c r="DH273" s="1">
        <v>2</v>
      </c>
      <c r="DI273" s="1">
        <f t="shared" si="237"/>
        <v>0</v>
      </c>
      <c r="DJ273" s="1">
        <v>2</v>
      </c>
      <c r="DK273" s="1" t="s">
        <v>728</v>
      </c>
      <c r="DL273" s="1" t="s">
        <v>101</v>
      </c>
      <c r="DY273" s="1" t="b">
        <f>SkillTricksSelected&gt;=4</f>
        <v>0</v>
      </c>
      <c r="DZ273" s="1" t="b">
        <f t="shared" si="229"/>
        <v>1</v>
      </c>
      <c r="EA273" s="1" t="b">
        <f t="shared" si="246"/>
        <v>0</v>
      </c>
      <c r="EB273" s="11" t="s">
        <v>338</v>
      </c>
      <c r="EC273" s="1" t="str">
        <f>IF(DY273,"","• Any four skill tricks.
")&amp;"• Any four skills 8 ranks each (not verified)."</f>
        <v>• Any four skill tricks.
• Any four skills 8 ranks each (not verified).</v>
      </c>
      <c r="ED273" s="11" t="s">
        <v>335</v>
      </c>
      <c r="EE273" s="14"/>
      <c r="EF273" s="15"/>
      <c r="EG273" s="15"/>
      <c r="EH273" s="15"/>
      <c r="EI273" s="15"/>
      <c r="EJ273" s="15"/>
      <c r="EK273" s="15"/>
      <c r="EL273" s="15"/>
      <c r="EM273" s="15"/>
      <c r="EN273" s="15"/>
      <c r="EO273" s="16"/>
    </row>
    <row r="274" spans="1:149" ht="11.25" customHeight="1" x14ac:dyDescent="0.2">
      <c r="A274" s="1">
        <f t="shared" si="247"/>
        <v>271</v>
      </c>
      <c r="B274" s="1" t="s">
        <v>759</v>
      </c>
      <c r="E274" s="1">
        <f t="shared" si="204"/>
        <v>0</v>
      </c>
      <c r="F274" s="1">
        <v>1</v>
      </c>
      <c r="Z274" s="1" t="b">
        <f>FALSE</f>
        <v>0</v>
      </c>
      <c r="AA274" s="1" t="str">
        <f t="shared" si="207"/>
        <v/>
      </c>
      <c r="AB274" s="1" t="str">
        <f t="shared" si="208"/>
        <v/>
      </c>
      <c r="AC274" s="1">
        <f t="shared" si="205"/>
        <v>0</v>
      </c>
      <c r="AD274" s="1" t="str">
        <f t="shared" si="209"/>
        <v/>
      </c>
      <c r="AE274" s="1" t="str">
        <f t="shared" si="210"/>
        <v/>
      </c>
      <c r="AF274" s="1">
        <f t="shared" si="206"/>
        <v>0</v>
      </c>
      <c r="AG274" s="1">
        <f t="shared" si="211"/>
        <v>5</v>
      </c>
      <c r="AH274" s="1" t="str">
        <f t="shared" si="203"/>
        <v/>
      </c>
      <c r="EB274" s="11"/>
      <c r="ED274" s="11" t="s">
        <v>335</v>
      </c>
      <c r="EE274" s="14"/>
      <c r="EF274" s="15"/>
      <c r="EG274" s="15"/>
      <c r="EH274" s="15"/>
      <c r="EI274" s="15"/>
      <c r="EJ274" s="15"/>
      <c r="EK274" s="15"/>
      <c r="EL274" s="15"/>
      <c r="EM274" s="15"/>
      <c r="EN274" s="15"/>
      <c r="EO274" s="16"/>
    </row>
    <row r="275" spans="1:149" ht="11.25" customHeight="1" thickBot="1" x14ac:dyDescent="0.25">
      <c r="A275" s="1">
        <f t="shared" si="247"/>
        <v>272</v>
      </c>
      <c r="B275" s="1" t="s">
        <v>760</v>
      </c>
      <c r="C275" s="1" t="s">
        <v>761</v>
      </c>
      <c r="D275" s="1" t="s">
        <v>761</v>
      </c>
      <c r="E275" s="1">
        <f t="shared" si="204"/>
        <v>0</v>
      </c>
      <c r="K275" s="1">
        <v>2</v>
      </c>
      <c r="L275" s="1">
        <v>10</v>
      </c>
      <c r="V275" s="1">
        <v>1</v>
      </c>
      <c r="W275" s="1">
        <v>0.5</v>
      </c>
      <c r="X275" s="1">
        <v>0.5</v>
      </c>
      <c r="Y275" s="1">
        <v>0.34</v>
      </c>
      <c r="Z275" s="1" t="b">
        <f>FALSE</f>
        <v>0</v>
      </c>
      <c r="AA275" s="1" t="str">
        <f t="shared" si="207"/>
        <v/>
      </c>
      <c r="AB275" s="1" t="str">
        <f t="shared" si="208"/>
        <v/>
      </c>
      <c r="AC275" s="1">
        <f t="shared" si="205"/>
        <v>0</v>
      </c>
      <c r="AD275" s="1" t="str">
        <f t="shared" si="209"/>
        <v/>
      </c>
      <c r="AE275" s="1" t="str">
        <f t="shared" si="210"/>
        <v/>
      </c>
      <c r="AF275" s="1">
        <f t="shared" si="206"/>
        <v>0</v>
      </c>
      <c r="AG275" s="1">
        <f t="shared" si="211"/>
        <v>5</v>
      </c>
      <c r="AH275" s="1" t="str">
        <f t="shared" ref="AH275:AH338" si="250">IF(ROW()&gt;$AG$2,"",INDEX($B$5:$B$794,MATCH(ROW(),$AG$5:$AG$794,0)))</f>
        <v/>
      </c>
      <c r="AI275" s="1">
        <v>1</v>
      </c>
      <c r="AJ275" s="1">
        <f t="shared" si="238"/>
        <v>0</v>
      </c>
      <c r="AK275" s="1">
        <v>2</v>
      </c>
      <c r="AL275" s="1">
        <v>1</v>
      </c>
      <c r="AM275" s="1">
        <v>2</v>
      </c>
      <c r="AN275" s="1">
        <f t="shared" ref="AN275:AN285" si="251">IF(IsLycanthrope,2,0)</f>
        <v>0</v>
      </c>
      <c r="AO275" s="1">
        <v>1</v>
      </c>
      <c r="AP275" s="1">
        <v>1</v>
      </c>
      <c r="AQ275" s="1">
        <v>1</v>
      </c>
      <c r="AR275" s="1">
        <v>1</v>
      </c>
      <c r="AS275" s="1">
        <v>1</v>
      </c>
      <c r="AT275" s="1">
        <v>1</v>
      </c>
      <c r="AU275" s="1">
        <v>1</v>
      </c>
      <c r="AV275" s="1">
        <v>1</v>
      </c>
      <c r="AW275" s="1">
        <v>1</v>
      </c>
      <c r="AX275" s="1">
        <v>1</v>
      </c>
      <c r="AY275" s="1">
        <v>1</v>
      </c>
      <c r="AZ275" s="1">
        <v>1</v>
      </c>
      <c r="BA275" s="1">
        <v>1</v>
      </c>
      <c r="BB275" s="1">
        <v>1</v>
      </c>
      <c r="BC275" s="1">
        <v>1</v>
      </c>
      <c r="BD275" s="1">
        <v>2</v>
      </c>
      <c r="BE275" s="1">
        <v>1</v>
      </c>
      <c r="BF275" s="1">
        <v>1</v>
      </c>
      <c r="BG275" s="1">
        <f t="shared" si="225"/>
        <v>0</v>
      </c>
      <c r="BH275" s="1">
        <f t="shared" ref="BH275:BH285" si="252">IF(HROA,1,0)</f>
        <v>0</v>
      </c>
      <c r="BI275" s="1">
        <v>2</v>
      </c>
      <c r="BJ275" s="1">
        <v>2</v>
      </c>
      <c r="BK275" s="1">
        <v>1</v>
      </c>
      <c r="BL275" s="1">
        <v>1</v>
      </c>
      <c r="BM275" s="1">
        <v>1</v>
      </c>
      <c r="BN275" s="1">
        <v>1</v>
      </c>
      <c r="BO275" s="1">
        <v>1</v>
      </c>
      <c r="BP275" s="1">
        <v>1</v>
      </c>
      <c r="BQ275" s="1">
        <f t="shared" si="242"/>
        <v>0</v>
      </c>
      <c r="BR275" s="1">
        <v>1</v>
      </c>
      <c r="BS275" s="1">
        <v>1</v>
      </c>
      <c r="BT275" s="1">
        <f t="shared" si="239"/>
        <v>0</v>
      </c>
      <c r="BU275" s="1">
        <f t="shared" si="243"/>
        <v>0</v>
      </c>
      <c r="BV275" s="1">
        <v>1</v>
      </c>
      <c r="BW275" s="1">
        <v>1</v>
      </c>
      <c r="BX275" s="1">
        <v>2</v>
      </c>
      <c r="BY275" s="1">
        <v>1</v>
      </c>
      <c r="BZ275" s="1">
        <v>1</v>
      </c>
      <c r="CA275" s="1">
        <v>1</v>
      </c>
      <c r="CB275" s="1">
        <v>1</v>
      </c>
      <c r="CC275" s="1">
        <v>1</v>
      </c>
      <c r="CD275" s="1">
        <v>1</v>
      </c>
      <c r="CE275" s="1">
        <v>1</v>
      </c>
      <c r="CF275" s="1">
        <v>2</v>
      </c>
      <c r="CG275" s="1">
        <f t="shared" ref="CG275:CG285" si="253">IF(HRToB,1,0)</f>
        <v>0</v>
      </c>
      <c r="CH275" s="1">
        <v>2</v>
      </c>
      <c r="CI275" s="1">
        <v>1</v>
      </c>
      <c r="CJ275" s="1">
        <v>1</v>
      </c>
      <c r="CK275" s="1">
        <v>1</v>
      </c>
      <c r="CL275" s="1">
        <v>1</v>
      </c>
      <c r="CM275" s="1">
        <v>1</v>
      </c>
      <c r="CN275" s="1">
        <v>1</v>
      </c>
      <c r="CO275" s="1">
        <v>1</v>
      </c>
      <c r="CP275" s="1">
        <v>1</v>
      </c>
      <c r="CQ275" s="1">
        <v>1</v>
      </c>
      <c r="CR275" s="1">
        <v>1</v>
      </c>
      <c r="CS275" s="1">
        <v>1</v>
      </c>
      <c r="CT275" s="1">
        <v>1</v>
      </c>
      <c r="CU275" s="1">
        <v>1</v>
      </c>
      <c r="CV275" s="1">
        <f t="shared" si="236"/>
        <v>0</v>
      </c>
      <c r="CW275" s="1">
        <v>1</v>
      </c>
      <c r="CX275" s="1">
        <v>1</v>
      </c>
      <c r="CY275" s="1">
        <v>2</v>
      </c>
      <c r="CZ275" s="1">
        <f t="shared" ref="CZ275:CZ285" si="254">IF(HRCS,1,0)</f>
        <v>0</v>
      </c>
      <c r="DA275" s="1">
        <v>1</v>
      </c>
      <c r="DB275" s="1">
        <v>1</v>
      </c>
      <c r="DC275" s="1">
        <v>1</v>
      </c>
      <c r="DD275" s="1">
        <v>2</v>
      </c>
      <c r="DE275" s="1">
        <v>2</v>
      </c>
      <c r="DF275" s="1">
        <v>2</v>
      </c>
      <c r="DG275" s="1">
        <v>1</v>
      </c>
      <c r="DH275" s="1">
        <v>1</v>
      </c>
      <c r="DI275" s="1">
        <f t="shared" si="237"/>
        <v>0</v>
      </c>
      <c r="DJ275" s="1">
        <v>1</v>
      </c>
      <c r="DK275" s="1" t="s">
        <v>762</v>
      </c>
      <c r="DL275" s="1" t="s">
        <v>101</v>
      </c>
      <c r="DT275" s="1" t="b">
        <f>BaseAtk&gt;=4</f>
        <v>0</v>
      </c>
      <c r="DU275" s="1" t="b">
        <f>SkHandleAnimalRanks&gt;=4</f>
        <v>0</v>
      </c>
      <c r="DV275" s="1" t="b">
        <f>SkSurvivalRanks&gt;=4</f>
        <v>0</v>
      </c>
      <c r="DW275" s="1" t="b">
        <f>FtGreatFortitude</f>
        <v>0</v>
      </c>
      <c r="DX275" s="1" t="b">
        <f>FtImprovedUnarmed</f>
        <v>0</v>
      </c>
      <c r="DY275" s="1" t="b">
        <f>FtPowerAttackEquiv</f>
        <v>0</v>
      </c>
      <c r="DZ275" s="1" t="b">
        <f t="shared" si="229"/>
        <v>1</v>
      </c>
      <c r="EA275" s="1" t="b">
        <f t="shared" ref="EA275:EA285" si="255">AND(DM275:DZ275)</f>
        <v>0</v>
      </c>
      <c r="EB275" s="11" t="s">
        <v>334</v>
      </c>
      <c r="EC275" s="1" t="str">
        <f>IF(DT275,"","• Base Attack Bonus +4.
")&amp;IF(DU275,"","• Handle Animal 4 ranks.
")&amp;IF(DV275,"","• Survival 4 ranks.
")&amp;IF(DW275,"","• Great Fortitude feat.
")&amp;IF(DX275,"","• Improved Unarmed Strike feat.
")&amp;IF(DY275,"","• Power Attack feat.
")</f>
        <v xml:space="preserve">• Base Attack Bonus +4.
• Handle Animal 4 ranks.
• Survival 4 ranks.
• Great Fortitude feat.
• Improved Unarmed Strike feat.
• Power Attack feat.
</v>
      </c>
      <c r="ED275" s="11" t="s">
        <v>335</v>
      </c>
      <c r="EE275" s="17"/>
      <c r="EF275" s="18"/>
      <c r="EG275" s="18"/>
      <c r="EH275" s="18"/>
      <c r="EI275" s="18"/>
      <c r="EJ275" s="18"/>
      <c r="EK275" s="18"/>
      <c r="EL275" s="18"/>
      <c r="EM275" s="18"/>
      <c r="EN275" s="18"/>
      <c r="EO275" s="19"/>
    </row>
    <row r="276" spans="1:149" ht="11.25" customHeight="1" x14ac:dyDescent="0.2">
      <c r="A276" s="1">
        <f t="shared" si="247"/>
        <v>273</v>
      </c>
      <c r="B276" s="1" t="s">
        <v>763</v>
      </c>
      <c r="C276" s="1" t="s">
        <v>764</v>
      </c>
      <c r="D276" s="1" t="s">
        <v>764</v>
      </c>
      <c r="E276" s="1">
        <f t="shared" ref="E276:E339" si="256">$AC276+$AF276+IF(HasVirtualClasses,COUNTIF(TblVClassesAtLvlCS,$A276),0)</f>
        <v>0</v>
      </c>
      <c r="K276" s="1">
        <v>6</v>
      </c>
      <c r="L276" s="1">
        <v>10</v>
      </c>
      <c r="V276" s="1">
        <v>1</v>
      </c>
      <c r="W276" s="1">
        <v>0.34</v>
      </c>
      <c r="X276" s="1">
        <v>0.5</v>
      </c>
      <c r="Y276" s="1">
        <v>0.34</v>
      </c>
      <c r="Z276" s="1" t="b">
        <f>FALSE</f>
        <v>0</v>
      </c>
      <c r="AA276" s="1" t="str">
        <f t="shared" si="207"/>
        <v/>
      </c>
      <c r="AB276" s="1" t="str">
        <f t="shared" si="208"/>
        <v/>
      </c>
      <c r="AC276" s="1">
        <f t="shared" ref="AC276:AC339" si="257">COUNTIF(TblClassesAtLvlCS,$A276)</f>
        <v>0</v>
      </c>
      <c r="AD276" s="1" t="str">
        <f t="shared" si="209"/>
        <v/>
      </c>
      <c r="AE276" s="1" t="str">
        <f t="shared" si="210"/>
        <v/>
      </c>
      <c r="AF276" s="1">
        <f t="shared" ref="AF276:AF339" si="258">IF(HRGestalt,COUNTIF(TblGClassesAtLvlCS,$A276),0)</f>
        <v>0</v>
      </c>
      <c r="AG276" s="1">
        <f t="shared" si="211"/>
        <v>5</v>
      </c>
      <c r="AH276" s="1" t="str">
        <f t="shared" si="250"/>
        <v/>
      </c>
      <c r="AI276" s="1">
        <v>1</v>
      </c>
      <c r="AJ276" s="1">
        <f t="shared" si="238"/>
        <v>0</v>
      </c>
      <c r="AK276" s="1">
        <v>2</v>
      </c>
      <c r="AL276" s="1">
        <v>1</v>
      </c>
      <c r="AM276" s="1">
        <v>2</v>
      </c>
      <c r="AN276" s="1">
        <f t="shared" si="251"/>
        <v>0</v>
      </c>
      <c r="AO276" s="1">
        <v>1</v>
      </c>
      <c r="AP276" s="1">
        <v>2</v>
      </c>
      <c r="AQ276" s="1">
        <v>2</v>
      </c>
      <c r="AR276" s="1">
        <v>2</v>
      </c>
      <c r="AS276" s="1">
        <v>2</v>
      </c>
      <c r="AT276" s="1">
        <v>2</v>
      </c>
      <c r="AU276" s="1">
        <v>2</v>
      </c>
      <c r="AV276" s="1">
        <v>2</v>
      </c>
      <c r="AW276" s="1">
        <v>1</v>
      </c>
      <c r="AX276" s="1">
        <v>1</v>
      </c>
      <c r="AY276" s="1">
        <v>1</v>
      </c>
      <c r="AZ276" s="1">
        <v>1</v>
      </c>
      <c r="BA276" s="1">
        <v>1</v>
      </c>
      <c r="BB276" s="1">
        <v>1</v>
      </c>
      <c r="BC276" s="1">
        <v>1</v>
      </c>
      <c r="BD276" s="1">
        <v>2</v>
      </c>
      <c r="BE276" s="1">
        <v>2</v>
      </c>
      <c r="BF276" s="1">
        <v>2</v>
      </c>
      <c r="BG276" s="1">
        <f t="shared" si="225"/>
        <v>0</v>
      </c>
      <c r="BH276" s="1">
        <f t="shared" si="252"/>
        <v>0</v>
      </c>
      <c r="BI276" s="1">
        <v>2</v>
      </c>
      <c r="BJ276" s="1">
        <v>2</v>
      </c>
      <c r="BK276" s="1">
        <v>1</v>
      </c>
      <c r="BL276" s="1">
        <v>1</v>
      </c>
      <c r="BM276" s="1">
        <v>1</v>
      </c>
      <c r="BN276" s="1">
        <v>2</v>
      </c>
      <c r="BO276" s="1">
        <v>1</v>
      </c>
      <c r="BP276" s="1">
        <v>1</v>
      </c>
      <c r="BQ276" s="1">
        <f t="shared" si="242"/>
        <v>0</v>
      </c>
      <c r="BR276" s="1">
        <v>2</v>
      </c>
      <c r="BS276" s="1">
        <v>1</v>
      </c>
      <c r="BT276" s="1">
        <f t="shared" si="239"/>
        <v>0</v>
      </c>
      <c r="BU276" s="1">
        <f t="shared" si="243"/>
        <v>0</v>
      </c>
      <c r="BV276" s="1">
        <v>1</v>
      </c>
      <c r="BW276" s="1">
        <v>1</v>
      </c>
      <c r="BX276" s="1">
        <v>2</v>
      </c>
      <c r="BY276" s="1">
        <v>1</v>
      </c>
      <c r="BZ276" s="1">
        <v>1</v>
      </c>
      <c r="CA276" s="1">
        <v>1</v>
      </c>
      <c r="CB276" s="1">
        <v>1</v>
      </c>
      <c r="CC276" s="1">
        <v>1</v>
      </c>
      <c r="CD276" s="1">
        <v>1</v>
      </c>
      <c r="CE276" s="1">
        <v>1</v>
      </c>
      <c r="CF276" s="1">
        <v>2</v>
      </c>
      <c r="CG276" s="1">
        <f t="shared" si="253"/>
        <v>0</v>
      </c>
      <c r="CH276" s="1">
        <v>2</v>
      </c>
      <c r="CI276" s="1">
        <v>1</v>
      </c>
      <c r="CJ276" s="1">
        <v>1</v>
      </c>
      <c r="CK276" s="1">
        <v>1</v>
      </c>
      <c r="CL276" s="1">
        <v>1</v>
      </c>
      <c r="CM276" s="1">
        <v>1</v>
      </c>
      <c r="CN276" s="1">
        <v>1</v>
      </c>
      <c r="CO276" s="1">
        <v>1</v>
      </c>
      <c r="CP276" s="1">
        <v>1</v>
      </c>
      <c r="CQ276" s="1">
        <v>1</v>
      </c>
      <c r="CR276" s="1">
        <v>1</v>
      </c>
      <c r="CS276" s="1">
        <v>1</v>
      </c>
      <c r="CT276" s="1">
        <v>1</v>
      </c>
      <c r="CU276" s="1">
        <v>1</v>
      </c>
      <c r="CV276" s="1">
        <f t="shared" si="236"/>
        <v>0</v>
      </c>
      <c r="CW276" s="1">
        <v>1</v>
      </c>
      <c r="CX276" s="1">
        <v>2</v>
      </c>
      <c r="CY276" s="1">
        <v>1</v>
      </c>
      <c r="CZ276" s="1">
        <f t="shared" si="254"/>
        <v>0</v>
      </c>
      <c r="DA276" s="1">
        <v>1</v>
      </c>
      <c r="DB276" s="1">
        <v>1</v>
      </c>
      <c r="DC276" s="1">
        <v>2</v>
      </c>
      <c r="DD276" s="1">
        <v>2</v>
      </c>
      <c r="DE276" s="1">
        <v>2</v>
      </c>
      <c r="DF276" s="1">
        <v>2</v>
      </c>
      <c r="DG276" s="1">
        <v>1</v>
      </c>
      <c r="DH276" s="1">
        <v>1</v>
      </c>
      <c r="DI276" s="1">
        <f t="shared" si="237"/>
        <v>0</v>
      </c>
      <c r="DJ276" s="1">
        <v>2</v>
      </c>
      <c r="DK276" s="1" t="s">
        <v>762</v>
      </c>
      <c r="DL276" s="1" t="s">
        <v>101</v>
      </c>
      <c r="DS276" s="1" t="b">
        <f>BaseAtk&gt;=5</f>
        <v>0</v>
      </c>
      <c r="DT276" s="1" t="b">
        <f>SkKnowledgeNatureRanks&gt;=2</f>
        <v>0</v>
      </c>
      <c r="DU276" s="1" t="b">
        <f>SkListenRanks&gt;=4</f>
        <v>0</v>
      </c>
      <c r="DV276" s="1" t="b">
        <f>SkSpotRanks&gt;=4</f>
        <v>0</v>
      </c>
      <c r="DW276" s="1" t="b">
        <f>SkSurvivalRanks&gt;=6</f>
        <v>0</v>
      </c>
      <c r="DX276" s="1" t="b">
        <f>FtEndurance</f>
        <v>0</v>
      </c>
      <c r="DY276" s="1" t="b">
        <f>FtTrack</f>
        <v>0</v>
      </c>
      <c r="DZ276" s="1" t="b">
        <f t="shared" si="229"/>
        <v>1</v>
      </c>
      <c r="EA276" s="1" t="b">
        <f t="shared" si="255"/>
        <v>0</v>
      </c>
      <c r="EB276" s="11" t="s">
        <v>334</v>
      </c>
      <c r="EC276" s="1" t="str">
        <f>IF(DS276,"","• Base Attack Bonus +5.
")&amp;IF(DT276,"","• Knowledge (nature) 2 ranks.
")&amp;IF(DU276,"","• Listen 4 ranks.
")&amp;IF(DV276,"","• Spot 4 ranks.
")&amp;IF(DW276,"","• Survival 6 ranks.
")&amp;IF(DX276,"","• Endurance feat.
")&amp;IF(DY276,"","• Track feat.
")</f>
        <v xml:space="preserve">• Base Attack Bonus +5.
• Knowledge (nature) 2 ranks.
• Listen 4 ranks.
• Spot 4 ranks.
• Survival 6 ranks.
• Endurance feat.
• Track feat.
</v>
      </c>
      <c r="ED276" s="11" t="s">
        <v>335</v>
      </c>
    </row>
    <row r="277" spans="1:149" ht="11.25" customHeight="1" x14ac:dyDescent="0.2">
      <c r="A277" s="1">
        <f t="shared" si="247"/>
        <v>274</v>
      </c>
      <c r="B277" s="1" t="s">
        <v>765</v>
      </c>
      <c r="C277" s="1" t="s">
        <v>766</v>
      </c>
      <c r="D277" s="1" t="s">
        <v>766</v>
      </c>
      <c r="E277" s="1">
        <f t="shared" si="256"/>
        <v>0</v>
      </c>
      <c r="G277" s="1">
        <f>HltWLvl</f>
        <v>0</v>
      </c>
      <c r="K277" s="1">
        <v>4</v>
      </c>
      <c r="L277" s="1">
        <v>6</v>
      </c>
      <c r="V277" s="1">
        <v>0.75</v>
      </c>
      <c r="W277" s="1">
        <v>0.5</v>
      </c>
      <c r="X277" s="1">
        <v>0.34</v>
      </c>
      <c r="Y277" s="1">
        <v>0.5</v>
      </c>
      <c r="Z277" s="1" t="b">
        <f>FALSE</f>
        <v>0</v>
      </c>
      <c r="AA277" s="1" t="str">
        <f t="shared" ref="AA277:AA340" si="259">IF($AC277=0,"",IF($Z277,"Ex-","")&amp;$B277)</f>
        <v/>
      </c>
      <c r="AB277" s="1" t="str">
        <f t="shared" ref="AB277:AB340" si="260">IF($AC277=0,"",IF($Z277,"Ex-","")&amp;$C277)</f>
        <v/>
      </c>
      <c r="AC277" s="1">
        <f t="shared" si="257"/>
        <v>0</v>
      </c>
      <c r="AD277" s="1" t="str">
        <f t="shared" ref="AD277:AD340" si="261">IF($AF277=0,"",IF($Z277,"Ex-","")&amp;$B277)</f>
        <v/>
      </c>
      <c r="AE277" s="1" t="str">
        <f t="shared" ref="AE277:AE340" si="262">IF($AF277=0,"",IF($Z277,"Ex-","")&amp;$C277)</f>
        <v/>
      </c>
      <c r="AF277" s="1">
        <f t="shared" si="258"/>
        <v>0</v>
      </c>
      <c r="AG277" s="1">
        <f t="shared" ref="AG277:AG340" si="263">IF($AC277&gt;0,$AG276+1,$AG276)</f>
        <v>5</v>
      </c>
      <c r="AH277" s="1" t="str">
        <f t="shared" si="250"/>
        <v/>
      </c>
      <c r="AI277" s="1">
        <v>1</v>
      </c>
      <c r="AJ277" s="1">
        <f t="shared" si="238"/>
        <v>0</v>
      </c>
      <c r="AK277" s="1">
        <v>1</v>
      </c>
      <c r="AL277" s="1">
        <v>1</v>
      </c>
      <c r="AM277" s="1">
        <v>1</v>
      </c>
      <c r="AN277" s="1">
        <f t="shared" si="251"/>
        <v>0</v>
      </c>
      <c r="AO277" s="1">
        <v>2</v>
      </c>
      <c r="AP277" s="1">
        <v>2</v>
      </c>
      <c r="AQ277" s="1">
        <v>2</v>
      </c>
      <c r="AR277" s="1">
        <v>2</v>
      </c>
      <c r="AS277" s="1">
        <v>2</v>
      </c>
      <c r="AT277" s="1">
        <v>2</v>
      </c>
      <c r="AU277" s="1">
        <v>2</v>
      </c>
      <c r="AV277" s="1">
        <v>2</v>
      </c>
      <c r="AW277" s="1">
        <v>1</v>
      </c>
      <c r="AX277" s="1">
        <v>2</v>
      </c>
      <c r="AY277" s="1">
        <v>1</v>
      </c>
      <c r="AZ277" s="1">
        <v>1</v>
      </c>
      <c r="BA277" s="1">
        <v>1</v>
      </c>
      <c r="BB277" s="1">
        <v>1</v>
      </c>
      <c r="BC277" s="1">
        <v>1</v>
      </c>
      <c r="BD277" s="1">
        <v>2</v>
      </c>
      <c r="BE277" s="1">
        <v>2</v>
      </c>
      <c r="BF277" s="1">
        <v>2</v>
      </c>
      <c r="BG277" s="1">
        <f t="shared" si="225"/>
        <v>0</v>
      </c>
      <c r="BH277" s="1">
        <f t="shared" si="252"/>
        <v>0</v>
      </c>
      <c r="BI277" s="1">
        <v>1</v>
      </c>
      <c r="BJ277" s="1">
        <v>1</v>
      </c>
      <c r="BK277" s="1">
        <v>1</v>
      </c>
      <c r="BL277" s="1">
        <v>1</v>
      </c>
      <c r="BM277" s="1">
        <v>1</v>
      </c>
      <c r="BN277" s="1">
        <v>1</v>
      </c>
      <c r="BO277" s="1">
        <v>1</v>
      </c>
      <c r="BP277" s="1">
        <v>1</v>
      </c>
      <c r="BQ277" s="1">
        <f t="shared" si="242"/>
        <v>0</v>
      </c>
      <c r="BR277" s="1">
        <v>2</v>
      </c>
      <c r="BS277" s="1">
        <v>1</v>
      </c>
      <c r="BT277" s="1">
        <f t="shared" si="239"/>
        <v>0</v>
      </c>
      <c r="BU277" s="1">
        <f t="shared" si="243"/>
        <v>0</v>
      </c>
      <c r="BV277" s="1">
        <v>2</v>
      </c>
      <c r="BW277" s="1">
        <v>1</v>
      </c>
      <c r="BX277" s="1">
        <v>2</v>
      </c>
      <c r="BY277" s="1">
        <v>1</v>
      </c>
      <c r="BZ277" s="1">
        <v>1</v>
      </c>
      <c r="CA277" s="1">
        <v>1</v>
      </c>
      <c r="CB277" s="1">
        <v>1</v>
      </c>
      <c r="CC277" s="1">
        <v>1</v>
      </c>
      <c r="CD277" s="1">
        <v>1</v>
      </c>
      <c r="CE277" s="1">
        <v>1</v>
      </c>
      <c r="CF277" s="1">
        <v>2</v>
      </c>
      <c r="CG277" s="1">
        <f t="shared" si="253"/>
        <v>0</v>
      </c>
      <c r="CH277" s="1">
        <v>2</v>
      </c>
      <c r="CI277" s="1">
        <v>1</v>
      </c>
      <c r="CJ277" s="1">
        <v>1</v>
      </c>
      <c r="CK277" s="1">
        <v>1</v>
      </c>
      <c r="CL277" s="1">
        <v>1</v>
      </c>
      <c r="CM277" s="1">
        <v>1</v>
      </c>
      <c r="CN277" s="1">
        <v>1</v>
      </c>
      <c r="CO277" s="1">
        <v>1</v>
      </c>
      <c r="CP277" s="1">
        <v>1</v>
      </c>
      <c r="CQ277" s="1">
        <v>1</v>
      </c>
      <c r="CR277" s="1">
        <v>1</v>
      </c>
      <c r="CS277" s="1">
        <v>1</v>
      </c>
      <c r="CT277" s="1">
        <v>1</v>
      </c>
      <c r="CU277" s="1">
        <v>1</v>
      </c>
      <c r="CV277" s="1">
        <f t="shared" si="236"/>
        <v>0</v>
      </c>
      <c r="CW277" s="1">
        <v>1</v>
      </c>
      <c r="CX277" s="1">
        <v>1</v>
      </c>
      <c r="CY277" s="1">
        <v>1</v>
      </c>
      <c r="CZ277" s="1">
        <f t="shared" si="254"/>
        <v>0</v>
      </c>
      <c r="DA277" s="1">
        <v>1</v>
      </c>
      <c r="DB277" s="1">
        <v>1</v>
      </c>
      <c r="DC277" s="1">
        <v>2</v>
      </c>
      <c r="DD277" s="1">
        <v>2</v>
      </c>
      <c r="DE277" s="1">
        <v>2</v>
      </c>
      <c r="DF277" s="1">
        <v>1</v>
      </c>
      <c r="DG277" s="1">
        <v>1</v>
      </c>
      <c r="DH277" s="1">
        <v>1</v>
      </c>
      <c r="DI277" s="1">
        <f t="shared" si="237"/>
        <v>0</v>
      </c>
      <c r="DJ277" s="1">
        <v>1</v>
      </c>
      <c r="DK277" s="1" t="s">
        <v>762</v>
      </c>
      <c r="DL277" s="1" t="s">
        <v>101</v>
      </c>
      <c r="DV277" s="1" t="b">
        <f>OR(AlignmentTrueNeutral,AND(AlignmentLawful,AlignmentNeutral))</f>
        <v>0</v>
      </c>
      <c r="DW277" s="1" t="b">
        <f>SkKnowledgeNatureRanks&gt;=8</f>
        <v>0</v>
      </c>
      <c r="DX277" s="1" t="b">
        <f>SkSurvivalRanks&gt;=4</f>
        <v>0</v>
      </c>
      <c r="DY277" s="1" t="b">
        <f ca="1">MaxDivineSpellLevel&gt;=3</f>
        <v>0</v>
      </c>
      <c r="DZ277" s="1" t="b">
        <f t="shared" si="229"/>
        <v>1</v>
      </c>
      <c r="EA277" s="1" t="b">
        <f ca="1">AND(DM277:DZ277)</f>
        <v>0</v>
      </c>
      <c r="EB277" s="11" t="s">
        <v>338</v>
      </c>
      <c r="EC277" s="1" t="str">
        <f ca="1">IF(DV277,"","• Any neutral alignment.
")&amp;IF(DW277,"","• Knowledge (nature) 8 ranks.
")&amp;IF(DX277,"","• Survival 4 ranks.
")&amp;IF(DY277,"","• Ability to cast 3rd level divine spells. 
")&amp;"• Including the 3 lowest level spells of the Plant domain (not verified)."</f>
        <v>• Any neutral alignment.
• Knowledge (nature) 8 ranks.
• Survival 4 ranks.
• Ability to cast 3rd level divine spells. 
• Including the 3 lowest level spells of the Plant domain (not verified).</v>
      </c>
      <c r="ED277" s="11" t="s">
        <v>335</v>
      </c>
      <c r="EE277" s="1" t="s">
        <v>767</v>
      </c>
      <c r="EF277" s="1">
        <f>COUNTA($EE$264:$EE$275)</f>
        <v>3</v>
      </c>
    </row>
    <row r="278" spans="1:149" ht="11.25" customHeight="1" x14ac:dyDescent="0.2">
      <c r="A278" s="1">
        <f t="shared" si="247"/>
        <v>275</v>
      </c>
      <c r="B278" s="1" t="s">
        <v>768</v>
      </c>
      <c r="C278" s="1" t="s">
        <v>288</v>
      </c>
      <c r="D278" s="1" t="s">
        <v>288</v>
      </c>
      <c r="E278" s="1">
        <f t="shared" si="256"/>
        <v>0</v>
      </c>
      <c r="G278" s="1">
        <f>IF(OR(ParagonsPathCell=2,ParagonsPathCell=3),MyELvl-1*(MyELvl&gt;=1),INT(MyELvl/2))-1*(MyELvl&gt;=10)</f>
        <v>0</v>
      </c>
      <c r="K278" s="1">
        <v>4</v>
      </c>
      <c r="L278" s="1">
        <v>8</v>
      </c>
      <c r="V278" s="1">
        <v>0.75</v>
      </c>
      <c r="W278" s="1">
        <v>0.34</v>
      </c>
      <c r="X278" s="1">
        <v>0.34</v>
      </c>
      <c r="Y278" s="1">
        <v>0.34</v>
      </c>
      <c r="Z278" s="1" t="b">
        <f>FALSE</f>
        <v>0</v>
      </c>
      <c r="AA278" s="1" t="str">
        <f t="shared" si="259"/>
        <v/>
      </c>
      <c r="AB278" s="1" t="str">
        <f t="shared" si="260"/>
        <v/>
      </c>
      <c r="AC278" s="1">
        <f t="shared" si="257"/>
        <v>0</v>
      </c>
      <c r="AD278" s="1" t="str">
        <f t="shared" si="261"/>
        <v/>
      </c>
      <c r="AE278" s="1" t="str">
        <f t="shared" si="262"/>
        <v/>
      </c>
      <c r="AF278" s="1">
        <f t="shared" si="258"/>
        <v>0</v>
      </c>
      <c r="AG278" s="1">
        <f t="shared" si="263"/>
        <v>5</v>
      </c>
      <c r="AH278" s="1" t="str">
        <f t="shared" si="250"/>
        <v/>
      </c>
      <c r="AI278" s="1">
        <v>1</v>
      </c>
      <c r="AJ278" s="1">
        <f t="shared" si="238"/>
        <v>0</v>
      </c>
      <c r="AK278" s="1">
        <v>1</v>
      </c>
      <c r="AL278" s="1">
        <v>1</v>
      </c>
      <c r="AM278" s="1">
        <v>1</v>
      </c>
      <c r="AN278" s="1">
        <f t="shared" si="251"/>
        <v>0</v>
      </c>
      <c r="AO278" s="1">
        <v>1</v>
      </c>
      <c r="AP278" s="1">
        <v>2</v>
      </c>
      <c r="AQ278" s="1">
        <v>2</v>
      </c>
      <c r="AR278" s="1">
        <v>2</v>
      </c>
      <c r="AS278" s="1">
        <v>2</v>
      </c>
      <c r="AT278" s="1">
        <v>2</v>
      </c>
      <c r="AU278" s="1">
        <v>2</v>
      </c>
      <c r="AV278" s="1">
        <v>2</v>
      </c>
      <c r="AW278" s="1">
        <v>1</v>
      </c>
      <c r="AX278" s="1">
        <v>1</v>
      </c>
      <c r="AY278" s="1">
        <v>1</v>
      </c>
      <c r="AZ278" s="1">
        <v>1</v>
      </c>
      <c r="BA278" s="1">
        <v>1</v>
      </c>
      <c r="BB278" s="1">
        <v>1</v>
      </c>
      <c r="BC278" s="1">
        <v>1</v>
      </c>
      <c r="BD278" s="1">
        <v>1</v>
      </c>
      <c r="BE278" s="1">
        <v>1</v>
      </c>
      <c r="BF278" s="1">
        <v>1</v>
      </c>
      <c r="BG278" s="1">
        <f t="shared" si="225"/>
        <v>0</v>
      </c>
      <c r="BH278" s="1">
        <f t="shared" si="252"/>
        <v>0</v>
      </c>
      <c r="BI278" s="1">
        <v>1</v>
      </c>
      <c r="BJ278" s="1">
        <v>1</v>
      </c>
      <c r="BK278" s="1">
        <v>1</v>
      </c>
      <c r="BL278" s="1">
        <v>1</v>
      </c>
      <c r="BM278" s="1">
        <v>1</v>
      </c>
      <c r="BN278" s="1">
        <v>1</v>
      </c>
      <c r="BO278" s="1">
        <v>2</v>
      </c>
      <c r="BP278" s="1">
        <v>1</v>
      </c>
      <c r="BQ278" s="1">
        <f t="shared" si="242"/>
        <v>0</v>
      </c>
      <c r="BR278" s="1">
        <v>1</v>
      </c>
      <c r="BS278" s="1">
        <v>2</v>
      </c>
      <c r="BT278" s="1">
        <f t="shared" si="239"/>
        <v>0</v>
      </c>
      <c r="BU278" s="1">
        <f t="shared" si="243"/>
        <v>0</v>
      </c>
      <c r="BV278" s="1">
        <v>2</v>
      </c>
      <c r="BW278" s="1">
        <v>1</v>
      </c>
      <c r="BX278" s="1">
        <v>2</v>
      </c>
      <c r="BY278" s="1">
        <v>1</v>
      </c>
      <c r="BZ278" s="1">
        <v>1</v>
      </c>
      <c r="CA278" s="1">
        <v>1</v>
      </c>
      <c r="CB278" s="1">
        <v>1</v>
      </c>
      <c r="CC278" s="1">
        <v>1</v>
      </c>
      <c r="CD278" s="1">
        <v>1</v>
      </c>
      <c r="CE278" s="1">
        <v>1</v>
      </c>
      <c r="CF278" s="1">
        <v>2</v>
      </c>
      <c r="CG278" s="1">
        <f t="shared" si="253"/>
        <v>0</v>
      </c>
      <c r="CH278" s="1">
        <v>1</v>
      </c>
      <c r="CI278" s="1">
        <v>1</v>
      </c>
      <c r="CJ278" s="1">
        <v>1</v>
      </c>
      <c r="CK278" s="1">
        <v>1</v>
      </c>
      <c r="CL278" s="1">
        <v>1</v>
      </c>
      <c r="CM278" s="1">
        <v>1</v>
      </c>
      <c r="CN278" s="1">
        <v>1</v>
      </c>
      <c r="CO278" s="1">
        <v>1</v>
      </c>
      <c r="CP278" s="1">
        <v>2</v>
      </c>
      <c r="CQ278" s="1">
        <v>2</v>
      </c>
      <c r="CR278" s="1">
        <v>2</v>
      </c>
      <c r="CS278" s="1">
        <v>2</v>
      </c>
      <c r="CT278" s="1">
        <v>2</v>
      </c>
      <c r="CU278" s="1">
        <v>2</v>
      </c>
      <c r="CV278" s="1">
        <f t="shared" si="236"/>
        <v>0</v>
      </c>
      <c r="CW278" s="1">
        <v>2</v>
      </c>
      <c r="CX278" s="1">
        <v>1</v>
      </c>
      <c r="CY278" s="1">
        <v>1</v>
      </c>
      <c r="CZ278" s="1">
        <f t="shared" si="254"/>
        <v>0</v>
      </c>
      <c r="DA278" s="1">
        <v>1</v>
      </c>
      <c r="DB278" s="1">
        <v>1</v>
      </c>
      <c r="DC278" s="1">
        <v>1</v>
      </c>
      <c r="DD278" s="1">
        <v>2</v>
      </c>
      <c r="DE278" s="1">
        <v>1</v>
      </c>
      <c r="DF278" s="1">
        <v>1</v>
      </c>
      <c r="DG278" s="1">
        <v>1</v>
      </c>
      <c r="DH278" s="1">
        <v>1</v>
      </c>
      <c r="DI278" s="1">
        <f t="shared" si="237"/>
        <v>0</v>
      </c>
      <c r="DJ278" s="1">
        <v>1</v>
      </c>
      <c r="DK278" s="1" t="s">
        <v>762</v>
      </c>
      <c r="DL278" s="1" t="s">
        <v>101</v>
      </c>
      <c r="DW278" s="1" t="b">
        <f>SkKnowledgeHistoryRanks&gt;=3</f>
        <v>0</v>
      </c>
      <c r="DX278" s="1" t="b">
        <f>OR(SkDiplomacyRanks&gt;=7,SkIntimidateRanks&gt;=7,SkKnowledgeArcanaRanks&gt;=7,SkKnowledgeReligionRanks&gt;=7,SkMoveSilentlyRanks&gt;=7)</f>
        <v>0</v>
      </c>
      <c r="DY278" s="1" t="b">
        <f ca="1">OR(BaseAtk&gt;=5,MaxSpellLevel&gt;=3,SneakAttack&gt;=2)</f>
        <v>0</v>
      </c>
      <c r="DZ278" s="1" t="b">
        <f t="shared" si="229"/>
        <v>1</v>
      </c>
      <c r="EA278" s="1" t="b">
        <f ca="1">AND(DM278:DZ278)</f>
        <v>0</v>
      </c>
      <c r="EB278" s="11" t="s">
        <v>338</v>
      </c>
      <c r="EC278" s="1" t="str">
        <f ca="1">IF(DW278,"","• Knowledge (history) 3 ranks.
")&amp;IF(DX278,"","• One of the following: Diplomacy, Intimidate, Knowledge
(arcana), Knowledge (religion), or Move Silently 7 ranks.
")&amp;IF(DY278,"","• One of the following: Base Attack bonus +5, ability to cast
3rd level spells, Sneak Attack +2d6, or the ability to grant allies a bonus on
attack rolls, saves, or checks as an extraordinary ability (not verified).
")&amp;"• Must be a member of the Disciples of Legend (not verified)."</f>
        <v>• Knowledge (history) 3 ranks.
• One of the following: Diplomacy, Intimidate, Knowledge
(arcana), Knowledge (religion), or Move Silently 7 ranks.
• One of the following: Base Attack bonus +5, ability to cast
3rd level spells, Sneak Attack +2d6, or the ability to grant allies a bonus on
attack rolls, saves, or checks as an extraordinary ability (not verified).
• Must be a member of the Disciples of Legend (not verified).</v>
      </c>
      <c r="ED278" s="11" t="s">
        <v>335</v>
      </c>
      <c r="EE278" s="1" t="s">
        <v>769</v>
      </c>
      <c r="EF278" s="1" t="b">
        <f>OR($EI$265:INDEX(TblClassVirtual,ClassVirtualRowsCnt,5))</f>
        <v>0</v>
      </c>
    </row>
    <row r="279" spans="1:149" ht="11.25" customHeight="1" x14ac:dyDescent="0.2">
      <c r="A279" s="1">
        <f t="shared" si="247"/>
        <v>276</v>
      </c>
      <c r="B279" s="1" t="s">
        <v>770</v>
      </c>
      <c r="C279" s="1" t="s">
        <v>771</v>
      </c>
      <c r="D279" s="1" t="s">
        <v>771</v>
      </c>
      <c r="E279" s="1">
        <f t="shared" si="256"/>
        <v>0</v>
      </c>
      <c r="G279" s="1">
        <f>(OrdCLvl&gt;=2)+(OrdCLvl&gt;=3)+(OrdCLvl&gt;=5)</f>
        <v>0</v>
      </c>
      <c r="K279" s="1">
        <v>2</v>
      </c>
      <c r="L279" s="1">
        <v>8</v>
      </c>
      <c r="M279" s="1">
        <f>OrdCLvl</f>
        <v>0</v>
      </c>
      <c r="V279" s="1">
        <v>1</v>
      </c>
      <c r="W279" s="1">
        <v>0.5</v>
      </c>
      <c r="X279" s="1">
        <v>0.34</v>
      </c>
      <c r="Y279" s="1">
        <v>0.5</v>
      </c>
      <c r="Z279" s="1" t="b">
        <f>FALSE</f>
        <v>0</v>
      </c>
      <c r="AA279" s="1" t="str">
        <f t="shared" si="259"/>
        <v/>
      </c>
      <c r="AB279" s="1" t="str">
        <f t="shared" si="260"/>
        <v/>
      </c>
      <c r="AC279" s="1">
        <f t="shared" si="257"/>
        <v>0</v>
      </c>
      <c r="AD279" s="1" t="str">
        <f t="shared" si="261"/>
        <v/>
      </c>
      <c r="AE279" s="1" t="str">
        <f t="shared" si="262"/>
        <v/>
      </c>
      <c r="AF279" s="1">
        <f t="shared" si="258"/>
        <v>0</v>
      </c>
      <c r="AG279" s="1">
        <f t="shared" si="263"/>
        <v>5</v>
      </c>
      <c r="AH279" s="1" t="str">
        <f t="shared" si="250"/>
        <v/>
      </c>
      <c r="AI279" s="1">
        <v>1</v>
      </c>
      <c r="AJ279" s="1">
        <f t="shared" si="238"/>
        <v>0</v>
      </c>
      <c r="AK279" s="1">
        <v>1</v>
      </c>
      <c r="AL279" s="1">
        <v>1</v>
      </c>
      <c r="AM279" s="1">
        <v>1</v>
      </c>
      <c r="AN279" s="1">
        <f t="shared" si="251"/>
        <v>0</v>
      </c>
      <c r="AO279" s="1">
        <v>2</v>
      </c>
      <c r="AP279" s="1">
        <v>2</v>
      </c>
      <c r="AQ279" s="1">
        <v>2</v>
      </c>
      <c r="AR279" s="1">
        <v>2</v>
      </c>
      <c r="AS279" s="1">
        <v>2</v>
      </c>
      <c r="AT279" s="1">
        <v>2</v>
      </c>
      <c r="AU279" s="1">
        <v>2</v>
      </c>
      <c r="AV279" s="1">
        <v>2</v>
      </c>
      <c r="AW279" s="1">
        <v>1</v>
      </c>
      <c r="AX279" s="1">
        <v>1</v>
      </c>
      <c r="AY279" s="1">
        <v>1</v>
      </c>
      <c r="AZ279" s="1">
        <v>1</v>
      </c>
      <c r="BA279" s="1">
        <v>1</v>
      </c>
      <c r="BB279" s="1">
        <v>1</v>
      </c>
      <c r="BC279" s="1">
        <v>1</v>
      </c>
      <c r="BD279" s="1">
        <v>1</v>
      </c>
      <c r="BE279" s="1">
        <v>2</v>
      </c>
      <c r="BF279" s="1">
        <v>1</v>
      </c>
      <c r="BG279" s="1">
        <f t="shared" si="225"/>
        <v>0</v>
      </c>
      <c r="BH279" s="1">
        <f t="shared" si="252"/>
        <v>0</v>
      </c>
      <c r="BI279" s="1">
        <v>2</v>
      </c>
      <c r="BJ279" s="1">
        <v>1</v>
      </c>
      <c r="BK279" s="1">
        <v>2</v>
      </c>
      <c r="BL279" s="1">
        <v>1</v>
      </c>
      <c r="BM279" s="1">
        <v>1</v>
      </c>
      <c r="BN279" s="1">
        <v>1</v>
      </c>
      <c r="BO279" s="1">
        <v>1</v>
      </c>
      <c r="BP279" s="1">
        <v>1</v>
      </c>
      <c r="BQ279" s="1">
        <f t="shared" si="242"/>
        <v>0</v>
      </c>
      <c r="BR279" s="1">
        <v>1</v>
      </c>
      <c r="BS279" s="1">
        <v>2</v>
      </c>
      <c r="BT279" s="1">
        <f t="shared" si="239"/>
        <v>0</v>
      </c>
      <c r="BU279" s="1">
        <f t="shared" si="243"/>
        <v>0</v>
      </c>
      <c r="BV279" s="1">
        <v>2</v>
      </c>
      <c r="BW279" s="1">
        <v>2</v>
      </c>
      <c r="BX279" s="1">
        <v>2</v>
      </c>
      <c r="BY279" s="1">
        <v>1</v>
      </c>
      <c r="BZ279" s="1">
        <v>1</v>
      </c>
      <c r="CA279" s="1">
        <v>1</v>
      </c>
      <c r="CB279" s="1">
        <v>1</v>
      </c>
      <c r="CC279" s="1">
        <v>1</v>
      </c>
      <c r="CD279" s="1">
        <v>1</v>
      </c>
      <c r="CE279" s="1">
        <v>1</v>
      </c>
      <c r="CF279" s="1">
        <v>1</v>
      </c>
      <c r="CG279" s="1">
        <f t="shared" si="253"/>
        <v>0</v>
      </c>
      <c r="CH279" s="1">
        <v>1</v>
      </c>
      <c r="CI279" s="1">
        <v>1</v>
      </c>
      <c r="CJ279" s="1">
        <v>1</v>
      </c>
      <c r="CK279" s="1">
        <v>1</v>
      </c>
      <c r="CL279" s="1">
        <v>1</v>
      </c>
      <c r="CM279" s="1">
        <v>1</v>
      </c>
      <c r="CN279" s="1">
        <v>1</v>
      </c>
      <c r="CO279" s="1">
        <v>1</v>
      </c>
      <c r="CP279" s="1">
        <v>2</v>
      </c>
      <c r="CQ279" s="1">
        <v>2</v>
      </c>
      <c r="CR279" s="1">
        <v>2</v>
      </c>
      <c r="CS279" s="1">
        <v>2</v>
      </c>
      <c r="CT279" s="1">
        <v>2</v>
      </c>
      <c r="CU279" s="1">
        <v>2</v>
      </c>
      <c r="CV279" s="1">
        <f t="shared" si="236"/>
        <v>0</v>
      </c>
      <c r="CW279" s="1">
        <v>2</v>
      </c>
      <c r="CX279" s="1">
        <v>1</v>
      </c>
      <c r="CY279" s="1">
        <v>1</v>
      </c>
      <c r="CZ279" s="1">
        <f t="shared" si="254"/>
        <v>0</v>
      </c>
      <c r="DA279" s="1">
        <v>1</v>
      </c>
      <c r="DB279" s="1">
        <v>1</v>
      </c>
      <c r="DC279" s="1">
        <v>2</v>
      </c>
      <c r="DD279" s="1">
        <v>1</v>
      </c>
      <c r="DE279" s="1">
        <v>1</v>
      </c>
      <c r="DF279" s="1">
        <v>1</v>
      </c>
      <c r="DG279" s="1">
        <v>1</v>
      </c>
      <c r="DH279" s="1">
        <v>1</v>
      </c>
      <c r="DI279" s="1">
        <f t="shared" si="237"/>
        <v>0</v>
      </c>
      <c r="DJ279" s="1">
        <v>1</v>
      </c>
      <c r="DK279" s="1" t="s">
        <v>762</v>
      </c>
      <c r="DL279" s="1" t="s">
        <v>101</v>
      </c>
      <c r="DW279" s="1" t="b">
        <f>OR(AlignmentLawful,AND(AlignmentNeutral,AlignmentGood),AND(AlignmentNeutral,AlignmentEvil))</f>
        <v>1</v>
      </c>
      <c r="DX279" s="1" t="b">
        <f>SkKnowledgeReligionRanks&gt;=7</f>
        <v>0</v>
      </c>
      <c r="DY279" s="1" t="b">
        <f>OR(Deity="Heironeous",Deity="Hextor")</f>
        <v>0</v>
      </c>
      <c r="DZ279" s="1" t="b">
        <f t="shared" si="229"/>
        <v>1</v>
      </c>
      <c r="EA279" s="1" t="b">
        <f t="shared" si="255"/>
        <v>0</v>
      </c>
      <c r="EB279" s="11" t="s">
        <v>338</v>
      </c>
      <c r="EC279" s="1" t="str">
        <f>IF(DW279,"","• Any lawful, neutral good, or neutral evil alignment.
")&amp;IF(DX279,"","• Knowledge (religion) 7 ranks.
")&amp;"• Able to cast magic weapon as a divine spell (not verified).
"&amp;IF(DY279,"","• Must Worship Hextor or Heironeous
")</f>
        <v xml:space="preserve">• Knowledge (religion) 7 ranks.
• Able to cast magic weapon as a divine spell (not verified).
• Must Worship Hextor or Heironeous
</v>
      </c>
      <c r="ED279" s="11" t="s">
        <v>335</v>
      </c>
      <c r="EE279" s="1" t="s">
        <v>772</v>
      </c>
      <c r="EF279" s="1" t="str">
        <f>IF(HasVirtualClasses,RANGECONCAT(",",TRUE,INDEX(TblClassVirtual,2,10):INDEX(TblClassVirtual,ClassVirtualRowsCnt,10)),"")</f>
        <v/>
      </c>
    </row>
    <row r="280" spans="1:149" ht="11.25" customHeight="1" x14ac:dyDescent="0.2">
      <c r="A280" s="1">
        <f t="shared" si="247"/>
        <v>277</v>
      </c>
      <c r="B280" s="1" t="s">
        <v>773</v>
      </c>
      <c r="C280" s="1" t="s">
        <v>774</v>
      </c>
      <c r="D280" s="1" t="s">
        <v>774</v>
      </c>
      <c r="E280" s="1">
        <f t="shared" si="256"/>
        <v>0</v>
      </c>
      <c r="G280" s="1">
        <f>PrgALvl</f>
        <v>0</v>
      </c>
      <c r="K280" s="1">
        <v>4</v>
      </c>
      <c r="L280" s="1">
        <v>4</v>
      </c>
      <c r="V280" s="1">
        <v>0.5</v>
      </c>
      <c r="W280" s="1">
        <v>0.34</v>
      </c>
      <c r="X280" s="1">
        <v>0.34</v>
      </c>
      <c r="Y280" s="1">
        <v>0.5</v>
      </c>
      <c r="Z280" s="1" t="b">
        <f>FALSE</f>
        <v>0</v>
      </c>
      <c r="AA280" s="1" t="str">
        <f t="shared" si="259"/>
        <v/>
      </c>
      <c r="AB280" s="1" t="str">
        <f t="shared" si="260"/>
        <v/>
      </c>
      <c r="AC280" s="1">
        <f t="shared" si="257"/>
        <v>0</v>
      </c>
      <c r="AD280" s="1" t="str">
        <f t="shared" si="261"/>
        <v/>
      </c>
      <c r="AE280" s="1" t="str">
        <f t="shared" si="262"/>
        <v/>
      </c>
      <c r="AF280" s="1">
        <f t="shared" si="258"/>
        <v>0</v>
      </c>
      <c r="AG280" s="1">
        <f t="shared" si="263"/>
        <v>5</v>
      </c>
      <c r="AH280" s="1" t="str">
        <f t="shared" si="250"/>
        <v/>
      </c>
      <c r="AI280" s="1">
        <v>1</v>
      </c>
      <c r="AJ280" s="1">
        <f t="shared" si="238"/>
        <v>0</v>
      </c>
      <c r="AK280" s="1">
        <v>1</v>
      </c>
      <c r="AL280" s="1">
        <v>1</v>
      </c>
      <c r="AM280" s="1">
        <v>1</v>
      </c>
      <c r="AN280" s="1">
        <f t="shared" si="251"/>
        <v>0</v>
      </c>
      <c r="AO280" s="1">
        <v>2</v>
      </c>
      <c r="AP280" s="1">
        <v>2</v>
      </c>
      <c r="AQ280" s="1">
        <v>2</v>
      </c>
      <c r="AR280" s="1">
        <v>2</v>
      </c>
      <c r="AS280" s="1">
        <v>2</v>
      </c>
      <c r="AT280" s="1">
        <v>2</v>
      </c>
      <c r="AU280" s="1">
        <v>2</v>
      </c>
      <c r="AV280" s="1">
        <v>2</v>
      </c>
      <c r="AW280" s="1">
        <v>2</v>
      </c>
      <c r="AX280" s="1">
        <v>1</v>
      </c>
      <c r="AY280" s="1">
        <v>1</v>
      </c>
      <c r="AZ280" s="1">
        <v>1</v>
      </c>
      <c r="BA280" s="1">
        <v>1</v>
      </c>
      <c r="BB280" s="1">
        <v>1</v>
      </c>
      <c r="BC280" s="1">
        <v>1</v>
      </c>
      <c r="BD280" s="1">
        <v>1</v>
      </c>
      <c r="BE280" s="1">
        <v>1</v>
      </c>
      <c r="BF280" s="1">
        <v>1</v>
      </c>
      <c r="BG280" s="1">
        <f t="shared" si="225"/>
        <v>0</v>
      </c>
      <c r="BH280" s="1">
        <f t="shared" si="252"/>
        <v>0</v>
      </c>
      <c r="BI280" s="1">
        <v>1</v>
      </c>
      <c r="BJ280" s="1">
        <v>1</v>
      </c>
      <c r="BK280" s="1">
        <v>2</v>
      </c>
      <c r="BL280" s="1">
        <v>2</v>
      </c>
      <c r="BM280" s="1">
        <v>2</v>
      </c>
      <c r="BN280" s="1">
        <v>2</v>
      </c>
      <c r="BO280" s="1">
        <v>2</v>
      </c>
      <c r="BP280" s="1">
        <v>2</v>
      </c>
      <c r="BQ280" s="1">
        <f t="shared" si="242"/>
        <v>0</v>
      </c>
      <c r="BR280" s="1">
        <v>2</v>
      </c>
      <c r="BS280" s="1">
        <v>2</v>
      </c>
      <c r="BT280" s="1">
        <f t="shared" si="239"/>
        <v>0</v>
      </c>
      <c r="BU280" s="1">
        <f t="shared" si="243"/>
        <v>0</v>
      </c>
      <c r="BV280" s="1">
        <v>2</v>
      </c>
      <c r="BW280" s="1">
        <v>2</v>
      </c>
      <c r="BX280" s="1">
        <v>2</v>
      </c>
      <c r="BY280" s="1">
        <v>2</v>
      </c>
      <c r="BZ280" s="1">
        <v>2</v>
      </c>
      <c r="CA280" s="1">
        <v>2</v>
      </c>
      <c r="CB280" s="1">
        <v>2</v>
      </c>
      <c r="CC280" s="1">
        <v>2</v>
      </c>
      <c r="CD280" s="1">
        <v>2</v>
      </c>
      <c r="CE280" s="1">
        <v>2</v>
      </c>
      <c r="CF280" s="1">
        <v>1</v>
      </c>
      <c r="CG280" s="1">
        <f t="shared" si="253"/>
        <v>0</v>
      </c>
      <c r="CH280" s="1">
        <v>1</v>
      </c>
      <c r="CI280" s="1">
        <v>1</v>
      </c>
      <c r="CJ280" s="1">
        <v>1</v>
      </c>
      <c r="CK280" s="1">
        <v>1</v>
      </c>
      <c r="CL280" s="1">
        <v>1</v>
      </c>
      <c r="CM280" s="1">
        <v>1</v>
      </c>
      <c r="CN280" s="1">
        <v>1</v>
      </c>
      <c r="CO280" s="1">
        <v>1</v>
      </c>
      <c r="CP280" s="1">
        <v>2</v>
      </c>
      <c r="CQ280" s="1">
        <v>2</v>
      </c>
      <c r="CR280" s="1">
        <v>2</v>
      </c>
      <c r="CS280" s="1">
        <v>2</v>
      </c>
      <c r="CT280" s="1">
        <v>2</v>
      </c>
      <c r="CU280" s="1">
        <v>2</v>
      </c>
      <c r="CV280" s="1">
        <f t="shared" si="236"/>
        <v>0</v>
      </c>
      <c r="CW280" s="1">
        <v>1</v>
      </c>
      <c r="CX280" s="1">
        <v>2</v>
      </c>
      <c r="CY280" s="1">
        <v>1</v>
      </c>
      <c r="CZ280" s="1">
        <f t="shared" si="254"/>
        <v>0</v>
      </c>
      <c r="DA280" s="1">
        <v>1</v>
      </c>
      <c r="DB280" s="1">
        <v>2</v>
      </c>
      <c r="DC280" s="1">
        <v>2</v>
      </c>
      <c r="DD280" s="1">
        <v>2</v>
      </c>
      <c r="DE280" s="1">
        <v>1</v>
      </c>
      <c r="DF280" s="1">
        <v>1</v>
      </c>
      <c r="DG280" s="1">
        <v>1</v>
      </c>
      <c r="DH280" s="1">
        <v>1</v>
      </c>
      <c r="DI280" s="1">
        <f t="shared" si="237"/>
        <v>0</v>
      </c>
      <c r="DJ280" s="1">
        <v>1</v>
      </c>
      <c r="DK280" s="1" t="s">
        <v>762</v>
      </c>
      <c r="DL280" s="1" t="s">
        <v>101</v>
      </c>
      <c r="DX280" s="1" t="b">
        <f>SkKnowledgeArcanaRanks&gt;=5</f>
        <v>0</v>
      </c>
      <c r="DY280" s="1" t="b">
        <f>SkKnowledgeReligionRanks&gt;=5</f>
        <v>0</v>
      </c>
      <c r="DZ280" s="1" t="b">
        <f t="shared" si="229"/>
        <v>1</v>
      </c>
      <c r="EA280" s="1" t="b">
        <f t="shared" si="255"/>
        <v>0</v>
      </c>
      <c r="EB280" s="11" t="s">
        <v>338</v>
      </c>
      <c r="EC280" s="1" t="str">
        <f>IF(DX280,"","• Knowledge (arcana) 5 ranks.
")&amp;IF(DY280,"","• Knowledge (religion) 5 ranks.
")&amp;"• Any other Knowledge skill 5 ranks (not verified)
"&amp;"• Ability to cast 3rd level spells or use spell-like abilities of 
  the equivelent level (not verified)."</f>
        <v>• Knowledge (arcana) 5 ranks.
• Knowledge (religion) 5 ranks.
• Any other Knowledge skill 5 ranks (not verified)
• Ability to cast 3rd level spells or use spell-like abilities of 
  the equivelent level (not verified).</v>
      </c>
      <c r="ED280" s="11" t="s">
        <v>335</v>
      </c>
    </row>
    <row r="281" spans="1:149" ht="11.25" customHeight="1" thickBot="1" x14ac:dyDescent="0.25">
      <c r="A281" s="1">
        <f t="shared" si="247"/>
        <v>278</v>
      </c>
      <c r="B281" s="1" t="s">
        <v>775</v>
      </c>
      <c r="C281" s="1" t="s">
        <v>776</v>
      </c>
      <c r="D281" s="1" t="s">
        <v>776</v>
      </c>
      <c r="E281" s="1">
        <f t="shared" si="256"/>
        <v>0</v>
      </c>
      <c r="K281" s="1">
        <v>6</v>
      </c>
      <c r="L281" s="1">
        <v>8</v>
      </c>
      <c r="V281" s="1">
        <v>1</v>
      </c>
      <c r="W281" s="1">
        <v>0.5</v>
      </c>
      <c r="X281" s="1">
        <v>0.5</v>
      </c>
      <c r="Y281" s="1">
        <v>0.34</v>
      </c>
      <c r="Z281" s="1" t="b">
        <f>FALSE</f>
        <v>0</v>
      </c>
      <c r="AA281" s="1" t="str">
        <f t="shared" si="259"/>
        <v/>
      </c>
      <c r="AB281" s="1" t="str">
        <f t="shared" si="260"/>
        <v/>
      </c>
      <c r="AC281" s="1">
        <f t="shared" si="257"/>
        <v>0</v>
      </c>
      <c r="AD281" s="1" t="str">
        <f t="shared" si="261"/>
        <v/>
      </c>
      <c r="AE281" s="1" t="str">
        <f t="shared" si="262"/>
        <v/>
      </c>
      <c r="AF281" s="1">
        <f t="shared" si="258"/>
        <v>0</v>
      </c>
      <c r="AG281" s="1">
        <f t="shared" si="263"/>
        <v>5</v>
      </c>
      <c r="AH281" s="1" t="str">
        <f t="shared" si="250"/>
        <v/>
      </c>
      <c r="AI281" s="1">
        <v>1</v>
      </c>
      <c r="AJ281" s="1">
        <f t="shared" si="238"/>
        <v>0</v>
      </c>
      <c r="AK281" s="1">
        <v>2</v>
      </c>
      <c r="AL281" s="1">
        <v>1</v>
      </c>
      <c r="AM281" s="1">
        <v>2</v>
      </c>
      <c r="AN281" s="1">
        <f t="shared" si="251"/>
        <v>0</v>
      </c>
      <c r="AO281" s="1">
        <v>1</v>
      </c>
      <c r="AP281" s="1">
        <v>2</v>
      </c>
      <c r="AQ281" s="1">
        <v>2</v>
      </c>
      <c r="AR281" s="1">
        <v>2</v>
      </c>
      <c r="AS281" s="1">
        <v>2</v>
      </c>
      <c r="AT281" s="1">
        <v>2</v>
      </c>
      <c r="AU281" s="1">
        <v>2</v>
      </c>
      <c r="AV281" s="1">
        <v>2</v>
      </c>
      <c r="AW281" s="1">
        <v>2</v>
      </c>
      <c r="AX281" s="1">
        <v>1</v>
      </c>
      <c r="AY281" s="1">
        <v>1</v>
      </c>
      <c r="AZ281" s="1">
        <v>1</v>
      </c>
      <c r="BA281" s="1">
        <v>1</v>
      </c>
      <c r="BB281" s="1">
        <v>1</v>
      </c>
      <c r="BC281" s="1">
        <v>1</v>
      </c>
      <c r="BD281" s="1">
        <v>1</v>
      </c>
      <c r="BE281" s="1">
        <v>1</v>
      </c>
      <c r="BF281" s="1">
        <v>1</v>
      </c>
      <c r="BG281" s="1">
        <f t="shared" si="225"/>
        <v>0</v>
      </c>
      <c r="BH281" s="1">
        <f t="shared" si="252"/>
        <v>0</v>
      </c>
      <c r="BI281" s="1">
        <v>1</v>
      </c>
      <c r="BJ281" s="1">
        <v>2</v>
      </c>
      <c r="BK281" s="1">
        <v>2</v>
      </c>
      <c r="BL281" s="1">
        <v>2</v>
      </c>
      <c r="BM281" s="1">
        <v>2</v>
      </c>
      <c r="BN281" s="1">
        <v>2</v>
      </c>
      <c r="BO281" s="1">
        <v>2</v>
      </c>
      <c r="BP281" s="1">
        <v>2</v>
      </c>
      <c r="BQ281" s="1">
        <f t="shared" si="242"/>
        <v>0</v>
      </c>
      <c r="BR281" s="1">
        <v>2</v>
      </c>
      <c r="BS281" s="1">
        <v>2</v>
      </c>
      <c r="BT281" s="1">
        <f t="shared" si="239"/>
        <v>0</v>
      </c>
      <c r="BU281" s="1">
        <f t="shared" si="243"/>
        <v>0</v>
      </c>
      <c r="BV281" s="1">
        <v>2</v>
      </c>
      <c r="BW281" s="1">
        <v>2</v>
      </c>
      <c r="BX281" s="1">
        <v>2</v>
      </c>
      <c r="BY281" s="1">
        <v>2</v>
      </c>
      <c r="BZ281" s="1">
        <v>2</v>
      </c>
      <c r="CA281" s="1">
        <v>2</v>
      </c>
      <c r="CB281" s="1">
        <v>2</v>
      </c>
      <c r="CC281" s="1">
        <v>2</v>
      </c>
      <c r="CD281" s="1">
        <v>2</v>
      </c>
      <c r="CE281" s="1">
        <v>2</v>
      </c>
      <c r="CF281" s="1">
        <v>2</v>
      </c>
      <c r="CG281" s="1">
        <f t="shared" si="253"/>
        <v>0</v>
      </c>
      <c r="CH281" s="1">
        <v>1</v>
      </c>
      <c r="CI281" s="1">
        <v>1</v>
      </c>
      <c r="CJ281" s="1">
        <v>1</v>
      </c>
      <c r="CK281" s="1">
        <v>1</v>
      </c>
      <c r="CL281" s="1">
        <v>1</v>
      </c>
      <c r="CM281" s="1">
        <v>1</v>
      </c>
      <c r="CN281" s="1">
        <v>1</v>
      </c>
      <c r="CO281" s="1">
        <v>1</v>
      </c>
      <c r="CP281" s="1">
        <v>2</v>
      </c>
      <c r="CQ281" s="1">
        <v>2</v>
      </c>
      <c r="CR281" s="1">
        <v>2</v>
      </c>
      <c r="CS281" s="1">
        <v>2</v>
      </c>
      <c r="CT281" s="1">
        <v>2</v>
      </c>
      <c r="CU281" s="1">
        <v>2</v>
      </c>
      <c r="CV281" s="1">
        <f t="shared" si="236"/>
        <v>0</v>
      </c>
      <c r="CW281" s="1">
        <v>1</v>
      </c>
      <c r="CX281" s="1">
        <v>1</v>
      </c>
      <c r="CY281" s="1">
        <v>1</v>
      </c>
      <c r="CZ281" s="1">
        <f t="shared" si="254"/>
        <v>0</v>
      </c>
      <c r="DA281" s="1">
        <v>1</v>
      </c>
      <c r="DB281" s="1">
        <v>2</v>
      </c>
      <c r="DC281" s="1">
        <v>1</v>
      </c>
      <c r="DD281" s="1">
        <v>2</v>
      </c>
      <c r="DE281" s="1">
        <v>1</v>
      </c>
      <c r="DF281" s="1">
        <v>1</v>
      </c>
      <c r="DG281" s="1">
        <v>2</v>
      </c>
      <c r="DH281" s="1">
        <v>1</v>
      </c>
      <c r="DI281" s="1">
        <f t="shared" si="237"/>
        <v>0</v>
      </c>
      <c r="DJ281" s="1">
        <v>1</v>
      </c>
      <c r="DK281" s="1" t="s">
        <v>762</v>
      </c>
      <c r="DL281" s="1" t="s">
        <v>101</v>
      </c>
      <c r="DW281" s="1" t="b">
        <f>SkKnowledgeArcanaRanks&gt;=2</f>
        <v>0</v>
      </c>
      <c r="DX281" s="1" t="b">
        <f>SkKnowledgeReligionRanks&gt;=2</f>
        <v>0</v>
      </c>
      <c r="DY281" s="1" t="b">
        <f>OR(BaseAtk&gt;=4,SkTumbleRanks&gt;=7)</f>
        <v>0</v>
      </c>
      <c r="DZ281" s="1" t="b">
        <f t="shared" si="229"/>
        <v>1</v>
      </c>
      <c r="EA281" s="1" t="b">
        <f t="shared" si="255"/>
        <v>0</v>
      </c>
      <c r="EB281" s="11" t="s">
        <v>338</v>
      </c>
      <c r="EC281" s="1" t="str">
        <f>IF(DW281,"","• Knowledge (arcana) 2 ranks.
")&amp;IF(DX281,"","• Knowledge (religion) 2 ranks.
")&amp;"• Any other Knowledge skill 2 ranks (not verified).
"&amp;IF(DY281,"","• Base Attack Bonus +4 or Tumble 7 ranks
")&amp;"• Must be a member of the Paragnostic Assembly (not verified)
"</f>
        <v xml:space="preserve">• Knowledge (arcana) 2 ranks.
• Knowledge (religion) 2 ranks.
• Any other Knowledge skill 2 ranks (not verified).
• Base Attack Bonus +4 or Tumble 7 ranks
• Must be a member of the Paragnostic Assembly (not verified)
</v>
      </c>
      <c r="ED281" s="11" t="s">
        <v>335</v>
      </c>
      <c r="EE281" s="4" t="s">
        <v>777</v>
      </c>
    </row>
    <row r="282" spans="1:149" ht="11.25" customHeight="1" x14ac:dyDescent="0.2">
      <c r="A282" s="1">
        <f t="shared" si="247"/>
        <v>279</v>
      </c>
      <c r="B282" s="1" t="s">
        <v>778</v>
      </c>
      <c r="C282" s="1" t="s">
        <v>779</v>
      </c>
      <c r="D282" s="1" t="s">
        <v>779</v>
      </c>
      <c r="E282" s="1">
        <f t="shared" si="256"/>
        <v>0</v>
      </c>
      <c r="G282" s="1">
        <f>INT(SaOLvl/2)</f>
        <v>0</v>
      </c>
      <c r="K282" s="1">
        <v>2</v>
      </c>
      <c r="L282" s="1">
        <v>8</v>
      </c>
      <c r="V282" s="1">
        <v>0.75</v>
      </c>
      <c r="W282" s="1">
        <v>0.5</v>
      </c>
      <c r="X282" s="1">
        <v>0.5</v>
      </c>
      <c r="Y282" s="1">
        <v>0.5</v>
      </c>
      <c r="Z282" s="1" t="b">
        <f>FALSE</f>
        <v>0</v>
      </c>
      <c r="AA282" s="1" t="str">
        <f t="shared" si="259"/>
        <v/>
      </c>
      <c r="AB282" s="1" t="str">
        <f t="shared" si="260"/>
        <v/>
      </c>
      <c r="AC282" s="1">
        <f t="shared" si="257"/>
        <v>0</v>
      </c>
      <c r="AD282" s="1" t="str">
        <f t="shared" si="261"/>
        <v/>
      </c>
      <c r="AE282" s="1" t="str">
        <f t="shared" si="262"/>
        <v/>
      </c>
      <c r="AF282" s="1">
        <f t="shared" si="258"/>
        <v>0</v>
      </c>
      <c r="AG282" s="1">
        <f t="shared" si="263"/>
        <v>5</v>
      </c>
      <c r="AH282" s="1" t="str">
        <f t="shared" si="250"/>
        <v/>
      </c>
      <c r="AI282" s="1">
        <f>IF(SanctifiedOneDeityCell=4,2,1)</f>
        <v>1</v>
      </c>
      <c r="AJ282" s="1">
        <f t="shared" si="238"/>
        <v>0</v>
      </c>
      <c r="AK282" s="1">
        <v>1</v>
      </c>
      <c r="AL282" s="1">
        <v>1</v>
      </c>
      <c r="AM282" s="1">
        <f>IF(SanctifiedOneDeityCell=3,2,1)</f>
        <v>1</v>
      </c>
      <c r="AN282" s="1">
        <f t="shared" si="251"/>
        <v>0</v>
      </c>
      <c r="AO282" s="1">
        <v>2</v>
      </c>
      <c r="AP282" s="1">
        <v>1</v>
      </c>
      <c r="AQ282" s="1">
        <v>1</v>
      </c>
      <c r="AR282" s="1">
        <v>1</v>
      </c>
      <c r="AS282" s="1">
        <v>1</v>
      </c>
      <c r="AT282" s="1">
        <v>1</v>
      </c>
      <c r="AU282" s="1">
        <v>1</v>
      </c>
      <c r="AV282" s="1">
        <v>1</v>
      </c>
      <c r="AW282" s="1">
        <f>IF(SanctifiedOneDeityCell=5,2,1)</f>
        <v>1</v>
      </c>
      <c r="AX282" s="1">
        <v>2</v>
      </c>
      <c r="AY282" s="1">
        <v>1</v>
      </c>
      <c r="AZ282" s="1">
        <v>1</v>
      </c>
      <c r="BA282" s="1">
        <v>1</v>
      </c>
      <c r="BB282" s="1">
        <v>1</v>
      </c>
      <c r="BC282" s="1">
        <v>1</v>
      </c>
      <c r="BD282" s="1">
        <v>1</v>
      </c>
      <c r="BE282" s="1">
        <v>1</v>
      </c>
      <c r="BF282" s="1">
        <v>1</v>
      </c>
      <c r="BG282" s="1">
        <f t="shared" si="225"/>
        <v>0</v>
      </c>
      <c r="BH282" s="1">
        <f t="shared" si="252"/>
        <v>0</v>
      </c>
      <c r="BI282" s="1">
        <v>2</v>
      </c>
      <c r="BJ282" s="1">
        <f>IF(OR(SanctifiedOneDeityCell=3,SanctifiedOneDeityCell=4),2,1)</f>
        <v>1</v>
      </c>
      <c r="BK282" s="1">
        <f>IF(SanctifiedOneDeityCell=5,2,1)</f>
        <v>1</v>
      </c>
      <c r="BL282" s="1">
        <v>1</v>
      </c>
      <c r="BM282" s="1">
        <f>IF(SanctifiedOneDeityCell=3,2,1)</f>
        <v>1</v>
      </c>
      <c r="BN282" s="1">
        <v>1</v>
      </c>
      <c r="BO282" s="1">
        <v>1</v>
      </c>
      <c r="BP282" s="1">
        <v>1</v>
      </c>
      <c r="BQ282" s="1">
        <f t="shared" si="242"/>
        <v>0</v>
      </c>
      <c r="BR282" s="1">
        <v>1</v>
      </c>
      <c r="BS282" s="1">
        <f>IF(SanctifiedOneDeityCell=2,2,1)</f>
        <v>1</v>
      </c>
      <c r="BT282" s="1">
        <f t="shared" si="239"/>
        <v>0</v>
      </c>
      <c r="BU282" s="1">
        <f t="shared" si="243"/>
        <v>0</v>
      </c>
      <c r="BV282" s="1">
        <v>2</v>
      </c>
      <c r="BW282" s="1">
        <v>1</v>
      </c>
      <c r="BX282" s="1">
        <v>2</v>
      </c>
      <c r="BY282" s="1">
        <v>1</v>
      </c>
      <c r="BZ282" s="1">
        <v>1</v>
      </c>
      <c r="CA282" s="1">
        <v>1</v>
      </c>
      <c r="CB282" s="1">
        <v>1</v>
      </c>
      <c r="CC282" s="1">
        <v>1</v>
      </c>
      <c r="CD282" s="1">
        <v>1</v>
      </c>
      <c r="CE282" s="1">
        <v>1</v>
      </c>
      <c r="CF282" s="1">
        <v>1</v>
      </c>
      <c r="CG282" s="1">
        <f t="shared" si="253"/>
        <v>0</v>
      </c>
      <c r="CH282" s="1">
        <f>IF(SanctifiedOneDeityCell=4,2,1)</f>
        <v>1</v>
      </c>
      <c r="CI282" s="1">
        <v>1</v>
      </c>
      <c r="CJ282" s="1">
        <v>2</v>
      </c>
      <c r="CK282" s="1">
        <v>2</v>
      </c>
      <c r="CL282" s="1">
        <v>2</v>
      </c>
      <c r="CM282" s="1">
        <v>2</v>
      </c>
      <c r="CN282" s="1">
        <v>2</v>
      </c>
      <c r="CO282" s="1">
        <v>2</v>
      </c>
      <c r="CP282" s="1">
        <v>1</v>
      </c>
      <c r="CQ282" s="1">
        <v>1</v>
      </c>
      <c r="CR282" s="1">
        <v>1</v>
      </c>
      <c r="CS282" s="1">
        <v>1</v>
      </c>
      <c r="CT282" s="1">
        <v>1</v>
      </c>
      <c r="CU282" s="1">
        <v>1</v>
      </c>
      <c r="CV282" s="1">
        <f t="shared" si="236"/>
        <v>0</v>
      </c>
      <c r="CW282" s="1">
        <v>1</v>
      </c>
      <c r="CX282" s="1">
        <f>IF(SanctifiedOneDeityCell=2,2,1)</f>
        <v>1</v>
      </c>
      <c r="CY282" s="1">
        <v>2</v>
      </c>
      <c r="CZ282" s="1">
        <f t="shared" si="254"/>
        <v>0</v>
      </c>
      <c r="DA282" s="1">
        <v>1</v>
      </c>
      <c r="DB282" s="1">
        <v>1</v>
      </c>
      <c r="DC282" s="1">
        <f>IF(SanctifiedOneDeityCell=5,2,1)</f>
        <v>1</v>
      </c>
      <c r="DD282" s="1">
        <v>1</v>
      </c>
      <c r="DE282" s="1">
        <f>IF(SanctifiedOneDeityCell=2,2,1)</f>
        <v>1</v>
      </c>
      <c r="DF282" s="1">
        <v>1</v>
      </c>
      <c r="DG282" s="1">
        <v>1</v>
      </c>
      <c r="DH282" s="1">
        <v>1</v>
      </c>
      <c r="DI282" s="1">
        <f t="shared" si="237"/>
        <v>0</v>
      </c>
      <c r="DJ282" s="1">
        <v>1</v>
      </c>
      <c r="DK282" s="1" t="s">
        <v>762</v>
      </c>
      <c r="DL282" s="1" t="s">
        <v>101</v>
      </c>
      <c r="DW282" s="1" t="b">
        <f>BaseAtk&gt;=5</f>
        <v>0</v>
      </c>
      <c r="DX282" s="1" t="b">
        <f>AlignmentDeity</f>
        <v>0</v>
      </c>
      <c r="DY282" s="1" t="b">
        <f>SkKnowledgeReligionRanks&gt;=6</f>
        <v>0</v>
      </c>
      <c r="DZ282" s="1" t="b">
        <f t="shared" si="229"/>
        <v>1</v>
      </c>
      <c r="EA282" s="1" t="b">
        <f t="shared" si="255"/>
        <v>0</v>
      </c>
      <c r="EB282" s="11" t="s">
        <v>338</v>
      </c>
      <c r="EC282" s="1" t="str">
        <f>IF(DW282,"","• Base Attack Bonus +5.
")&amp;IF(DX282,"","• Alignment must match chosen deity.
")&amp;IF(DY282,"","• Knowledge (religion) 6 ranks.
")&amp;"• Must complete a sanctification ritual performed by a priest or 
  other authority of the chosen deity’s church. (not verified)."</f>
        <v>• Base Attack Bonus +5.
• Alignment must match chosen deity.
• Knowledge (religion) 6 ranks.
• Must complete a sanctification ritual performed by a priest or 
  other authority of the chosen deity’s church. (not verified).</v>
      </c>
      <c r="ED282" s="11" t="s">
        <v>335</v>
      </c>
      <c r="EE282" s="5" t="s">
        <v>106</v>
      </c>
      <c r="EF282" s="6" t="s">
        <v>737</v>
      </c>
      <c r="EG282" s="6" t="s">
        <v>780</v>
      </c>
      <c r="EH282" s="6" t="s">
        <v>781</v>
      </c>
      <c r="EI282" s="6" t="s">
        <v>645</v>
      </c>
      <c r="EJ282" s="6" t="s">
        <v>52</v>
      </c>
      <c r="EK282" s="6" t="s">
        <v>110</v>
      </c>
      <c r="EL282" s="6" t="s">
        <v>111</v>
      </c>
      <c r="EM282" s="6" t="s">
        <v>112</v>
      </c>
      <c r="EN282" s="6" t="s">
        <v>113</v>
      </c>
      <c r="EO282" s="6" t="s">
        <v>782</v>
      </c>
      <c r="EP282" s="6" t="s">
        <v>783</v>
      </c>
      <c r="EQ282" s="6" t="s">
        <v>784</v>
      </c>
      <c r="ER282" s="6" t="s">
        <v>785</v>
      </c>
      <c r="ES282" s="7" t="s">
        <v>786</v>
      </c>
    </row>
    <row r="283" spans="1:149" ht="11.25" customHeight="1" x14ac:dyDescent="0.2">
      <c r="A283" s="1">
        <f t="shared" si="247"/>
        <v>280</v>
      </c>
      <c r="B283" s="1" t="s">
        <v>787</v>
      </c>
      <c r="C283" s="1" t="s">
        <v>788</v>
      </c>
      <c r="D283" s="1" t="s">
        <v>788</v>
      </c>
      <c r="E283" s="1">
        <f t="shared" si="256"/>
        <v>0</v>
      </c>
      <c r="G283" s="1">
        <f>INT(ShaSLvl/2)</f>
        <v>0</v>
      </c>
      <c r="K283" s="1">
        <v>6</v>
      </c>
      <c r="L283" s="1">
        <v>6</v>
      </c>
      <c r="V283" s="1">
        <v>0.75</v>
      </c>
      <c r="W283" s="1">
        <v>0.34</v>
      </c>
      <c r="X283" s="1">
        <v>0.5</v>
      </c>
      <c r="Y283" s="1">
        <v>0.5</v>
      </c>
      <c r="Z283" s="1" t="b">
        <f>FALSE</f>
        <v>0</v>
      </c>
      <c r="AA283" s="1" t="str">
        <f t="shared" si="259"/>
        <v/>
      </c>
      <c r="AB283" s="1" t="str">
        <f t="shared" si="260"/>
        <v/>
      </c>
      <c r="AC283" s="1">
        <f t="shared" si="257"/>
        <v>0</v>
      </c>
      <c r="AD283" s="1" t="str">
        <f t="shared" si="261"/>
        <v/>
      </c>
      <c r="AE283" s="1" t="str">
        <f t="shared" si="262"/>
        <v/>
      </c>
      <c r="AF283" s="1">
        <f t="shared" si="258"/>
        <v>0</v>
      </c>
      <c r="AG283" s="1">
        <f t="shared" si="263"/>
        <v>5</v>
      </c>
      <c r="AH283" s="1" t="str">
        <f t="shared" si="250"/>
        <v/>
      </c>
      <c r="AI283" s="1">
        <v>1</v>
      </c>
      <c r="AJ283" s="1">
        <f t="shared" si="238"/>
        <v>0</v>
      </c>
      <c r="AK283" s="1">
        <v>2</v>
      </c>
      <c r="AL283" s="1">
        <v>2</v>
      </c>
      <c r="AM283" s="1">
        <v>2</v>
      </c>
      <c r="AN283" s="1">
        <f t="shared" si="251"/>
        <v>0</v>
      </c>
      <c r="AO283" s="1">
        <v>2</v>
      </c>
      <c r="AP283" s="1">
        <v>1</v>
      </c>
      <c r="AQ283" s="1">
        <v>1</v>
      </c>
      <c r="AR283" s="1">
        <v>1</v>
      </c>
      <c r="AS283" s="1">
        <v>1</v>
      </c>
      <c r="AT283" s="1">
        <v>1</v>
      </c>
      <c r="AU283" s="1">
        <v>1</v>
      </c>
      <c r="AV283" s="1">
        <v>1</v>
      </c>
      <c r="AW283" s="1">
        <v>2</v>
      </c>
      <c r="AX283" s="1">
        <v>1</v>
      </c>
      <c r="AY283" s="1">
        <v>1</v>
      </c>
      <c r="AZ283" s="1">
        <v>2</v>
      </c>
      <c r="BA283" s="1">
        <v>2</v>
      </c>
      <c r="BB283" s="1">
        <v>2</v>
      </c>
      <c r="BC283" s="1">
        <v>2</v>
      </c>
      <c r="BD283" s="1">
        <v>1</v>
      </c>
      <c r="BE283" s="1">
        <v>1</v>
      </c>
      <c r="BF283" s="1">
        <v>2</v>
      </c>
      <c r="BG283" s="1">
        <f t="shared" si="225"/>
        <v>0</v>
      </c>
      <c r="BH283" s="1">
        <f t="shared" si="252"/>
        <v>0</v>
      </c>
      <c r="BI283" s="1">
        <v>1</v>
      </c>
      <c r="BJ283" s="1">
        <v>2</v>
      </c>
      <c r="BK283" s="1">
        <v>1</v>
      </c>
      <c r="BL283" s="1">
        <v>1</v>
      </c>
      <c r="BM283" s="1">
        <v>1</v>
      </c>
      <c r="BN283" s="1">
        <v>1</v>
      </c>
      <c r="BO283" s="1">
        <v>1</v>
      </c>
      <c r="BP283" s="1">
        <v>2</v>
      </c>
      <c r="BQ283" s="1">
        <f t="shared" si="242"/>
        <v>0</v>
      </c>
      <c r="BR283" s="1">
        <v>1</v>
      </c>
      <c r="BS283" s="1">
        <v>1</v>
      </c>
      <c r="BT283" s="1">
        <f t="shared" si="239"/>
        <v>0</v>
      </c>
      <c r="BU283" s="1">
        <f t="shared" si="243"/>
        <v>0</v>
      </c>
      <c r="BV283" s="1">
        <v>2</v>
      </c>
      <c r="BW283" s="1">
        <v>1</v>
      </c>
      <c r="BX283" s="1">
        <v>2</v>
      </c>
      <c r="BY283" s="1">
        <v>1</v>
      </c>
      <c r="BZ283" s="1">
        <v>1</v>
      </c>
      <c r="CA283" s="1">
        <v>1</v>
      </c>
      <c r="CB283" s="1">
        <v>1</v>
      </c>
      <c r="CC283" s="1">
        <v>1</v>
      </c>
      <c r="CD283" s="1">
        <v>1</v>
      </c>
      <c r="CE283" s="1">
        <v>1</v>
      </c>
      <c r="CF283" s="1">
        <v>2</v>
      </c>
      <c r="CG283" s="1">
        <f t="shared" si="253"/>
        <v>0</v>
      </c>
      <c r="CH283" s="1">
        <v>2</v>
      </c>
      <c r="CI283" s="1">
        <v>2</v>
      </c>
      <c r="CJ283" s="1">
        <v>1</v>
      </c>
      <c r="CK283" s="1">
        <v>1</v>
      </c>
      <c r="CL283" s="1">
        <v>1</v>
      </c>
      <c r="CM283" s="1">
        <v>1</v>
      </c>
      <c r="CN283" s="1">
        <v>1</v>
      </c>
      <c r="CO283" s="1">
        <v>1</v>
      </c>
      <c r="CP283" s="1">
        <v>1</v>
      </c>
      <c r="CQ283" s="1">
        <v>1</v>
      </c>
      <c r="CR283" s="1">
        <v>1</v>
      </c>
      <c r="CS283" s="1">
        <v>1</v>
      </c>
      <c r="CT283" s="1">
        <v>1</v>
      </c>
      <c r="CU283" s="1">
        <v>1</v>
      </c>
      <c r="CV283" s="1">
        <f t="shared" si="236"/>
        <v>0</v>
      </c>
      <c r="CW283" s="1">
        <v>1</v>
      </c>
      <c r="CX283" s="1">
        <v>2</v>
      </c>
      <c r="CY283" s="1">
        <v>2</v>
      </c>
      <c r="CZ283" s="1">
        <f t="shared" si="254"/>
        <v>0</v>
      </c>
      <c r="DA283" s="1">
        <v>1</v>
      </c>
      <c r="DB283" s="1">
        <v>2</v>
      </c>
      <c r="DC283" s="1">
        <v>1</v>
      </c>
      <c r="DD283" s="1">
        <v>2</v>
      </c>
      <c r="DE283" s="1">
        <v>1</v>
      </c>
      <c r="DF283" s="1">
        <v>1</v>
      </c>
      <c r="DG283" s="1">
        <v>2</v>
      </c>
      <c r="DH283" s="1">
        <v>1</v>
      </c>
      <c r="DI283" s="1">
        <f t="shared" si="237"/>
        <v>0</v>
      </c>
      <c r="DJ283" s="1">
        <v>1</v>
      </c>
      <c r="DK283" s="1" t="s">
        <v>762</v>
      </c>
      <c r="DL283" s="1" t="s">
        <v>101</v>
      </c>
      <c r="DS283" s="1" t="b">
        <f>AlignmentGood</f>
        <v>1</v>
      </c>
      <c r="DT283" s="1" t="b">
        <f>SkGatherInformationRanks&gt;=6</f>
        <v>0</v>
      </c>
      <c r="DU283" s="1" t="b">
        <f>SkHideRanks&gt;=6</f>
        <v>0</v>
      </c>
      <c r="DV283" s="1" t="b">
        <f>SkMoveSilentlyRanks&gt;=6</f>
        <v>0</v>
      </c>
      <c r="DW283" s="1" t="b">
        <f>OR(FtGoodDevotion1,FtHealingDevotion1,FtStrengthDevotion1,FtSunDevotion1)</f>
        <v>0</v>
      </c>
      <c r="DX283" s="1" t="b">
        <f ca="1">MaxDivineSpellLevel&gt;=2</f>
        <v>0</v>
      </c>
      <c r="DY283" s="1" t="b">
        <f>AND(OR(PalLvl&gt;=1,ClrLvl&gt;=1),Deity="Pelor")</f>
        <v>0</v>
      </c>
      <c r="DZ283" s="1" t="b">
        <f t="shared" si="229"/>
        <v>1</v>
      </c>
      <c r="EA283" s="1" t="b">
        <f ca="1">AND(DM283:DZ283)</f>
        <v>0</v>
      </c>
      <c r="EB283" s="11" t="s">
        <v>334</v>
      </c>
      <c r="EC283" s="1" t="str">
        <f ca="1">IF(DS283,"","• Any good.
")&amp;IF(DT283,"","• Gather Information 6 ranks.
")&amp;IF(DU283,"","• Hide 6 ranks.
")&amp;IF(DV283,"","• Move Silently 6 ranks.
")&amp;IF(DW283,"","• Good Devotion, Healing Devotion, Strength Devotion
  or Sun Devotion feat.
")&amp;IF(DX283,"","• Ability to cast 2nd level divine spells.
")&amp;IF(DY283,"","• Must be a cleric or paladin of Pelor.
")</f>
        <v xml:space="preserve">• Gather Information 6 ranks.
• Hide 6 ranks.
• Move Silently 6 ranks.
• Good Devotion, Healing Devotion, Strength Devotion
  or Sun Devotion feat.
• Ability to cast 2nd level divine spells.
• Must be a cleric or paladin of Pelor.
</v>
      </c>
      <c r="ED283" s="11" t="s">
        <v>335</v>
      </c>
      <c r="EE283" s="8" t="s">
        <v>151</v>
      </c>
      <c r="EF283" s="9">
        <v>1</v>
      </c>
      <c r="EG283" s="9" t="s">
        <v>789</v>
      </c>
      <c r="EH283" s="9" t="e">
        <f>IF(EI283,FIND(" ",$EG283),#N/A)</f>
        <v>#N/A</v>
      </c>
      <c r="EI283" s="9" t="b">
        <f>(INDEX(TblClasses,MATCH($EE283,TblTLAList,0),ClassInfoLevelColumn)&gt;=$EF283)</f>
        <v>0</v>
      </c>
      <c r="EJ283" s="9" t="str">
        <f>IF($EI283,$EE283&amp;$EF283,"")</f>
        <v/>
      </c>
      <c r="EK283" s="9">
        <f>IF($EI283,MATCH($EJ283,TblClassN,0),99)</f>
        <v>99</v>
      </c>
      <c r="EL283" s="9">
        <f>IF($EI283,IF(HRGestalt,MATCH($EJ283,TblGClassN,0),99),99)</f>
        <v>99</v>
      </c>
      <c r="EM283" s="9">
        <f>IF($EI283,IF(HasVirtualClasses,MATCH($EJ283,TblClass3,0),99),99)</f>
        <v>99</v>
      </c>
      <c r="EN283" s="9">
        <f>IF($EI283,MIN(IF(ISNA($EK283),99,$EK283),IF(ISNA($EL283),99,$EL283),IF(ISNA($EM283),99,$EM283)),99)</f>
        <v>99</v>
      </c>
      <c r="EO283" s="9" t="str">
        <f>IF($EI283,LEFT($EG283,1),"")</f>
        <v/>
      </c>
      <c r="EP283" s="9" t="str">
        <f>IF($EI283,IF(OR($EO283="L",$EO283="C",$EO283="N"),$EO283,""),"")</f>
        <v/>
      </c>
      <c r="EQ283" s="9" t="str">
        <f>IF($EI283,IF(NOT(ISERROR($EH283)),MID($EG283,$EH283+1,1),IF(OR($EO283="G",$EO283="E",$EO283="N"),$EO283,"")),"")</f>
        <v/>
      </c>
      <c r="ER283" s="9">
        <f>IF(LENB($EP283)&gt;0,$EN283,-1)</f>
        <v>-1</v>
      </c>
      <c r="ES283" s="10">
        <f>IF(LENB($EQ283)&gt;0,$EN283,-1)</f>
        <v>-1</v>
      </c>
    </row>
    <row r="284" spans="1:149" ht="11.25" customHeight="1" x14ac:dyDescent="0.2">
      <c r="A284" s="1">
        <f t="shared" si="247"/>
        <v>281</v>
      </c>
      <c r="B284" s="1" t="s">
        <v>790</v>
      </c>
      <c r="C284" s="1" t="s">
        <v>791</v>
      </c>
      <c r="D284" s="1" t="s">
        <v>791</v>
      </c>
      <c r="E284" s="1">
        <f t="shared" si="256"/>
        <v>0</v>
      </c>
      <c r="K284" s="1">
        <v>2</v>
      </c>
      <c r="L284" s="1">
        <v>10</v>
      </c>
      <c r="V284" s="1">
        <v>1</v>
      </c>
      <c r="W284" s="1">
        <v>0.5</v>
      </c>
      <c r="X284" s="1">
        <v>0.34</v>
      </c>
      <c r="Y284" s="1">
        <v>0.5</v>
      </c>
      <c r="Z284" s="1" t="b">
        <f>FALSE</f>
        <v>0</v>
      </c>
      <c r="AA284" s="1" t="str">
        <f t="shared" si="259"/>
        <v/>
      </c>
      <c r="AB284" s="1" t="str">
        <f t="shared" si="260"/>
        <v/>
      </c>
      <c r="AC284" s="1">
        <f t="shared" si="257"/>
        <v>0</v>
      </c>
      <c r="AD284" s="1" t="str">
        <f t="shared" si="261"/>
        <v/>
      </c>
      <c r="AE284" s="1" t="str">
        <f t="shared" si="262"/>
        <v/>
      </c>
      <c r="AF284" s="1">
        <f t="shared" si="258"/>
        <v>0</v>
      </c>
      <c r="AG284" s="1">
        <f t="shared" si="263"/>
        <v>5</v>
      </c>
      <c r="AH284" s="1" t="str">
        <f t="shared" si="250"/>
        <v/>
      </c>
      <c r="AI284" s="1">
        <v>1</v>
      </c>
      <c r="AJ284" s="1">
        <f t="shared" si="238"/>
        <v>0</v>
      </c>
      <c r="AK284" s="1">
        <v>1</v>
      </c>
      <c r="AL284" s="1">
        <v>1</v>
      </c>
      <c r="AM284" s="1">
        <v>2</v>
      </c>
      <c r="AN284" s="1">
        <f t="shared" si="251"/>
        <v>0</v>
      </c>
      <c r="AO284" s="1">
        <v>1</v>
      </c>
      <c r="AP284" s="1">
        <v>1</v>
      </c>
      <c r="AQ284" s="1">
        <v>1</v>
      </c>
      <c r="AR284" s="1">
        <v>1</v>
      </c>
      <c r="AS284" s="1">
        <v>1</v>
      </c>
      <c r="AT284" s="1">
        <v>1</v>
      </c>
      <c r="AU284" s="1">
        <v>1</v>
      </c>
      <c r="AV284" s="1">
        <v>1</v>
      </c>
      <c r="AW284" s="1">
        <v>1</v>
      </c>
      <c r="AX284" s="1">
        <v>2</v>
      </c>
      <c r="AY284" s="1">
        <v>1</v>
      </c>
      <c r="AZ284" s="1">
        <v>1</v>
      </c>
      <c r="BA284" s="1">
        <v>1</v>
      </c>
      <c r="BB284" s="1">
        <v>1</v>
      </c>
      <c r="BC284" s="1">
        <v>1</v>
      </c>
      <c r="BD284" s="1">
        <v>2</v>
      </c>
      <c r="BE284" s="1">
        <v>2</v>
      </c>
      <c r="BF284" s="1">
        <v>1</v>
      </c>
      <c r="BG284" s="1">
        <f t="shared" si="225"/>
        <v>0</v>
      </c>
      <c r="BH284" s="1">
        <f t="shared" si="252"/>
        <v>0</v>
      </c>
      <c r="BI284" s="1">
        <v>2</v>
      </c>
      <c r="BJ284" s="1">
        <v>2</v>
      </c>
      <c r="BK284" s="1">
        <v>1</v>
      </c>
      <c r="BL284" s="1">
        <v>1</v>
      </c>
      <c r="BM284" s="1">
        <v>1</v>
      </c>
      <c r="BN284" s="1">
        <v>1</v>
      </c>
      <c r="BO284" s="1">
        <v>1</v>
      </c>
      <c r="BP284" s="1">
        <v>1</v>
      </c>
      <c r="BQ284" s="1">
        <f t="shared" si="242"/>
        <v>0</v>
      </c>
      <c r="BR284" s="1">
        <v>1</v>
      </c>
      <c r="BS284" s="1">
        <v>1</v>
      </c>
      <c r="BT284" s="1">
        <f t="shared" si="239"/>
        <v>0</v>
      </c>
      <c r="BU284" s="1">
        <f t="shared" si="243"/>
        <v>0</v>
      </c>
      <c r="BV284" s="1">
        <v>2</v>
      </c>
      <c r="BW284" s="1">
        <v>1</v>
      </c>
      <c r="BX284" s="1">
        <v>2</v>
      </c>
      <c r="BY284" s="1">
        <v>1</v>
      </c>
      <c r="BZ284" s="1">
        <v>1</v>
      </c>
      <c r="CA284" s="1">
        <v>1</v>
      </c>
      <c r="CB284" s="1">
        <v>1</v>
      </c>
      <c r="CC284" s="1">
        <v>1</v>
      </c>
      <c r="CD284" s="1">
        <v>1</v>
      </c>
      <c r="CE284" s="1">
        <v>1</v>
      </c>
      <c r="CF284" s="1">
        <v>1</v>
      </c>
      <c r="CG284" s="1">
        <f t="shared" si="253"/>
        <v>0</v>
      </c>
      <c r="CH284" s="1">
        <v>1</v>
      </c>
      <c r="CI284" s="1">
        <v>1</v>
      </c>
      <c r="CJ284" s="1">
        <v>1</v>
      </c>
      <c r="CK284" s="1">
        <v>1</v>
      </c>
      <c r="CL284" s="1">
        <v>1</v>
      </c>
      <c r="CM284" s="1">
        <v>1</v>
      </c>
      <c r="CN284" s="1">
        <v>1</v>
      </c>
      <c r="CO284" s="1">
        <v>1</v>
      </c>
      <c r="CP284" s="1">
        <v>1</v>
      </c>
      <c r="CQ284" s="1">
        <v>1</v>
      </c>
      <c r="CR284" s="1">
        <v>1</v>
      </c>
      <c r="CS284" s="1">
        <v>1</v>
      </c>
      <c r="CT284" s="1">
        <v>1</v>
      </c>
      <c r="CU284" s="1">
        <v>1</v>
      </c>
      <c r="CV284" s="1">
        <f t="shared" si="236"/>
        <v>0</v>
      </c>
      <c r="CW284" s="1">
        <v>2</v>
      </c>
      <c r="CX284" s="1">
        <v>2</v>
      </c>
      <c r="CY284" s="1">
        <v>2</v>
      </c>
      <c r="CZ284" s="1">
        <f t="shared" si="254"/>
        <v>0</v>
      </c>
      <c r="DA284" s="1">
        <v>1</v>
      </c>
      <c r="DB284" s="1">
        <v>1</v>
      </c>
      <c r="DC284" s="1">
        <v>1</v>
      </c>
      <c r="DD284" s="1">
        <v>2</v>
      </c>
      <c r="DE284" s="1">
        <v>1</v>
      </c>
      <c r="DF284" s="1">
        <v>1</v>
      </c>
      <c r="DG284" s="1">
        <v>1</v>
      </c>
      <c r="DH284" s="1">
        <v>1</v>
      </c>
      <c r="DI284" s="1">
        <f t="shared" si="237"/>
        <v>0</v>
      </c>
      <c r="DJ284" s="1">
        <v>1</v>
      </c>
      <c r="DK284" s="1" t="s">
        <v>762</v>
      </c>
      <c r="DL284" s="1" t="s">
        <v>101</v>
      </c>
      <c r="DV284" s="1" t="b">
        <f>AlignmentGood</f>
        <v>1</v>
      </c>
      <c r="DW284" s="1" t="b">
        <f>BaseAtk&gt;=5</f>
        <v>0</v>
      </c>
      <c r="DX284" s="1" t="b">
        <f>SkKnowledgeReligionRanks&gt;=2</f>
        <v>0</v>
      </c>
      <c r="DY284" s="1" t="b">
        <f>OR(FtGoodDevotion1,FtHealingDevotion1,FtLawDevotion1,FtStrengthDevotion1,FtWarDevotion1)</f>
        <v>0</v>
      </c>
      <c r="DZ284" s="1" t="b">
        <f t="shared" si="229"/>
        <v>1</v>
      </c>
      <c r="EA284" s="1" t="b">
        <f t="shared" si="255"/>
        <v>0</v>
      </c>
      <c r="EB284" s="11" t="s">
        <v>334</v>
      </c>
      <c r="EC284" s="1" t="str">
        <f>IF(DV284,"","• Any good.
")&amp;IF(DW284,"","• Base Attack Bonus +5.
")&amp;IF(DX284,"","• Knowledge (religion) 2 ranks.
")&amp;IF(DY284,"","• Good Devotion, Healing Devotion, Law Devotion,
  Strength Devotion, Sun Devotion, or War Devotion feat. 
")</f>
        <v xml:space="preserve">• Base Attack Bonus +5.
• Knowledge (religion) 2 ranks.
• Good Devotion, Healing Devotion, Law Devotion,
  Strength Devotion, Sun Devotion, or War Devotion feat. 
</v>
      </c>
      <c r="ED284" s="11" t="s">
        <v>335</v>
      </c>
      <c r="EE284" s="8" t="s">
        <v>792</v>
      </c>
      <c r="EF284" s="9">
        <v>8</v>
      </c>
      <c r="EG284" s="9" t="str">
        <f>DeityAlignment</f>
        <v>Any</v>
      </c>
      <c r="EH284" s="9" t="e">
        <f>IF(EI284,FIND(" ",$EG284),#N/A)</f>
        <v>#N/A</v>
      </c>
      <c r="EI284" s="9" t="b">
        <f>(INDEX(TblClasses,MATCH($EE284,TblTLAList,0),ClassInfoLevelColumn)&gt;=$EF284)</f>
        <v>0</v>
      </c>
      <c r="EJ284" s="9" t="str">
        <f>IF($EI284,$EE284&amp;$EF284,"")</f>
        <v/>
      </c>
      <c r="EK284" s="9">
        <f>IF($EI284,MATCH($EJ284,TblClassN,0),99)</f>
        <v>99</v>
      </c>
      <c r="EL284" s="9">
        <f>IF($EI284,IF(HRGestalt,MATCH($EJ284,TblGClassN,0),99),99)</f>
        <v>99</v>
      </c>
      <c r="EM284" s="9">
        <f>IF($EI284,IF(HasVirtualClasses,MATCH($EJ284,TblClass3,0),99),99)</f>
        <v>99</v>
      </c>
      <c r="EN284" s="9">
        <f>IF($EI284,MIN(IF(ISNA($EK284),99,$EK284),IF(ISNA($EL284),99,$EL284),IF(ISNA($EM284),99,$EM284)),99)</f>
        <v>99</v>
      </c>
      <c r="EO284" s="9" t="str">
        <f>IF($EI284,LEFT($EG284,1),"")</f>
        <v/>
      </c>
      <c r="EP284" s="9" t="str">
        <f>IF($EI284,IF(OR($EO284="L",$EO284="C",$EO284="N"),$EO284,""),"")</f>
        <v/>
      </c>
      <c r="EQ284" s="9" t="str">
        <f>IF($EI284,IF(NOT(ISERROR($EH284)),MID($EG284,$EH284+1,1),IF(OR($EO284="G",$EO284="E",$EO284="N"),$EO284,"")),"")</f>
        <v/>
      </c>
      <c r="ER284" s="9">
        <f>IF(LENB($EP284)&gt;0,$EN284,-1)</f>
        <v>-1</v>
      </c>
      <c r="ES284" s="10">
        <f>IF(LENB($EQ284)&gt;0,$EN284,-1)</f>
        <v>-1</v>
      </c>
    </row>
    <row r="285" spans="1:149" ht="11.25" customHeight="1" x14ac:dyDescent="0.2">
      <c r="A285" s="1">
        <f t="shared" si="247"/>
        <v>282</v>
      </c>
      <c r="B285" s="1" t="s">
        <v>793</v>
      </c>
      <c r="C285" s="1" t="s">
        <v>794</v>
      </c>
      <c r="D285" s="1" t="s">
        <v>794</v>
      </c>
      <c r="E285" s="1">
        <f t="shared" si="256"/>
        <v>0</v>
      </c>
      <c r="G285" s="1">
        <f>MAX(SoLLvl-1,0)</f>
        <v>0</v>
      </c>
      <c r="K285" s="1">
        <v>6</v>
      </c>
      <c r="L285" s="1">
        <v>8</v>
      </c>
      <c r="V285" s="1">
        <v>0.75</v>
      </c>
      <c r="W285" s="1">
        <v>0.34</v>
      </c>
      <c r="X285" s="1">
        <v>0.34</v>
      </c>
      <c r="Y285" s="1">
        <v>0.34</v>
      </c>
      <c r="Z285" s="1" t="b">
        <f>FALSE</f>
        <v>0</v>
      </c>
      <c r="AA285" s="1" t="str">
        <f t="shared" si="259"/>
        <v/>
      </c>
      <c r="AB285" s="1" t="str">
        <f t="shared" si="260"/>
        <v/>
      </c>
      <c r="AC285" s="1">
        <f t="shared" si="257"/>
        <v>0</v>
      </c>
      <c r="AD285" s="1" t="str">
        <f t="shared" si="261"/>
        <v/>
      </c>
      <c r="AE285" s="1" t="str">
        <f t="shared" si="262"/>
        <v/>
      </c>
      <c r="AF285" s="1">
        <f t="shared" si="258"/>
        <v>0</v>
      </c>
      <c r="AG285" s="1">
        <f t="shared" si="263"/>
        <v>5</v>
      </c>
      <c r="AH285" s="1" t="str">
        <f t="shared" si="250"/>
        <v/>
      </c>
      <c r="AI285" s="1">
        <v>2</v>
      </c>
      <c r="AJ285" s="1">
        <f t="shared" si="238"/>
        <v>0</v>
      </c>
      <c r="AK285" s="1">
        <v>1</v>
      </c>
      <c r="AL285" s="1">
        <v>2</v>
      </c>
      <c r="AM285" s="1">
        <v>2</v>
      </c>
      <c r="AN285" s="1">
        <f t="shared" si="251"/>
        <v>0</v>
      </c>
      <c r="AO285" s="1">
        <v>2</v>
      </c>
      <c r="AP285" s="1">
        <v>2</v>
      </c>
      <c r="AQ285" s="1">
        <v>2</v>
      </c>
      <c r="AR285" s="1">
        <v>2</v>
      </c>
      <c r="AS285" s="1">
        <v>2</v>
      </c>
      <c r="AT285" s="1">
        <v>2</v>
      </c>
      <c r="AU285" s="1">
        <v>2</v>
      </c>
      <c r="AV285" s="1">
        <v>2</v>
      </c>
      <c r="AW285" s="1">
        <v>1</v>
      </c>
      <c r="AX285" s="1">
        <v>2</v>
      </c>
      <c r="AY285" s="1">
        <v>1</v>
      </c>
      <c r="AZ285" s="1">
        <v>1</v>
      </c>
      <c r="BA285" s="1">
        <v>2</v>
      </c>
      <c r="BB285" s="1">
        <v>1</v>
      </c>
      <c r="BC285" s="1">
        <v>2</v>
      </c>
      <c r="BD285" s="1">
        <v>2</v>
      </c>
      <c r="BE285" s="1">
        <v>2</v>
      </c>
      <c r="BF285" s="1">
        <v>1</v>
      </c>
      <c r="BG285" s="1">
        <f t="shared" si="225"/>
        <v>0</v>
      </c>
      <c r="BH285" s="1">
        <f t="shared" si="252"/>
        <v>0</v>
      </c>
      <c r="BI285" s="1">
        <v>1</v>
      </c>
      <c r="BJ285" s="1">
        <v>2</v>
      </c>
      <c r="BK285" s="1">
        <v>2</v>
      </c>
      <c r="BL285" s="1">
        <v>1</v>
      </c>
      <c r="BM285" s="1">
        <v>1</v>
      </c>
      <c r="BN285" s="1">
        <v>1</v>
      </c>
      <c r="BO285" s="1">
        <v>1</v>
      </c>
      <c r="BP285" s="1">
        <v>1</v>
      </c>
      <c r="BQ285" s="1">
        <f t="shared" si="242"/>
        <v>0</v>
      </c>
      <c r="BR285" s="1">
        <v>1</v>
      </c>
      <c r="BS285" s="1">
        <v>2</v>
      </c>
      <c r="BT285" s="1">
        <f t="shared" si="239"/>
        <v>0</v>
      </c>
      <c r="BU285" s="1">
        <f t="shared" si="243"/>
        <v>0</v>
      </c>
      <c r="BV285" s="1">
        <v>2</v>
      </c>
      <c r="BW285" s="1">
        <v>1</v>
      </c>
      <c r="BX285" s="1">
        <v>2</v>
      </c>
      <c r="BY285" s="1">
        <v>1</v>
      </c>
      <c r="BZ285" s="1">
        <v>1</v>
      </c>
      <c r="CA285" s="1">
        <v>1</v>
      </c>
      <c r="CB285" s="1">
        <v>1</v>
      </c>
      <c r="CC285" s="1">
        <v>1</v>
      </c>
      <c r="CD285" s="1">
        <v>1</v>
      </c>
      <c r="CE285" s="1">
        <v>1</v>
      </c>
      <c r="CF285" s="1">
        <v>2</v>
      </c>
      <c r="CG285" s="1">
        <f t="shared" si="253"/>
        <v>0</v>
      </c>
      <c r="CH285" s="1">
        <v>1</v>
      </c>
      <c r="CI285" s="1">
        <v>1</v>
      </c>
      <c r="CJ285" s="1">
        <v>2</v>
      </c>
      <c r="CK285" s="1">
        <v>2</v>
      </c>
      <c r="CL285" s="1">
        <v>2</v>
      </c>
      <c r="CM285" s="1">
        <v>2</v>
      </c>
      <c r="CN285" s="1">
        <v>2</v>
      </c>
      <c r="CO285" s="1">
        <v>2</v>
      </c>
      <c r="CP285" s="1">
        <v>1</v>
      </c>
      <c r="CQ285" s="1">
        <v>1</v>
      </c>
      <c r="CR285" s="1">
        <v>1</v>
      </c>
      <c r="CS285" s="1">
        <v>1</v>
      </c>
      <c r="CT285" s="1">
        <v>1</v>
      </c>
      <c r="CU285" s="1">
        <v>1</v>
      </c>
      <c r="CV285" s="1">
        <f t="shared" si="236"/>
        <v>0</v>
      </c>
      <c r="CW285" s="1">
        <v>2</v>
      </c>
      <c r="CX285" s="1">
        <v>2</v>
      </c>
      <c r="CY285" s="1">
        <v>2</v>
      </c>
      <c r="CZ285" s="1">
        <f t="shared" si="254"/>
        <v>0</v>
      </c>
      <c r="DA285" s="1">
        <v>1</v>
      </c>
      <c r="DB285" s="1">
        <v>1</v>
      </c>
      <c r="DC285" s="1">
        <v>1</v>
      </c>
      <c r="DD285" s="1">
        <v>2</v>
      </c>
      <c r="DE285" s="1">
        <v>1</v>
      </c>
      <c r="DF285" s="1">
        <v>2</v>
      </c>
      <c r="DG285" s="1">
        <v>1</v>
      </c>
      <c r="DH285" s="1">
        <v>1</v>
      </c>
      <c r="DI285" s="1">
        <f t="shared" si="237"/>
        <v>0</v>
      </c>
      <c r="DJ285" s="1">
        <v>1</v>
      </c>
      <c r="DK285" s="1" t="s">
        <v>762</v>
      </c>
      <c r="DL285" s="1" t="s">
        <v>101</v>
      </c>
      <c r="DX285" s="1" t="b">
        <f>SkKnowledgeHistoryRanks&gt;=3</f>
        <v>0</v>
      </c>
      <c r="DY285" s="1" t="b">
        <f>OR(SkDiplomacyRanks&gt;=7,SkIntimidateRanks&gt;=7,SkKnowledgeArcanaRanks&gt;=7,SkKnowledgeReligionRanks&gt;=7,SkMoveSilentlyRanks&gt;=7)</f>
        <v>0</v>
      </c>
      <c r="DZ285" s="1" t="b">
        <f t="shared" si="229"/>
        <v>1</v>
      </c>
      <c r="EA285" s="1" t="b">
        <f t="shared" si="255"/>
        <v>0</v>
      </c>
      <c r="EB285" s="11" t="s">
        <v>338</v>
      </c>
      <c r="EC285" s="1" t="str">
        <f>IF(DX285,"","• Knowledge (history) 3 ranks
")&amp;IF(DY285,"","and any one of the following: Diplomacy, Intimidate, 
Knowledge (arcana), Knowledge (religion), or Move Silently 7 ranks.
")&amp;"• Must be a member of the Disciples of Legend (not verified)."</f>
        <v>• Knowledge (history) 3 ranks
and any one of the following: Diplomacy, Intimidate, 
Knowledge (arcana), Knowledge (religion), or Move Silently 7 ranks.
• Must be a member of the Disciples of Legend (not verified).</v>
      </c>
      <c r="ED285" s="11" t="s">
        <v>335</v>
      </c>
      <c r="EE285" s="14"/>
      <c r="EF285" s="15"/>
      <c r="EG285" s="15"/>
      <c r="EH285" s="15"/>
      <c r="EI285" s="15"/>
      <c r="EJ285" s="15"/>
      <c r="EK285" s="15"/>
      <c r="EL285" s="15"/>
      <c r="EM285" s="15"/>
      <c r="EN285" s="15"/>
      <c r="EO285" s="15"/>
      <c r="EP285" s="15"/>
      <c r="EQ285" s="15"/>
      <c r="ER285" s="15"/>
      <c r="ES285" s="16"/>
    </row>
    <row r="286" spans="1:149" ht="11.25" customHeight="1" x14ac:dyDescent="0.2">
      <c r="A286" s="1">
        <f t="shared" si="247"/>
        <v>283</v>
      </c>
      <c r="B286" s="1" t="s">
        <v>795</v>
      </c>
      <c r="E286" s="1">
        <f t="shared" si="256"/>
        <v>0</v>
      </c>
      <c r="F286" s="1">
        <v>1</v>
      </c>
      <c r="Z286" s="1" t="b">
        <f>FALSE</f>
        <v>0</v>
      </c>
      <c r="AA286" s="1" t="str">
        <f t="shared" si="259"/>
        <v/>
      </c>
      <c r="AB286" s="1" t="str">
        <f t="shared" si="260"/>
        <v/>
      </c>
      <c r="AC286" s="1">
        <f t="shared" si="257"/>
        <v>0</v>
      </c>
      <c r="AD286" s="1" t="str">
        <f t="shared" si="261"/>
        <v/>
      </c>
      <c r="AE286" s="1" t="str">
        <f t="shared" si="262"/>
        <v/>
      </c>
      <c r="AF286" s="1">
        <f t="shared" si="258"/>
        <v>0</v>
      </c>
      <c r="AG286" s="1">
        <f t="shared" si="263"/>
        <v>5</v>
      </c>
      <c r="AH286" s="1" t="str">
        <f t="shared" si="250"/>
        <v/>
      </c>
      <c r="EB286" s="11"/>
      <c r="ED286" s="11" t="s">
        <v>335</v>
      </c>
      <c r="EE286" s="14"/>
      <c r="EF286" s="15"/>
      <c r="EG286" s="15"/>
      <c r="EH286" s="15"/>
      <c r="EI286" s="15"/>
      <c r="EJ286" s="15"/>
      <c r="EK286" s="15"/>
      <c r="EL286" s="15"/>
      <c r="EM286" s="15"/>
      <c r="EN286" s="15"/>
      <c r="EO286" s="15"/>
      <c r="EP286" s="15"/>
      <c r="EQ286" s="15"/>
      <c r="ER286" s="15"/>
      <c r="ES286" s="16"/>
    </row>
    <row r="287" spans="1:149" ht="11.25" customHeight="1" x14ac:dyDescent="0.2">
      <c r="A287" s="1">
        <f t="shared" si="247"/>
        <v>284</v>
      </c>
      <c r="B287" s="1" t="s">
        <v>796</v>
      </c>
      <c r="C287" s="1" t="s">
        <v>797</v>
      </c>
      <c r="D287" s="1" t="s">
        <v>797</v>
      </c>
      <c r="E287" s="1">
        <f t="shared" si="256"/>
        <v>0</v>
      </c>
      <c r="K287" s="1">
        <v>2</v>
      </c>
      <c r="L287" s="1">
        <v>10</v>
      </c>
      <c r="V287" s="1">
        <v>1</v>
      </c>
      <c r="W287" s="1">
        <v>0.5</v>
      </c>
      <c r="X287" s="1">
        <v>0.34</v>
      </c>
      <c r="Y287" s="1">
        <v>0.34</v>
      </c>
      <c r="Z287" s="1" t="b">
        <f>FALSE</f>
        <v>0</v>
      </c>
      <c r="AA287" s="1" t="str">
        <f t="shared" si="259"/>
        <v/>
      </c>
      <c r="AB287" s="1" t="str">
        <f t="shared" si="260"/>
        <v/>
      </c>
      <c r="AC287" s="1">
        <f t="shared" si="257"/>
        <v>0</v>
      </c>
      <c r="AD287" s="1" t="str">
        <f t="shared" si="261"/>
        <v/>
      </c>
      <c r="AE287" s="1" t="str">
        <f t="shared" si="262"/>
        <v/>
      </c>
      <c r="AF287" s="1">
        <f t="shared" si="258"/>
        <v>0</v>
      </c>
      <c r="AG287" s="1">
        <f t="shared" si="263"/>
        <v>5</v>
      </c>
      <c r="AH287" s="1" t="str">
        <f t="shared" si="250"/>
        <v/>
      </c>
      <c r="AI287" s="1">
        <v>2</v>
      </c>
      <c r="AJ287" s="1">
        <f t="shared" ref="AJ287:AJ301" si="264">IF(HRXPH,1,0)</f>
        <v>0</v>
      </c>
      <c r="AK287" s="1">
        <v>1</v>
      </c>
      <c r="AL287" s="1">
        <v>1</v>
      </c>
      <c r="AM287" s="1">
        <v>1</v>
      </c>
      <c r="AN287" s="1">
        <f t="shared" ref="AN287:AN301" si="265">IF(IsLycanthrope,2,0)</f>
        <v>0</v>
      </c>
      <c r="AO287" s="1">
        <v>2</v>
      </c>
      <c r="AP287" s="1">
        <v>2</v>
      </c>
      <c r="AQ287" s="1">
        <v>2</v>
      </c>
      <c r="AR287" s="1">
        <v>2</v>
      </c>
      <c r="AS287" s="1">
        <v>2</v>
      </c>
      <c r="AT287" s="1">
        <v>2</v>
      </c>
      <c r="AU287" s="1">
        <v>2</v>
      </c>
      <c r="AV287" s="1">
        <v>2</v>
      </c>
      <c r="AW287" s="1">
        <v>1</v>
      </c>
      <c r="AX287" s="1">
        <v>1</v>
      </c>
      <c r="AY287" s="1">
        <v>1</v>
      </c>
      <c r="AZ287" s="1">
        <v>1</v>
      </c>
      <c r="BA287" s="1">
        <v>1</v>
      </c>
      <c r="BB287" s="1">
        <v>1</v>
      </c>
      <c r="BC287" s="1">
        <v>1</v>
      </c>
      <c r="BD287" s="1">
        <v>1</v>
      </c>
      <c r="BE287" s="1">
        <v>1</v>
      </c>
      <c r="BF287" s="1">
        <v>1</v>
      </c>
      <c r="BG287" s="1">
        <f t="shared" ref="BG287:BG301" si="266">IF(HRRVL,1,0)</f>
        <v>0</v>
      </c>
      <c r="BH287" s="1">
        <f t="shared" ref="BH287:BH301" si="267">IF(HROA,1,0)</f>
        <v>0</v>
      </c>
      <c r="BI287" s="1">
        <v>2</v>
      </c>
      <c r="BJ287" s="1">
        <v>1</v>
      </c>
      <c r="BK287" s="1">
        <v>1</v>
      </c>
      <c r="BL287" s="1">
        <v>1</v>
      </c>
      <c r="BM287" s="1">
        <v>1</v>
      </c>
      <c r="BN287" s="1">
        <v>1</v>
      </c>
      <c r="BO287" s="1">
        <v>1</v>
      </c>
      <c r="BP287" s="1">
        <v>1</v>
      </c>
      <c r="BQ287" s="1">
        <f>IF(HRRVL,1,0)</f>
        <v>0</v>
      </c>
      <c r="BR287" s="1">
        <v>1</v>
      </c>
      <c r="BS287" s="1">
        <v>1</v>
      </c>
      <c r="BT287" s="1">
        <f t="shared" ref="BT287:BT301" si="268">IF(HRXPH,1,0)</f>
        <v>0</v>
      </c>
      <c r="BU287" s="1">
        <f>IF(HRRVL,2,0)</f>
        <v>0</v>
      </c>
      <c r="BV287" s="1">
        <v>2</v>
      </c>
      <c r="BW287" s="1">
        <v>1</v>
      </c>
      <c r="BX287" s="1">
        <v>1</v>
      </c>
      <c r="BY287" s="1">
        <v>1</v>
      </c>
      <c r="BZ287" s="1">
        <v>1</v>
      </c>
      <c r="CA287" s="1">
        <v>1</v>
      </c>
      <c r="CB287" s="1">
        <v>1</v>
      </c>
      <c r="CC287" s="1">
        <v>1</v>
      </c>
      <c r="CD287" s="1">
        <v>1</v>
      </c>
      <c r="CE287" s="1">
        <v>1</v>
      </c>
      <c r="CF287" s="1">
        <v>1</v>
      </c>
      <c r="CG287" s="1">
        <f t="shared" ref="CG287:CG301" si="269">IF(HRToB,1,0)</f>
        <v>0</v>
      </c>
      <c r="CH287" s="1">
        <v>1</v>
      </c>
      <c r="CI287" s="1">
        <v>1</v>
      </c>
      <c r="CJ287" s="1">
        <v>1</v>
      </c>
      <c r="CK287" s="1">
        <v>1</v>
      </c>
      <c r="CL287" s="1">
        <v>1</v>
      </c>
      <c r="CM287" s="1">
        <v>1</v>
      </c>
      <c r="CN287" s="1">
        <v>1</v>
      </c>
      <c r="CO287" s="1">
        <v>1</v>
      </c>
      <c r="CP287" s="1">
        <v>1</v>
      </c>
      <c r="CQ287" s="1">
        <v>1</v>
      </c>
      <c r="CR287" s="1">
        <v>1</v>
      </c>
      <c r="CS287" s="1">
        <v>1</v>
      </c>
      <c r="CT287" s="1">
        <v>1</v>
      </c>
      <c r="CU287" s="1">
        <v>1</v>
      </c>
      <c r="CV287" s="1">
        <f t="shared" ref="CV287:CV301" si="270">IF(HRXPH,1,0)</f>
        <v>0</v>
      </c>
      <c r="CW287" s="1">
        <v>1</v>
      </c>
      <c r="CX287" s="1">
        <v>1</v>
      </c>
      <c r="CY287" s="1">
        <v>1</v>
      </c>
      <c r="CZ287" s="1">
        <f t="shared" ref="CZ287:CZ301" si="271">IF(HRCS,1,0)</f>
        <v>0</v>
      </c>
      <c r="DA287" s="1">
        <v>1</v>
      </c>
      <c r="DB287" s="1">
        <v>1</v>
      </c>
      <c r="DC287" s="1">
        <v>1</v>
      </c>
      <c r="DD287" s="1">
        <v>1</v>
      </c>
      <c r="DE287" s="1">
        <v>1</v>
      </c>
      <c r="DF287" s="1">
        <v>1</v>
      </c>
      <c r="DG287" s="1">
        <v>1</v>
      </c>
      <c r="DH287" s="1">
        <v>1</v>
      </c>
      <c r="DI287" s="1">
        <f t="shared" ref="DI287:DI301" si="272">IF(HRXPH,1,0)</f>
        <v>0</v>
      </c>
      <c r="DJ287" s="1">
        <v>1</v>
      </c>
      <c r="DK287" s="1" t="s">
        <v>798</v>
      </c>
      <c r="DL287" s="1" t="s">
        <v>40</v>
      </c>
      <c r="DR287" s="1" t="b">
        <f>RaceCi="Dwarf"</f>
        <v>1</v>
      </c>
      <c r="DS287" s="1" t="b">
        <f>BaseAtk&gt;=5</f>
        <v>0</v>
      </c>
      <c r="DT287" s="1" t="b">
        <f>IF(NOT(ISNA(MATCH("Armorsmithing",TblCraftSkills,0))),INDEX(TblCraftRanks,MATCH("Armorsmithing",TblCraftSkills,0),1)&gt;=10,IF(NOT(ISNA(MATCH("Weaponsmithing",TblCraftSkills,0))),INDEX(TblCraftRanks,MATCH("Weaponsmithing",TblCraftSkills,0),1)&gt;=10,FALSE))</f>
        <v>0</v>
      </c>
      <c r="DU287" s="1" t="b">
        <f>OR(FtEndurance,FtKoboldEndurance)</f>
        <v>0</v>
      </c>
      <c r="DV287" s="1" t="b">
        <f>FtArmorHeavy</f>
        <v>0</v>
      </c>
      <c r="DW287" s="1" t="b">
        <f>NOT(ISNA(MATCH("Warhammer",TblWeaponFocusFeat,0)))</f>
        <v>0</v>
      </c>
      <c r="EA287" s="1" t="b">
        <f t="shared" ref="EA287:EA301" si="273">AND(DM287:DZ287)</f>
        <v>0</v>
      </c>
      <c r="EB287" s="11" t="s">
        <v>338</v>
      </c>
      <c r="EC287" s="1" t="str">
        <f>IF(DR287,"","• Race: Dwarf.
")&amp;IF(DS287,"","• BAB +5
")&amp;IF(DT287,"","• Craft (armorsmithing) or Craft (weaponsmithing) 10 Ranks
")&amp;IF(DU287,"","• Endurance feat.
")&amp;IF(DV287,"","• Armor Proficiency (heavy) feat.
")&amp;IF(DW287,"","• Weapon Focus (Warhammer).
")&amp;"• Must have created a dwarvencraft weapon and used it in battle (not
   checked)."</f>
        <v>• BAB +5
• Craft (armorsmithing) or Craft (weaponsmithing) 10 Ranks
• Endurance feat.
• Armor Proficiency (heavy) feat.
• Weapon Focus (Warhammer).
• Must have created a dwarvencraft weapon and used it in battle (not
   checked).</v>
      </c>
      <c r="ED287" s="11" t="s">
        <v>335</v>
      </c>
      <c r="EE287" s="14"/>
      <c r="EF287" s="15"/>
      <c r="EG287" s="15"/>
      <c r="EH287" s="15"/>
      <c r="EI287" s="15"/>
      <c r="EJ287" s="15"/>
      <c r="EK287" s="15"/>
      <c r="EL287" s="15"/>
      <c r="EM287" s="15"/>
      <c r="EN287" s="15"/>
      <c r="EO287" s="15"/>
      <c r="EP287" s="15"/>
      <c r="EQ287" s="15"/>
      <c r="ER287" s="15"/>
      <c r="ES287" s="16"/>
    </row>
    <row r="288" spans="1:149" ht="11.25" customHeight="1" x14ac:dyDescent="0.2">
      <c r="A288" s="1">
        <f t="shared" si="247"/>
        <v>285</v>
      </c>
      <c r="B288" s="1" t="s">
        <v>799</v>
      </c>
      <c r="C288" s="1" t="s">
        <v>800</v>
      </c>
      <c r="D288" s="1" t="s">
        <v>800</v>
      </c>
      <c r="E288" s="1">
        <f t="shared" si="256"/>
        <v>0</v>
      </c>
      <c r="K288" s="1">
        <v>4</v>
      </c>
      <c r="L288" s="1">
        <v>8</v>
      </c>
      <c r="V288" s="1">
        <v>1</v>
      </c>
      <c r="W288" s="1">
        <v>0.34</v>
      </c>
      <c r="X288" s="1">
        <v>0.5</v>
      </c>
      <c r="Y288" s="1">
        <v>0.34</v>
      </c>
      <c r="Z288" s="1" t="b">
        <f>FALSE</f>
        <v>0</v>
      </c>
      <c r="AA288" s="1" t="str">
        <f t="shared" si="259"/>
        <v/>
      </c>
      <c r="AB288" s="1" t="str">
        <f t="shared" si="260"/>
        <v/>
      </c>
      <c r="AC288" s="1">
        <f t="shared" si="257"/>
        <v>0</v>
      </c>
      <c r="AD288" s="1" t="str">
        <f t="shared" si="261"/>
        <v/>
      </c>
      <c r="AE288" s="1" t="str">
        <f t="shared" si="262"/>
        <v/>
      </c>
      <c r="AF288" s="1">
        <f t="shared" si="258"/>
        <v>0</v>
      </c>
      <c r="AG288" s="1">
        <f t="shared" si="263"/>
        <v>5</v>
      </c>
      <c r="AH288" s="1" t="str">
        <f t="shared" si="250"/>
        <v/>
      </c>
      <c r="AI288" s="1">
        <v>1</v>
      </c>
      <c r="AJ288" s="1">
        <f t="shared" si="264"/>
        <v>0</v>
      </c>
      <c r="AK288" s="1">
        <v>2</v>
      </c>
      <c r="AL288" s="1">
        <v>2</v>
      </c>
      <c r="AM288" s="1">
        <v>2</v>
      </c>
      <c r="AN288" s="1">
        <f t="shared" si="265"/>
        <v>0</v>
      </c>
      <c r="AO288" s="1">
        <v>2</v>
      </c>
      <c r="AP288" s="1">
        <v>1</v>
      </c>
      <c r="AQ288" s="1">
        <v>1</v>
      </c>
      <c r="AR288" s="1">
        <v>1</v>
      </c>
      <c r="AS288" s="1">
        <v>1</v>
      </c>
      <c r="AT288" s="1">
        <v>1</v>
      </c>
      <c r="AU288" s="1">
        <v>1</v>
      </c>
      <c r="AV288" s="1">
        <v>1</v>
      </c>
      <c r="AW288" s="1">
        <v>1</v>
      </c>
      <c r="AX288" s="1">
        <v>1</v>
      </c>
      <c r="AY288" s="1">
        <v>1</v>
      </c>
      <c r="AZ288" s="1">
        <v>1</v>
      </c>
      <c r="BA288" s="1">
        <v>2</v>
      </c>
      <c r="BB288" s="1">
        <v>1</v>
      </c>
      <c r="BC288" s="1">
        <v>1</v>
      </c>
      <c r="BD288" s="1">
        <v>1</v>
      </c>
      <c r="BE288" s="1">
        <v>1</v>
      </c>
      <c r="BF288" s="1">
        <v>1</v>
      </c>
      <c r="BG288" s="1">
        <f t="shared" si="266"/>
        <v>0</v>
      </c>
      <c r="BH288" s="1">
        <f t="shared" si="267"/>
        <v>0</v>
      </c>
      <c r="BI288" s="1">
        <v>2</v>
      </c>
      <c r="BJ288" s="1">
        <v>2</v>
      </c>
      <c r="BK288" s="1">
        <v>1</v>
      </c>
      <c r="BL288" s="1">
        <v>1</v>
      </c>
      <c r="BM288" s="1">
        <v>1</v>
      </c>
      <c r="BN288" s="1">
        <v>1</v>
      </c>
      <c r="BO288" s="1">
        <v>1</v>
      </c>
      <c r="BP288" s="1">
        <v>1</v>
      </c>
      <c r="BQ288" s="1">
        <f>IF(HRRVL,1,0)</f>
        <v>0</v>
      </c>
      <c r="BR288" s="1">
        <v>1</v>
      </c>
      <c r="BS288" s="1">
        <v>1</v>
      </c>
      <c r="BT288" s="1">
        <f t="shared" si="268"/>
        <v>0</v>
      </c>
      <c r="BU288" s="1">
        <f>IF(HRRVL,1,0)</f>
        <v>0</v>
      </c>
      <c r="BV288" s="1">
        <v>1</v>
      </c>
      <c r="BW288" s="1">
        <v>1</v>
      </c>
      <c r="BX288" s="1">
        <v>1</v>
      </c>
      <c r="BY288" s="1">
        <v>1</v>
      </c>
      <c r="BZ288" s="1">
        <v>1</v>
      </c>
      <c r="CA288" s="1">
        <v>1</v>
      </c>
      <c r="CB288" s="1">
        <v>1</v>
      </c>
      <c r="CC288" s="1">
        <v>1</v>
      </c>
      <c r="CD288" s="1">
        <v>1</v>
      </c>
      <c r="CE288" s="1">
        <v>1</v>
      </c>
      <c r="CF288" s="1">
        <v>1</v>
      </c>
      <c r="CG288" s="1">
        <f t="shared" si="269"/>
        <v>0</v>
      </c>
      <c r="CH288" s="1">
        <v>1</v>
      </c>
      <c r="CI288" s="1">
        <v>1</v>
      </c>
      <c r="CJ288" s="1">
        <v>2</v>
      </c>
      <c r="CK288" s="1">
        <v>2</v>
      </c>
      <c r="CL288" s="1">
        <v>2</v>
      </c>
      <c r="CM288" s="1">
        <v>2</v>
      </c>
      <c r="CN288" s="1">
        <v>2</v>
      </c>
      <c r="CO288" s="1">
        <v>2</v>
      </c>
      <c r="CP288" s="1">
        <v>1</v>
      </c>
      <c r="CQ288" s="1">
        <v>1</v>
      </c>
      <c r="CR288" s="1">
        <v>1</v>
      </c>
      <c r="CS288" s="1">
        <v>1</v>
      </c>
      <c r="CT288" s="1">
        <v>1</v>
      </c>
      <c r="CU288" s="1">
        <v>1</v>
      </c>
      <c r="CV288" s="1">
        <f t="shared" si="270"/>
        <v>0</v>
      </c>
      <c r="CW288" s="1">
        <v>1</v>
      </c>
      <c r="CX288" s="1">
        <v>1</v>
      </c>
      <c r="CY288" s="1">
        <v>2</v>
      </c>
      <c r="CZ288" s="1">
        <f t="shared" si="271"/>
        <v>0</v>
      </c>
      <c r="DA288" s="1">
        <v>1</v>
      </c>
      <c r="DB288" s="1">
        <v>1</v>
      </c>
      <c r="DC288" s="1">
        <v>1</v>
      </c>
      <c r="DD288" s="1">
        <v>1</v>
      </c>
      <c r="DE288" s="1">
        <v>1</v>
      </c>
      <c r="DF288" s="1">
        <v>1</v>
      </c>
      <c r="DG288" s="1">
        <v>2</v>
      </c>
      <c r="DH288" s="1">
        <v>1</v>
      </c>
      <c r="DI288" s="1">
        <f t="shared" si="272"/>
        <v>0</v>
      </c>
      <c r="DJ288" s="1">
        <v>1</v>
      </c>
      <c r="DK288" s="1" t="s">
        <v>798</v>
      </c>
      <c r="DL288" s="1" t="s">
        <v>40</v>
      </c>
      <c r="DR288" s="1" t="b">
        <f>RaceCi="Gnome"</f>
        <v>0</v>
      </c>
      <c r="DS288" s="1" t="b">
        <f>BaseAtk&gt;=5</f>
        <v>0</v>
      </c>
      <c r="DT288" s="1" t="b">
        <f>SkBluffRanks&gt;=4</f>
        <v>0</v>
      </c>
      <c r="DU288" s="1" t="b">
        <f>OR(FreeCombatExpertise,FtCombatExpertise)</f>
        <v>0</v>
      </c>
      <c r="DV288" s="1" t="b">
        <f>OR(FtWeaponFinesse,FtShadowBlade)</f>
        <v>0</v>
      </c>
      <c r="DW288" s="1" t="b">
        <f>OR(NOT(ISNA(MATCH("Rapier",TblWeaponFocusFeat,0))),NOT(ISNA(MATCH("Rapier, Parthian",TblWeaponFocusFeat,0))),NOT(ISNA(MATCH("Rapier, Quickblade",TblWeaponFocusFeat,0))))</f>
        <v>0</v>
      </c>
      <c r="EA288" s="1" t="b">
        <f t="shared" si="273"/>
        <v>0</v>
      </c>
      <c r="EB288" s="11" t="s">
        <v>334</v>
      </c>
      <c r="EC288" s="1" t="str">
        <f>IF(DR288,"","• Race: Gnome.
")&amp;IF(DS288,"","• BAB +5
")&amp;IF(DT288,"","• Bluff 4 Ranks
")&amp;IF(DU288,"","• Combat Expertise.
")&amp;IF(DV288,"","• Weapon Finesse.
")&amp;IF(DW288,"","• Weapon Focus (Rapier).")</f>
        <v>• Race: Gnome.
• BAB +5
• Bluff 4 Ranks
• Combat Expertise.
• Weapon Finesse.
• Weapon Focus (Rapier).</v>
      </c>
      <c r="ED288" s="11" t="s">
        <v>335</v>
      </c>
      <c r="EE288" s="14"/>
      <c r="EF288" s="15"/>
      <c r="EG288" s="15"/>
      <c r="EH288" s="15"/>
      <c r="EI288" s="15"/>
      <c r="EJ288" s="15"/>
      <c r="EK288" s="15"/>
      <c r="EL288" s="15"/>
      <c r="EM288" s="15"/>
      <c r="EN288" s="15"/>
      <c r="EO288" s="15"/>
      <c r="EP288" s="15"/>
      <c r="EQ288" s="15"/>
      <c r="ER288" s="15"/>
      <c r="ES288" s="16"/>
    </row>
    <row r="289" spans="1:149" ht="11.25" customHeight="1" x14ac:dyDescent="0.2">
      <c r="A289" s="1">
        <f t="shared" si="247"/>
        <v>286</v>
      </c>
      <c r="B289" s="1" t="s">
        <v>801</v>
      </c>
      <c r="C289" s="1" t="s">
        <v>802</v>
      </c>
      <c r="D289" s="1" t="s">
        <v>802</v>
      </c>
      <c r="E289" s="1">
        <f t="shared" si="256"/>
        <v>0</v>
      </c>
      <c r="K289" s="1">
        <v>4</v>
      </c>
      <c r="L289" s="1">
        <v>8</v>
      </c>
      <c r="V289" s="1">
        <v>1</v>
      </c>
      <c r="W289" s="1">
        <v>0.5</v>
      </c>
      <c r="X289" s="1">
        <v>0.34</v>
      </c>
      <c r="Y289" s="1">
        <v>0.34</v>
      </c>
      <c r="Z289" s="1" t="b">
        <f>FALSE</f>
        <v>0</v>
      </c>
      <c r="AA289" s="1" t="str">
        <f t="shared" si="259"/>
        <v/>
      </c>
      <c r="AB289" s="1" t="str">
        <f t="shared" si="260"/>
        <v/>
      </c>
      <c r="AC289" s="1">
        <f t="shared" si="257"/>
        <v>0</v>
      </c>
      <c r="AD289" s="1" t="str">
        <f t="shared" si="261"/>
        <v/>
      </c>
      <c r="AE289" s="1" t="str">
        <f t="shared" si="262"/>
        <v/>
      </c>
      <c r="AF289" s="1">
        <f t="shared" si="258"/>
        <v>0</v>
      </c>
      <c r="AG289" s="1">
        <f t="shared" si="263"/>
        <v>5</v>
      </c>
      <c r="AH289" s="1" t="str">
        <f t="shared" si="250"/>
        <v/>
      </c>
      <c r="AI289" s="1">
        <v>1</v>
      </c>
      <c r="AJ289" s="1">
        <f t="shared" si="264"/>
        <v>0</v>
      </c>
      <c r="AK289" s="1">
        <v>2</v>
      </c>
      <c r="AL289" s="1">
        <v>1</v>
      </c>
      <c r="AM289" s="1">
        <v>2</v>
      </c>
      <c r="AN289" s="1">
        <f t="shared" si="265"/>
        <v>0</v>
      </c>
      <c r="AO289" s="1">
        <v>1</v>
      </c>
      <c r="AP289" s="1">
        <v>2</v>
      </c>
      <c r="AQ289" s="1">
        <v>2</v>
      </c>
      <c r="AR289" s="1">
        <v>2</v>
      </c>
      <c r="AS289" s="1">
        <v>2</v>
      </c>
      <c r="AT289" s="1">
        <v>2</v>
      </c>
      <c r="AU289" s="1">
        <v>2</v>
      </c>
      <c r="AV289" s="1">
        <v>2</v>
      </c>
      <c r="AW289" s="1">
        <v>1</v>
      </c>
      <c r="AX289" s="1">
        <v>1</v>
      </c>
      <c r="AY289" s="1">
        <v>1</v>
      </c>
      <c r="AZ289" s="1">
        <v>1</v>
      </c>
      <c r="BA289" s="1">
        <v>1</v>
      </c>
      <c r="BB289" s="1">
        <v>1</v>
      </c>
      <c r="BC289" s="1">
        <v>1</v>
      </c>
      <c r="BD289" s="1">
        <v>1</v>
      </c>
      <c r="BE289" s="1">
        <v>1</v>
      </c>
      <c r="BF289" s="1">
        <v>2</v>
      </c>
      <c r="BG289" s="1">
        <f t="shared" si="266"/>
        <v>0</v>
      </c>
      <c r="BH289" s="1">
        <f t="shared" si="267"/>
        <v>0</v>
      </c>
      <c r="BI289" s="1">
        <v>1</v>
      </c>
      <c r="BJ289" s="1">
        <v>2</v>
      </c>
      <c r="BK289" s="1">
        <v>1</v>
      </c>
      <c r="BL289" s="1">
        <v>1</v>
      </c>
      <c r="BM289" s="1">
        <v>1</v>
      </c>
      <c r="BN289" s="1">
        <v>1</v>
      </c>
      <c r="BO289" s="1">
        <v>1</v>
      </c>
      <c r="BP289" s="1">
        <v>1</v>
      </c>
      <c r="BQ289" s="1">
        <f>IF(HRRVL,2,0)</f>
        <v>0</v>
      </c>
      <c r="BR289" s="1">
        <v>2</v>
      </c>
      <c r="BS289" s="1">
        <v>1</v>
      </c>
      <c r="BT289" s="1">
        <f t="shared" si="268"/>
        <v>0</v>
      </c>
      <c r="BU289" s="1">
        <f>IF(HRRVL,1,0)</f>
        <v>0</v>
      </c>
      <c r="BV289" s="1">
        <v>1</v>
      </c>
      <c r="BW289" s="1">
        <v>1</v>
      </c>
      <c r="BX289" s="1">
        <v>1</v>
      </c>
      <c r="BY289" s="1">
        <v>1</v>
      </c>
      <c r="BZ289" s="1">
        <v>1</v>
      </c>
      <c r="CA289" s="1">
        <v>1</v>
      </c>
      <c r="CB289" s="1">
        <v>1</v>
      </c>
      <c r="CC289" s="1">
        <v>1</v>
      </c>
      <c r="CD289" s="1">
        <v>1</v>
      </c>
      <c r="CE289" s="1">
        <v>1</v>
      </c>
      <c r="CF289" s="1">
        <v>1</v>
      </c>
      <c r="CG289" s="1">
        <f t="shared" si="269"/>
        <v>0</v>
      </c>
      <c r="CH289" s="1">
        <v>1</v>
      </c>
      <c r="CI289" s="1">
        <v>1</v>
      </c>
      <c r="CJ289" s="1">
        <v>1</v>
      </c>
      <c r="CK289" s="1">
        <v>1</v>
      </c>
      <c r="CL289" s="1">
        <v>1</v>
      </c>
      <c r="CM289" s="1">
        <v>1</v>
      </c>
      <c r="CN289" s="1">
        <v>1</v>
      </c>
      <c r="CO289" s="1">
        <v>1</v>
      </c>
      <c r="CP289" s="1">
        <v>2</v>
      </c>
      <c r="CQ289" s="1">
        <v>2</v>
      </c>
      <c r="CR289" s="1">
        <v>2</v>
      </c>
      <c r="CS289" s="1">
        <v>2</v>
      </c>
      <c r="CT289" s="1">
        <v>1</v>
      </c>
      <c r="CU289" s="1">
        <v>2</v>
      </c>
      <c r="CV289" s="1">
        <f t="shared" si="270"/>
        <v>0</v>
      </c>
      <c r="CW289" s="1">
        <v>2</v>
      </c>
      <c r="CX289" s="1">
        <v>1</v>
      </c>
      <c r="CY289" s="1">
        <v>1</v>
      </c>
      <c r="CZ289" s="1">
        <f t="shared" si="271"/>
        <v>0</v>
      </c>
      <c r="DA289" s="1">
        <v>1</v>
      </c>
      <c r="DB289" s="1">
        <v>1</v>
      </c>
      <c r="DC289" s="1">
        <v>1</v>
      </c>
      <c r="DD289" s="1">
        <v>2</v>
      </c>
      <c r="DE289" s="1">
        <v>2</v>
      </c>
      <c r="DF289" s="1">
        <v>2</v>
      </c>
      <c r="DG289" s="1">
        <v>1</v>
      </c>
      <c r="DH289" s="1">
        <v>1</v>
      </c>
      <c r="DI289" s="1">
        <f t="shared" si="272"/>
        <v>0</v>
      </c>
      <c r="DJ289" s="1">
        <v>1</v>
      </c>
      <c r="DK289" s="1" t="s">
        <v>798</v>
      </c>
      <c r="DL289" s="1" t="s">
        <v>40</v>
      </c>
      <c r="DR289" s="1" t="b">
        <f>BaseAtk&gt;=6</f>
        <v>0</v>
      </c>
      <c r="DS289" s="1" t="b">
        <f>SkClimbRanks&gt;=10</f>
        <v>0</v>
      </c>
      <c r="DT289" s="1" t="b">
        <f>SkSpotRanks&gt;=5</f>
        <v>0</v>
      </c>
      <c r="DU289" s="1" t="b">
        <f>SkSurvivalRanks&gt;=5</f>
        <v>0</v>
      </c>
      <c r="DV289" s="1" t="b">
        <f>FtFarShot</f>
        <v>0</v>
      </c>
      <c r="DW289" s="1" t="b">
        <f>FtMountainWarrior</f>
        <v>0</v>
      </c>
      <c r="EA289" s="1" t="b">
        <f t="shared" si="273"/>
        <v>0</v>
      </c>
      <c r="EB289" s="11" t="s">
        <v>334</v>
      </c>
      <c r="EC289" s="1" t="str">
        <f>IF(DR289,"","• BAB +6.
")&amp;IF(DS289,"","• Climb 10 Ranks.
")&amp;IF(DT289,"","• Spot 5 Ranks.
")&amp;IF(DU289,"","• Survival 5 Ranks.
")&amp;IF(DV289,"","• Far Shot.
")&amp;IF(DW289,"","• Mountain Warrior.")</f>
        <v>• BAB +6.
• Climb 10 Ranks.
• Spot 5 Ranks.
• Survival 5 Ranks.
• Far Shot.
• Mountain Warrior.</v>
      </c>
      <c r="ED289" s="11" t="s">
        <v>335</v>
      </c>
      <c r="EE289" s="14"/>
      <c r="EF289" s="15"/>
      <c r="EG289" s="15"/>
      <c r="EH289" s="15"/>
      <c r="EI289" s="15"/>
      <c r="EJ289" s="15"/>
      <c r="EK289" s="15"/>
      <c r="EL289" s="15"/>
      <c r="EM289" s="15"/>
      <c r="EN289" s="15"/>
      <c r="EO289" s="15"/>
      <c r="EP289" s="15"/>
      <c r="EQ289" s="15"/>
      <c r="ER289" s="15"/>
      <c r="ES289" s="16"/>
    </row>
    <row r="290" spans="1:149" ht="11.25" customHeight="1" x14ac:dyDescent="0.2">
      <c r="A290" s="1">
        <f t="shared" si="247"/>
        <v>287</v>
      </c>
      <c r="B290" s="1" t="s">
        <v>803</v>
      </c>
      <c r="C290" s="1" t="s">
        <v>804</v>
      </c>
      <c r="D290" s="1" t="s">
        <v>804</v>
      </c>
      <c r="E290" s="1">
        <f t="shared" si="256"/>
        <v>0</v>
      </c>
      <c r="K290" s="1">
        <v>6</v>
      </c>
      <c r="L290" s="1">
        <v>8</v>
      </c>
      <c r="V290" s="1">
        <v>1</v>
      </c>
      <c r="W290" s="1">
        <v>0.34</v>
      </c>
      <c r="X290" s="1">
        <v>0.5</v>
      </c>
      <c r="Y290" s="1">
        <v>0.34</v>
      </c>
      <c r="Z290" s="1" t="b">
        <f>FALSE</f>
        <v>0</v>
      </c>
      <c r="AA290" s="1" t="str">
        <f t="shared" si="259"/>
        <v/>
      </c>
      <c r="AB290" s="1" t="str">
        <f t="shared" si="260"/>
        <v/>
      </c>
      <c r="AC290" s="1">
        <f t="shared" si="257"/>
        <v>0</v>
      </c>
      <c r="AD290" s="1" t="str">
        <f t="shared" si="261"/>
        <v/>
      </c>
      <c r="AE290" s="1" t="str">
        <f t="shared" si="262"/>
        <v/>
      </c>
      <c r="AF290" s="1">
        <f t="shared" si="258"/>
        <v>0</v>
      </c>
      <c r="AG290" s="1">
        <f t="shared" si="263"/>
        <v>5</v>
      </c>
      <c r="AH290" s="1" t="str">
        <f t="shared" si="250"/>
        <v/>
      </c>
      <c r="AI290" s="1">
        <v>1</v>
      </c>
      <c r="AJ290" s="1">
        <f t="shared" si="264"/>
        <v>0</v>
      </c>
      <c r="AK290" s="1">
        <v>2</v>
      </c>
      <c r="AL290" s="1">
        <v>1</v>
      </c>
      <c r="AM290" s="1">
        <v>2</v>
      </c>
      <c r="AN290" s="1">
        <f t="shared" si="265"/>
        <v>0</v>
      </c>
      <c r="AO290" s="1">
        <v>1</v>
      </c>
      <c r="AP290" s="1">
        <v>2</v>
      </c>
      <c r="AQ290" s="1">
        <v>2</v>
      </c>
      <c r="AR290" s="1">
        <v>2</v>
      </c>
      <c r="AS290" s="1">
        <v>2</v>
      </c>
      <c r="AT290" s="1">
        <v>2</v>
      </c>
      <c r="AU290" s="1">
        <v>2</v>
      </c>
      <c r="AV290" s="1">
        <v>2</v>
      </c>
      <c r="AW290" s="1">
        <v>1</v>
      </c>
      <c r="AX290" s="1">
        <v>1</v>
      </c>
      <c r="AY290" s="1">
        <v>1</v>
      </c>
      <c r="AZ290" s="1">
        <v>1</v>
      </c>
      <c r="BA290" s="1">
        <v>1</v>
      </c>
      <c r="BB290" s="1">
        <v>1</v>
      </c>
      <c r="BC290" s="1">
        <v>1</v>
      </c>
      <c r="BD290" s="1">
        <v>1</v>
      </c>
      <c r="BE290" s="1">
        <v>1</v>
      </c>
      <c r="BF290" s="1">
        <v>2</v>
      </c>
      <c r="BG290" s="1">
        <f t="shared" si="266"/>
        <v>0</v>
      </c>
      <c r="BH290" s="1">
        <f t="shared" si="267"/>
        <v>0</v>
      </c>
      <c r="BI290" s="1">
        <v>1</v>
      </c>
      <c r="BJ290" s="1">
        <v>2</v>
      </c>
      <c r="BK290" s="1">
        <v>1</v>
      </c>
      <c r="BL290" s="1">
        <v>1</v>
      </c>
      <c r="BM290" s="1">
        <v>1</v>
      </c>
      <c r="BN290" s="1">
        <v>1</v>
      </c>
      <c r="BO290" s="1">
        <v>1</v>
      </c>
      <c r="BP290" s="1">
        <v>1</v>
      </c>
      <c r="BQ290" s="1">
        <f>IF(HRRVL,1,0)</f>
        <v>0</v>
      </c>
      <c r="BR290" s="1">
        <v>1</v>
      </c>
      <c r="BS290" s="1">
        <v>1</v>
      </c>
      <c r="BT290" s="1">
        <f t="shared" si="268"/>
        <v>0</v>
      </c>
      <c r="BU290" s="1">
        <f>IF(HRRVL,1,0)</f>
        <v>0</v>
      </c>
      <c r="BV290" s="1">
        <v>1</v>
      </c>
      <c r="BW290" s="1">
        <v>1</v>
      </c>
      <c r="BX290" s="1">
        <v>1</v>
      </c>
      <c r="BY290" s="1">
        <v>1</v>
      </c>
      <c r="BZ290" s="1">
        <v>1</v>
      </c>
      <c r="CA290" s="1">
        <v>1</v>
      </c>
      <c r="CB290" s="1">
        <v>1</v>
      </c>
      <c r="CC290" s="1">
        <v>1</v>
      </c>
      <c r="CD290" s="1">
        <v>1</v>
      </c>
      <c r="CE290" s="1">
        <v>1</v>
      </c>
      <c r="CF290" s="1">
        <v>2</v>
      </c>
      <c r="CG290" s="1">
        <f t="shared" si="269"/>
        <v>0</v>
      </c>
      <c r="CH290" s="1">
        <v>2</v>
      </c>
      <c r="CI290" s="1">
        <v>1</v>
      </c>
      <c r="CJ290" s="1">
        <v>2</v>
      </c>
      <c r="CK290" s="1">
        <v>2</v>
      </c>
      <c r="CL290" s="1">
        <v>2</v>
      </c>
      <c r="CM290" s="1">
        <v>2</v>
      </c>
      <c r="CN290" s="1">
        <v>2</v>
      </c>
      <c r="CO290" s="1">
        <v>2</v>
      </c>
      <c r="CP290" s="1">
        <v>1</v>
      </c>
      <c r="CQ290" s="1">
        <v>1</v>
      </c>
      <c r="CR290" s="1">
        <v>1</v>
      </c>
      <c r="CS290" s="1">
        <v>1</v>
      </c>
      <c r="CT290" s="1">
        <v>1</v>
      </c>
      <c r="CU290" s="1">
        <v>1</v>
      </c>
      <c r="CV290" s="1">
        <f t="shared" si="270"/>
        <v>0</v>
      </c>
      <c r="CW290" s="1">
        <v>1</v>
      </c>
      <c r="CX290" s="1">
        <v>1</v>
      </c>
      <c r="CY290" s="1">
        <v>2</v>
      </c>
      <c r="CZ290" s="1">
        <f t="shared" si="271"/>
        <v>0</v>
      </c>
      <c r="DA290" s="1">
        <v>1</v>
      </c>
      <c r="DB290" s="1">
        <v>1</v>
      </c>
      <c r="DC290" s="1">
        <v>1</v>
      </c>
      <c r="DD290" s="1">
        <v>2</v>
      </c>
      <c r="DE290" s="1">
        <v>2</v>
      </c>
      <c r="DF290" s="1">
        <v>1</v>
      </c>
      <c r="DG290" s="1">
        <v>1</v>
      </c>
      <c r="DH290" s="1">
        <v>1</v>
      </c>
      <c r="DI290" s="1">
        <f t="shared" si="272"/>
        <v>0</v>
      </c>
      <c r="DJ290" s="1">
        <v>1</v>
      </c>
      <c r="DK290" s="1" t="s">
        <v>798</v>
      </c>
      <c r="DL290" s="1" t="s">
        <v>150</v>
      </c>
      <c r="DR290" s="1" t="b">
        <f>RaceCi="Goliath"</f>
        <v>0</v>
      </c>
      <c r="DS290" s="1" t="b">
        <f>IF(NOT(ISNA(MATCH("Sing",TblPerformSkills,0))),INDEX(TblPerformRanks,MATCH("Sing",TblPerformSkills,0),1)&gt;=8,FALSE)</f>
        <v>0</v>
      </c>
      <c r="DT290" s="1" t="b">
        <f>SkSpotRanks&gt;=4</f>
        <v>0</v>
      </c>
      <c r="DU290" s="1" t="b">
        <f>SkListenRanks&gt;=4</f>
        <v>0</v>
      </c>
      <c r="DV290" s="1" t="b">
        <f>(BrdLvl+ToSLvl)&gt;=1</f>
        <v>0</v>
      </c>
      <c r="EA290" s="1" t="b">
        <f t="shared" si="273"/>
        <v>0</v>
      </c>
      <c r="EB290" s="11" t="s">
        <v>334</v>
      </c>
      <c r="EC290" s="1" t="str">
        <f>IF(DR290,"","• Race: Goliath.
")&amp;IF(DS290,"","• Perform (sing) 8 Ranks.
")&amp;IF(DT290,"","• Spot 4 Ranks.
")&amp;IF(DU290,"","• Listen 4 Ranks.
")&amp;IF(DV290,"","• Bardic Music.")</f>
        <v>• Race: Goliath.
• Perform (sing) 8 Ranks.
• Spot 4 Ranks.
• Listen 4 Ranks.
• Bardic Music.</v>
      </c>
      <c r="ED290" s="11" t="s">
        <v>335</v>
      </c>
      <c r="EE290" s="14"/>
      <c r="EF290" s="15"/>
      <c r="EG290" s="15"/>
      <c r="EH290" s="15"/>
      <c r="EI290" s="15"/>
      <c r="EJ290" s="15"/>
      <c r="EK290" s="15"/>
      <c r="EL290" s="15"/>
      <c r="EM290" s="15"/>
      <c r="EN290" s="15"/>
      <c r="EO290" s="15"/>
      <c r="EP290" s="15"/>
      <c r="EQ290" s="15"/>
      <c r="ER290" s="15"/>
      <c r="ES290" s="16"/>
    </row>
    <row r="291" spans="1:149" ht="11.25" customHeight="1" x14ac:dyDescent="0.2">
      <c r="A291" s="1">
        <f t="shared" si="247"/>
        <v>288</v>
      </c>
      <c r="B291" s="1" t="s">
        <v>805</v>
      </c>
      <c r="C291" s="1" t="s">
        <v>806</v>
      </c>
      <c r="D291" s="1" t="s">
        <v>806</v>
      </c>
      <c r="E291" s="1">
        <f t="shared" si="256"/>
        <v>0</v>
      </c>
      <c r="K291" s="1">
        <v>6</v>
      </c>
      <c r="L291" s="1">
        <v>12</v>
      </c>
      <c r="N291" s="1" t="b">
        <v>1</v>
      </c>
      <c r="O291" s="1" t="b">
        <v>1</v>
      </c>
      <c r="P291" s="1" t="b">
        <v>1</v>
      </c>
      <c r="Q291" s="1" t="b">
        <v>1</v>
      </c>
      <c r="S291" s="1" t="b">
        <v>1</v>
      </c>
      <c r="T291" s="1" t="b">
        <v>1</v>
      </c>
      <c r="V291" s="1">
        <v>1</v>
      </c>
      <c r="W291" s="1">
        <v>0.5</v>
      </c>
      <c r="X291" s="1">
        <v>0.34</v>
      </c>
      <c r="Y291" s="1">
        <v>0.5</v>
      </c>
      <c r="Z291" s="1" t="b">
        <f>FALSE</f>
        <v>0</v>
      </c>
      <c r="AA291" s="1" t="str">
        <f t="shared" si="259"/>
        <v/>
      </c>
      <c r="AB291" s="1" t="str">
        <f t="shared" si="260"/>
        <v/>
      </c>
      <c r="AC291" s="1">
        <f t="shared" si="257"/>
        <v>0</v>
      </c>
      <c r="AD291" s="1" t="str">
        <f t="shared" si="261"/>
        <v/>
      </c>
      <c r="AE291" s="1" t="str">
        <f t="shared" si="262"/>
        <v/>
      </c>
      <c r="AF291" s="1">
        <f t="shared" si="258"/>
        <v>0</v>
      </c>
      <c r="AG291" s="1">
        <f t="shared" si="263"/>
        <v>5</v>
      </c>
      <c r="AH291" s="1" t="str">
        <f t="shared" si="250"/>
        <v/>
      </c>
      <c r="AI291" s="1">
        <v>1</v>
      </c>
      <c r="AJ291" s="1">
        <f t="shared" si="264"/>
        <v>0</v>
      </c>
      <c r="AK291" s="1">
        <v>2</v>
      </c>
      <c r="AL291" s="1">
        <v>1</v>
      </c>
      <c r="AM291" s="1">
        <v>2</v>
      </c>
      <c r="AN291" s="1">
        <f t="shared" si="265"/>
        <v>0</v>
      </c>
      <c r="AO291" s="1">
        <v>2</v>
      </c>
      <c r="AP291" s="1">
        <v>2</v>
      </c>
      <c r="AQ291" s="1">
        <v>2</v>
      </c>
      <c r="AR291" s="1">
        <v>2</v>
      </c>
      <c r="AS291" s="1">
        <v>2</v>
      </c>
      <c r="AT291" s="1">
        <v>2</v>
      </c>
      <c r="AU291" s="1">
        <v>2</v>
      </c>
      <c r="AV291" s="1">
        <v>2</v>
      </c>
      <c r="AW291" s="1">
        <v>2</v>
      </c>
      <c r="AX291" s="1">
        <v>1</v>
      </c>
      <c r="AY291" s="1">
        <v>1</v>
      </c>
      <c r="AZ291" s="1">
        <v>1</v>
      </c>
      <c r="BA291" s="1">
        <v>2</v>
      </c>
      <c r="BB291" s="1">
        <v>1</v>
      </c>
      <c r="BC291" s="1">
        <v>1</v>
      </c>
      <c r="BD291" s="1">
        <v>2</v>
      </c>
      <c r="BE291" s="1">
        <v>2</v>
      </c>
      <c r="BF291" s="1">
        <v>2</v>
      </c>
      <c r="BG291" s="1">
        <f t="shared" si="266"/>
        <v>0</v>
      </c>
      <c r="BH291" s="1">
        <f t="shared" si="267"/>
        <v>0</v>
      </c>
      <c r="BI291" s="1">
        <v>1</v>
      </c>
      <c r="BJ291" s="1">
        <v>2</v>
      </c>
      <c r="BK291" s="1">
        <v>1</v>
      </c>
      <c r="BL291" s="1">
        <v>1</v>
      </c>
      <c r="BM291" s="1">
        <v>2</v>
      </c>
      <c r="BN291" s="1">
        <v>2</v>
      </c>
      <c r="BO291" s="1">
        <v>1</v>
      </c>
      <c r="BP291" s="1">
        <v>1</v>
      </c>
      <c r="BQ291" s="1">
        <f>IF(HRRVL,1,0)</f>
        <v>0</v>
      </c>
      <c r="BR291" s="1">
        <v>1</v>
      </c>
      <c r="BS291" s="1">
        <v>1</v>
      </c>
      <c r="BT291" s="1">
        <f t="shared" si="268"/>
        <v>0</v>
      </c>
      <c r="BU291" s="1">
        <f>IF(HRRVL,1,0)</f>
        <v>0</v>
      </c>
      <c r="BV291" s="1">
        <v>1</v>
      </c>
      <c r="BW291" s="1">
        <v>1</v>
      </c>
      <c r="BX291" s="1">
        <v>1</v>
      </c>
      <c r="BY291" s="1">
        <v>1</v>
      </c>
      <c r="BZ291" s="1">
        <v>1</v>
      </c>
      <c r="CA291" s="1">
        <v>1</v>
      </c>
      <c r="CB291" s="1">
        <v>1</v>
      </c>
      <c r="CC291" s="1">
        <v>1</v>
      </c>
      <c r="CD291" s="1">
        <v>1</v>
      </c>
      <c r="CE291" s="1">
        <v>1</v>
      </c>
      <c r="CF291" s="1">
        <v>2</v>
      </c>
      <c r="CG291" s="1">
        <f t="shared" si="269"/>
        <v>0</v>
      </c>
      <c r="CH291" s="1">
        <v>2</v>
      </c>
      <c r="CI291" s="1">
        <v>1</v>
      </c>
      <c r="CJ291" s="1">
        <v>1</v>
      </c>
      <c r="CK291" s="1">
        <v>1</v>
      </c>
      <c r="CL291" s="1">
        <v>1</v>
      </c>
      <c r="CM291" s="1">
        <v>1</v>
      </c>
      <c r="CN291" s="1">
        <v>1</v>
      </c>
      <c r="CO291" s="1">
        <v>1</v>
      </c>
      <c r="CP291" s="1">
        <v>1</v>
      </c>
      <c r="CQ291" s="1">
        <v>1</v>
      </c>
      <c r="CR291" s="1">
        <v>1</v>
      </c>
      <c r="CS291" s="1">
        <v>1</v>
      </c>
      <c r="CT291" s="1">
        <v>1</v>
      </c>
      <c r="CU291" s="1">
        <v>1</v>
      </c>
      <c r="CV291" s="1">
        <f t="shared" si="270"/>
        <v>0</v>
      </c>
      <c r="CW291" s="1">
        <v>1</v>
      </c>
      <c r="CX291" s="1">
        <v>2</v>
      </c>
      <c r="CY291" s="1">
        <v>1</v>
      </c>
      <c r="CZ291" s="1">
        <f t="shared" si="271"/>
        <v>0</v>
      </c>
      <c r="DA291" s="1">
        <v>1</v>
      </c>
      <c r="DB291" s="1">
        <v>2</v>
      </c>
      <c r="DC291" s="1">
        <v>1</v>
      </c>
      <c r="DD291" s="1">
        <v>2</v>
      </c>
      <c r="DE291" s="1">
        <v>2</v>
      </c>
      <c r="DF291" s="1">
        <v>2</v>
      </c>
      <c r="DG291" s="1">
        <v>1</v>
      </c>
      <c r="DH291" s="1">
        <v>1</v>
      </c>
      <c r="DI291" s="1">
        <f t="shared" si="272"/>
        <v>0</v>
      </c>
      <c r="DJ291" s="1">
        <v>2</v>
      </c>
      <c r="DK291" s="1" t="s">
        <v>798</v>
      </c>
      <c r="DL291" s="1" t="s">
        <v>40</v>
      </c>
      <c r="DR291" s="1" t="b">
        <f>RaceCi="Dwarf"</f>
        <v>1</v>
      </c>
      <c r="DS291" s="1" t="b">
        <f>BaseAtk&gt;=5</f>
        <v>0</v>
      </c>
      <c r="DT291" s="1" t="b">
        <f>SkClimbRanks&gt;=5</f>
        <v>0</v>
      </c>
      <c r="DU291" s="1" t="b">
        <f>SkHealRanks&gt;=5</f>
        <v>0</v>
      </c>
      <c r="DV291" s="1" t="b">
        <f>SkJumpRanks&gt;=5</f>
        <v>0</v>
      </c>
      <c r="DW291" s="1" t="b">
        <f>SkKnowledgeDungeoneeringRanks&gt;=5</f>
        <v>0</v>
      </c>
      <c r="DX291" s="1" t="b">
        <f>SkSurvivalRanks&gt;=5</f>
        <v>0</v>
      </c>
      <c r="DY291" s="1" t="b">
        <f>OR(FtEndurance,FtKoboldEndurance)</f>
        <v>0</v>
      </c>
      <c r="EA291" s="1" t="b">
        <f t="shared" si="273"/>
        <v>0</v>
      </c>
      <c r="EB291" s="11" t="s">
        <v>334</v>
      </c>
      <c r="EC291" s="1" t="str">
        <f>IF(DR291,"","• Race: Dwarf.
")&amp;IF(DS291,"","• BAB +5
")&amp;IF(DT291,"","• Climb 5 Ranks.
")&amp;IF(DU291,"","• Heal 5 Ranks.
")&amp;IF(DV291,"","• Jump 5 Ranks.
")&amp;IF(DW291,"","• Knowledge (dungeoneering) 5 Ranks.
")&amp;IF(DX291,"","• Survival 5 Ranks.
")&amp;IF(DY291,"","• Endurance feat.")</f>
        <v>• BAB +5
• Climb 5 Ranks.
• Heal 5 Ranks.
• Jump 5 Ranks.
• Knowledge (dungeoneering) 5 Ranks.
• Survival 5 Ranks.
• Endurance feat.</v>
      </c>
      <c r="ED291" s="11" t="s">
        <v>335</v>
      </c>
      <c r="EE291" s="14"/>
      <c r="EF291" s="15"/>
      <c r="EG291" s="15"/>
      <c r="EH291" s="15"/>
      <c r="EI291" s="15"/>
      <c r="EJ291" s="15"/>
      <c r="EK291" s="15"/>
      <c r="EL291" s="15"/>
      <c r="EM291" s="15"/>
      <c r="EN291" s="15"/>
      <c r="EO291" s="15"/>
      <c r="EP291" s="15"/>
      <c r="EQ291" s="15"/>
      <c r="ER291" s="15"/>
      <c r="ES291" s="16"/>
    </row>
    <row r="292" spans="1:149" ht="11.25" customHeight="1" x14ac:dyDescent="0.2">
      <c r="A292" s="1">
        <f t="shared" si="247"/>
        <v>289</v>
      </c>
      <c r="B292" s="1" t="s">
        <v>807</v>
      </c>
      <c r="C292" s="1" t="s">
        <v>808</v>
      </c>
      <c r="D292" s="1" t="s">
        <v>808</v>
      </c>
      <c r="E292" s="1">
        <f t="shared" si="256"/>
        <v>0</v>
      </c>
      <c r="G292" s="1">
        <f>DvPLvl</f>
        <v>0</v>
      </c>
      <c r="K292" s="1">
        <v>6</v>
      </c>
      <c r="L292" s="1">
        <v>6</v>
      </c>
      <c r="V292" s="1">
        <v>0.5</v>
      </c>
      <c r="W292" s="1">
        <v>0.34</v>
      </c>
      <c r="X292" s="1">
        <v>0.5</v>
      </c>
      <c r="Y292" s="1">
        <v>0.5</v>
      </c>
      <c r="Z292" s="1" t="b">
        <f>FALSE</f>
        <v>0</v>
      </c>
      <c r="AA292" s="1" t="str">
        <f t="shared" si="259"/>
        <v/>
      </c>
      <c r="AB292" s="1" t="str">
        <f t="shared" si="260"/>
        <v/>
      </c>
      <c r="AC292" s="1">
        <f t="shared" si="257"/>
        <v>0</v>
      </c>
      <c r="AD292" s="1" t="str">
        <f t="shared" si="261"/>
        <v/>
      </c>
      <c r="AE292" s="1" t="str">
        <f t="shared" si="262"/>
        <v/>
      </c>
      <c r="AF292" s="1">
        <f t="shared" si="258"/>
        <v>0</v>
      </c>
      <c r="AG292" s="1">
        <f t="shared" si="263"/>
        <v>5</v>
      </c>
      <c r="AH292" s="1" t="str">
        <f t="shared" si="250"/>
        <v/>
      </c>
      <c r="AI292" s="1">
        <v>1</v>
      </c>
      <c r="AJ292" s="1">
        <f t="shared" si="264"/>
        <v>0</v>
      </c>
      <c r="AK292" s="1">
        <v>1</v>
      </c>
      <c r="AL292" s="1">
        <v>2</v>
      </c>
      <c r="AM292" s="1">
        <v>1</v>
      </c>
      <c r="AN292" s="1">
        <f t="shared" si="265"/>
        <v>0</v>
      </c>
      <c r="AO292" s="1">
        <v>2</v>
      </c>
      <c r="AP292" s="1">
        <v>1</v>
      </c>
      <c r="AQ292" s="1">
        <v>1</v>
      </c>
      <c r="AR292" s="1">
        <v>1</v>
      </c>
      <c r="AS292" s="1">
        <v>1</v>
      </c>
      <c r="AT292" s="1">
        <v>1</v>
      </c>
      <c r="AU292" s="1">
        <v>1</v>
      </c>
      <c r="AV292" s="1">
        <v>1</v>
      </c>
      <c r="AW292" s="1">
        <v>1</v>
      </c>
      <c r="AX292" s="1">
        <v>2</v>
      </c>
      <c r="AY292" s="1">
        <v>1</v>
      </c>
      <c r="AZ292" s="1">
        <v>1</v>
      </c>
      <c r="BA292" s="1">
        <v>2</v>
      </c>
      <c r="BB292" s="1">
        <v>2</v>
      </c>
      <c r="BC292" s="1">
        <v>2</v>
      </c>
      <c r="BD292" s="1">
        <v>1</v>
      </c>
      <c r="BE292" s="1">
        <v>2</v>
      </c>
      <c r="BF292" s="1">
        <v>2</v>
      </c>
      <c r="BG292" s="1">
        <f t="shared" si="266"/>
        <v>0</v>
      </c>
      <c r="BH292" s="1">
        <f t="shared" si="267"/>
        <v>0</v>
      </c>
      <c r="BI292" s="1">
        <v>1</v>
      </c>
      <c r="BJ292" s="1">
        <v>1</v>
      </c>
      <c r="BK292" s="1">
        <v>1</v>
      </c>
      <c r="BL292" s="1">
        <v>1</v>
      </c>
      <c r="BM292" s="1">
        <v>1</v>
      </c>
      <c r="BN292" s="1">
        <v>1</v>
      </c>
      <c r="BO292" s="1">
        <v>1</v>
      </c>
      <c r="BP292" s="1">
        <v>1</v>
      </c>
      <c r="BQ292" s="1">
        <f>IF(HRRVL,1,0)</f>
        <v>0</v>
      </c>
      <c r="BR292" s="1">
        <v>1</v>
      </c>
      <c r="BS292" s="1">
        <v>1</v>
      </c>
      <c r="BT292" s="1">
        <f t="shared" si="268"/>
        <v>0</v>
      </c>
      <c r="BU292" s="1">
        <f>IF(HRRVL,2,0)</f>
        <v>0</v>
      </c>
      <c r="BV292" s="1">
        <v>2</v>
      </c>
      <c r="BW292" s="1">
        <v>1</v>
      </c>
      <c r="BX292" s="1">
        <v>1</v>
      </c>
      <c r="BY292" s="1">
        <v>1</v>
      </c>
      <c r="BZ292" s="1">
        <v>1</v>
      </c>
      <c r="CA292" s="1">
        <v>1</v>
      </c>
      <c r="CB292" s="1">
        <v>1</v>
      </c>
      <c r="CC292" s="1">
        <v>1</v>
      </c>
      <c r="CD292" s="1">
        <v>1</v>
      </c>
      <c r="CE292" s="1">
        <v>1</v>
      </c>
      <c r="CF292" s="1">
        <v>2</v>
      </c>
      <c r="CG292" s="1">
        <f t="shared" si="269"/>
        <v>0</v>
      </c>
      <c r="CH292" s="1">
        <v>1</v>
      </c>
      <c r="CI292" s="1">
        <v>1</v>
      </c>
      <c r="CJ292" s="1">
        <v>2</v>
      </c>
      <c r="CK292" s="1">
        <v>2</v>
      </c>
      <c r="CL292" s="1">
        <v>2</v>
      </c>
      <c r="CM292" s="1">
        <v>2</v>
      </c>
      <c r="CN292" s="1">
        <v>2</v>
      </c>
      <c r="CO292" s="1">
        <v>2</v>
      </c>
      <c r="CP292" s="1">
        <v>1</v>
      </c>
      <c r="CQ292" s="1">
        <v>1</v>
      </c>
      <c r="CR292" s="1">
        <v>1</v>
      </c>
      <c r="CS292" s="1">
        <v>1</v>
      </c>
      <c r="CT292" s="1">
        <v>1</v>
      </c>
      <c r="CU292" s="1">
        <v>1</v>
      </c>
      <c r="CV292" s="1">
        <f t="shared" si="270"/>
        <v>0</v>
      </c>
      <c r="CW292" s="1">
        <v>1</v>
      </c>
      <c r="CX292" s="1">
        <v>2</v>
      </c>
      <c r="CY292" s="1">
        <v>2</v>
      </c>
      <c r="CZ292" s="1">
        <f t="shared" si="271"/>
        <v>0</v>
      </c>
      <c r="DA292" s="1">
        <v>2</v>
      </c>
      <c r="DB292" s="1">
        <v>1</v>
      </c>
      <c r="DC292" s="1">
        <v>1</v>
      </c>
      <c r="DD292" s="1">
        <v>2</v>
      </c>
      <c r="DE292" s="1">
        <v>1</v>
      </c>
      <c r="DF292" s="1">
        <v>1</v>
      </c>
      <c r="DG292" s="1">
        <v>1</v>
      </c>
      <c r="DH292" s="1">
        <v>1</v>
      </c>
      <c r="DI292" s="1">
        <f t="shared" si="272"/>
        <v>0</v>
      </c>
      <c r="DJ292" s="1">
        <v>1</v>
      </c>
      <c r="DK292" s="1" t="s">
        <v>798</v>
      </c>
      <c r="DL292" s="1" t="s">
        <v>40</v>
      </c>
      <c r="DR292" s="1" t="b">
        <f>IF(HRLivingGreyhawk,OR(RaceCi="Gnome", RaceCi = "Human", RaceCi="Elf", RaceCi="Halfling"),RaceCi="Gnome")</f>
        <v>0</v>
      </c>
      <c r="DS292" s="1" t="b">
        <f>SkBluffRanks&gt;=8</f>
        <v>0</v>
      </c>
      <c r="DT292" s="1" t="b">
        <f>IF(NOT(ISNA(MATCH("Comedy",TblPerformSkills,0))),INDEX(TblPerformRanks,MATCH("Comedy",TblPerformSkills,0),1)&gt;=8,FALSE)</f>
        <v>0</v>
      </c>
      <c r="DU292" s="1" t="b">
        <f>SkSleightOfHandRanks&gt;=8</f>
        <v>0</v>
      </c>
      <c r="DV292" s="1" t="b">
        <f ca="1">MaxDivineSpellLevel&gt;=2</f>
        <v>0</v>
      </c>
      <c r="DW292" s="1" t="b">
        <f>IF(HRLivingGreyhawk,OR(AND(OR(RaceCi="Human",RaceCi="Gnome"),OR(Deity="Olidammara",Deity="Zagyg")),AND(RaceCi="Elf",Deity="Erevan Ilesere"),AND(RaceCi="Gnome",OR(Deity="Garl Glittergold",Deity="Baravar Cloakshadow")),AND(RaceCi="Halfling",Deity="Brandobaris")),Deity="Garl Glittergold")</f>
        <v>0</v>
      </c>
      <c r="EA292" s="1" t="b">
        <f ca="1">AND(DM292:DZ292)</f>
        <v>0</v>
      </c>
      <c r="EB292" s="11" t="s">
        <v>334</v>
      </c>
      <c r="EC292" s="1" t="str">
        <f ca="1">IF(DR292,"","• Race: "&amp;IF(HRLivingGreyhawk,"Elf, Gnome, Halfling, or Human","Gnome")&amp;"
")&amp;IF(DS292,"","• Bluff 8 ranks
")&amp;IF(DT292,"","• Perform (comedy) 8 ranks
")&amp;IF(DU292,"","• Sleight of Hand 8 ranks
")&amp;IF(DV292,"","• Able to cast 2nd-level divine spells
")&amp;IF(DW292,"","• Worshipper of "&amp;IF(HRLivingGreyhawk,IF(RaceCi="Human","Olidammara or Zagyg",IF(RaceCi="Elf","Erevan Ilesere",IF(RaceCi="Gnome","Baravar Cloakshadow, Garl Glittergold, Olidammara,
   or Zagyg",IF(RaceCi="Halfling","Brandobaris","Select a valid race first")) )),"Garl Glittergold"))</f>
        <v>• Race: Gnome
• Bluff 8 ranks
• Perform (comedy) 8 ranks
• Sleight of Hand 8 ranks
• Able to cast 2nd-level divine spells
• Worshipper of Garl Glittergold</v>
      </c>
      <c r="ED292" s="11" t="s">
        <v>335</v>
      </c>
      <c r="EE292" s="14"/>
      <c r="EF292" s="15"/>
      <c r="EG292" s="15"/>
      <c r="EH292" s="15"/>
      <c r="EI292" s="15"/>
      <c r="EJ292" s="15"/>
      <c r="EK292" s="15"/>
      <c r="EL292" s="15"/>
      <c r="EM292" s="15"/>
      <c r="EN292" s="15"/>
      <c r="EO292" s="15"/>
      <c r="EP292" s="15"/>
      <c r="EQ292" s="15"/>
      <c r="ER292" s="15"/>
      <c r="ES292" s="16"/>
    </row>
    <row r="293" spans="1:149" ht="11.25" customHeight="1" thickBot="1" x14ac:dyDescent="0.25">
      <c r="A293" s="1">
        <f t="shared" si="247"/>
        <v>290</v>
      </c>
      <c r="B293" s="1" t="s">
        <v>809</v>
      </c>
      <c r="C293" s="1" t="s">
        <v>810</v>
      </c>
      <c r="D293" s="1" t="s">
        <v>810</v>
      </c>
      <c r="E293" s="1">
        <f t="shared" si="256"/>
        <v>0</v>
      </c>
      <c r="G293" s="1">
        <f>ErDLvl</f>
        <v>0</v>
      </c>
      <c r="K293" s="1">
        <v>2</v>
      </c>
      <c r="L293" s="1">
        <v>4</v>
      </c>
      <c r="V293" s="1">
        <v>0.5</v>
      </c>
      <c r="W293" s="1">
        <v>0.5</v>
      </c>
      <c r="X293" s="1">
        <v>0.34</v>
      </c>
      <c r="Y293" s="1">
        <v>0.5</v>
      </c>
      <c r="Z293" s="1" t="b">
        <f>FALSE</f>
        <v>0</v>
      </c>
      <c r="AA293" s="1" t="str">
        <f t="shared" si="259"/>
        <v/>
      </c>
      <c r="AB293" s="1" t="str">
        <f t="shared" si="260"/>
        <v/>
      </c>
      <c r="AC293" s="1">
        <f t="shared" si="257"/>
        <v>0</v>
      </c>
      <c r="AD293" s="1" t="str">
        <f t="shared" si="261"/>
        <v/>
      </c>
      <c r="AE293" s="1" t="str">
        <f t="shared" si="262"/>
        <v/>
      </c>
      <c r="AF293" s="1">
        <f t="shared" si="258"/>
        <v>0</v>
      </c>
      <c r="AG293" s="1">
        <f t="shared" si="263"/>
        <v>5</v>
      </c>
      <c r="AH293" s="1" t="str">
        <f t="shared" si="250"/>
        <v/>
      </c>
      <c r="AI293" s="1">
        <v>1</v>
      </c>
      <c r="AJ293" s="1">
        <f t="shared" si="264"/>
        <v>0</v>
      </c>
      <c r="AK293" s="1">
        <v>1</v>
      </c>
      <c r="AL293" s="1">
        <v>1</v>
      </c>
      <c r="AM293" s="1">
        <v>1</v>
      </c>
      <c r="AN293" s="1">
        <f t="shared" si="265"/>
        <v>0</v>
      </c>
      <c r="AO293" s="1">
        <v>2</v>
      </c>
      <c r="AP293" s="1">
        <v>2</v>
      </c>
      <c r="AQ293" s="1">
        <v>2</v>
      </c>
      <c r="AR293" s="1">
        <v>2</v>
      </c>
      <c r="AS293" s="1">
        <v>2</v>
      </c>
      <c r="AT293" s="1">
        <v>2</v>
      </c>
      <c r="AU293" s="1">
        <v>2</v>
      </c>
      <c r="AV293" s="1">
        <v>2</v>
      </c>
      <c r="AW293" s="1">
        <v>1</v>
      </c>
      <c r="AX293" s="1">
        <v>1</v>
      </c>
      <c r="AY293" s="1">
        <v>1</v>
      </c>
      <c r="AZ293" s="1">
        <v>1</v>
      </c>
      <c r="BA293" s="1">
        <v>1</v>
      </c>
      <c r="BB293" s="1">
        <v>1</v>
      </c>
      <c r="BC293" s="1">
        <v>1</v>
      </c>
      <c r="BD293" s="1">
        <v>1</v>
      </c>
      <c r="BE293" s="1">
        <v>2</v>
      </c>
      <c r="BF293" s="1">
        <v>1</v>
      </c>
      <c r="BG293" s="1">
        <f t="shared" si="266"/>
        <v>0</v>
      </c>
      <c r="BH293" s="1">
        <f t="shared" si="267"/>
        <v>0</v>
      </c>
      <c r="BI293" s="1">
        <v>1</v>
      </c>
      <c r="BJ293" s="1">
        <v>1</v>
      </c>
      <c r="BK293" s="1">
        <v>1</v>
      </c>
      <c r="BL293" s="1">
        <v>1</v>
      </c>
      <c r="BM293" s="1">
        <v>2</v>
      </c>
      <c r="BN293" s="1">
        <v>1</v>
      </c>
      <c r="BO293" s="1">
        <v>1</v>
      </c>
      <c r="BP293" s="1">
        <v>1</v>
      </c>
      <c r="BQ293" s="1">
        <f>IF(HRRVL,2,0)</f>
        <v>0</v>
      </c>
      <c r="BR293" s="1">
        <v>2</v>
      </c>
      <c r="BS293" s="1">
        <v>1</v>
      </c>
      <c r="BT293" s="1">
        <f t="shared" si="268"/>
        <v>0</v>
      </c>
      <c r="BU293" s="1">
        <f t="shared" ref="BU293:BU300" si="274">IF(HRRVL,1,0)</f>
        <v>0</v>
      </c>
      <c r="BV293" s="1">
        <v>1</v>
      </c>
      <c r="BW293" s="1">
        <v>1</v>
      </c>
      <c r="BX293" s="1">
        <v>1</v>
      </c>
      <c r="BY293" s="1">
        <v>1</v>
      </c>
      <c r="BZ293" s="1">
        <v>1</v>
      </c>
      <c r="CA293" s="1">
        <v>1</v>
      </c>
      <c r="CB293" s="1">
        <v>1</v>
      </c>
      <c r="CC293" s="1">
        <v>1</v>
      </c>
      <c r="CD293" s="1">
        <v>1</v>
      </c>
      <c r="CE293" s="1">
        <v>1</v>
      </c>
      <c r="CF293" s="1">
        <v>2</v>
      </c>
      <c r="CG293" s="1">
        <f t="shared" si="269"/>
        <v>0</v>
      </c>
      <c r="CH293" s="1">
        <v>1</v>
      </c>
      <c r="CI293" s="1">
        <v>1</v>
      </c>
      <c r="CJ293" s="1">
        <v>1</v>
      </c>
      <c r="CK293" s="1">
        <v>1</v>
      </c>
      <c r="CL293" s="1">
        <v>1</v>
      </c>
      <c r="CM293" s="1">
        <v>1</v>
      </c>
      <c r="CN293" s="1">
        <v>1</v>
      </c>
      <c r="CO293" s="1">
        <v>1</v>
      </c>
      <c r="CP293" s="1">
        <v>1</v>
      </c>
      <c r="CQ293" s="1">
        <v>1</v>
      </c>
      <c r="CR293" s="1">
        <v>1</v>
      </c>
      <c r="CS293" s="1">
        <v>1</v>
      </c>
      <c r="CT293" s="1">
        <v>1</v>
      </c>
      <c r="CU293" s="1">
        <v>1</v>
      </c>
      <c r="CV293" s="1">
        <f t="shared" si="270"/>
        <v>0</v>
      </c>
      <c r="CW293" s="1">
        <v>1</v>
      </c>
      <c r="CX293" s="1">
        <v>1</v>
      </c>
      <c r="CY293" s="1">
        <v>1</v>
      </c>
      <c r="CZ293" s="1">
        <f t="shared" si="271"/>
        <v>0</v>
      </c>
      <c r="DA293" s="1">
        <v>1</v>
      </c>
      <c r="DB293" s="1">
        <v>1</v>
      </c>
      <c r="DC293" s="1">
        <v>2</v>
      </c>
      <c r="DD293" s="1">
        <v>1</v>
      </c>
      <c r="DE293" s="1">
        <v>1</v>
      </c>
      <c r="DF293" s="1">
        <v>1</v>
      </c>
      <c r="DG293" s="1">
        <v>1</v>
      </c>
      <c r="DH293" s="1">
        <v>1</v>
      </c>
      <c r="DI293" s="1">
        <f t="shared" si="272"/>
        <v>0</v>
      </c>
      <c r="DJ293" s="1">
        <v>1</v>
      </c>
      <c r="DK293" s="1" t="s">
        <v>798</v>
      </c>
      <c r="DL293" s="1" t="s">
        <v>40</v>
      </c>
      <c r="DR293" s="1" t="b">
        <f>SkKnowledgeNatureRanks&gt;=5</f>
        <v>0</v>
      </c>
      <c r="DS293" s="1" t="b">
        <f>SkSpellcraftRanks&gt;=10</f>
        <v>0</v>
      </c>
      <c r="DT293" s="1" t="b">
        <f>FtEarthSense</f>
        <v>0</v>
      </c>
      <c r="DU293" s="1" t="b">
        <f ca="1">MaxSpellLevel&gt;=1</f>
        <v>0</v>
      </c>
      <c r="EA293" s="1" t="b">
        <f ca="1">AND(DM293:DZ293)</f>
        <v>0</v>
      </c>
      <c r="EB293" s="11" t="s">
        <v>334</v>
      </c>
      <c r="EC293" s="1" t="str">
        <f ca="1">IF(DR293,"","• Knowledge(nature) 5 ranks
")&amp;IF(DS293,"","• Spellcraft 10 ranks
")&amp;IF(DT293,"","• Earth Sense feat
")&amp;IF(DU293,"","• Able to cast 1st-level spells")</f>
        <v>• Knowledge(nature) 5 ranks
• Spellcraft 10 ranks
• Earth Sense feat
• Able to cast 1st-level spells</v>
      </c>
      <c r="ED293" s="11" t="s">
        <v>335</v>
      </c>
      <c r="EE293" s="17"/>
      <c r="EF293" s="18"/>
      <c r="EG293" s="18"/>
      <c r="EH293" s="18"/>
      <c r="EI293" s="18"/>
      <c r="EJ293" s="18"/>
      <c r="EK293" s="18"/>
      <c r="EL293" s="18"/>
      <c r="EM293" s="18"/>
      <c r="EN293" s="18"/>
      <c r="EO293" s="18"/>
      <c r="EP293" s="18"/>
      <c r="EQ293" s="18"/>
      <c r="ER293" s="18"/>
      <c r="ES293" s="19"/>
    </row>
    <row r="294" spans="1:149" ht="11.25" customHeight="1" x14ac:dyDescent="0.2">
      <c r="A294" s="1">
        <f t="shared" si="247"/>
        <v>291</v>
      </c>
      <c r="B294" s="1" t="s">
        <v>811</v>
      </c>
      <c r="C294" s="1" t="s">
        <v>812</v>
      </c>
      <c r="D294" s="1" t="s">
        <v>812</v>
      </c>
      <c r="E294" s="1">
        <f t="shared" si="256"/>
        <v>0</v>
      </c>
      <c r="K294" s="1">
        <v>4</v>
      </c>
      <c r="L294" s="1">
        <v>10</v>
      </c>
      <c r="N294" s="1" t="b">
        <v>1</v>
      </c>
      <c r="O294" s="1" t="b">
        <v>1</v>
      </c>
      <c r="T294" s="1" t="b">
        <v>1</v>
      </c>
      <c r="V294" s="1">
        <v>1</v>
      </c>
      <c r="W294" s="1">
        <v>0.5</v>
      </c>
      <c r="X294" s="1">
        <v>0.34</v>
      </c>
      <c r="Y294" s="1">
        <v>0.34</v>
      </c>
      <c r="Z294" s="1" t="b">
        <f>FALSE</f>
        <v>0</v>
      </c>
      <c r="AA294" s="1" t="str">
        <f t="shared" si="259"/>
        <v/>
      </c>
      <c r="AB294" s="1" t="str">
        <f t="shared" si="260"/>
        <v/>
      </c>
      <c r="AC294" s="1">
        <f t="shared" si="257"/>
        <v>0</v>
      </c>
      <c r="AD294" s="1" t="str">
        <f t="shared" si="261"/>
        <v/>
      </c>
      <c r="AE294" s="1" t="str">
        <f t="shared" si="262"/>
        <v/>
      </c>
      <c r="AF294" s="1">
        <f t="shared" si="258"/>
        <v>0</v>
      </c>
      <c r="AG294" s="1">
        <f t="shared" si="263"/>
        <v>5</v>
      </c>
      <c r="AH294" s="1" t="str">
        <f t="shared" si="250"/>
        <v/>
      </c>
      <c r="AI294" s="1">
        <v>1</v>
      </c>
      <c r="AJ294" s="1">
        <f t="shared" si="264"/>
        <v>0</v>
      </c>
      <c r="AK294" s="1">
        <v>1</v>
      </c>
      <c r="AL294" s="1">
        <v>1</v>
      </c>
      <c r="AM294" s="1">
        <v>2</v>
      </c>
      <c r="AN294" s="1">
        <f t="shared" si="265"/>
        <v>0</v>
      </c>
      <c r="AO294" s="1">
        <v>1</v>
      </c>
      <c r="AP294" s="1">
        <v>2</v>
      </c>
      <c r="AQ294" s="1">
        <v>2</v>
      </c>
      <c r="AR294" s="1">
        <v>2</v>
      </c>
      <c r="AS294" s="1">
        <v>2</v>
      </c>
      <c r="AT294" s="1">
        <v>2</v>
      </c>
      <c r="AU294" s="1">
        <v>2</v>
      </c>
      <c r="AV294" s="1">
        <v>1</v>
      </c>
      <c r="AW294" s="1">
        <v>1</v>
      </c>
      <c r="AX294" s="1">
        <v>1</v>
      </c>
      <c r="AY294" s="1">
        <v>1</v>
      </c>
      <c r="AZ294" s="1">
        <v>1</v>
      </c>
      <c r="BA294" s="1">
        <v>1</v>
      </c>
      <c r="BB294" s="1">
        <v>1</v>
      </c>
      <c r="BC294" s="1">
        <v>1</v>
      </c>
      <c r="BD294" s="1">
        <v>1</v>
      </c>
      <c r="BE294" s="1">
        <v>2</v>
      </c>
      <c r="BF294" s="1">
        <v>2</v>
      </c>
      <c r="BG294" s="1">
        <f t="shared" si="266"/>
        <v>0</v>
      </c>
      <c r="BH294" s="1">
        <f t="shared" si="267"/>
        <v>0</v>
      </c>
      <c r="BI294" s="1">
        <v>1</v>
      </c>
      <c r="BJ294" s="1">
        <v>2</v>
      </c>
      <c r="BK294" s="1">
        <v>1</v>
      </c>
      <c r="BL294" s="1">
        <v>1</v>
      </c>
      <c r="BM294" s="1">
        <v>1</v>
      </c>
      <c r="BN294" s="1">
        <v>1</v>
      </c>
      <c r="BO294" s="1">
        <v>1</v>
      </c>
      <c r="BP294" s="1">
        <v>1</v>
      </c>
      <c r="BQ294" s="1">
        <f>IF(HRRVL,1,0)</f>
        <v>0</v>
      </c>
      <c r="BR294" s="1">
        <v>1</v>
      </c>
      <c r="BS294" s="1">
        <v>1</v>
      </c>
      <c r="BT294" s="1">
        <f t="shared" si="268"/>
        <v>0</v>
      </c>
      <c r="BU294" s="1">
        <f t="shared" si="274"/>
        <v>0</v>
      </c>
      <c r="BV294" s="1">
        <v>1</v>
      </c>
      <c r="BW294" s="1">
        <v>1</v>
      </c>
      <c r="BX294" s="1">
        <v>1</v>
      </c>
      <c r="BY294" s="1">
        <v>1</v>
      </c>
      <c r="BZ294" s="1">
        <v>1</v>
      </c>
      <c r="CA294" s="1">
        <v>1</v>
      </c>
      <c r="CB294" s="1">
        <v>1</v>
      </c>
      <c r="CC294" s="1">
        <v>1</v>
      </c>
      <c r="CD294" s="1">
        <v>1</v>
      </c>
      <c r="CE294" s="1">
        <v>1</v>
      </c>
      <c r="CF294" s="1">
        <v>2</v>
      </c>
      <c r="CG294" s="1">
        <f t="shared" si="269"/>
        <v>0</v>
      </c>
      <c r="CH294" s="1">
        <v>2</v>
      </c>
      <c r="CI294" s="1">
        <v>1</v>
      </c>
      <c r="CJ294" s="1">
        <v>1</v>
      </c>
      <c r="CK294" s="1">
        <v>1</v>
      </c>
      <c r="CL294" s="1">
        <v>1</v>
      </c>
      <c r="CM294" s="1">
        <v>1</v>
      </c>
      <c r="CN294" s="1">
        <v>1</v>
      </c>
      <c r="CO294" s="1">
        <v>1</v>
      </c>
      <c r="CP294" s="1">
        <v>1</v>
      </c>
      <c r="CQ294" s="1">
        <v>1</v>
      </c>
      <c r="CR294" s="1">
        <v>1</v>
      </c>
      <c r="CS294" s="1">
        <v>1</v>
      </c>
      <c r="CT294" s="1">
        <v>1</v>
      </c>
      <c r="CU294" s="1">
        <v>1</v>
      </c>
      <c r="CV294" s="1">
        <f t="shared" si="270"/>
        <v>0</v>
      </c>
      <c r="CW294" s="1">
        <v>1</v>
      </c>
      <c r="CX294" s="1">
        <v>2</v>
      </c>
      <c r="CY294" s="1">
        <v>1</v>
      </c>
      <c r="CZ294" s="1">
        <f t="shared" si="271"/>
        <v>0</v>
      </c>
      <c r="DA294" s="1">
        <v>1</v>
      </c>
      <c r="DB294" s="1">
        <v>1</v>
      </c>
      <c r="DC294" s="1">
        <v>1</v>
      </c>
      <c r="DD294" s="1">
        <v>2</v>
      </c>
      <c r="DE294" s="1">
        <v>2</v>
      </c>
      <c r="DF294" s="1">
        <v>1</v>
      </c>
      <c r="DG294" s="1">
        <v>1</v>
      </c>
      <c r="DH294" s="1">
        <v>1</v>
      </c>
      <c r="DI294" s="1">
        <f t="shared" si="272"/>
        <v>0</v>
      </c>
      <c r="DJ294" s="1">
        <v>2</v>
      </c>
      <c r="DK294" s="1" t="s">
        <v>798</v>
      </c>
      <c r="DL294" s="1" t="s">
        <v>150</v>
      </c>
      <c r="DR294" s="1" t="b">
        <f>RaceCi="Goliath"</f>
        <v>0</v>
      </c>
      <c r="DS294" s="1" t="b">
        <f>BaseAtk&gt;=7</f>
        <v>0</v>
      </c>
      <c r="DT294" s="1" t="b">
        <f>SkHideRanks&gt;=5</f>
        <v>0</v>
      </c>
      <c r="DU294" s="1" t="b">
        <f>SkMoveSilentlyRanks&gt;=5</f>
        <v>0</v>
      </c>
      <c r="DV294" s="1" t="b">
        <f>OR(FtTrack,FreeTrack)</f>
        <v>0</v>
      </c>
      <c r="EA294" s="1" t="b">
        <f t="shared" si="273"/>
        <v>0</v>
      </c>
      <c r="EB294" s="11" t="s">
        <v>338</v>
      </c>
      <c r="EC294" s="1" t="str">
        <f>IF(DR294,"","• Race: Goliath
")&amp;IF(DS294,"","• BAB +7
")&amp;IF(DT294,"","• Hide 5 ranks
")&amp;IF(DU294,"","• Move Silently 5 ranks
")&amp;IF(DV294,"","• Track feat
")&amp;"• Imprisoned by giants or rescued others who were (not verified)"</f>
        <v>• Race: Goliath
• BAB +7
• Hide 5 ranks
• Move Silently 5 ranks
• Track feat
• Imprisoned by giants or rescued others who were (not verified)</v>
      </c>
      <c r="ED294" s="11" t="s">
        <v>335</v>
      </c>
    </row>
    <row r="295" spans="1:149" ht="11.25" customHeight="1" x14ac:dyDescent="0.2">
      <c r="A295" s="1">
        <f t="shared" si="247"/>
        <v>292</v>
      </c>
      <c r="B295" s="1" t="s">
        <v>813</v>
      </c>
      <c r="C295" s="1" t="s">
        <v>814</v>
      </c>
      <c r="D295" s="1" t="s">
        <v>814</v>
      </c>
      <c r="E295" s="1">
        <f t="shared" si="256"/>
        <v>0</v>
      </c>
      <c r="I295" s="1">
        <f>InMLvl-INT((InMLvl+4)/5)</f>
        <v>0</v>
      </c>
      <c r="K295" s="1">
        <v>2</v>
      </c>
      <c r="L295" s="1">
        <v>10</v>
      </c>
      <c r="V295" s="1">
        <v>0.75</v>
      </c>
      <c r="W295" s="1">
        <v>0.34</v>
      </c>
      <c r="X295" s="1">
        <v>0.34</v>
      </c>
      <c r="Y295" s="1">
        <v>0.5</v>
      </c>
      <c r="Z295" s="1" t="b">
        <f>FALSE</f>
        <v>0</v>
      </c>
      <c r="AA295" s="1" t="str">
        <f t="shared" si="259"/>
        <v/>
      </c>
      <c r="AB295" s="1" t="str">
        <f t="shared" si="260"/>
        <v/>
      </c>
      <c r="AC295" s="1">
        <f t="shared" si="257"/>
        <v>0</v>
      </c>
      <c r="AD295" s="1" t="str">
        <f t="shared" si="261"/>
        <v/>
      </c>
      <c r="AE295" s="1" t="str">
        <f t="shared" si="262"/>
        <v/>
      </c>
      <c r="AF295" s="1">
        <f t="shared" si="258"/>
        <v>0</v>
      </c>
      <c r="AG295" s="1">
        <f t="shared" si="263"/>
        <v>5</v>
      </c>
      <c r="AH295" s="1" t="str">
        <f t="shared" si="250"/>
        <v/>
      </c>
      <c r="AI295" s="1">
        <v>1</v>
      </c>
      <c r="AJ295" s="1">
        <f t="shared" si="264"/>
        <v>0</v>
      </c>
      <c r="AK295" s="1">
        <v>1</v>
      </c>
      <c r="AL295" s="1">
        <v>1</v>
      </c>
      <c r="AM295" s="1">
        <v>2</v>
      </c>
      <c r="AN295" s="1">
        <f t="shared" si="265"/>
        <v>0</v>
      </c>
      <c r="AO295" s="1">
        <v>2</v>
      </c>
      <c r="AP295" s="1">
        <v>2</v>
      </c>
      <c r="AQ295" s="1">
        <v>2</v>
      </c>
      <c r="AR295" s="1">
        <v>2</v>
      </c>
      <c r="AS295" s="1">
        <v>2</v>
      </c>
      <c r="AT295" s="1">
        <v>2</v>
      </c>
      <c r="AU295" s="1">
        <v>2</v>
      </c>
      <c r="AV295" s="1">
        <v>2</v>
      </c>
      <c r="AW295" s="1">
        <v>1</v>
      </c>
      <c r="AX295" s="1">
        <v>1</v>
      </c>
      <c r="AY295" s="1">
        <v>1</v>
      </c>
      <c r="AZ295" s="1">
        <v>1</v>
      </c>
      <c r="BA295" s="1">
        <v>1</v>
      </c>
      <c r="BB295" s="1">
        <v>1</v>
      </c>
      <c r="BC295" s="1">
        <v>1</v>
      </c>
      <c r="BD295" s="1">
        <v>1</v>
      </c>
      <c r="BE295" s="1">
        <v>1</v>
      </c>
      <c r="BF295" s="1">
        <v>1</v>
      </c>
      <c r="BG295" s="1">
        <f t="shared" si="266"/>
        <v>0</v>
      </c>
      <c r="BH295" s="1">
        <f t="shared" si="267"/>
        <v>0</v>
      </c>
      <c r="BI295" s="1">
        <v>1</v>
      </c>
      <c r="BJ295" s="1">
        <v>2</v>
      </c>
      <c r="BK295" s="1">
        <v>1</v>
      </c>
      <c r="BL295" s="1">
        <v>1</v>
      </c>
      <c r="BM295" s="1">
        <v>1</v>
      </c>
      <c r="BN295" s="1">
        <v>1</v>
      </c>
      <c r="BO295" s="1">
        <v>1</v>
      </c>
      <c r="BQ295" s="1">
        <f>IF(HRRVL,1,0)</f>
        <v>0</v>
      </c>
      <c r="BR295" s="1">
        <v>1</v>
      </c>
      <c r="BS295" s="1">
        <v>1</v>
      </c>
      <c r="BT295" s="1">
        <f t="shared" si="268"/>
        <v>0</v>
      </c>
      <c r="BU295" s="1">
        <f t="shared" si="274"/>
        <v>0</v>
      </c>
      <c r="BV295" s="1">
        <v>1</v>
      </c>
      <c r="BW295" s="1">
        <v>1</v>
      </c>
      <c r="BX295" s="1">
        <v>1</v>
      </c>
      <c r="BY295" s="1">
        <v>1</v>
      </c>
      <c r="BZ295" s="1">
        <v>1</v>
      </c>
      <c r="CA295" s="1">
        <v>1</v>
      </c>
      <c r="CB295" s="1">
        <v>1</v>
      </c>
      <c r="CC295" s="1">
        <v>1</v>
      </c>
      <c r="CD295" s="1">
        <v>1</v>
      </c>
      <c r="CE295" s="1">
        <v>1</v>
      </c>
      <c r="CF295" s="1">
        <v>1</v>
      </c>
      <c r="CG295" s="1">
        <f t="shared" si="269"/>
        <v>0</v>
      </c>
      <c r="CH295" s="1">
        <v>1</v>
      </c>
      <c r="CI295" s="1">
        <v>1</v>
      </c>
      <c r="CJ295" s="1">
        <v>1</v>
      </c>
      <c r="CK295" s="1">
        <v>1</v>
      </c>
      <c r="CL295" s="1">
        <v>1</v>
      </c>
      <c r="CM295" s="1">
        <v>1</v>
      </c>
      <c r="CN295" s="1">
        <v>1</v>
      </c>
      <c r="CO295" s="1">
        <v>1</v>
      </c>
      <c r="CP295" s="1">
        <v>2</v>
      </c>
      <c r="CQ295" s="1">
        <v>2</v>
      </c>
      <c r="CR295" s="1">
        <v>2</v>
      </c>
      <c r="CS295" s="1">
        <v>2</v>
      </c>
      <c r="CT295" s="1">
        <v>2</v>
      </c>
      <c r="CU295" s="1">
        <v>2</v>
      </c>
      <c r="CV295" s="1">
        <f t="shared" si="270"/>
        <v>0</v>
      </c>
      <c r="CW295" s="1">
        <v>1</v>
      </c>
      <c r="CX295" s="1">
        <v>1</v>
      </c>
      <c r="CY295" s="1">
        <v>2</v>
      </c>
      <c r="CZ295" s="1">
        <f t="shared" si="271"/>
        <v>0</v>
      </c>
      <c r="DA295" s="1">
        <v>1</v>
      </c>
      <c r="DB295" s="1">
        <v>1</v>
      </c>
      <c r="DC295" s="1">
        <v>1</v>
      </c>
      <c r="DD295" s="1">
        <v>1</v>
      </c>
      <c r="DE295" s="1">
        <v>1</v>
      </c>
      <c r="DF295" s="1">
        <v>2</v>
      </c>
      <c r="DG295" s="1">
        <v>1</v>
      </c>
      <c r="DH295" s="1">
        <v>1</v>
      </c>
      <c r="DI295" s="1">
        <f t="shared" si="272"/>
        <v>0</v>
      </c>
      <c r="DJ295" s="1">
        <v>1</v>
      </c>
      <c r="DK295" s="1" t="s">
        <v>798</v>
      </c>
      <c r="DL295" s="1" t="s">
        <v>170</v>
      </c>
      <c r="DR295" s="1" t="b">
        <f>BaseAtk&gt;=3</f>
        <v>0</v>
      </c>
      <c r="DS295" s="1" t="b">
        <f>SkConcentrationRanks&gt;=8</f>
        <v>0</v>
      </c>
      <c r="DT295" s="1" t="b">
        <f>HvyArmorProf</f>
        <v>1</v>
      </c>
      <c r="DU295" s="1" t="b">
        <f>FtInvestArmor</f>
        <v>0</v>
      </c>
      <c r="DV295" s="1" t="b">
        <f>OR(FtIronWill,FreeIronWill)</f>
        <v>0</v>
      </c>
      <c r="DW295" s="1" t="b">
        <f>MaxPowerLevel&gt;=1</f>
        <v>0</v>
      </c>
      <c r="EA295" s="1" t="b">
        <f t="shared" si="273"/>
        <v>0</v>
      </c>
      <c r="EB295" s="11" t="s">
        <v>334</v>
      </c>
      <c r="EC295" s="1" t="str">
        <f>IF(DR295,"","• BAB +3
")&amp;IF(DS295,"","• Concentration 8 ranks
")&amp;IF(DT295,"","• Armor Proficiency(heavy)
")&amp;IF(DU295,"","• Invest Armor feat
")&amp;IF(DV295,"","• Iron Will feat
")&amp;IF(DW295,"","• Able to manifest one 1st-level psionic power.")</f>
        <v>• BAB +3
• Concentration 8 ranks
• Invest Armor feat
• Iron Will feat
• Able to manifest one 1st-level psionic power.</v>
      </c>
      <c r="ED295" s="11" t="s">
        <v>335</v>
      </c>
      <c r="EE295" s="1" t="s">
        <v>815</v>
      </c>
      <c r="EF295" s="1">
        <f>COUNTA(EE282:EE293)</f>
        <v>3</v>
      </c>
    </row>
    <row r="296" spans="1:149" ht="11.25" customHeight="1" x14ac:dyDescent="0.2">
      <c r="A296" s="1">
        <f t="shared" si="247"/>
        <v>293</v>
      </c>
      <c r="B296" s="1" t="s">
        <v>816</v>
      </c>
      <c r="C296" s="1" t="s">
        <v>817</v>
      </c>
      <c r="D296" s="1" t="s">
        <v>817</v>
      </c>
      <c r="E296" s="1">
        <f t="shared" si="256"/>
        <v>0</v>
      </c>
      <c r="K296" s="1">
        <v>6</v>
      </c>
      <c r="L296" s="1">
        <v>8</v>
      </c>
      <c r="V296" s="1">
        <v>0.75</v>
      </c>
      <c r="W296" s="1">
        <v>0.5</v>
      </c>
      <c r="X296" s="1">
        <v>0.5</v>
      </c>
      <c r="Y296" s="1">
        <v>0.34</v>
      </c>
      <c r="Z296" s="1" t="b">
        <f>FALSE</f>
        <v>0</v>
      </c>
      <c r="AA296" s="1" t="str">
        <f t="shared" si="259"/>
        <v/>
      </c>
      <c r="AB296" s="1" t="str">
        <f t="shared" si="260"/>
        <v/>
      </c>
      <c r="AC296" s="1">
        <f t="shared" si="257"/>
        <v>0</v>
      </c>
      <c r="AD296" s="1" t="str">
        <f t="shared" si="261"/>
        <v/>
      </c>
      <c r="AE296" s="1" t="str">
        <f t="shared" si="262"/>
        <v/>
      </c>
      <c r="AF296" s="1">
        <f t="shared" si="258"/>
        <v>0</v>
      </c>
      <c r="AG296" s="1">
        <f t="shared" si="263"/>
        <v>5</v>
      </c>
      <c r="AH296" s="1" t="str">
        <f t="shared" si="250"/>
        <v/>
      </c>
      <c r="AI296" s="1">
        <v>1</v>
      </c>
      <c r="AJ296" s="1">
        <f t="shared" si="264"/>
        <v>0</v>
      </c>
      <c r="AK296" s="1">
        <v>2</v>
      </c>
      <c r="AL296" s="1">
        <v>2</v>
      </c>
      <c r="AM296" s="1">
        <v>2</v>
      </c>
      <c r="AN296" s="1">
        <f t="shared" si="265"/>
        <v>0</v>
      </c>
      <c r="AO296" s="1">
        <v>1</v>
      </c>
      <c r="AP296" s="1">
        <v>2</v>
      </c>
      <c r="AQ296" s="1">
        <v>2</v>
      </c>
      <c r="AR296" s="1">
        <v>2</v>
      </c>
      <c r="AS296" s="1">
        <v>2</v>
      </c>
      <c r="AT296" s="1">
        <v>2</v>
      </c>
      <c r="AU296" s="1">
        <v>2</v>
      </c>
      <c r="AV296" s="1">
        <v>2</v>
      </c>
      <c r="AW296" s="1">
        <v>1</v>
      </c>
      <c r="AX296" s="1">
        <v>2</v>
      </c>
      <c r="AY296" s="1">
        <v>1</v>
      </c>
      <c r="AZ296" s="1">
        <v>1</v>
      </c>
      <c r="BA296" s="1">
        <v>1</v>
      </c>
      <c r="BB296" s="1">
        <v>1</v>
      </c>
      <c r="BC296" s="1">
        <v>2</v>
      </c>
      <c r="BD296" s="1">
        <v>1</v>
      </c>
      <c r="BE296" s="1">
        <v>1</v>
      </c>
      <c r="BF296" s="1">
        <v>2</v>
      </c>
      <c r="BG296" s="1">
        <f t="shared" si="266"/>
        <v>0</v>
      </c>
      <c r="BH296" s="1">
        <f t="shared" si="267"/>
        <v>0</v>
      </c>
      <c r="BI296" s="1">
        <v>1</v>
      </c>
      <c r="BJ296" s="1">
        <v>2</v>
      </c>
      <c r="BK296" s="1">
        <v>1</v>
      </c>
      <c r="BL296" s="1">
        <v>1</v>
      </c>
      <c r="BM296" s="1">
        <v>1</v>
      </c>
      <c r="BN296" s="1">
        <v>1</v>
      </c>
      <c r="BO296" s="1">
        <v>1</v>
      </c>
      <c r="BP296" s="1">
        <v>1</v>
      </c>
      <c r="BQ296" s="1">
        <f>IF(HRRVL,2,0)</f>
        <v>0</v>
      </c>
      <c r="BR296" s="1">
        <v>2</v>
      </c>
      <c r="BS296" s="1">
        <v>1</v>
      </c>
      <c r="BT296" s="1">
        <f t="shared" si="268"/>
        <v>0</v>
      </c>
      <c r="BU296" s="1">
        <f t="shared" si="274"/>
        <v>0</v>
      </c>
      <c r="BV296" s="1">
        <v>1</v>
      </c>
      <c r="BW296" s="1">
        <v>1</v>
      </c>
      <c r="BX296" s="1">
        <v>1</v>
      </c>
      <c r="BY296" s="1">
        <v>1</v>
      </c>
      <c r="BZ296" s="1">
        <v>1</v>
      </c>
      <c r="CA296" s="1">
        <v>1</v>
      </c>
      <c r="CB296" s="1">
        <v>1</v>
      </c>
      <c r="CC296" s="1">
        <v>1</v>
      </c>
      <c r="CD296" s="1">
        <v>1</v>
      </c>
      <c r="CE296" s="1">
        <v>1</v>
      </c>
      <c r="CF296" s="1">
        <v>2</v>
      </c>
      <c r="CG296" s="1">
        <f t="shared" si="269"/>
        <v>0</v>
      </c>
      <c r="CH296" s="1">
        <v>2</v>
      </c>
      <c r="CI296" s="1">
        <v>1</v>
      </c>
      <c r="CJ296" s="1">
        <v>1</v>
      </c>
      <c r="CK296" s="1">
        <v>1</v>
      </c>
      <c r="CL296" s="1">
        <v>1</v>
      </c>
      <c r="CM296" s="1">
        <v>1</v>
      </c>
      <c r="CN296" s="1">
        <v>1</v>
      </c>
      <c r="CO296" s="1">
        <v>1</v>
      </c>
      <c r="CP296" s="1">
        <v>2</v>
      </c>
      <c r="CQ296" s="1">
        <v>2</v>
      </c>
      <c r="CR296" s="1">
        <v>2</v>
      </c>
      <c r="CS296" s="1">
        <v>2</v>
      </c>
      <c r="CT296" s="1">
        <v>2</v>
      </c>
      <c r="CU296" s="1">
        <v>2</v>
      </c>
      <c r="CV296" s="1">
        <f t="shared" si="270"/>
        <v>0</v>
      </c>
      <c r="CW296" s="1">
        <v>1</v>
      </c>
      <c r="CX296" s="1">
        <v>2</v>
      </c>
      <c r="CY296" s="1">
        <v>2</v>
      </c>
      <c r="CZ296" s="1">
        <f t="shared" si="271"/>
        <v>0</v>
      </c>
      <c r="DA296" s="1">
        <v>1</v>
      </c>
      <c r="DB296" s="1">
        <v>2</v>
      </c>
      <c r="DC296" s="1">
        <v>1</v>
      </c>
      <c r="DD296" s="1">
        <v>2</v>
      </c>
      <c r="DE296" s="1">
        <v>1</v>
      </c>
      <c r="DF296" s="1">
        <v>2</v>
      </c>
      <c r="DG296" s="1">
        <v>2</v>
      </c>
      <c r="DH296" s="1">
        <v>1</v>
      </c>
      <c r="DI296" s="1">
        <f t="shared" si="272"/>
        <v>0</v>
      </c>
      <c r="DJ296" s="1">
        <v>2</v>
      </c>
      <c r="DK296" s="1" t="s">
        <v>798</v>
      </c>
      <c r="DL296" s="1" t="s">
        <v>150</v>
      </c>
      <c r="DR296" s="1" t="b">
        <f>RaceCi="Goliath"</f>
        <v>0</v>
      </c>
      <c r="DS296" s="1" t="b">
        <f>BaseAtk&gt;=4</f>
        <v>0</v>
      </c>
      <c r="DT296" s="1" t="b">
        <f>SkClimbRanks&gt;=9</f>
        <v>0</v>
      </c>
      <c r="DU296" s="1" t="b">
        <f>SkDiplomacyRanks&gt;=4</f>
        <v>0</v>
      </c>
      <c r="DV296" s="1" t="b">
        <f>SkHandleAnimalRanks&gt;=4</f>
        <v>0</v>
      </c>
      <c r="DW296" s="1" t="b">
        <f>SkJumpRanks&gt;=9</f>
        <v>0</v>
      </c>
      <c r="DX296" s="1" t="b">
        <f>OR(FtEndurance,FtKoboldEndurance)</f>
        <v>0</v>
      </c>
      <c r="DY296" s="1" t="b">
        <f>FtRun</f>
        <v>0</v>
      </c>
      <c r="EA296" s="1" t="b">
        <f t="shared" si="273"/>
        <v>0</v>
      </c>
      <c r="EB296" s="11" t="s">
        <v>334</v>
      </c>
      <c r="EC296" s="1" t="str">
        <f>IF(DR296,"","• Race: Goliath
")&amp;IF(DS296,"","• BAB +4
")&amp;IF(DT296,"","• Climb 9 ranks
")&amp;IF(DU296,"","• Diplomacy 4 ranks
")&amp;IF(DV296,"","• Handle Animal 4 ranks
")&amp;IF(DW296,"","• Jump 9 ranks
")&amp;IF(DX296,"","• Endurance feat
")&amp;IF(DY296,"","• Run feat")</f>
        <v>• Race: Goliath
• BAB +4
• Climb 9 ranks
• Diplomacy 4 ranks
• Handle Animal 4 ranks
• Jump 9 ranks
• Endurance feat
• Run feat</v>
      </c>
      <c r="ED296" s="11" t="s">
        <v>335</v>
      </c>
      <c r="EE296" s="1" t="s">
        <v>818</v>
      </c>
      <c r="EF296" s="1" t="b">
        <f>OR($EI$283:INDEX(TblClassAlignmentMod,ClassALModRowsCnt,5))</f>
        <v>0</v>
      </c>
    </row>
    <row r="297" spans="1:149" ht="11.25" customHeight="1" x14ac:dyDescent="0.2">
      <c r="A297" s="1">
        <f t="shared" si="247"/>
        <v>294</v>
      </c>
      <c r="B297" s="1" t="s">
        <v>819</v>
      </c>
      <c r="C297" s="1" t="s">
        <v>820</v>
      </c>
      <c r="D297" s="1" t="s">
        <v>820</v>
      </c>
      <c r="E297" s="1">
        <f t="shared" si="256"/>
        <v>0</v>
      </c>
      <c r="G297" s="1">
        <f>RuSLvl</f>
        <v>0</v>
      </c>
      <c r="K297" s="1">
        <v>2</v>
      </c>
      <c r="L297" s="1">
        <v>6</v>
      </c>
      <c r="V297" s="1">
        <v>0.5</v>
      </c>
      <c r="W297" s="1">
        <v>0.5</v>
      </c>
      <c r="X297" s="1">
        <v>0.34</v>
      </c>
      <c r="Y297" s="1">
        <v>0.5</v>
      </c>
      <c r="Z297" s="1" t="b">
        <f>FALSE</f>
        <v>0</v>
      </c>
      <c r="AA297" s="1" t="str">
        <f t="shared" si="259"/>
        <v/>
      </c>
      <c r="AB297" s="1" t="str">
        <f t="shared" si="260"/>
        <v/>
      </c>
      <c r="AC297" s="1">
        <f t="shared" si="257"/>
        <v>0</v>
      </c>
      <c r="AD297" s="1" t="str">
        <f t="shared" si="261"/>
        <v/>
      </c>
      <c r="AE297" s="1" t="str">
        <f t="shared" si="262"/>
        <v/>
      </c>
      <c r="AF297" s="1">
        <f t="shared" si="258"/>
        <v>0</v>
      </c>
      <c r="AG297" s="1">
        <f t="shared" si="263"/>
        <v>5</v>
      </c>
      <c r="AH297" s="1" t="str">
        <f t="shared" si="250"/>
        <v/>
      </c>
      <c r="AI297" s="1">
        <v>2</v>
      </c>
      <c r="AJ297" s="1">
        <f t="shared" si="264"/>
        <v>0</v>
      </c>
      <c r="AK297" s="1">
        <v>1</v>
      </c>
      <c r="AL297" s="1">
        <v>1</v>
      </c>
      <c r="AM297" s="1">
        <v>1</v>
      </c>
      <c r="AN297" s="1">
        <f t="shared" si="265"/>
        <v>0</v>
      </c>
      <c r="AO297" s="1">
        <v>2</v>
      </c>
      <c r="AP297" s="1">
        <v>2</v>
      </c>
      <c r="AQ297" s="1">
        <v>2</v>
      </c>
      <c r="AR297" s="1">
        <v>2</v>
      </c>
      <c r="AS297" s="1">
        <v>2</v>
      </c>
      <c r="AT297" s="1">
        <v>2</v>
      </c>
      <c r="AU297" s="1">
        <v>2</v>
      </c>
      <c r="AV297" s="1">
        <v>2</v>
      </c>
      <c r="AW297" s="1">
        <v>2</v>
      </c>
      <c r="AX297" s="1">
        <v>1</v>
      </c>
      <c r="AY297" s="1">
        <v>1</v>
      </c>
      <c r="AZ297" s="1">
        <v>1</v>
      </c>
      <c r="BA297" s="1">
        <v>1</v>
      </c>
      <c r="BB297" s="1">
        <v>1</v>
      </c>
      <c r="BC297" s="1">
        <v>1</v>
      </c>
      <c r="BD297" s="1">
        <v>1</v>
      </c>
      <c r="BE297" s="1">
        <v>1</v>
      </c>
      <c r="BF297" s="1">
        <v>1</v>
      </c>
      <c r="BG297" s="1">
        <f t="shared" si="266"/>
        <v>0</v>
      </c>
      <c r="BH297" s="1">
        <f t="shared" si="267"/>
        <v>0</v>
      </c>
      <c r="BI297" s="1">
        <v>1</v>
      </c>
      <c r="BJ297" s="1">
        <v>1</v>
      </c>
      <c r="BK297" s="1">
        <v>2</v>
      </c>
      <c r="BL297" s="1">
        <v>1</v>
      </c>
      <c r="BM297" s="1">
        <v>1</v>
      </c>
      <c r="BN297" s="1">
        <v>1</v>
      </c>
      <c r="BO297" s="1">
        <v>1</v>
      </c>
      <c r="BP297" s="1">
        <v>1</v>
      </c>
      <c r="BQ297" s="1">
        <f>IF(HRRVL,1,0)</f>
        <v>0</v>
      </c>
      <c r="BR297" s="1">
        <v>1</v>
      </c>
      <c r="BS297" s="1">
        <v>1</v>
      </c>
      <c r="BT297" s="1">
        <f t="shared" si="268"/>
        <v>0</v>
      </c>
      <c r="BU297" s="1">
        <f t="shared" si="274"/>
        <v>0</v>
      </c>
      <c r="BV297" s="1">
        <v>1</v>
      </c>
      <c r="BW297" s="1">
        <v>1</v>
      </c>
      <c r="BX297" s="1">
        <v>1</v>
      </c>
      <c r="BY297" s="1">
        <v>1</v>
      </c>
      <c r="BZ297" s="1">
        <v>1</v>
      </c>
      <c r="CA297" s="1">
        <v>1</v>
      </c>
      <c r="CB297" s="1">
        <v>1</v>
      </c>
      <c r="CC297" s="1">
        <v>1</v>
      </c>
      <c r="CD297" s="1">
        <v>1</v>
      </c>
      <c r="CE297" s="1">
        <v>1</v>
      </c>
      <c r="CF297" s="1">
        <v>1</v>
      </c>
      <c r="CG297" s="1">
        <f t="shared" si="269"/>
        <v>0</v>
      </c>
      <c r="CH297" s="1">
        <v>1</v>
      </c>
      <c r="CI297" s="1">
        <v>1</v>
      </c>
      <c r="CJ297" s="1">
        <v>1</v>
      </c>
      <c r="CK297" s="1">
        <v>1</v>
      </c>
      <c r="CL297" s="1">
        <v>1</v>
      </c>
      <c r="CM297" s="1">
        <v>1</v>
      </c>
      <c r="CN297" s="1">
        <v>1</v>
      </c>
      <c r="CO297" s="1">
        <v>1</v>
      </c>
      <c r="CP297" s="1">
        <v>1</v>
      </c>
      <c r="CQ297" s="1">
        <v>1</v>
      </c>
      <c r="CR297" s="1">
        <v>1</v>
      </c>
      <c r="CS297" s="1">
        <v>1</v>
      </c>
      <c r="CT297" s="1">
        <v>1</v>
      </c>
      <c r="CU297" s="1">
        <v>1</v>
      </c>
      <c r="CV297" s="1">
        <f t="shared" si="270"/>
        <v>0</v>
      </c>
      <c r="CW297" s="1">
        <v>1</v>
      </c>
      <c r="CX297" s="1">
        <v>1</v>
      </c>
      <c r="CY297" s="1">
        <v>1</v>
      </c>
      <c r="CZ297" s="1">
        <f t="shared" si="271"/>
        <v>0</v>
      </c>
      <c r="DA297" s="1">
        <v>1</v>
      </c>
      <c r="DB297" s="1">
        <v>1</v>
      </c>
      <c r="DC297" s="1">
        <v>2</v>
      </c>
      <c r="DD297" s="1">
        <v>1</v>
      </c>
      <c r="DE297" s="1">
        <v>1</v>
      </c>
      <c r="DF297" s="1">
        <v>1</v>
      </c>
      <c r="DG297" s="1">
        <v>1</v>
      </c>
      <c r="DH297" s="1">
        <v>1</v>
      </c>
      <c r="DI297" s="1">
        <f t="shared" si="272"/>
        <v>0</v>
      </c>
      <c r="DJ297" s="1">
        <v>1</v>
      </c>
      <c r="DK297" s="1" t="s">
        <v>798</v>
      </c>
      <c r="DL297" s="1" t="s">
        <v>170</v>
      </c>
      <c r="DR297" s="1" t="b">
        <f>RaceCi="Dwarf"</f>
        <v>1</v>
      </c>
      <c r="DS297" s="1" t="b">
        <f>SkConcentrationRanks&gt;=5</f>
        <v>0</v>
      </c>
      <c r="DT297" s="1" t="b">
        <f>IF(NOT(ISNA(MATCH("stoneworking",TblCraftSkills,0))),INDEX(TblCraftRanks,MATCH("stoneworking",TblCraftSkills,0),1)&gt;=8,FALSE)</f>
        <v>0</v>
      </c>
      <c r="DU297" s="1" t="b">
        <f>HvyArmorProf</f>
        <v>1</v>
      </c>
      <c r="DV297" s="1" t="b">
        <f>OR(FtScribeScroll,FreeScribeScroll)</f>
        <v>1</v>
      </c>
      <c r="DW297" s="1" t="b">
        <f ca="1">MaxArcaneSpellLevel&gt;=1</f>
        <v>0</v>
      </c>
      <c r="EA297" s="1" t="b">
        <f ca="1">AND(DM297:DZ297)</f>
        <v>0</v>
      </c>
      <c r="EB297" s="11" t="s">
        <v>334</v>
      </c>
      <c r="EC297" s="1" t="str">
        <f ca="1">IF(DR297,"","• Race: Dwarf
")&amp;IF(DS297,"","• Concentration 5 ranks
")&amp;IF(DT297,"","• Craft(stoneworking) 8 ranks
")&amp;IF(DU297,"","• Heavy Armor Proficeincy
")&amp;IF(DV297,"","• Scribe Scroll feat
")&amp;IF(DW297,"","• Able to cast 1st-level arcane spells")</f>
        <v>• Concentration 5 ranks
• Craft(stoneworking) 8 ranks
• Able to cast 1st-level arcane spells</v>
      </c>
      <c r="ED297" s="11" t="s">
        <v>335</v>
      </c>
      <c r="EE297" s="1" t="s">
        <v>821</v>
      </c>
      <c r="EF297" s="1" t="str">
        <f>IF($EH297&gt;0,1+MATCH($EH297,INDEX(TblClassAlignmentMod,2,14):INDEX(TblClassAlignmentMod,ClassALModRowsCnt,14),0),"")</f>
        <v/>
      </c>
      <c r="EG297" s="26" t="str">
        <f>IF($EH297&gt;0,INDEX(TblClassAlignmentMod,$EF297,12),"")</f>
        <v/>
      </c>
      <c r="EH297" s="27">
        <f>IF($EF$296,MAX(INDEX(TblClassAlignmentMod,2,14):INDEX(TblClassAlignmentMod,ClassALModRowsCnt,14)),-1)</f>
        <v>-1</v>
      </c>
    </row>
    <row r="298" spans="1:149" ht="11.25" customHeight="1" x14ac:dyDescent="0.2">
      <c r="A298" s="1">
        <f t="shared" si="247"/>
        <v>295</v>
      </c>
      <c r="B298" s="1" t="s">
        <v>822</v>
      </c>
      <c r="C298" s="1" t="s">
        <v>823</v>
      </c>
      <c r="D298" s="1" t="s">
        <v>823</v>
      </c>
      <c r="E298" s="1">
        <f t="shared" si="256"/>
        <v>0</v>
      </c>
      <c r="G298" s="1">
        <f>ScMLvl</f>
        <v>0</v>
      </c>
      <c r="K298" s="1">
        <v>4</v>
      </c>
      <c r="L298" s="1">
        <v>4</v>
      </c>
      <c r="V298" s="1">
        <v>0.5</v>
      </c>
      <c r="W298" s="1">
        <v>0.34</v>
      </c>
      <c r="X298" s="1">
        <v>0.34</v>
      </c>
      <c r="Y298" s="1">
        <v>0.5</v>
      </c>
      <c r="Z298" s="1" t="b">
        <f>FALSE</f>
        <v>0</v>
      </c>
      <c r="AA298" s="1" t="str">
        <f t="shared" si="259"/>
        <v/>
      </c>
      <c r="AB298" s="1" t="str">
        <f t="shared" si="260"/>
        <v/>
      </c>
      <c r="AC298" s="1">
        <f t="shared" si="257"/>
        <v>0</v>
      </c>
      <c r="AD298" s="1" t="str">
        <f t="shared" si="261"/>
        <v/>
      </c>
      <c r="AE298" s="1" t="str">
        <f t="shared" si="262"/>
        <v/>
      </c>
      <c r="AF298" s="1">
        <f t="shared" si="258"/>
        <v>0</v>
      </c>
      <c r="AG298" s="1">
        <f t="shared" si="263"/>
        <v>5</v>
      </c>
      <c r="AH298" s="1" t="str">
        <f t="shared" si="250"/>
        <v/>
      </c>
      <c r="AI298" s="1">
        <v>1</v>
      </c>
      <c r="AJ298" s="1">
        <f t="shared" si="264"/>
        <v>0</v>
      </c>
      <c r="AK298" s="1">
        <v>1</v>
      </c>
      <c r="AL298" s="1">
        <v>2</v>
      </c>
      <c r="AM298" s="1">
        <v>1</v>
      </c>
      <c r="AN298" s="1">
        <f t="shared" si="265"/>
        <v>0</v>
      </c>
      <c r="AO298" s="1">
        <v>2</v>
      </c>
      <c r="AP298" s="1">
        <v>1</v>
      </c>
      <c r="AQ298" s="1">
        <v>1</v>
      </c>
      <c r="AR298" s="1">
        <v>1</v>
      </c>
      <c r="AS298" s="1">
        <v>1</v>
      </c>
      <c r="AT298" s="1">
        <v>1</v>
      </c>
      <c r="AU298" s="1">
        <v>1</v>
      </c>
      <c r="AV298" s="1">
        <v>1</v>
      </c>
      <c r="AW298" s="1">
        <v>1</v>
      </c>
      <c r="AX298" s="1">
        <v>1</v>
      </c>
      <c r="AY298" s="1">
        <v>1</v>
      </c>
      <c r="AZ298" s="1">
        <v>2</v>
      </c>
      <c r="BA298" s="1">
        <v>1</v>
      </c>
      <c r="BB298" s="1">
        <v>1</v>
      </c>
      <c r="BC298" s="1">
        <v>1</v>
      </c>
      <c r="BD298" s="1">
        <v>1</v>
      </c>
      <c r="BE298" s="1">
        <v>1</v>
      </c>
      <c r="BF298" s="1">
        <v>2</v>
      </c>
      <c r="BG298" s="1">
        <f t="shared" si="266"/>
        <v>0</v>
      </c>
      <c r="BH298" s="1">
        <f t="shared" si="267"/>
        <v>0</v>
      </c>
      <c r="BI298" s="1">
        <v>1</v>
      </c>
      <c r="BJ298" s="1">
        <v>1</v>
      </c>
      <c r="BK298" s="1">
        <v>2</v>
      </c>
      <c r="BL298" s="1">
        <v>1</v>
      </c>
      <c r="BM298" s="1">
        <v>1</v>
      </c>
      <c r="BN298" s="1">
        <v>1</v>
      </c>
      <c r="BO298" s="1">
        <v>1</v>
      </c>
      <c r="BP298" s="1">
        <v>1</v>
      </c>
      <c r="BQ298" s="1">
        <f>IF(HRRVL,1,0)</f>
        <v>0</v>
      </c>
      <c r="BR298" s="1">
        <v>1</v>
      </c>
      <c r="BS298" s="1">
        <v>1</v>
      </c>
      <c r="BT298" s="1">
        <f t="shared" si="268"/>
        <v>0</v>
      </c>
      <c r="BU298" s="1">
        <f t="shared" si="274"/>
        <v>0</v>
      </c>
      <c r="BV298" s="1">
        <v>1</v>
      </c>
      <c r="BW298" s="1">
        <v>1</v>
      </c>
      <c r="BX298" s="1">
        <v>1</v>
      </c>
      <c r="BY298" s="1">
        <v>1</v>
      </c>
      <c r="BZ298" s="1">
        <v>1</v>
      </c>
      <c r="CA298" s="1">
        <v>1</v>
      </c>
      <c r="CB298" s="1">
        <v>1</v>
      </c>
      <c r="CC298" s="1">
        <v>1</v>
      </c>
      <c r="CD298" s="1">
        <v>1</v>
      </c>
      <c r="CE298" s="1">
        <v>1</v>
      </c>
      <c r="CF298" s="1">
        <v>1</v>
      </c>
      <c r="CG298" s="1">
        <f t="shared" si="269"/>
        <v>0</v>
      </c>
      <c r="CH298" s="1">
        <v>2</v>
      </c>
      <c r="CI298" s="1">
        <v>1</v>
      </c>
      <c r="CJ298" s="1">
        <v>2</v>
      </c>
      <c r="CK298" s="1">
        <v>2</v>
      </c>
      <c r="CL298" s="1">
        <v>2</v>
      </c>
      <c r="CM298" s="1">
        <v>2</v>
      </c>
      <c r="CN298" s="1">
        <v>2</v>
      </c>
      <c r="CO298" s="1">
        <v>2</v>
      </c>
      <c r="CP298" s="1">
        <v>1</v>
      </c>
      <c r="CQ298" s="1">
        <v>1</v>
      </c>
      <c r="CR298" s="1">
        <v>1</v>
      </c>
      <c r="CS298" s="1">
        <v>1</v>
      </c>
      <c r="CT298" s="1">
        <v>1</v>
      </c>
      <c r="CU298" s="1">
        <v>1</v>
      </c>
      <c r="CV298" s="1">
        <f t="shared" si="270"/>
        <v>0</v>
      </c>
      <c r="CW298" s="1">
        <v>1</v>
      </c>
      <c r="CX298" s="1">
        <v>2</v>
      </c>
      <c r="CY298" s="1">
        <v>1</v>
      </c>
      <c r="CZ298" s="1">
        <f t="shared" si="271"/>
        <v>0</v>
      </c>
      <c r="DA298" s="1">
        <v>1</v>
      </c>
      <c r="DB298" s="1">
        <v>1</v>
      </c>
      <c r="DC298" s="1">
        <v>2</v>
      </c>
      <c r="DD298" s="1">
        <v>2</v>
      </c>
      <c r="DE298" s="1">
        <v>1</v>
      </c>
      <c r="DF298" s="1">
        <v>1</v>
      </c>
      <c r="DG298" s="1">
        <v>1</v>
      </c>
      <c r="DH298" s="1">
        <v>1</v>
      </c>
      <c r="DI298" s="1">
        <f t="shared" si="272"/>
        <v>0</v>
      </c>
      <c r="DJ298" s="1">
        <v>1</v>
      </c>
      <c r="DK298" s="1" t="s">
        <v>798</v>
      </c>
      <c r="DL298" s="1" t="s">
        <v>40</v>
      </c>
      <c r="DR298" s="1" t="b">
        <f>RaceCi="Gnome"</f>
        <v>0</v>
      </c>
      <c r="DS298" s="1" t="b">
        <f>SkBluffRanks&gt;=4</f>
        <v>0</v>
      </c>
      <c r="DT298" s="1" t="b">
        <f>SkHideRanks&gt;=4</f>
        <v>0</v>
      </c>
      <c r="DU298" s="1" t="b">
        <f>IF(NOT(ISNA(MATCH("illusion",TblSpellFocus,0))),INDEX(TblSpellFocus,MATCH("illusion",TblSpellFocus,0),1)&gt;=8,FALSE)</f>
        <v>0</v>
      </c>
      <c r="EA298" s="1" t="b">
        <f t="shared" si="273"/>
        <v>0</v>
      </c>
      <c r="EB298" s="11" t="s">
        <v>338</v>
      </c>
      <c r="EC298" s="1" t="str">
        <f>IF(DR298,"","• Race: Gnome
")&amp;IF(DS298,"","• Bluff 4 ranks
")&amp;IF(DT298,"","• Hide 4 ranks
")&amp;IF(DU298,"","• Spell Focus(illusion) feat
")&amp;"• Able to cast at least three illusion spells, including at least one
   shadow spell of 4th level or higher (not verified)"</f>
        <v>• Race: Gnome
• Bluff 4 ranks
• Hide 4 ranks
• Spell Focus(illusion) feat
• Able to cast at least three illusion spells, including at least one
   shadow spell of 4th level or higher (not verified)</v>
      </c>
      <c r="ED298" s="11" t="s">
        <v>335</v>
      </c>
      <c r="EE298" s="1" t="s">
        <v>824</v>
      </c>
      <c r="EF298" s="1" t="str">
        <f>IF($EH298&gt;0,1+MATCH($EH298,INDEX(TblClassAlignmentMod,2,15):INDEX(TblClassAlignmentMod,ClassALModRowsCnt,15),0),"")</f>
        <v/>
      </c>
      <c r="EG298" s="28" t="str">
        <f>IF($EH298&gt;0,INDEX(TblClassAlignmentMod,$EF298,13),"")</f>
        <v/>
      </c>
      <c r="EH298" s="29">
        <f>IF($EF$296,MAX(INDEX(TblClassAlignmentMod,2,15):INDEX(TblClassAlignmentMod,ClassALModRowsCnt,15)),-1)</f>
        <v>-1</v>
      </c>
    </row>
    <row r="299" spans="1:149" ht="11.25" customHeight="1" x14ac:dyDescent="0.2">
      <c r="A299" s="1">
        <f t="shared" si="247"/>
        <v>296</v>
      </c>
      <c r="B299" s="1" t="s">
        <v>825</v>
      </c>
      <c r="C299" s="1" t="s">
        <v>362</v>
      </c>
      <c r="D299" s="1" t="s">
        <v>362</v>
      </c>
      <c r="E299" s="1">
        <f t="shared" si="256"/>
        <v>0</v>
      </c>
      <c r="K299" s="1">
        <v>2</v>
      </c>
      <c r="L299" s="1">
        <v>8</v>
      </c>
      <c r="V299" s="1">
        <v>0.75</v>
      </c>
      <c r="W299" s="1">
        <v>0.5</v>
      </c>
      <c r="X299" s="1">
        <v>0.34</v>
      </c>
      <c r="Y299" s="1">
        <v>0.34</v>
      </c>
      <c r="Z299" s="1" t="b">
        <f>FALSE</f>
        <v>0</v>
      </c>
      <c r="AA299" s="1" t="str">
        <f t="shared" si="259"/>
        <v/>
      </c>
      <c r="AB299" s="1" t="str">
        <f t="shared" si="260"/>
        <v/>
      </c>
      <c r="AC299" s="1">
        <f t="shared" si="257"/>
        <v>0</v>
      </c>
      <c r="AD299" s="1" t="str">
        <f t="shared" si="261"/>
        <v/>
      </c>
      <c r="AE299" s="1" t="str">
        <f t="shared" si="262"/>
        <v/>
      </c>
      <c r="AF299" s="1">
        <f t="shared" si="258"/>
        <v>0</v>
      </c>
      <c r="AG299" s="1">
        <f t="shared" si="263"/>
        <v>5</v>
      </c>
      <c r="AH299" s="1" t="str">
        <f t="shared" si="250"/>
        <v/>
      </c>
      <c r="AI299" s="1">
        <f>IF(BondRace="Dwarf",2,1)</f>
        <v>1</v>
      </c>
      <c r="AJ299" s="1">
        <f t="shared" si="264"/>
        <v>0</v>
      </c>
      <c r="AK299" s="1">
        <f>IF(BondRace="Goliath",2,1)</f>
        <v>1</v>
      </c>
      <c r="AL299" s="1">
        <f>IF(BondRace="Gnome",2,1)</f>
        <v>1</v>
      </c>
      <c r="AM299" s="1">
        <v>2</v>
      </c>
      <c r="AN299" s="1">
        <f t="shared" si="265"/>
        <v>0</v>
      </c>
      <c r="AO299" s="1">
        <v>1</v>
      </c>
      <c r="AP299" s="1">
        <v>2</v>
      </c>
      <c r="AQ299" s="1">
        <v>2</v>
      </c>
      <c r="AR299" s="1">
        <v>2</v>
      </c>
      <c r="AS299" s="1">
        <v>2</v>
      </c>
      <c r="AT299" s="1">
        <v>2</v>
      </c>
      <c r="AU299" s="1">
        <v>2</v>
      </c>
      <c r="AV299" s="1">
        <v>2</v>
      </c>
      <c r="AW299" s="1">
        <v>1</v>
      </c>
      <c r="AX299" s="1">
        <f>IF(BondRace="Goliath",2,1)</f>
        <v>1</v>
      </c>
      <c r="AY299" s="1">
        <v>1</v>
      </c>
      <c r="AZ299" s="1">
        <v>1</v>
      </c>
      <c r="BA299" s="1">
        <v>1</v>
      </c>
      <c r="BB299" s="1">
        <v>1</v>
      </c>
      <c r="BC299" s="1">
        <v>1</v>
      </c>
      <c r="BD299" s="1">
        <v>1</v>
      </c>
      <c r="BE299" s="1">
        <v>1</v>
      </c>
      <c r="BF299" s="1">
        <f>IF(BondRace="Gnome",2,1)</f>
        <v>1</v>
      </c>
      <c r="BG299" s="1">
        <f t="shared" si="266"/>
        <v>0</v>
      </c>
      <c r="BH299" s="1">
        <f t="shared" si="267"/>
        <v>0</v>
      </c>
      <c r="BI299" s="1">
        <f>IF(BondRace="Dwarf",2,1)</f>
        <v>1</v>
      </c>
      <c r="BJ299" s="1">
        <v>2</v>
      </c>
      <c r="BK299" s="1">
        <v>1</v>
      </c>
      <c r="BL299" s="1">
        <f>IF(BondRace="Dwarf",2,1)</f>
        <v>1</v>
      </c>
      <c r="BM299" s="1">
        <f>IF(BondRace="Dwarf",2,1)</f>
        <v>1</v>
      </c>
      <c r="BN299" s="1">
        <f>IF(BondRace="Goliath",2,1)</f>
        <v>1</v>
      </c>
      <c r="BO299" s="1">
        <v>1</v>
      </c>
      <c r="BP299" s="1">
        <v>1</v>
      </c>
      <c r="BQ299" s="1">
        <f>IF(HRRVL,1,0)</f>
        <v>0</v>
      </c>
      <c r="BR299" s="1">
        <v>1</v>
      </c>
      <c r="BS299" s="1">
        <v>1</v>
      </c>
      <c r="BT299" s="1">
        <f t="shared" si="268"/>
        <v>0</v>
      </c>
      <c r="BU299" s="1">
        <f t="shared" si="274"/>
        <v>0</v>
      </c>
      <c r="BV299" s="1">
        <v>1</v>
      </c>
      <c r="BW299" s="1">
        <v>1</v>
      </c>
      <c r="BX299" s="1">
        <v>1</v>
      </c>
      <c r="BY299" s="1">
        <v>1</v>
      </c>
      <c r="BZ299" s="1">
        <v>1</v>
      </c>
      <c r="CA299" s="1">
        <v>1</v>
      </c>
      <c r="CB299" s="1">
        <v>1</v>
      </c>
      <c r="CC299" s="1">
        <v>1</v>
      </c>
      <c r="CD299" s="1">
        <v>1</v>
      </c>
      <c r="CE299" s="1">
        <v>1</v>
      </c>
      <c r="CF299" s="1">
        <f>IF(BondRace="Gnome",2,1)</f>
        <v>1</v>
      </c>
      <c r="CG299" s="1">
        <f t="shared" si="269"/>
        <v>0</v>
      </c>
      <c r="CH299" s="1">
        <v>1</v>
      </c>
      <c r="CI299" s="1">
        <v>1</v>
      </c>
      <c r="CJ299" s="1">
        <f t="shared" ref="CJ299:CO299" si="275">IF(BondRace="Gnome",2,1)</f>
        <v>1</v>
      </c>
      <c r="CK299" s="1">
        <f t="shared" si="275"/>
        <v>1</v>
      </c>
      <c r="CL299" s="1">
        <f t="shared" si="275"/>
        <v>1</v>
      </c>
      <c r="CM299" s="1">
        <f t="shared" si="275"/>
        <v>1</v>
      </c>
      <c r="CN299" s="1">
        <f t="shared" si="275"/>
        <v>1</v>
      </c>
      <c r="CO299" s="1">
        <f t="shared" si="275"/>
        <v>1</v>
      </c>
      <c r="CP299" s="1">
        <v>2</v>
      </c>
      <c r="CQ299" s="1">
        <v>2</v>
      </c>
      <c r="CR299" s="1">
        <v>2</v>
      </c>
      <c r="CS299" s="1">
        <v>2</v>
      </c>
      <c r="CT299" s="1">
        <v>2</v>
      </c>
      <c r="CU299" s="1">
        <v>2</v>
      </c>
      <c r="CV299" s="1">
        <f t="shared" si="270"/>
        <v>0</v>
      </c>
      <c r="CW299" s="1">
        <v>1</v>
      </c>
      <c r="CX299" s="1">
        <v>1</v>
      </c>
      <c r="CY299" s="1">
        <f>IF(BondRace="Goliath",2,1)</f>
        <v>1</v>
      </c>
      <c r="CZ299" s="1">
        <f t="shared" si="271"/>
        <v>0</v>
      </c>
      <c r="DA299" s="1">
        <v>1</v>
      </c>
      <c r="DB299" s="1">
        <v>1</v>
      </c>
      <c r="DC299" s="1">
        <f>IF(BondRace="Gnome",2,1)</f>
        <v>1</v>
      </c>
      <c r="DD299" s="1">
        <v>1</v>
      </c>
      <c r="DE299" s="1">
        <f>IF(BondRace="Goliath",2,1)</f>
        <v>1</v>
      </c>
      <c r="DF299" s="1">
        <v>1</v>
      </c>
      <c r="DG299" s="1">
        <v>1</v>
      </c>
      <c r="DH299" s="1">
        <v>1</v>
      </c>
      <c r="DI299" s="1">
        <f t="shared" si="272"/>
        <v>0</v>
      </c>
      <c r="DJ299" s="1">
        <v>1</v>
      </c>
      <c r="DK299" s="1" t="s">
        <v>798</v>
      </c>
      <c r="DL299" s="1" t="s">
        <v>101</v>
      </c>
      <c r="DR299" s="1" t="b">
        <f>OR(MonType="giant",MonType="humanoid",MonType="monstrous humanoid")</f>
        <v>1</v>
      </c>
      <c r="DS299" s="1" t="b">
        <f>SkAppraiseRanks&gt;=2</f>
        <v>0</v>
      </c>
      <c r="DT299" s="1" t="b">
        <f>IF(NOT(ISNA(MATCH("stoneworking",TblCraftSkills,0))),INDEX(TblCraftRanks,MATCH("stoneworking",TblCraftSkills,0),1)&gt;=5,TRUE)</f>
        <v>1</v>
      </c>
      <c r="EA299" s="1" t="b">
        <f t="shared" si="273"/>
        <v>0</v>
      </c>
      <c r="EB299" s="11" t="s">
        <v>338</v>
      </c>
      <c r="EC299" s="1" t="str">
        <f>IF(DR299,"","• Type: giant, humanoid or monstrous humanoid
")&amp;IF(DS299,"","• Appraise 2 ranks
")&amp;IF(DT299,"","• Craft(stoneworking) 5 ranks
")&amp;"• Able to speak language of chosen race and Terran (not verified).
• Must be invited by a member of the race (not verified)."</f>
        <v>• Appraise 2 ranks
• Able to speak language of chosen race and Terran (not verified).
• Must be invited by a member of the race (not verified).</v>
      </c>
      <c r="ED299" s="11" t="s">
        <v>335</v>
      </c>
    </row>
    <row r="300" spans="1:149" ht="11.25" customHeight="1" thickBot="1" x14ac:dyDescent="0.25">
      <c r="A300" s="1">
        <f t="shared" si="247"/>
        <v>297</v>
      </c>
      <c r="B300" s="1" t="s">
        <v>826</v>
      </c>
      <c r="C300" s="1" t="s">
        <v>827</v>
      </c>
      <c r="D300" s="1" t="s">
        <v>827</v>
      </c>
      <c r="E300" s="1">
        <f t="shared" si="256"/>
        <v>0</v>
      </c>
      <c r="K300" s="1">
        <v>6</v>
      </c>
      <c r="L300" s="1">
        <v>6</v>
      </c>
      <c r="V300" s="1">
        <v>0.75</v>
      </c>
      <c r="W300" s="1">
        <v>0.34</v>
      </c>
      <c r="X300" s="1">
        <v>0.5</v>
      </c>
      <c r="Y300" s="1">
        <v>0.34</v>
      </c>
      <c r="Z300" s="1" t="b">
        <f>FALSE</f>
        <v>0</v>
      </c>
      <c r="AA300" s="1" t="str">
        <f t="shared" si="259"/>
        <v/>
      </c>
      <c r="AB300" s="1" t="str">
        <f t="shared" si="260"/>
        <v/>
      </c>
      <c r="AC300" s="1">
        <f t="shared" si="257"/>
        <v>0</v>
      </c>
      <c r="AD300" s="1" t="str">
        <f t="shared" si="261"/>
        <v/>
      </c>
      <c r="AE300" s="1" t="str">
        <f t="shared" si="262"/>
        <v/>
      </c>
      <c r="AF300" s="1">
        <f t="shared" si="258"/>
        <v>0</v>
      </c>
      <c r="AG300" s="1">
        <f t="shared" si="263"/>
        <v>5</v>
      </c>
      <c r="AH300" s="1" t="str">
        <f t="shared" si="250"/>
        <v/>
      </c>
      <c r="AI300" s="1">
        <v>1</v>
      </c>
      <c r="AJ300" s="1">
        <f t="shared" si="264"/>
        <v>0</v>
      </c>
      <c r="AK300" s="1">
        <v>2</v>
      </c>
      <c r="AL300" s="1">
        <v>1</v>
      </c>
      <c r="AM300" s="1">
        <v>2</v>
      </c>
      <c r="AN300" s="1">
        <f t="shared" si="265"/>
        <v>0</v>
      </c>
      <c r="AO300" s="1">
        <v>1</v>
      </c>
      <c r="AP300" s="1">
        <v>1</v>
      </c>
      <c r="AQ300" s="1">
        <v>1</v>
      </c>
      <c r="AR300" s="1">
        <v>1</v>
      </c>
      <c r="AS300" s="1">
        <v>1</v>
      </c>
      <c r="AT300" s="1">
        <v>1</v>
      </c>
      <c r="AU300" s="1">
        <v>1</v>
      </c>
      <c r="AV300" s="1">
        <v>1</v>
      </c>
      <c r="AW300" s="1">
        <v>2</v>
      </c>
      <c r="AX300" s="1">
        <v>1</v>
      </c>
      <c r="AY300" s="1">
        <v>2</v>
      </c>
      <c r="AZ300" s="1">
        <v>1</v>
      </c>
      <c r="BA300" s="1">
        <v>2</v>
      </c>
      <c r="BB300" s="1">
        <v>1</v>
      </c>
      <c r="BC300" s="1">
        <v>1</v>
      </c>
      <c r="BD300" s="1">
        <v>1</v>
      </c>
      <c r="BE300" s="1">
        <v>1</v>
      </c>
      <c r="BF300" s="1">
        <v>2</v>
      </c>
      <c r="BG300" s="1">
        <f t="shared" si="266"/>
        <v>0</v>
      </c>
      <c r="BH300" s="1">
        <f t="shared" si="267"/>
        <v>0</v>
      </c>
      <c r="BI300" s="1">
        <v>2</v>
      </c>
      <c r="BJ300" s="1">
        <v>2</v>
      </c>
      <c r="BK300" s="1">
        <v>1</v>
      </c>
      <c r="BL300" s="1">
        <v>1</v>
      </c>
      <c r="BM300" s="1">
        <v>1</v>
      </c>
      <c r="BN300" s="1">
        <v>1</v>
      </c>
      <c r="BO300" s="1">
        <v>1</v>
      </c>
      <c r="BP300" s="1">
        <v>1</v>
      </c>
      <c r="BQ300" s="1">
        <f>IF(HRRVL,1,0)</f>
        <v>0</v>
      </c>
      <c r="BR300" s="1">
        <v>1</v>
      </c>
      <c r="BS300" s="1">
        <v>1</v>
      </c>
      <c r="BT300" s="1">
        <f t="shared" si="268"/>
        <v>0</v>
      </c>
      <c r="BU300" s="1">
        <f t="shared" si="274"/>
        <v>0</v>
      </c>
      <c r="BV300" s="1">
        <v>1</v>
      </c>
      <c r="BW300" s="1">
        <v>1</v>
      </c>
      <c r="BX300" s="1">
        <v>1</v>
      </c>
      <c r="BY300" s="1">
        <v>1</v>
      </c>
      <c r="BZ300" s="1">
        <v>1</v>
      </c>
      <c r="CA300" s="1">
        <v>1</v>
      </c>
      <c r="CB300" s="1">
        <v>1</v>
      </c>
      <c r="CC300" s="1">
        <v>1</v>
      </c>
      <c r="CD300" s="1">
        <v>1</v>
      </c>
      <c r="CE300" s="1">
        <v>1</v>
      </c>
      <c r="CF300" s="1">
        <v>2</v>
      </c>
      <c r="CG300" s="1">
        <f t="shared" si="269"/>
        <v>0</v>
      </c>
      <c r="CH300" s="1">
        <v>2</v>
      </c>
      <c r="CI300" s="1">
        <v>2</v>
      </c>
      <c r="CJ300" s="1">
        <v>1</v>
      </c>
      <c r="CK300" s="1">
        <v>1</v>
      </c>
      <c r="CL300" s="1">
        <v>1</v>
      </c>
      <c r="CM300" s="1">
        <v>1</v>
      </c>
      <c r="CN300" s="1">
        <v>1</v>
      </c>
      <c r="CO300" s="1">
        <v>1</v>
      </c>
      <c r="CP300" s="1">
        <v>1</v>
      </c>
      <c r="CQ300" s="1">
        <v>1</v>
      </c>
      <c r="CR300" s="1">
        <v>1</v>
      </c>
      <c r="CS300" s="1">
        <v>1</v>
      </c>
      <c r="CT300" s="1">
        <v>1</v>
      </c>
      <c r="CU300" s="1">
        <v>1</v>
      </c>
      <c r="CV300" s="1">
        <f t="shared" si="270"/>
        <v>0</v>
      </c>
      <c r="CW300" s="1">
        <v>1</v>
      </c>
      <c r="CX300" s="1">
        <v>2</v>
      </c>
      <c r="CY300" s="1">
        <v>1</v>
      </c>
      <c r="CZ300" s="1">
        <f t="shared" si="271"/>
        <v>0</v>
      </c>
      <c r="DA300" s="1">
        <v>1</v>
      </c>
      <c r="DB300" s="1">
        <v>1</v>
      </c>
      <c r="DC300" s="1">
        <v>1</v>
      </c>
      <c r="DD300" s="1">
        <v>2</v>
      </c>
      <c r="DE300" s="1">
        <v>2</v>
      </c>
      <c r="DF300" s="1">
        <v>2</v>
      </c>
      <c r="DG300" s="1">
        <v>1</v>
      </c>
      <c r="DH300" s="1">
        <v>1</v>
      </c>
      <c r="DI300" s="1">
        <f t="shared" si="272"/>
        <v>0</v>
      </c>
      <c r="DJ300" s="1">
        <v>2</v>
      </c>
      <c r="DK300" s="1" t="s">
        <v>798</v>
      </c>
      <c r="DL300" s="1" t="s">
        <v>150</v>
      </c>
      <c r="DR300" s="1" t="b">
        <f>NOT(ISERROR(FIND("Goblinoid",Subtype,1)))</f>
        <v>0</v>
      </c>
      <c r="DS300" s="1" t="b">
        <f>BaseAtk&gt;=3</f>
        <v>0</v>
      </c>
      <c r="DT300" s="1" t="b">
        <f>SkHideRanks&gt;=8</f>
        <v>0</v>
      </c>
      <c r="DU300" s="1" t="b">
        <f>SkMoveSilentlyRanks&gt;=8</f>
        <v>0</v>
      </c>
      <c r="EA300" s="1" t="b">
        <f t="shared" si="273"/>
        <v>0</v>
      </c>
      <c r="EB300" s="11" t="s">
        <v>334</v>
      </c>
      <c r="EC300" s="1" t="str">
        <f>IF(DR300,"","• Goblinoid subtype
")&amp;IF(DS300,"","• BAB +3
")&amp;IF(DT300,"","• Hide 8 ranks
")&amp;IF(DU300,"","• Move Silently 8 ranks")</f>
        <v>• Goblinoid subtype
• BAB +3
• Hide 8 ranks
• Move Silently 8 ranks</v>
      </c>
      <c r="ED300" s="11" t="s">
        <v>335</v>
      </c>
      <c r="EE300" s="4" t="s">
        <v>828</v>
      </c>
    </row>
    <row r="301" spans="1:149" ht="11.25" customHeight="1" x14ac:dyDescent="0.2">
      <c r="A301" s="1">
        <f t="shared" si="247"/>
        <v>298</v>
      </c>
      <c r="B301" s="1" t="s">
        <v>829</v>
      </c>
      <c r="C301" s="1" t="s">
        <v>830</v>
      </c>
      <c r="D301" s="1" t="s">
        <v>830</v>
      </c>
      <c r="E301" s="1">
        <f t="shared" si="256"/>
        <v>0</v>
      </c>
      <c r="G301" s="1">
        <f>SsGLvl</f>
        <v>0</v>
      </c>
      <c r="K301" s="1">
        <v>4</v>
      </c>
      <c r="L301" s="1">
        <v>8</v>
      </c>
      <c r="V301" s="1">
        <v>0.75</v>
      </c>
      <c r="W301" s="1">
        <v>0.5</v>
      </c>
      <c r="X301" s="1">
        <v>0.34</v>
      </c>
      <c r="Y301" s="1">
        <v>0.5</v>
      </c>
      <c r="Z301" s="1" t="b">
        <f>FALSE</f>
        <v>0</v>
      </c>
      <c r="AA301" s="1" t="str">
        <f t="shared" si="259"/>
        <v/>
      </c>
      <c r="AB301" s="1" t="str">
        <f t="shared" si="260"/>
        <v/>
      </c>
      <c r="AC301" s="1">
        <f t="shared" si="257"/>
        <v>0</v>
      </c>
      <c r="AD301" s="1" t="str">
        <f t="shared" si="261"/>
        <v/>
      </c>
      <c r="AE301" s="1" t="str">
        <f t="shared" si="262"/>
        <v/>
      </c>
      <c r="AF301" s="1">
        <f t="shared" si="258"/>
        <v>0</v>
      </c>
      <c r="AG301" s="1">
        <f t="shared" si="263"/>
        <v>5</v>
      </c>
      <c r="AH301" s="1" t="str">
        <f t="shared" si="250"/>
        <v/>
      </c>
      <c r="AI301" s="1">
        <v>2</v>
      </c>
      <c r="AJ301" s="1">
        <f t="shared" si="264"/>
        <v>0</v>
      </c>
      <c r="AK301" s="1">
        <v>1</v>
      </c>
      <c r="AL301" s="1">
        <v>1</v>
      </c>
      <c r="AM301" s="1">
        <v>2</v>
      </c>
      <c r="AN301" s="1">
        <f t="shared" si="265"/>
        <v>0</v>
      </c>
      <c r="AO301" s="1">
        <v>1</v>
      </c>
      <c r="AP301" s="1">
        <v>2</v>
      </c>
      <c r="AQ301" s="1">
        <v>2</v>
      </c>
      <c r="AR301" s="1">
        <v>2</v>
      </c>
      <c r="AS301" s="1">
        <v>2</v>
      </c>
      <c r="AT301" s="1">
        <v>2</v>
      </c>
      <c r="AU301" s="1">
        <v>2</v>
      </c>
      <c r="AV301" s="1">
        <v>2</v>
      </c>
      <c r="AW301" s="1">
        <v>1</v>
      </c>
      <c r="AX301" s="1">
        <v>1</v>
      </c>
      <c r="AY301" s="1">
        <v>1</v>
      </c>
      <c r="AZ301" s="1">
        <v>1</v>
      </c>
      <c r="BA301" s="1">
        <v>1</v>
      </c>
      <c r="BB301" s="1">
        <v>1</v>
      </c>
      <c r="BC301" s="1">
        <v>1</v>
      </c>
      <c r="BD301" s="1">
        <v>1</v>
      </c>
      <c r="BE301" s="1">
        <v>1</v>
      </c>
      <c r="BF301" s="1">
        <v>1</v>
      </c>
      <c r="BG301" s="1">
        <f t="shared" si="266"/>
        <v>0</v>
      </c>
      <c r="BH301" s="1">
        <f t="shared" si="267"/>
        <v>0</v>
      </c>
      <c r="BI301" s="1">
        <v>2</v>
      </c>
      <c r="BJ301" s="1">
        <v>1</v>
      </c>
      <c r="BK301" s="1">
        <v>1</v>
      </c>
      <c r="BL301" s="1">
        <v>1</v>
      </c>
      <c r="BM301" s="1">
        <v>1</v>
      </c>
      <c r="BN301" s="1">
        <v>1</v>
      </c>
      <c r="BO301" s="1">
        <v>1</v>
      </c>
      <c r="BP301" s="1">
        <v>1</v>
      </c>
      <c r="BQ301" s="1">
        <f>IF(HRRVL,2,0)</f>
        <v>0</v>
      </c>
      <c r="BR301" s="1">
        <v>2</v>
      </c>
      <c r="BS301" s="1">
        <v>1</v>
      </c>
      <c r="BT301" s="1">
        <f t="shared" si="268"/>
        <v>0</v>
      </c>
      <c r="BU301" s="1">
        <f>IF(HRRVL,2,0)</f>
        <v>0</v>
      </c>
      <c r="BV301" s="1">
        <v>2</v>
      </c>
      <c r="BW301" s="1">
        <v>1</v>
      </c>
      <c r="BX301" s="1">
        <v>1</v>
      </c>
      <c r="BY301" s="1">
        <v>1</v>
      </c>
      <c r="BZ301" s="1">
        <v>1</v>
      </c>
      <c r="CA301" s="1">
        <v>1</v>
      </c>
      <c r="CB301" s="1">
        <v>1</v>
      </c>
      <c r="CC301" s="1">
        <v>1</v>
      </c>
      <c r="CD301" s="1">
        <v>1</v>
      </c>
      <c r="CE301" s="1">
        <v>1</v>
      </c>
      <c r="CF301" s="1">
        <v>2</v>
      </c>
      <c r="CG301" s="1">
        <f t="shared" si="269"/>
        <v>0</v>
      </c>
      <c r="CH301" s="1">
        <v>1</v>
      </c>
      <c r="CI301" s="1">
        <v>1</v>
      </c>
      <c r="CJ301" s="1">
        <v>1</v>
      </c>
      <c r="CK301" s="1">
        <v>1</v>
      </c>
      <c r="CL301" s="1">
        <v>1</v>
      </c>
      <c r="CM301" s="1">
        <v>1</v>
      </c>
      <c r="CN301" s="1">
        <v>1</v>
      </c>
      <c r="CO301" s="1">
        <v>1</v>
      </c>
      <c r="CP301" s="1">
        <v>1</v>
      </c>
      <c r="CQ301" s="1">
        <v>1</v>
      </c>
      <c r="CR301" s="1">
        <v>1</v>
      </c>
      <c r="CS301" s="1">
        <v>1</v>
      </c>
      <c r="CT301" s="1">
        <v>1</v>
      </c>
      <c r="CU301" s="1">
        <v>1</v>
      </c>
      <c r="CV301" s="1">
        <f t="shared" si="270"/>
        <v>0</v>
      </c>
      <c r="CW301" s="1">
        <v>1</v>
      </c>
      <c r="CX301" s="1">
        <v>2</v>
      </c>
      <c r="CY301" s="1">
        <v>1</v>
      </c>
      <c r="CZ301" s="1">
        <f t="shared" si="271"/>
        <v>0</v>
      </c>
      <c r="DA301" s="1">
        <v>1</v>
      </c>
      <c r="DB301" s="1">
        <v>1</v>
      </c>
      <c r="DC301" s="1">
        <v>1</v>
      </c>
      <c r="DD301" s="1">
        <v>2</v>
      </c>
      <c r="DE301" s="1">
        <v>2</v>
      </c>
      <c r="DF301" s="1">
        <v>1</v>
      </c>
      <c r="DG301" s="1">
        <v>1</v>
      </c>
      <c r="DH301" s="1">
        <v>1</v>
      </c>
      <c r="DI301" s="1">
        <f t="shared" si="272"/>
        <v>0</v>
      </c>
      <c r="DJ301" s="1">
        <v>1</v>
      </c>
      <c r="DK301" s="1" t="s">
        <v>798</v>
      </c>
      <c r="DL301" s="1" t="s">
        <v>150</v>
      </c>
      <c r="DR301" s="1" t="b">
        <f>OR(RaceCi="Feral gargun",RaceCi="Goliath")</f>
        <v>0</v>
      </c>
      <c r="DS301" s="1" t="b">
        <f>SkKnowledgeNatureRanks&gt;=6</f>
        <v>0</v>
      </c>
      <c r="DT301" s="1" t="b">
        <f>SkSurvivalRanks&gt;=8</f>
        <v>0</v>
      </c>
      <c r="DU301" s="1" t="b">
        <f>OR(FtEndurance,FtKoboldEndurance)</f>
        <v>0</v>
      </c>
      <c r="DV301" s="1" t="b">
        <f>FtStoneForm</f>
        <v>0</v>
      </c>
      <c r="DW301" s="1" t="b">
        <f>WildShapeAmount&gt;0</f>
        <v>0</v>
      </c>
      <c r="EA301" s="1" t="b">
        <f t="shared" si="273"/>
        <v>0</v>
      </c>
      <c r="EB301" s="11" t="s">
        <v>334</v>
      </c>
      <c r="EC301" s="1" t="str">
        <f>IF(DR301,"","• Race: Feral gargun or Goliath
")&amp;IF(DS301,"","• Knowledge(nature) 6 ranks
")&amp;IF(DT301,"","• Survival 8 ranks
")&amp;IF(DU301,"","• Endurance feat
")&amp;IF(DV301,"","• Stone Form feat
")&amp;IF(DW301,"","• Wild shape ability")</f>
        <v>• Race: Feral gargun or Goliath
• Knowledge(nature) 6 ranks
• Survival 8 ranks
• Endurance feat
• Stone Form feat
• Wild shape ability</v>
      </c>
      <c r="ED301" s="11" t="s">
        <v>335</v>
      </c>
      <c r="EE301" s="5" t="s">
        <v>106</v>
      </c>
      <c r="EF301" s="6" t="s">
        <v>26</v>
      </c>
      <c r="EG301" s="6" t="s">
        <v>548</v>
      </c>
      <c r="EH301" s="6" t="s">
        <v>831</v>
      </c>
      <c r="EI301" s="6" t="s">
        <v>645</v>
      </c>
      <c r="EJ301" s="6" t="s">
        <v>52</v>
      </c>
      <c r="EK301" s="6" t="s">
        <v>110</v>
      </c>
      <c r="EL301" s="6" t="s">
        <v>111</v>
      </c>
      <c r="EM301" s="6" t="s">
        <v>112</v>
      </c>
      <c r="EN301" s="6" t="s">
        <v>113</v>
      </c>
      <c r="EO301" s="7" t="s">
        <v>832</v>
      </c>
    </row>
    <row r="302" spans="1:149" ht="11.25" customHeight="1" x14ac:dyDescent="0.2">
      <c r="A302" s="1">
        <f t="shared" si="247"/>
        <v>299</v>
      </c>
      <c r="B302" s="1" t="s">
        <v>833</v>
      </c>
      <c r="E302" s="1">
        <f t="shared" si="256"/>
        <v>0</v>
      </c>
      <c r="F302" s="1">
        <v>1</v>
      </c>
      <c r="Z302" s="1" t="b">
        <f>FALSE</f>
        <v>0</v>
      </c>
      <c r="AA302" s="1" t="str">
        <f t="shared" si="259"/>
        <v/>
      </c>
      <c r="AB302" s="1" t="str">
        <f t="shared" si="260"/>
        <v/>
      </c>
      <c r="AC302" s="1">
        <f t="shared" si="257"/>
        <v>0</v>
      </c>
      <c r="AD302" s="1" t="str">
        <f t="shared" si="261"/>
        <v/>
      </c>
      <c r="AE302" s="1" t="str">
        <f t="shared" si="262"/>
        <v/>
      </c>
      <c r="AF302" s="1">
        <f t="shared" si="258"/>
        <v>0</v>
      </c>
      <c r="AG302" s="1">
        <f t="shared" si="263"/>
        <v>5</v>
      </c>
      <c r="AH302" s="1" t="str">
        <f t="shared" si="250"/>
        <v/>
      </c>
      <c r="EB302" s="11"/>
      <c r="ED302" s="11" t="s">
        <v>335</v>
      </c>
      <c r="EE302" s="8" t="s">
        <v>353</v>
      </c>
      <c r="EF302" s="9">
        <v>6</v>
      </c>
      <c r="EG302" s="9" t="s">
        <v>834</v>
      </c>
      <c r="EH302" s="9">
        <f>3+3*(DwDLvl&gt;=10)</f>
        <v>3</v>
      </c>
      <c r="EI302" s="9" t="b">
        <f t="shared" ref="EI302:EI358" si="276">(INDEX(TblClasses,MATCH($EE302,TblTLAList,0),ClassInfoLevelColumn)&gt;=$EF302)</f>
        <v>0</v>
      </c>
      <c r="EJ302" s="9" t="str">
        <f t="shared" ref="EJ302:EJ358" si="277">IF($EI302,$EE302&amp;$EF302,"")</f>
        <v/>
      </c>
      <c r="EK302" s="9">
        <f t="shared" ref="EK302:EK358" si="278">IF($EI302,MATCH($EJ302,TblClassN,0),99)</f>
        <v>99</v>
      </c>
      <c r="EL302" s="9">
        <f t="shared" ref="EL302:EL358" si="279">IF($EI302,IF(HRGestalt,MATCH($EJ302,TblGClassN,0),99),99)</f>
        <v>99</v>
      </c>
      <c r="EM302" s="9">
        <f t="shared" ref="EM302:EM358" si="280">IF($EI302,IF(HasVirtualClasses,MATCH($EJ302,TblClass3,0),99),99)</f>
        <v>99</v>
      </c>
      <c r="EN302" s="9">
        <f t="shared" ref="EN302:EN358" si="281">IF($EI302,MIN(IF(ISNA($EK302),99,$EK302),IF(ISNA($EL302),99,$EL302),IF(ISNA($EM302),99,$EM302)),99)</f>
        <v>99</v>
      </c>
      <c r="EO302" s="10" t="str">
        <f t="shared" ref="EO302:EO358" si="282">IF($EN302&lt;=LvlCS,IF($EH302&gt;0,$EH302&amp;"/"&amp;$EG302,""),"")</f>
        <v/>
      </c>
    </row>
    <row r="303" spans="1:149" ht="11.25" customHeight="1" x14ac:dyDescent="0.2">
      <c r="A303" s="1">
        <f t="shared" si="247"/>
        <v>300</v>
      </c>
      <c r="B303" s="1" t="s">
        <v>835</v>
      </c>
      <c r="C303" s="1" t="s">
        <v>836</v>
      </c>
      <c r="D303" s="1" t="s">
        <v>836</v>
      </c>
      <c r="E303" s="1">
        <f t="shared" si="256"/>
        <v>0</v>
      </c>
      <c r="K303" s="1">
        <v>4</v>
      </c>
      <c r="L303" s="1">
        <v>8</v>
      </c>
      <c r="N303" s="1" t="b">
        <v>1</v>
      </c>
      <c r="O303" s="1" t="b">
        <v>1</v>
      </c>
      <c r="P303" s="1" t="b">
        <v>1</v>
      </c>
      <c r="Q303" s="1" t="b">
        <v>1</v>
      </c>
      <c r="S303" s="1" t="b">
        <v>1</v>
      </c>
      <c r="T303" s="1" t="b">
        <v>1</v>
      </c>
      <c r="V303" s="1">
        <v>0.75</v>
      </c>
      <c r="W303" s="1">
        <v>0.34</v>
      </c>
      <c r="X303" s="1">
        <v>0.34</v>
      </c>
      <c r="Y303" s="1">
        <v>0.34</v>
      </c>
      <c r="Z303" s="1" t="b">
        <f>FALSE</f>
        <v>0</v>
      </c>
      <c r="AA303" s="1" t="str">
        <f t="shared" si="259"/>
        <v/>
      </c>
      <c r="AB303" s="1" t="str">
        <f t="shared" si="260"/>
        <v/>
      </c>
      <c r="AC303" s="1">
        <f t="shared" si="257"/>
        <v>0</v>
      </c>
      <c r="AD303" s="1" t="str">
        <f t="shared" si="261"/>
        <v/>
      </c>
      <c r="AE303" s="1" t="str">
        <f t="shared" si="262"/>
        <v/>
      </c>
      <c r="AF303" s="1">
        <f t="shared" si="258"/>
        <v>0</v>
      </c>
      <c r="AG303" s="1">
        <f t="shared" si="263"/>
        <v>5</v>
      </c>
      <c r="AH303" s="1" t="str">
        <f t="shared" si="250"/>
        <v/>
      </c>
      <c r="AI303" s="1">
        <v>1</v>
      </c>
      <c r="AJ303" s="1">
        <f t="shared" ref="AJ303:AJ309" si="283">IF(HRXPH,1,0)</f>
        <v>0</v>
      </c>
      <c r="AK303" s="1">
        <v>1</v>
      </c>
      <c r="AL303" s="1">
        <v>2</v>
      </c>
      <c r="AM303" s="1">
        <v>1</v>
      </c>
      <c r="AN303" s="1">
        <f t="shared" ref="AN303:AN309" si="284">IF(IsLycanthrope,2,0)</f>
        <v>0</v>
      </c>
      <c r="AO303" s="1">
        <v>2</v>
      </c>
      <c r="AP303" s="1">
        <v>2</v>
      </c>
      <c r="AQ303" s="1">
        <v>2</v>
      </c>
      <c r="AR303" s="1">
        <v>2</v>
      </c>
      <c r="AS303" s="1">
        <v>2</v>
      </c>
      <c r="AT303" s="1">
        <v>2</v>
      </c>
      <c r="AU303" s="1">
        <v>2</v>
      </c>
      <c r="AV303" s="1">
        <v>2</v>
      </c>
      <c r="AW303" s="1">
        <v>1</v>
      </c>
      <c r="AX303" s="1">
        <v>1</v>
      </c>
      <c r="AY303" s="1">
        <v>1</v>
      </c>
      <c r="AZ303" s="1">
        <v>2</v>
      </c>
      <c r="BA303" s="1">
        <v>1</v>
      </c>
      <c r="BB303" s="1">
        <v>1</v>
      </c>
      <c r="BC303" s="1">
        <v>1</v>
      </c>
      <c r="BD303" s="1">
        <v>1</v>
      </c>
      <c r="BE303" s="1">
        <v>1</v>
      </c>
      <c r="BF303" s="1">
        <v>1</v>
      </c>
      <c r="BG303" s="1">
        <f t="shared" ref="BG303:BG309" si="285">IF(HRRVL,1,0)</f>
        <v>0</v>
      </c>
      <c r="BH303" s="1">
        <f t="shared" ref="BH303:BH309" si="286">IF(HROA,1,0)</f>
        <v>0</v>
      </c>
      <c r="BI303" s="1">
        <v>1</v>
      </c>
      <c r="BJ303" s="1">
        <v>1</v>
      </c>
      <c r="BK303" s="1">
        <v>1</v>
      </c>
      <c r="BL303" s="1">
        <v>1</v>
      </c>
      <c r="BM303" s="1">
        <v>1</v>
      </c>
      <c r="BN303" s="1">
        <v>1</v>
      </c>
      <c r="BO303" s="1">
        <v>1</v>
      </c>
      <c r="BP303" s="1">
        <v>1</v>
      </c>
      <c r="BQ303" s="1">
        <f t="shared" ref="BQ303:BQ309" si="287">IF(HRRVL,1,0)</f>
        <v>0</v>
      </c>
      <c r="BR303" s="1">
        <v>1</v>
      </c>
      <c r="BS303" s="1">
        <v>1</v>
      </c>
      <c r="BT303" s="1">
        <f t="shared" ref="BT303:BT309" si="288">IF(HRXPH,1,0)</f>
        <v>0</v>
      </c>
      <c r="BU303" s="1">
        <f t="shared" ref="BU303:BU309" si="289">IF(HRRVL,1,0)</f>
        <v>0</v>
      </c>
      <c r="BV303" s="1">
        <v>1</v>
      </c>
      <c r="BW303" s="1">
        <v>1</v>
      </c>
      <c r="BX303" s="1">
        <v>1</v>
      </c>
      <c r="BY303" s="1">
        <v>1</v>
      </c>
      <c r="BZ303" s="1">
        <v>1</v>
      </c>
      <c r="CA303" s="1">
        <v>1</v>
      </c>
      <c r="CB303" s="1">
        <v>1</v>
      </c>
      <c r="CC303" s="1">
        <v>1</v>
      </c>
      <c r="CD303" s="1">
        <v>1</v>
      </c>
      <c r="CE303" s="1">
        <v>1</v>
      </c>
      <c r="CF303" s="1">
        <v>1</v>
      </c>
      <c r="CG303" s="1">
        <f t="shared" ref="CG303:CG309" si="290">IF(HRToB,1,0)</f>
        <v>0</v>
      </c>
      <c r="CH303" s="1">
        <v>1</v>
      </c>
      <c r="CI303" s="1">
        <v>1</v>
      </c>
      <c r="CJ303" s="1">
        <v>1</v>
      </c>
      <c r="CK303" s="1">
        <v>1</v>
      </c>
      <c r="CL303" s="1">
        <v>1</v>
      </c>
      <c r="CM303" s="1">
        <v>1</v>
      </c>
      <c r="CN303" s="1">
        <v>1</v>
      </c>
      <c r="CO303" s="1">
        <v>1</v>
      </c>
      <c r="CP303" s="1">
        <v>2</v>
      </c>
      <c r="CQ303" s="1">
        <v>2</v>
      </c>
      <c r="CR303" s="1">
        <v>2</v>
      </c>
      <c r="CS303" s="1">
        <v>2</v>
      </c>
      <c r="CT303" s="1">
        <v>2</v>
      </c>
      <c r="CU303" s="1">
        <v>2</v>
      </c>
      <c r="CV303" s="1">
        <f t="shared" ref="CV303:CV309" si="291">IF(HRXPH,1,0)</f>
        <v>0</v>
      </c>
      <c r="CW303" s="1">
        <v>1</v>
      </c>
      <c r="CX303" s="1">
        <v>1</v>
      </c>
      <c r="CY303" s="1">
        <v>2</v>
      </c>
      <c r="CZ303" s="1">
        <f t="shared" ref="CZ303:CZ309" si="292">IF(HRCS,1,0)</f>
        <v>0</v>
      </c>
      <c r="DA303" s="1">
        <v>1</v>
      </c>
      <c r="DB303" s="1">
        <v>1</v>
      </c>
      <c r="DC303" s="1">
        <v>1</v>
      </c>
      <c r="DD303" s="1">
        <v>1</v>
      </c>
      <c r="DE303" s="1">
        <v>1</v>
      </c>
      <c r="DF303" s="1">
        <v>2</v>
      </c>
      <c r="DG303" s="1">
        <v>1</v>
      </c>
      <c r="DH303" s="1">
        <v>2</v>
      </c>
      <c r="DI303" s="1">
        <f t="shared" ref="DI303:DI309" si="293">IF(HRXPH,1,0)</f>
        <v>0</v>
      </c>
      <c r="DJ303" s="1">
        <v>1</v>
      </c>
      <c r="DK303" s="1" t="s">
        <v>837</v>
      </c>
      <c r="DL303" s="1" t="s">
        <v>101</v>
      </c>
      <c r="DR303" s="1" t="b">
        <f>OR(RaceCi="Human",RaceCi="Doppelganger")</f>
        <v>0</v>
      </c>
      <c r="DS303" s="1" t="b">
        <f>SkBluffRanks&gt;=8</f>
        <v>0</v>
      </c>
      <c r="DT303" s="1" t="b">
        <f>SkDisguiseRanks&gt;=8</f>
        <v>0</v>
      </c>
      <c r="DU303" s="1" t="b">
        <f>SkSenseMotiveRanks&gt;=4</f>
        <v>0</v>
      </c>
      <c r="DV303" s="1" t="b">
        <f>SkSpellcraftRanks&gt;=4</f>
        <v>0</v>
      </c>
      <c r="DW303" s="1" t="b">
        <f>FtAbleLearner</f>
        <v>0</v>
      </c>
      <c r="EA303" s="1" t="b">
        <f t="shared" ref="EA303:EA309" si="294">AND(DM303:DZ303)</f>
        <v>0</v>
      </c>
      <c r="EB303" s="11" t="s">
        <v>334</v>
      </c>
      <c r="EC303" s="1" t="str">
        <f>IF(DR303,"","• Human or Doppelganger.
")&amp;IF(DS303,"","• 8 ranks in Bluff.
")&amp;IF(DT303,"","• 8 ranks in Disguise.
")&amp;IF(DU303,"","• 4 ranks in Sense Motive.
")&amp;IF(DV303,"","• 4 ranks in Spellcraft.
")&amp;IF(DW303,"","• Able Learner feat.")</f>
        <v>• Human or Doppelganger.
• 8 ranks in Bluff.
• 8 ranks in Disguise.
• 4 ranks in Sense Motive.
• 4 ranks in Spellcraft.
• Able Learner feat.</v>
      </c>
      <c r="ED303" s="11" t="s">
        <v>335</v>
      </c>
      <c r="EE303" s="8" t="s">
        <v>38</v>
      </c>
      <c r="EF303" s="9">
        <v>7</v>
      </c>
      <c r="EG303" s="9" t="s">
        <v>834</v>
      </c>
      <c r="EH303" s="9">
        <f>IF(EI303,INT((BbnLvl-4)/3),0)-1*(AND(BbnLvl&gt;=7,RslHoBbn7))*NOT(AND(BbnLvl&gt;=7,RslDkBbn7))</f>
        <v>0</v>
      </c>
      <c r="EI303" s="9" t="b">
        <f>AND((INDEX(TblClasses,MATCH($EE303,TblTLAList,0),ClassInfoLevelColumn)&gt;=$EF303),NOT(RslGoBbn7))</f>
        <v>0</v>
      </c>
      <c r="EJ303" s="9" t="str">
        <f t="shared" si="277"/>
        <v/>
      </c>
      <c r="EK303" s="9">
        <f t="shared" si="278"/>
        <v>99</v>
      </c>
      <c r="EL303" s="9">
        <f t="shared" si="279"/>
        <v>99</v>
      </c>
      <c r="EM303" s="9">
        <f t="shared" si="280"/>
        <v>99</v>
      </c>
      <c r="EN303" s="9">
        <f t="shared" si="281"/>
        <v>99</v>
      </c>
      <c r="EO303" s="10" t="str">
        <f t="shared" si="282"/>
        <v/>
      </c>
    </row>
    <row r="304" spans="1:149" ht="11.25" customHeight="1" x14ac:dyDescent="0.2">
      <c r="A304" s="1">
        <f t="shared" si="247"/>
        <v>301</v>
      </c>
      <c r="B304" s="1" t="s">
        <v>838</v>
      </c>
      <c r="C304" s="1" t="s">
        <v>839</v>
      </c>
      <c r="D304" s="1" t="s">
        <v>839</v>
      </c>
      <c r="E304" s="1">
        <f t="shared" si="256"/>
        <v>0</v>
      </c>
      <c r="G304" s="1">
        <f>MAX(LdlLvl-1,0)</f>
        <v>0</v>
      </c>
      <c r="K304" s="1">
        <v>6</v>
      </c>
      <c r="L304" s="1">
        <v>6</v>
      </c>
      <c r="V304" s="1">
        <v>0.5</v>
      </c>
      <c r="W304" s="1">
        <v>0.34</v>
      </c>
      <c r="X304" s="1">
        <v>0.5</v>
      </c>
      <c r="Y304" s="1">
        <v>0.5</v>
      </c>
      <c r="Z304" s="1" t="b">
        <f>FALSE</f>
        <v>0</v>
      </c>
      <c r="AA304" s="1" t="str">
        <f t="shared" si="259"/>
        <v/>
      </c>
      <c r="AB304" s="1" t="str">
        <f t="shared" si="260"/>
        <v/>
      </c>
      <c r="AC304" s="1">
        <f t="shared" si="257"/>
        <v>0</v>
      </c>
      <c r="AD304" s="1" t="str">
        <f t="shared" si="261"/>
        <v/>
      </c>
      <c r="AE304" s="1" t="str">
        <f t="shared" si="262"/>
        <v/>
      </c>
      <c r="AF304" s="1">
        <f t="shared" si="258"/>
        <v>0</v>
      </c>
      <c r="AG304" s="1">
        <f t="shared" si="263"/>
        <v>5</v>
      </c>
      <c r="AH304" s="1" t="str">
        <f t="shared" si="250"/>
        <v/>
      </c>
      <c r="AI304" s="1">
        <v>1</v>
      </c>
      <c r="AJ304" s="1">
        <f t="shared" si="283"/>
        <v>0</v>
      </c>
      <c r="AK304" s="1">
        <v>2</v>
      </c>
      <c r="AL304" s="1">
        <v>1</v>
      </c>
      <c r="AM304" s="1">
        <v>2</v>
      </c>
      <c r="AN304" s="1">
        <f t="shared" si="284"/>
        <v>0</v>
      </c>
      <c r="AO304" s="1">
        <v>2</v>
      </c>
      <c r="AP304" s="1">
        <v>1</v>
      </c>
      <c r="AQ304" s="1">
        <v>1</v>
      </c>
      <c r="AR304" s="1">
        <v>1</v>
      </c>
      <c r="AS304" s="1">
        <v>1</v>
      </c>
      <c r="AT304" s="1">
        <v>1</v>
      </c>
      <c r="AU304" s="1">
        <v>1</v>
      </c>
      <c r="AV304" s="1">
        <v>1</v>
      </c>
      <c r="AW304" s="1">
        <v>2</v>
      </c>
      <c r="AX304" s="1">
        <v>1</v>
      </c>
      <c r="AY304" s="1">
        <v>2</v>
      </c>
      <c r="AZ304" s="1">
        <v>1</v>
      </c>
      <c r="BA304" s="1">
        <v>1</v>
      </c>
      <c r="BB304" s="1">
        <v>1</v>
      </c>
      <c r="BC304" s="1">
        <v>1</v>
      </c>
      <c r="BD304" s="1">
        <v>1</v>
      </c>
      <c r="BE304" s="1">
        <v>1</v>
      </c>
      <c r="BF304" s="1">
        <v>1</v>
      </c>
      <c r="BG304" s="1">
        <f t="shared" si="285"/>
        <v>0</v>
      </c>
      <c r="BH304" s="1">
        <f t="shared" si="286"/>
        <v>0</v>
      </c>
      <c r="BI304" s="1">
        <v>1</v>
      </c>
      <c r="BJ304" s="1">
        <v>2</v>
      </c>
      <c r="BK304" s="1">
        <v>2</v>
      </c>
      <c r="BL304" s="1">
        <v>2</v>
      </c>
      <c r="BM304" s="1">
        <v>2</v>
      </c>
      <c r="BN304" s="1">
        <v>1</v>
      </c>
      <c r="BO304" s="1">
        <v>2</v>
      </c>
      <c r="BP304" s="1">
        <v>1</v>
      </c>
      <c r="BQ304" s="1">
        <f t="shared" si="287"/>
        <v>0</v>
      </c>
      <c r="BR304" s="1">
        <v>1</v>
      </c>
      <c r="BS304" s="1">
        <v>1</v>
      </c>
      <c r="BT304" s="1">
        <f t="shared" si="288"/>
        <v>0</v>
      </c>
      <c r="BU304" s="1">
        <f t="shared" si="289"/>
        <v>0</v>
      </c>
      <c r="BV304" s="1">
        <v>1</v>
      </c>
      <c r="BW304" s="1">
        <v>1</v>
      </c>
      <c r="BX304" s="1">
        <v>1</v>
      </c>
      <c r="BY304" s="1">
        <v>1</v>
      </c>
      <c r="BZ304" s="1">
        <v>1</v>
      </c>
      <c r="CA304" s="1">
        <v>1</v>
      </c>
      <c r="CB304" s="1">
        <v>1</v>
      </c>
      <c r="CC304" s="1">
        <v>1</v>
      </c>
      <c r="CD304" s="1">
        <v>1</v>
      </c>
      <c r="CE304" s="1">
        <v>1</v>
      </c>
      <c r="CF304" s="1">
        <v>1</v>
      </c>
      <c r="CG304" s="1">
        <f t="shared" si="290"/>
        <v>0</v>
      </c>
      <c r="CH304" s="1">
        <v>1</v>
      </c>
      <c r="CI304" s="1">
        <v>2</v>
      </c>
      <c r="CJ304" s="1">
        <v>1</v>
      </c>
      <c r="CK304" s="1">
        <v>1</v>
      </c>
      <c r="CL304" s="1">
        <v>1</v>
      </c>
      <c r="CM304" s="1">
        <v>1</v>
      </c>
      <c r="CN304" s="1">
        <v>1</v>
      </c>
      <c r="CO304" s="1">
        <v>1</v>
      </c>
      <c r="CP304" s="1">
        <v>2</v>
      </c>
      <c r="CQ304" s="1">
        <v>2</v>
      </c>
      <c r="CR304" s="1">
        <v>2</v>
      </c>
      <c r="CS304" s="1">
        <v>2</v>
      </c>
      <c r="CT304" s="1">
        <v>2</v>
      </c>
      <c r="CU304" s="1">
        <v>2</v>
      </c>
      <c r="CV304" s="1">
        <f t="shared" si="291"/>
        <v>0</v>
      </c>
      <c r="CW304" s="1">
        <v>1</v>
      </c>
      <c r="CX304" s="1">
        <v>2</v>
      </c>
      <c r="CY304" s="1">
        <v>1</v>
      </c>
      <c r="CZ304" s="1">
        <f t="shared" si="292"/>
        <v>0</v>
      </c>
      <c r="DA304" s="1">
        <v>1</v>
      </c>
      <c r="DB304" s="1">
        <v>2</v>
      </c>
      <c r="DC304" s="1">
        <v>2</v>
      </c>
      <c r="DD304" s="1">
        <v>1</v>
      </c>
      <c r="DE304" s="1">
        <v>1</v>
      </c>
      <c r="DF304" s="1">
        <v>1</v>
      </c>
      <c r="DG304" s="1">
        <v>1</v>
      </c>
      <c r="DH304" s="1">
        <v>1</v>
      </c>
      <c r="DI304" s="1">
        <f t="shared" si="293"/>
        <v>0</v>
      </c>
      <c r="DJ304" s="1">
        <v>1</v>
      </c>
      <c r="DK304" s="1" t="s">
        <v>837</v>
      </c>
      <c r="DL304" s="1" t="s">
        <v>150</v>
      </c>
      <c r="DR304" s="1" t="b">
        <f>SkDecipherScriptRanks&gt;=10</f>
        <v>0</v>
      </c>
      <c r="DS304" s="1" t="b">
        <f>SkDisableDeviceRanks&gt;=5</f>
        <v>0</v>
      </c>
      <c r="DT304" s="1" t="b">
        <f>SkKnowledgeArcanaRanks&gt;=10</f>
        <v>0</v>
      </c>
      <c r="DU304" s="1" t="b">
        <f>SkKnowledgeDungeoneeringRanks&gt;=5</f>
        <v>0</v>
      </c>
      <c r="DV304" s="1" t="b">
        <f ca="1">MaxArcaneSpellLevel&gt;=3</f>
        <v>0</v>
      </c>
      <c r="DW304" s="1" t="b">
        <f>RaceCi="illumian"</f>
        <v>0</v>
      </c>
      <c r="DX304" s="1" t="b">
        <f>hasTrapfinding</f>
        <v>0</v>
      </c>
      <c r="EA304" s="1" t="b">
        <f ca="1">AND(DM304:DZ304)</f>
        <v>0</v>
      </c>
      <c r="EB304" s="11" t="s">
        <v>334</v>
      </c>
      <c r="EC304" s="1" t="str">
        <f ca="1">IF(DR304,"","• 10 ranks in Decipher Script.
")&amp;IF(DS304,"","• 5 ranks in Disable Device.
")&amp;IF(DT304,"","• 10 ranks in Knowledge (arcana).
")&amp;IF(DU304,"","• 5 ranks in Knowledge (dungeoneering).
")&amp;IF(DV304,"","• Able to cast at least one 3rd level arcane divination spell.
")&amp;IF(DW304,"","• Illumian race.
")&amp;IF(DX304,"","• Trapfinding class feature.")</f>
        <v>• 10 ranks in Decipher Script.
• 5 ranks in Disable Device.
• 10 ranks in Knowledge (arcana).
• 5 ranks in Knowledge (dungeoneering).
• Able to cast at least one 3rd level arcane divination spell.
• Illumian race.
• Trapfinding class feature.</v>
      </c>
      <c r="ED304" s="11" t="s">
        <v>335</v>
      </c>
      <c r="EE304" s="8" t="s">
        <v>38</v>
      </c>
      <c r="EF304" s="9">
        <v>7</v>
      </c>
      <c r="EG304" s="9" t="s">
        <v>840</v>
      </c>
      <c r="EH304" s="9">
        <f>IF(EI304,INT((BbnLvl-4)/3),0)*2</f>
        <v>0</v>
      </c>
      <c r="EI304" s="9" t="b">
        <f>AND((INDEX(TblClasses,MATCH($EE304,TblTLAList,0),ClassInfoLevelColumn)&gt;=$EF304),RslGoBbn7)</f>
        <v>0</v>
      </c>
      <c r="EJ304" s="9" t="str">
        <f t="shared" si="277"/>
        <v/>
      </c>
      <c r="EK304" s="9">
        <f t="shared" si="278"/>
        <v>99</v>
      </c>
      <c r="EL304" s="9">
        <f t="shared" si="279"/>
        <v>99</v>
      </c>
      <c r="EM304" s="9">
        <f t="shared" si="280"/>
        <v>99</v>
      </c>
      <c r="EN304" s="9">
        <f t="shared" si="281"/>
        <v>99</v>
      </c>
      <c r="EO304" s="10" t="str">
        <f t="shared" si="282"/>
        <v/>
      </c>
    </row>
    <row r="305" spans="1:145" ht="11.25" customHeight="1" x14ac:dyDescent="0.2">
      <c r="A305" s="1">
        <f t="shared" si="247"/>
        <v>302</v>
      </c>
      <c r="B305" s="1" t="s">
        <v>841</v>
      </c>
      <c r="C305" s="1" t="s">
        <v>842</v>
      </c>
      <c r="D305" s="1" t="s">
        <v>842</v>
      </c>
      <c r="E305" s="1">
        <f t="shared" si="256"/>
        <v>0</v>
      </c>
      <c r="K305" s="1">
        <v>4</v>
      </c>
      <c r="L305" s="1">
        <v>10</v>
      </c>
      <c r="V305" s="1">
        <v>1</v>
      </c>
      <c r="W305" s="1">
        <v>0.5</v>
      </c>
      <c r="X305" s="1">
        <v>0.34</v>
      </c>
      <c r="Y305" s="1">
        <v>0.34</v>
      </c>
      <c r="Z305" s="1" t="b">
        <f>FALSE</f>
        <v>0</v>
      </c>
      <c r="AA305" s="1" t="str">
        <f t="shared" si="259"/>
        <v/>
      </c>
      <c r="AB305" s="1" t="str">
        <f t="shared" si="260"/>
        <v/>
      </c>
      <c r="AC305" s="1">
        <f t="shared" si="257"/>
        <v>0</v>
      </c>
      <c r="AD305" s="1" t="str">
        <f t="shared" si="261"/>
        <v/>
      </c>
      <c r="AE305" s="1" t="str">
        <f t="shared" si="262"/>
        <v/>
      </c>
      <c r="AF305" s="1">
        <f t="shared" si="258"/>
        <v>0</v>
      </c>
      <c r="AG305" s="1">
        <f t="shared" si="263"/>
        <v>5</v>
      </c>
      <c r="AH305" s="1" t="str">
        <f t="shared" si="250"/>
        <v/>
      </c>
      <c r="AI305" s="1">
        <v>1</v>
      </c>
      <c r="AJ305" s="1">
        <f t="shared" si="283"/>
        <v>0</v>
      </c>
      <c r="AK305" s="1">
        <v>1</v>
      </c>
      <c r="AL305" s="1">
        <v>1</v>
      </c>
      <c r="AM305" s="1">
        <v>2</v>
      </c>
      <c r="AN305" s="1">
        <f t="shared" si="284"/>
        <v>0</v>
      </c>
      <c r="AO305" s="1">
        <v>1</v>
      </c>
      <c r="AP305" s="1">
        <v>1</v>
      </c>
      <c r="AQ305" s="1">
        <v>1</v>
      </c>
      <c r="AR305" s="1">
        <v>1</v>
      </c>
      <c r="AS305" s="1">
        <v>1</v>
      </c>
      <c r="AT305" s="1">
        <v>1</v>
      </c>
      <c r="AU305" s="1">
        <v>1</v>
      </c>
      <c r="AV305" s="1">
        <v>1</v>
      </c>
      <c r="AW305" s="1">
        <v>1</v>
      </c>
      <c r="AX305" s="1">
        <v>1</v>
      </c>
      <c r="AY305" s="1">
        <v>1</v>
      </c>
      <c r="AZ305" s="1">
        <v>1</v>
      </c>
      <c r="BA305" s="1">
        <v>1</v>
      </c>
      <c r="BB305" s="1">
        <v>1</v>
      </c>
      <c r="BC305" s="1">
        <v>2</v>
      </c>
      <c r="BD305" s="1">
        <v>1</v>
      </c>
      <c r="BE305" s="1">
        <v>1</v>
      </c>
      <c r="BF305" s="1">
        <v>1</v>
      </c>
      <c r="BG305" s="1">
        <f t="shared" si="285"/>
        <v>0</v>
      </c>
      <c r="BH305" s="1">
        <f t="shared" si="286"/>
        <v>0</v>
      </c>
      <c r="BI305" s="1">
        <v>2</v>
      </c>
      <c r="BJ305" s="1">
        <v>2</v>
      </c>
      <c r="BK305" s="1">
        <v>1</v>
      </c>
      <c r="BL305" s="1">
        <v>1</v>
      </c>
      <c r="BM305" s="1">
        <v>1</v>
      </c>
      <c r="BN305" s="1">
        <v>1</v>
      </c>
      <c r="BO305" s="1">
        <v>1</v>
      </c>
      <c r="BP305" s="1">
        <f>1+NOT(HRLivingGreyhawk)</f>
        <v>2</v>
      </c>
      <c r="BQ305" s="1">
        <f t="shared" si="287"/>
        <v>0</v>
      </c>
      <c r="BR305" s="1">
        <v>1</v>
      </c>
      <c r="BS305" s="1">
        <v>1</v>
      </c>
      <c r="BT305" s="1">
        <f t="shared" si="288"/>
        <v>0</v>
      </c>
      <c r="BU305" s="1">
        <f t="shared" si="289"/>
        <v>0</v>
      </c>
      <c r="BV305" s="1">
        <v>1</v>
      </c>
      <c r="BW305" s="1">
        <v>1</v>
      </c>
      <c r="BX305" s="1">
        <v>1</v>
      </c>
      <c r="BY305" s="1">
        <v>1</v>
      </c>
      <c r="BZ305" s="1">
        <v>1</v>
      </c>
      <c r="CA305" s="1">
        <v>1</v>
      </c>
      <c r="CB305" s="1">
        <v>1</v>
      </c>
      <c r="CC305" s="1">
        <v>1</v>
      </c>
      <c r="CD305" s="1">
        <v>1</v>
      </c>
      <c r="CE305" s="1">
        <v>1</v>
      </c>
      <c r="CF305" s="1">
        <v>2</v>
      </c>
      <c r="CG305" s="1">
        <f t="shared" si="290"/>
        <v>0</v>
      </c>
      <c r="CH305" s="1">
        <v>1</v>
      </c>
      <c r="CI305" s="1">
        <v>1</v>
      </c>
      <c r="CJ305" s="1">
        <v>1</v>
      </c>
      <c r="CK305" s="1">
        <v>1</v>
      </c>
      <c r="CL305" s="1">
        <v>1</v>
      </c>
      <c r="CM305" s="1">
        <v>1</v>
      </c>
      <c r="CN305" s="1">
        <v>1</v>
      </c>
      <c r="CO305" s="1">
        <v>1</v>
      </c>
      <c r="CP305" s="1">
        <v>1</v>
      </c>
      <c r="CQ305" s="1">
        <v>1</v>
      </c>
      <c r="CR305" s="1">
        <v>1</v>
      </c>
      <c r="CS305" s="1">
        <v>1</v>
      </c>
      <c r="CT305" s="1">
        <v>1</v>
      </c>
      <c r="CU305" s="1">
        <v>1</v>
      </c>
      <c r="CV305" s="1">
        <f t="shared" si="291"/>
        <v>0</v>
      </c>
      <c r="CW305" s="1">
        <v>1</v>
      </c>
      <c r="CX305" s="1">
        <v>2</v>
      </c>
      <c r="CY305" s="1">
        <v>2</v>
      </c>
      <c r="CZ305" s="1">
        <f t="shared" si="292"/>
        <v>0</v>
      </c>
      <c r="DA305" s="1">
        <v>1</v>
      </c>
      <c r="DB305" s="1">
        <v>1</v>
      </c>
      <c r="DC305" s="1">
        <v>1</v>
      </c>
      <c r="DD305" s="1">
        <v>2</v>
      </c>
      <c r="DE305" s="1">
        <v>1</v>
      </c>
      <c r="DF305" s="1">
        <v>1</v>
      </c>
      <c r="DG305" s="1">
        <v>1</v>
      </c>
      <c r="DH305" s="1">
        <v>1</v>
      </c>
      <c r="DI305" s="1">
        <f t="shared" si="293"/>
        <v>0</v>
      </c>
      <c r="DJ305" s="1">
        <v>1</v>
      </c>
      <c r="DK305" s="1" t="s">
        <v>837</v>
      </c>
      <c r="DL305" s="1" t="s">
        <v>40</v>
      </c>
      <c r="DR305" s="1" t="b">
        <f>RaceCi="Half-orc"</f>
        <v>0</v>
      </c>
      <c r="DS305" s="1" t="b">
        <f>AlignmentNonGood</f>
        <v>0</v>
      </c>
      <c r="DT305" s="1" t="b">
        <f>BaseAtk&gt;=5</f>
        <v>0</v>
      </c>
      <c r="DU305" s="1" t="b">
        <f>SkIntimidateRanks&gt;=5</f>
        <v>0</v>
      </c>
      <c r="DV305" s="1" t="b">
        <f>SkKnowledgeLocalRanks&gt;=2</f>
        <v>0</v>
      </c>
      <c r="DW305" s="1" t="b">
        <f>SkSearchRanks&gt;=2</f>
        <v>0</v>
      </c>
      <c r="DX305" s="1" t="b">
        <f>FtIronWill</f>
        <v>0</v>
      </c>
      <c r="EA305" s="1" t="b">
        <f t="shared" si="294"/>
        <v>0</v>
      </c>
      <c r="EB305" s="11" t="s">
        <v>334</v>
      </c>
      <c r="EC305" s="1" t="str">
        <f>IF(DR305,"","• Half-Orc.
")&amp;IF(DS305,"","• Any nongood.
")&amp;IF(DT305,"","• BAB +5.
")&amp;IF(DU305,"","• 5 ranks in Intimidate.
")&amp;IF(DV305,"","• 2 ranks in Knowledge (local).
")&amp;IF(DW305,"","• 2 ranks in Search.
")&amp;IF(DX305,"","• Iron Will feat.")</f>
        <v>• Half-Orc.
• Any nongood.
• BAB +5.
• 5 ranks in Intimidate.
• 2 ranks in Knowledge (local).
• 2 ranks in Search.
• Iron Will feat.</v>
      </c>
      <c r="ED305" s="11" t="s">
        <v>335</v>
      </c>
      <c r="EE305" s="8" t="s">
        <v>843</v>
      </c>
      <c r="EF305" s="9">
        <v>3</v>
      </c>
      <c r="EG305" s="9" t="s">
        <v>834</v>
      </c>
      <c r="EH305" s="9">
        <f>IF($EI305,2+IF(CoGLvl&gt;=6,INT((CoGLvl-4)/2),0),0)</f>
        <v>0</v>
      </c>
      <c r="EI305" s="9" t="b">
        <f t="shared" si="276"/>
        <v>0</v>
      </c>
      <c r="EJ305" s="9" t="str">
        <f t="shared" si="277"/>
        <v/>
      </c>
      <c r="EK305" s="9">
        <f t="shared" si="278"/>
        <v>99</v>
      </c>
      <c r="EL305" s="9">
        <f t="shared" si="279"/>
        <v>99</v>
      </c>
      <c r="EM305" s="9">
        <f t="shared" si="280"/>
        <v>99</v>
      </c>
      <c r="EN305" s="9">
        <f t="shared" si="281"/>
        <v>99</v>
      </c>
      <c r="EO305" s="10" t="str">
        <f t="shared" si="282"/>
        <v/>
      </c>
    </row>
    <row r="306" spans="1:145" ht="11.25" customHeight="1" x14ac:dyDescent="0.2">
      <c r="A306" s="1">
        <f t="shared" si="247"/>
        <v>303</v>
      </c>
      <c r="B306" s="1" t="s">
        <v>844</v>
      </c>
      <c r="C306" s="1" t="s">
        <v>845</v>
      </c>
      <c r="D306" s="1" t="s">
        <v>845</v>
      </c>
      <c r="E306" s="1">
        <f t="shared" si="256"/>
        <v>0</v>
      </c>
      <c r="K306" s="1">
        <v>4</v>
      </c>
      <c r="L306" s="1">
        <v>10</v>
      </c>
      <c r="V306" s="1">
        <v>1</v>
      </c>
      <c r="W306" s="1">
        <v>0.5</v>
      </c>
      <c r="X306" s="1">
        <v>0.34</v>
      </c>
      <c r="Y306" s="1">
        <v>0.34</v>
      </c>
      <c r="Z306" s="1" t="b">
        <f>FALSE</f>
        <v>0</v>
      </c>
      <c r="AA306" s="1" t="str">
        <f t="shared" si="259"/>
        <v/>
      </c>
      <c r="AB306" s="1" t="str">
        <f t="shared" si="260"/>
        <v/>
      </c>
      <c r="AC306" s="1">
        <f t="shared" si="257"/>
        <v>0</v>
      </c>
      <c r="AD306" s="1" t="str">
        <f t="shared" si="261"/>
        <v/>
      </c>
      <c r="AE306" s="1" t="str">
        <f t="shared" si="262"/>
        <v/>
      </c>
      <c r="AF306" s="1">
        <f t="shared" si="258"/>
        <v>0</v>
      </c>
      <c r="AG306" s="1">
        <f t="shared" si="263"/>
        <v>5</v>
      </c>
      <c r="AH306" s="1" t="str">
        <f t="shared" si="250"/>
        <v/>
      </c>
      <c r="AI306" s="1">
        <v>1</v>
      </c>
      <c r="AJ306" s="1">
        <f t="shared" si="283"/>
        <v>0</v>
      </c>
      <c r="AK306" s="1">
        <v>1</v>
      </c>
      <c r="AL306" s="1">
        <v>1</v>
      </c>
      <c r="AM306" s="1">
        <v>2</v>
      </c>
      <c r="AN306" s="1">
        <f t="shared" si="284"/>
        <v>0</v>
      </c>
      <c r="AO306" s="1">
        <v>1</v>
      </c>
      <c r="AP306" s="1">
        <v>2</v>
      </c>
      <c r="AQ306" s="1">
        <v>2</v>
      </c>
      <c r="AR306" s="1">
        <v>2</v>
      </c>
      <c r="AS306" s="1">
        <v>2</v>
      </c>
      <c r="AT306" s="1">
        <v>2</v>
      </c>
      <c r="AU306" s="1">
        <v>2</v>
      </c>
      <c r="AV306" s="1">
        <v>2</v>
      </c>
      <c r="AW306" s="1">
        <v>1</v>
      </c>
      <c r="AX306" s="1">
        <v>2</v>
      </c>
      <c r="AY306" s="1">
        <v>1</v>
      </c>
      <c r="AZ306" s="1">
        <v>2</v>
      </c>
      <c r="BA306" s="1">
        <v>1</v>
      </c>
      <c r="BB306" s="1">
        <v>1</v>
      </c>
      <c r="BC306" s="1">
        <v>1</v>
      </c>
      <c r="BD306" s="1">
        <v>1</v>
      </c>
      <c r="BE306" s="1">
        <v>1</v>
      </c>
      <c r="BF306" s="1">
        <v>2</v>
      </c>
      <c r="BG306" s="1">
        <f t="shared" si="285"/>
        <v>0</v>
      </c>
      <c r="BH306" s="1">
        <f t="shared" si="286"/>
        <v>0</v>
      </c>
      <c r="BI306" s="1">
        <v>2</v>
      </c>
      <c r="BJ306" s="1">
        <v>2</v>
      </c>
      <c r="BK306" s="1">
        <v>1</v>
      </c>
      <c r="BL306" s="1">
        <v>1</v>
      </c>
      <c r="BM306" s="1">
        <v>1</v>
      </c>
      <c r="BN306" s="1">
        <v>1</v>
      </c>
      <c r="BO306" s="1">
        <v>1</v>
      </c>
      <c r="BP306" s="1">
        <f>1+NOT(HRLivingGreyhawk)</f>
        <v>2</v>
      </c>
      <c r="BQ306" s="1">
        <f t="shared" si="287"/>
        <v>0</v>
      </c>
      <c r="BR306" s="1">
        <v>1</v>
      </c>
      <c r="BS306" s="1">
        <v>1</v>
      </c>
      <c r="BT306" s="1">
        <f t="shared" si="288"/>
        <v>0</v>
      </c>
      <c r="BU306" s="1">
        <f t="shared" si="289"/>
        <v>0</v>
      </c>
      <c r="BV306" s="1">
        <v>1</v>
      </c>
      <c r="BW306" s="1">
        <v>1</v>
      </c>
      <c r="BX306" s="1">
        <v>1</v>
      </c>
      <c r="BY306" s="1">
        <f t="shared" ref="BY306:CE306" si="295">IF(OR(BY2="core",BY2="sheldomar",BY2="velverdyva",BY2="iuz border states",BY2="nyrond",BY2="splintered suns"),2,1+NOT(HRLivingGreyhawk))</f>
        <v>2</v>
      </c>
      <c r="BZ306" s="1">
        <f t="shared" si="295"/>
        <v>2</v>
      </c>
      <c r="CA306" s="1">
        <f t="shared" si="295"/>
        <v>2</v>
      </c>
      <c r="CB306" s="1">
        <f t="shared" si="295"/>
        <v>2</v>
      </c>
      <c r="CC306" s="1">
        <f t="shared" si="295"/>
        <v>2</v>
      </c>
      <c r="CD306" s="1">
        <f t="shared" si="295"/>
        <v>2</v>
      </c>
      <c r="CE306" s="1">
        <f t="shared" si="295"/>
        <v>2</v>
      </c>
      <c r="CF306" s="1">
        <v>1</v>
      </c>
      <c r="CG306" s="1">
        <f t="shared" si="290"/>
        <v>0</v>
      </c>
      <c r="CH306" s="1">
        <v>2</v>
      </c>
      <c r="CI306" s="1">
        <v>1</v>
      </c>
      <c r="CJ306" s="1">
        <v>1</v>
      </c>
      <c r="CK306" s="1">
        <v>1</v>
      </c>
      <c r="CL306" s="1">
        <v>1</v>
      </c>
      <c r="CM306" s="1">
        <v>1</v>
      </c>
      <c r="CN306" s="1">
        <v>1</v>
      </c>
      <c r="CO306" s="1">
        <v>1</v>
      </c>
      <c r="CP306" s="1">
        <v>1</v>
      </c>
      <c r="CQ306" s="1">
        <v>1</v>
      </c>
      <c r="CR306" s="1">
        <v>1</v>
      </c>
      <c r="CS306" s="1">
        <v>1</v>
      </c>
      <c r="CT306" s="1">
        <v>1</v>
      </c>
      <c r="CU306" s="1">
        <v>1</v>
      </c>
      <c r="CV306" s="1">
        <f t="shared" si="291"/>
        <v>0</v>
      </c>
      <c r="CW306" s="1">
        <v>1</v>
      </c>
      <c r="CX306" s="1">
        <v>1</v>
      </c>
      <c r="CY306" s="1">
        <v>1</v>
      </c>
      <c r="CZ306" s="1">
        <f t="shared" si="292"/>
        <v>0</v>
      </c>
      <c r="DA306" s="1">
        <v>1</v>
      </c>
      <c r="DB306" s="1">
        <v>1</v>
      </c>
      <c r="DC306" s="1">
        <v>1</v>
      </c>
      <c r="DD306" s="1">
        <v>1</v>
      </c>
      <c r="DE306" s="1">
        <v>2</v>
      </c>
      <c r="DF306" s="1">
        <v>1</v>
      </c>
      <c r="DG306" s="1">
        <v>1</v>
      </c>
      <c r="DH306" s="1">
        <v>1</v>
      </c>
      <c r="DI306" s="1">
        <f t="shared" si="293"/>
        <v>0</v>
      </c>
      <c r="DJ306" s="1">
        <v>1</v>
      </c>
      <c r="DK306" s="1" t="s">
        <v>837</v>
      </c>
      <c r="DL306" s="1" t="s">
        <v>40</v>
      </c>
      <c r="DR306" s="1" t="b">
        <f>OR(RaceCi="Half-Elf",RaceCi="Half-Orc",RaceCi="Half-Ogre")</f>
        <v>0</v>
      </c>
      <c r="DS306" s="1" t="b">
        <f>OR(SkDiplomacyRanks&gt;=8,SkIntimidateRanks&gt;=8)</f>
        <v>0</v>
      </c>
      <c r="EA306" s="1" t="b">
        <f t="shared" si="294"/>
        <v>0</v>
      </c>
      <c r="EB306" s="11" t="s">
        <v>334</v>
      </c>
      <c r="EC306" s="1" t="str">
        <f>IF(DR306,"","• Half-Elf, Half-Orc or Half-Ogre.
")&amp;IF(DS306,"","• 8 ranks in Diplomacy or Intimidate.")</f>
        <v>• Half-Elf, Half-Orc or Half-Ogre.
• 8 ranks in Diplomacy or Intimidate.</v>
      </c>
      <c r="ED306" s="11" t="s">
        <v>335</v>
      </c>
      <c r="EE306" s="8" t="s">
        <v>195</v>
      </c>
      <c r="EF306" s="9">
        <v>3</v>
      </c>
      <c r="EG306" s="9" t="s">
        <v>834</v>
      </c>
      <c r="EH306" s="9">
        <f>IF($EI306,INT(DgSLvl/3),0)</f>
        <v>0</v>
      </c>
      <c r="EI306" s="9" t="b">
        <f t="shared" si="276"/>
        <v>0</v>
      </c>
      <c r="EJ306" s="9" t="str">
        <f t="shared" si="277"/>
        <v/>
      </c>
      <c r="EK306" s="9">
        <f t="shared" si="278"/>
        <v>99</v>
      </c>
      <c r="EL306" s="9">
        <f t="shared" si="279"/>
        <v>99</v>
      </c>
      <c r="EM306" s="9">
        <f t="shared" si="280"/>
        <v>99</v>
      </c>
      <c r="EN306" s="9">
        <f t="shared" si="281"/>
        <v>99</v>
      </c>
      <c r="EO306" s="10" t="str">
        <f t="shared" si="282"/>
        <v/>
      </c>
    </row>
    <row r="307" spans="1:145" ht="11.25" customHeight="1" x14ac:dyDescent="0.2">
      <c r="A307" s="1">
        <f t="shared" si="247"/>
        <v>304</v>
      </c>
      <c r="B307" s="1" t="s">
        <v>846</v>
      </c>
      <c r="C307" s="1" t="s">
        <v>847</v>
      </c>
      <c r="D307" s="1" t="s">
        <v>847</v>
      </c>
      <c r="E307" s="1">
        <f t="shared" si="256"/>
        <v>0</v>
      </c>
      <c r="G307" s="1">
        <f>INT(ScELvl/2)</f>
        <v>0</v>
      </c>
      <c r="K307" s="1">
        <v>6</v>
      </c>
      <c r="L307" s="1">
        <v>8</v>
      </c>
      <c r="V307" s="1">
        <v>0.75</v>
      </c>
      <c r="W307" s="1">
        <v>0.34</v>
      </c>
      <c r="X307" s="1">
        <v>0.34</v>
      </c>
      <c r="Y307" s="1">
        <v>0.5</v>
      </c>
      <c r="Z307" s="1" t="b">
        <f>FALSE</f>
        <v>0</v>
      </c>
      <c r="AA307" s="1" t="str">
        <f t="shared" si="259"/>
        <v/>
      </c>
      <c r="AB307" s="1" t="str">
        <f t="shared" si="260"/>
        <v/>
      </c>
      <c r="AC307" s="1">
        <f t="shared" si="257"/>
        <v>0</v>
      </c>
      <c r="AD307" s="1" t="str">
        <f t="shared" si="261"/>
        <v/>
      </c>
      <c r="AE307" s="1" t="str">
        <f t="shared" si="262"/>
        <v/>
      </c>
      <c r="AF307" s="1">
        <f t="shared" si="258"/>
        <v>0</v>
      </c>
      <c r="AG307" s="1">
        <f t="shared" si="263"/>
        <v>5</v>
      </c>
      <c r="AH307" s="1" t="str">
        <f t="shared" si="250"/>
        <v/>
      </c>
      <c r="AI307" s="1">
        <v>1</v>
      </c>
      <c r="AJ307" s="1">
        <f t="shared" si="283"/>
        <v>0</v>
      </c>
      <c r="AK307" s="1">
        <v>2</v>
      </c>
      <c r="AL307" s="1">
        <v>2</v>
      </c>
      <c r="AM307" s="1">
        <v>2</v>
      </c>
      <c r="AN307" s="1">
        <f t="shared" si="284"/>
        <v>0</v>
      </c>
      <c r="AO307" s="1">
        <v>2</v>
      </c>
      <c r="AP307" s="1">
        <v>2</v>
      </c>
      <c r="AQ307" s="1">
        <v>2</v>
      </c>
      <c r="AR307" s="1">
        <v>2</v>
      </c>
      <c r="AS307" s="1">
        <v>2</v>
      </c>
      <c r="AT307" s="1">
        <v>2</v>
      </c>
      <c r="AU307" s="1">
        <v>2</v>
      </c>
      <c r="AV307" s="1">
        <v>2</v>
      </c>
      <c r="AW307" s="1">
        <v>1</v>
      </c>
      <c r="AX307" s="1">
        <v>2</v>
      </c>
      <c r="AY307" s="1">
        <v>2</v>
      </c>
      <c r="AZ307" s="1">
        <v>2</v>
      </c>
      <c r="BA307" s="1">
        <v>1</v>
      </c>
      <c r="BB307" s="1">
        <v>1</v>
      </c>
      <c r="BC307" s="1">
        <v>2</v>
      </c>
      <c r="BD307" s="1">
        <v>1</v>
      </c>
      <c r="BE307" s="1">
        <v>1</v>
      </c>
      <c r="BF307" s="1">
        <v>2</v>
      </c>
      <c r="BG307" s="1">
        <f t="shared" si="285"/>
        <v>0</v>
      </c>
      <c r="BH307" s="1">
        <f t="shared" si="286"/>
        <v>0</v>
      </c>
      <c r="BI307" s="1">
        <v>1</v>
      </c>
      <c r="BJ307" s="1">
        <v>1</v>
      </c>
      <c r="BK307" s="1">
        <v>1</v>
      </c>
      <c r="BL307" s="1">
        <v>1</v>
      </c>
      <c r="BM307" s="1">
        <v>1</v>
      </c>
      <c r="BN307" s="1">
        <v>1</v>
      </c>
      <c r="BO307" s="1">
        <v>1</v>
      </c>
      <c r="BP307" s="1">
        <f>1+NOT(HRLivingGreyhawk)</f>
        <v>2</v>
      </c>
      <c r="BQ307" s="1">
        <f t="shared" si="287"/>
        <v>0</v>
      </c>
      <c r="BR307" s="1">
        <v>1</v>
      </c>
      <c r="BS307" s="1">
        <v>1</v>
      </c>
      <c r="BT307" s="1">
        <f t="shared" si="288"/>
        <v>0</v>
      </c>
      <c r="BU307" s="1">
        <f t="shared" si="289"/>
        <v>0</v>
      </c>
      <c r="BV307" s="1">
        <v>1</v>
      </c>
      <c r="BW307" s="1">
        <v>1</v>
      </c>
      <c r="BX307" s="1">
        <v>1</v>
      </c>
      <c r="BY307" s="1">
        <v>1</v>
      </c>
      <c r="BZ307" s="1">
        <v>1</v>
      </c>
      <c r="CA307" s="1">
        <v>1</v>
      </c>
      <c r="CB307" s="1">
        <v>1</v>
      </c>
      <c r="CC307" s="1">
        <v>1</v>
      </c>
      <c r="CD307" s="1">
        <v>1</v>
      </c>
      <c r="CE307" s="1">
        <v>1</v>
      </c>
      <c r="CF307" s="1">
        <v>2</v>
      </c>
      <c r="CG307" s="1">
        <f t="shared" si="290"/>
        <v>0</v>
      </c>
      <c r="CH307" s="1">
        <v>2</v>
      </c>
      <c r="CI307" s="1">
        <v>2</v>
      </c>
      <c r="CJ307" s="1">
        <v>1</v>
      </c>
      <c r="CK307" s="1">
        <v>1</v>
      </c>
      <c r="CL307" s="1">
        <v>1</v>
      </c>
      <c r="CM307" s="1">
        <v>1</v>
      </c>
      <c r="CN307" s="1">
        <v>1</v>
      </c>
      <c r="CO307" s="1">
        <v>1</v>
      </c>
      <c r="CP307" s="1">
        <v>2</v>
      </c>
      <c r="CQ307" s="1">
        <v>2</v>
      </c>
      <c r="CR307" s="1">
        <v>2</v>
      </c>
      <c r="CS307" s="1">
        <v>2</v>
      </c>
      <c r="CT307" s="1">
        <v>2</v>
      </c>
      <c r="CU307" s="1">
        <v>2</v>
      </c>
      <c r="CV307" s="1">
        <f t="shared" si="291"/>
        <v>0</v>
      </c>
      <c r="CW307" s="1">
        <v>1</v>
      </c>
      <c r="CX307" s="1">
        <v>2</v>
      </c>
      <c r="CY307" s="1">
        <v>2</v>
      </c>
      <c r="CZ307" s="1">
        <f t="shared" si="292"/>
        <v>0</v>
      </c>
      <c r="DA307" s="1">
        <v>1</v>
      </c>
      <c r="DB307" s="1">
        <v>1</v>
      </c>
      <c r="DC307" s="1">
        <v>1</v>
      </c>
      <c r="DD307" s="1">
        <v>2</v>
      </c>
      <c r="DE307" s="1">
        <v>1</v>
      </c>
      <c r="DF307" s="1">
        <v>1</v>
      </c>
      <c r="DG307" s="1">
        <v>2</v>
      </c>
      <c r="DH307" s="1">
        <v>1</v>
      </c>
      <c r="DI307" s="1">
        <f t="shared" si="293"/>
        <v>0</v>
      </c>
      <c r="DJ307" s="1">
        <v>1</v>
      </c>
      <c r="DK307" s="1" t="s">
        <v>837</v>
      </c>
      <c r="DL307" s="1" t="s">
        <v>150</v>
      </c>
      <c r="DR307" s="1" t="b">
        <f>RaceCi="Half-Elf"</f>
        <v>0</v>
      </c>
      <c r="DS307" s="1" t="b">
        <f>AlignmentNonGood</f>
        <v>0</v>
      </c>
      <c r="DT307" s="1" t="b">
        <f>BaseAtk&gt;=3</f>
        <v>0</v>
      </c>
      <c r="DU307" s="1" t="b">
        <f>SkBluffRanks&gt;=8</f>
        <v>0</v>
      </c>
      <c r="DV307" s="1" t="b">
        <f>SkHideRanks&gt;=4</f>
        <v>0</v>
      </c>
      <c r="DW307" s="1" t="b">
        <f>SkMoveSilentlyRanks&gt;=4</f>
        <v>0</v>
      </c>
      <c r="EA307" s="1" t="b">
        <f t="shared" si="294"/>
        <v>0</v>
      </c>
      <c r="EB307" s="11" t="s">
        <v>334</v>
      </c>
      <c r="EC307" s="1" t="str">
        <f>IF(DR307,"","• Half-Elf.
")&amp;IF(DS307,"","• Any nongood.
")&amp;IF(DT307,"","• BAB +3.
")&amp;IF(DU307,"","• 8 ranks in Bluff.
")&amp;IF(DV307,"","• 4 ranks in Hide.
")&amp;IF(DS307,"","• 4 ranks in Move Silently.")</f>
        <v>• Half-Elf.
• Any nongood.
• BAB +3.
• 8 ranks in Bluff.
• 4 ranks in Hide.
• 4 ranks in Move Silently.</v>
      </c>
      <c r="ED307" s="11" t="s">
        <v>335</v>
      </c>
      <c r="EE307" s="8" t="s">
        <v>519</v>
      </c>
      <c r="EF307" s="9">
        <v>3</v>
      </c>
      <c r="EG307" s="9" t="s">
        <v>834</v>
      </c>
      <c r="EH307" s="9">
        <f>IF($EI307,1+1*(TemLvl&gt;=7),0)</f>
        <v>0</v>
      </c>
      <c r="EI307" s="9" t="b">
        <f t="shared" si="276"/>
        <v>0</v>
      </c>
      <c r="EJ307" s="9" t="str">
        <f t="shared" si="277"/>
        <v/>
      </c>
      <c r="EK307" s="9">
        <f t="shared" si="278"/>
        <v>99</v>
      </c>
      <c r="EL307" s="9">
        <f t="shared" si="279"/>
        <v>99</v>
      </c>
      <c r="EM307" s="9">
        <f t="shared" si="280"/>
        <v>99</v>
      </c>
      <c r="EN307" s="9">
        <f t="shared" si="281"/>
        <v>99</v>
      </c>
      <c r="EO307" s="10" t="str">
        <f t="shared" si="282"/>
        <v/>
      </c>
    </row>
    <row r="308" spans="1:145" ht="11.25" customHeight="1" x14ac:dyDescent="0.2">
      <c r="A308" s="1">
        <f t="shared" si="247"/>
        <v>305</v>
      </c>
      <c r="B308" s="1" t="s">
        <v>848</v>
      </c>
      <c r="C308" s="1" t="s">
        <v>849</v>
      </c>
      <c r="D308" s="1" t="s">
        <v>849</v>
      </c>
      <c r="E308" s="1">
        <f t="shared" si="256"/>
        <v>0</v>
      </c>
      <c r="K308" s="1">
        <v>2</v>
      </c>
      <c r="L308" s="1">
        <v>10</v>
      </c>
      <c r="V308" s="1">
        <v>1</v>
      </c>
      <c r="W308" s="1">
        <v>0.5</v>
      </c>
      <c r="X308" s="1">
        <v>0.5</v>
      </c>
      <c r="Y308" s="1">
        <v>0.34</v>
      </c>
      <c r="Z308" s="1" t="b">
        <f>FALSE</f>
        <v>0</v>
      </c>
      <c r="AA308" s="1" t="str">
        <f t="shared" si="259"/>
        <v/>
      </c>
      <c r="AB308" s="1" t="str">
        <f t="shared" si="260"/>
        <v/>
      </c>
      <c r="AC308" s="1">
        <f t="shared" si="257"/>
        <v>0</v>
      </c>
      <c r="AD308" s="1" t="str">
        <f t="shared" si="261"/>
        <v/>
      </c>
      <c r="AE308" s="1" t="str">
        <f t="shared" si="262"/>
        <v/>
      </c>
      <c r="AF308" s="1">
        <f t="shared" si="258"/>
        <v>0</v>
      </c>
      <c r="AG308" s="1">
        <f t="shared" si="263"/>
        <v>5</v>
      </c>
      <c r="AH308" s="1" t="str">
        <f t="shared" si="250"/>
        <v/>
      </c>
      <c r="AI308" s="1">
        <v>1</v>
      </c>
      <c r="AJ308" s="1">
        <f t="shared" si="283"/>
        <v>0</v>
      </c>
      <c r="AK308" s="1">
        <v>1</v>
      </c>
      <c r="AL308" s="1">
        <v>1</v>
      </c>
      <c r="AM308" s="1">
        <v>2</v>
      </c>
      <c r="AN308" s="1">
        <f t="shared" si="284"/>
        <v>0</v>
      </c>
      <c r="AO308" s="1">
        <v>1</v>
      </c>
      <c r="AP308" s="1">
        <v>2</v>
      </c>
      <c r="AQ308" s="1">
        <v>2</v>
      </c>
      <c r="AR308" s="1">
        <v>2</v>
      </c>
      <c r="AS308" s="1">
        <v>2</v>
      </c>
      <c r="AT308" s="1">
        <v>2</v>
      </c>
      <c r="AU308" s="1">
        <v>2</v>
      </c>
      <c r="AV308" s="1">
        <v>2</v>
      </c>
      <c r="AW308" s="1">
        <v>1</v>
      </c>
      <c r="AX308" s="1">
        <v>1</v>
      </c>
      <c r="AY308" s="1">
        <v>1</v>
      </c>
      <c r="AZ308" s="1">
        <v>1</v>
      </c>
      <c r="BA308" s="1">
        <v>1</v>
      </c>
      <c r="BB308" s="1">
        <v>1</v>
      </c>
      <c r="BC308" s="1">
        <v>1</v>
      </c>
      <c r="BD308" s="1">
        <v>1</v>
      </c>
      <c r="BE308" s="1">
        <v>1</v>
      </c>
      <c r="BF308" s="1">
        <v>1</v>
      </c>
      <c r="BG308" s="1">
        <f t="shared" si="285"/>
        <v>0</v>
      </c>
      <c r="BH308" s="1">
        <f t="shared" si="286"/>
        <v>0</v>
      </c>
      <c r="BI308" s="1">
        <v>2</v>
      </c>
      <c r="BJ308" s="1">
        <v>2</v>
      </c>
      <c r="BK308" s="1">
        <v>1</v>
      </c>
      <c r="BL308" s="1">
        <v>1</v>
      </c>
      <c r="BM308" s="1">
        <v>1</v>
      </c>
      <c r="BN308" s="1">
        <v>1</v>
      </c>
      <c r="BO308" s="1">
        <v>1</v>
      </c>
      <c r="BP308" s="1">
        <v>1</v>
      </c>
      <c r="BQ308" s="1">
        <f t="shared" si="287"/>
        <v>0</v>
      </c>
      <c r="BR308" s="1">
        <v>1</v>
      </c>
      <c r="BS308" s="1">
        <v>1</v>
      </c>
      <c r="BT308" s="1">
        <f t="shared" si="288"/>
        <v>0</v>
      </c>
      <c r="BU308" s="1">
        <f t="shared" si="289"/>
        <v>0</v>
      </c>
      <c r="BV308" s="1">
        <v>1</v>
      </c>
      <c r="BW308" s="1">
        <v>1</v>
      </c>
      <c r="BX308" s="1">
        <v>1</v>
      </c>
      <c r="BY308" s="1">
        <v>1</v>
      </c>
      <c r="BZ308" s="1">
        <v>1</v>
      </c>
      <c r="CA308" s="1">
        <v>1</v>
      </c>
      <c r="CB308" s="1">
        <v>1</v>
      </c>
      <c r="CC308" s="1">
        <v>1</v>
      </c>
      <c r="CD308" s="1">
        <v>1</v>
      </c>
      <c r="CE308" s="1">
        <v>1</v>
      </c>
      <c r="CF308" s="1">
        <v>2</v>
      </c>
      <c r="CG308" s="1">
        <f t="shared" si="290"/>
        <v>0</v>
      </c>
      <c r="CH308" s="1">
        <v>1</v>
      </c>
      <c r="CI308" s="1">
        <v>1</v>
      </c>
      <c r="CJ308" s="1">
        <v>1</v>
      </c>
      <c r="CK308" s="1">
        <v>1</v>
      </c>
      <c r="CL308" s="1">
        <v>1</v>
      </c>
      <c r="CM308" s="1">
        <v>1</v>
      </c>
      <c r="CN308" s="1">
        <v>1</v>
      </c>
      <c r="CO308" s="1">
        <v>1</v>
      </c>
      <c r="CP308" s="1">
        <v>1</v>
      </c>
      <c r="CQ308" s="1">
        <v>1</v>
      </c>
      <c r="CR308" s="1">
        <v>1</v>
      </c>
      <c r="CS308" s="1">
        <v>1</v>
      </c>
      <c r="CT308" s="1">
        <v>1</v>
      </c>
      <c r="CU308" s="1">
        <v>1</v>
      </c>
      <c r="CV308" s="1">
        <f t="shared" si="291"/>
        <v>0</v>
      </c>
      <c r="CW308" s="1">
        <v>2</v>
      </c>
      <c r="CX308" s="1">
        <v>1</v>
      </c>
      <c r="CY308" s="1">
        <v>1</v>
      </c>
      <c r="CZ308" s="1">
        <f t="shared" si="292"/>
        <v>0</v>
      </c>
      <c r="DA308" s="1">
        <v>1</v>
      </c>
      <c r="DB308" s="1">
        <v>1</v>
      </c>
      <c r="DC308" s="1">
        <v>1</v>
      </c>
      <c r="DD308" s="1">
        <v>2</v>
      </c>
      <c r="DE308" s="1">
        <v>1</v>
      </c>
      <c r="DF308" s="1">
        <v>2</v>
      </c>
      <c r="DG308" s="1">
        <v>1</v>
      </c>
      <c r="DH308" s="1">
        <v>1</v>
      </c>
      <c r="DI308" s="1">
        <f t="shared" si="293"/>
        <v>0</v>
      </c>
      <c r="DJ308" s="1">
        <v>1</v>
      </c>
      <c r="DK308" s="1" t="s">
        <v>837</v>
      </c>
      <c r="DL308" s="1" t="s">
        <v>150</v>
      </c>
      <c r="DR308" s="1" t="b">
        <f>RaceCi="Illumian"</f>
        <v>0</v>
      </c>
      <c r="DS308" s="1" t="b">
        <f>BaseAtk&gt;=5</f>
        <v>0</v>
      </c>
      <c r="EA308" s="1" t="b">
        <f t="shared" si="294"/>
        <v>0</v>
      </c>
      <c r="EB308" s="11" t="s">
        <v>338</v>
      </c>
      <c r="EC308" s="1" t="str">
        <f>IF(DR308,"","• Illumian race.
")&amp;IF(DS308,"","• BAB +5.
")&amp;"• Weapon Focus (any slashing) (not verified).
• Pass combat exam from sentinel leaders (not verified)."</f>
        <v>• Illumian race.
• BAB +5.
• Weapon Focus (any slashing) (not verified).
• Pass combat exam from sentinel leaders (not verified).</v>
      </c>
      <c r="ED308" s="11" t="s">
        <v>335</v>
      </c>
      <c r="EE308" s="8" t="s">
        <v>850</v>
      </c>
      <c r="EF308" s="9">
        <v>1</v>
      </c>
      <c r="EG308" s="9" t="s">
        <v>834</v>
      </c>
      <c r="EH308" s="9">
        <f>IF($EI308,MIN(3,1+INT((GHELvl-1)/2)),0)</f>
        <v>0</v>
      </c>
      <c r="EI308" s="9" t="b">
        <f t="shared" si="276"/>
        <v>0</v>
      </c>
      <c r="EJ308" s="9" t="str">
        <f t="shared" si="277"/>
        <v/>
      </c>
      <c r="EK308" s="9">
        <f t="shared" si="278"/>
        <v>99</v>
      </c>
      <c r="EL308" s="9">
        <f t="shared" si="279"/>
        <v>99</v>
      </c>
      <c r="EM308" s="9">
        <f t="shared" si="280"/>
        <v>99</v>
      </c>
      <c r="EN308" s="9">
        <f t="shared" si="281"/>
        <v>99</v>
      </c>
      <c r="EO308" s="10" t="str">
        <f t="shared" si="282"/>
        <v/>
      </c>
    </row>
    <row r="309" spans="1:145" ht="11.25" customHeight="1" x14ac:dyDescent="0.2">
      <c r="A309" s="1">
        <f t="shared" si="247"/>
        <v>306</v>
      </c>
      <c r="B309" s="1" t="s">
        <v>851</v>
      </c>
      <c r="C309" s="1" t="s">
        <v>852</v>
      </c>
      <c r="D309" s="1" t="s">
        <v>852</v>
      </c>
      <c r="E309" s="1">
        <f t="shared" si="256"/>
        <v>0</v>
      </c>
      <c r="K309" s="1">
        <v>6</v>
      </c>
      <c r="L309" s="1">
        <v>8</v>
      </c>
      <c r="V309" s="1">
        <v>0.75</v>
      </c>
      <c r="W309" s="1">
        <v>0.5</v>
      </c>
      <c r="X309" s="1">
        <v>0.5</v>
      </c>
      <c r="Y309" s="1">
        <v>0.34</v>
      </c>
      <c r="Z309" s="1" t="b">
        <f>FALSE</f>
        <v>0</v>
      </c>
      <c r="AA309" s="1" t="str">
        <f t="shared" si="259"/>
        <v/>
      </c>
      <c r="AB309" s="1" t="str">
        <f t="shared" si="260"/>
        <v/>
      </c>
      <c r="AC309" s="1">
        <f t="shared" si="257"/>
        <v>0</v>
      </c>
      <c r="AD309" s="1" t="str">
        <f t="shared" si="261"/>
        <v/>
      </c>
      <c r="AE309" s="1" t="str">
        <f t="shared" si="262"/>
        <v/>
      </c>
      <c r="AF309" s="1">
        <f t="shared" si="258"/>
        <v>0</v>
      </c>
      <c r="AG309" s="1">
        <f t="shared" si="263"/>
        <v>5</v>
      </c>
      <c r="AH309" s="1" t="str">
        <f t="shared" si="250"/>
        <v/>
      </c>
      <c r="AI309" s="1">
        <v>1</v>
      </c>
      <c r="AJ309" s="1">
        <f t="shared" si="283"/>
        <v>0</v>
      </c>
      <c r="AK309" s="1">
        <v>2</v>
      </c>
      <c r="AL309" s="1">
        <v>1</v>
      </c>
      <c r="AM309" s="1">
        <v>2</v>
      </c>
      <c r="AN309" s="1">
        <f t="shared" si="284"/>
        <v>0</v>
      </c>
      <c r="AO309" s="1">
        <v>1</v>
      </c>
      <c r="AP309" s="1">
        <v>1</v>
      </c>
      <c r="AQ309" s="1">
        <v>1</v>
      </c>
      <c r="AR309" s="1">
        <v>1</v>
      </c>
      <c r="AS309" s="1">
        <v>1</v>
      </c>
      <c r="AT309" s="1">
        <v>1</v>
      </c>
      <c r="AU309" s="1">
        <v>1</v>
      </c>
      <c r="AV309" s="1">
        <v>1</v>
      </c>
      <c r="AW309" s="1">
        <v>1</v>
      </c>
      <c r="AX309" s="1">
        <v>1</v>
      </c>
      <c r="AY309" s="1">
        <v>1</v>
      </c>
      <c r="AZ309" s="1">
        <v>1</v>
      </c>
      <c r="BA309" s="1">
        <v>2</v>
      </c>
      <c r="BB309" s="1">
        <v>1</v>
      </c>
      <c r="BC309" s="1">
        <v>2</v>
      </c>
      <c r="BD309" s="1">
        <v>1</v>
      </c>
      <c r="BE309" s="1">
        <v>1</v>
      </c>
      <c r="BF309" s="1">
        <v>2</v>
      </c>
      <c r="BG309" s="1">
        <f t="shared" si="285"/>
        <v>0</v>
      </c>
      <c r="BH309" s="1">
        <f t="shared" si="286"/>
        <v>0</v>
      </c>
      <c r="BI309" s="1">
        <v>2</v>
      </c>
      <c r="BJ309" s="1">
        <v>2</v>
      </c>
      <c r="BK309" s="1">
        <v>1</v>
      </c>
      <c r="BL309" s="1">
        <v>2</v>
      </c>
      <c r="BM309" s="1">
        <v>1</v>
      </c>
      <c r="BN309" s="1">
        <v>1</v>
      </c>
      <c r="BO309" s="1">
        <v>1</v>
      </c>
      <c r="BP309" s="1">
        <f>1+NOT(HRLivingGreyhawk)</f>
        <v>2</v>
      </c>
      <c r="BQ309" s="1">
        <f t="shared" si="287"/>
        <v>0</v>
      </c>
      <c r="BR309" s="1">
        <v>1</v>
      </c>
      <c r="BS309" s="1">
        <v>1</v>
      </c>
      <c r="BT309" s="1">
        <f t="shared" si="288"/>
        <v>0</v>
      </c>
      <c r="BU309" s="1">
        <f t="shared" si="289"/>
        <v>0</v>
      </c>
      <c r="BV309" s="1">
        <v>1</v>
      </c>
      <c r="BW309" s="1">
        <v>1</v>
      </c>
      <c r="BX309" s="1">
        <v>1</v>
      </c>
      <c r="BY309" s="1">
        <v>1</v>
      </c>
      <c r="BZ309" s="1">
        <v>1</v>
      </c>
      <c r="CA309" s="1">
        <v>1</v>
      </c>
      <c r="CB309" s="1">
        <v>1</v>
      </c>
      <c r="CC309" s="1">
        <v>1</v>
      </c>
      <c r="CD309" s="1">
        <v>1</v>
      </c>
      <c r="CE309" s="1">
        <v>1</v>
      </c>
      <c r="CF309" s="1">
        <v>2</v>
      </c>
      <c r="CG309" s="1">
        <f t="shared" si="290"/>
        <v>0</v>
      </c>
      <c r="CH309" s="1">
        <v>2</v>
      </c>
      <c r="CI309" s="1">
        <v>1</v>
      </c>
      <c r="CJ309" s="1">
        <v>1</v>
      </c>
      <c r="CK309" s="1">
        <v>1</v>
      </c>
      <c r="CL309" s="1">
        <v>1</v>
      </c>
      <c r="CM309" s="1">
        <v>1</v>
      </c>
      <c r="CN309" s="1">
        <v>1</v>
      </c>
      <c r="CO309" s="1">
        <v>1</v>
      </c>
      <c r="CP309" s="1">
        <v>1</v>
      </c>
      <c r="CQ309" s="1">
        <v>1</v>
      </c>
      <c r="CR309" s="1">
        <v>1</v>
      </c>
      <c r="CS309" s="1">
        <v>1</v>
      </c>
      <c r="CT309" s="1">
        <v>1</v>
      </c>
      <c r="CU309" s="1">
        <v>1</v>
      </c>
      <c r="CV309" s="1">
        <f t="shared" si="291"/>
        <v>0</v>
      </c>
      <c r="CW309" s="1">
        <v>1</v>
      </c>
      <c r="CX309" s="1">
        <v>2</v>
      </c>
      <c r="CY309" s="1">
        <v>1</v>
      </c>
      <c r="CZ309" s="1">
        <f t="shared" si="292"/>
        <v>0</v>
      </c>
      <c r="DA309" s="1">
        <v>1</v>
      </c>
      <c r="DB309" s="1">
        <v>2</v>
      </c>
      <c r="DC309" s="1">
        <v>1</v>
      </c>
      <c r="DD309" s="1">
        <v>2</v>
      </c>
      <c r="DE309" s="1">
        <v>1</v>
      </c>
      <c r="DF309" s="1">
        <v>1</v>
      </c>
      <c r="DG309" s="1">
        <v>2</v>
      </c>
      <c r="DH309" s="1">
        <v>1</v>
      </c>
      <c r="DI309" s="1">
        <f t="shared" si="293"/>
        <v>0</v>
      </c>
      <c r="DJ309" s="1">
        <v>1</v>
      </c>
      <c r="DK309" s="1" t="s">
        <v>837</v>
      </c>
      <c r="DL309" s="1" t="s">
        <v>170</v>
      </c>
      <c r="DR309" s="1" t="b">
        <f>RaceCi="human"</f>
        <v>0</v>
      </c>
      <c r="DS309" s="1" t="b">
        <f>SkKnowledgeLocalRanks&gt;=10</f>
        <v>0</v>
      </c>
      <c r="DT309" s="1" t="b">
        <f>SkKnowledgeArchitectureRanks&gt;=5</f>
        <v>0</v>
      </c>
      <c r="DU309" s="1" t="b">
        <f>SkGatherInformationRanks&gt;=5</f>
        <v>0</v>
      </c>
      <c r="EA309" s="1" t="b">
        <f t="shared" si="294"/>
        <v>0</v>
      </c>
      <c r="EB309" s="11" t="s">
        <v>338</v>
      </c>
      <c r="EC309" s="1" t="str">
        <f>IF(DR309,"","• Human.
")&amp;IF(DS309,"","• 10 ranks in Knowledge (local).
")&amp;IF(DT309,"","• 5 ranks in Knowledge (architecture and engineering).
")&amp;IF(DU309,"","• 5 ranks in Gather Information.
")&amp;"• Blessing from the temple of Urbanus (not verified)."</f>
        <v>• Human.
• 10 ranks in Knowledge (local).
• 5 ranks in Knowledge (architecture and engineering).
• 5 ranks in Gather Information.
• Blessing from the temple of Urbanus (not verified).</v>
      </c>
      <c r="ED309" s="11" t="s">
        <v>335</v>
      </c>
      <c r="EE309" s="8" t="s">
        <v>853</v>
      </c>
      <c r="EF309" s="9">
        <v>3</v>
      </c>
      <c r="EG309" s="9" t="s">
        <v>834</v>
      </c>
      <c r="EH309" s="9">
        <f>IF($EI309,2*INT(HoMLvl/3),0)</f>
        <v>0</v>
      </c>
      <c r="EI309" s="9" t="b">
        <f t="shared" si="276"/>
        <v>0</v>
      </c>
      <c r="EJ309" s="9" t="str">
        <f t="shared" si="277"/>
        <v/>
      </c>
      <c r="EK309" s="9">
        <f t="shared" si="278"/>
        <v>99</v>
      </c>
      <c r="EL309" s="9">
        <f t="shared" si="279"/>
        <v>99</v>
      </c>
      <c r="EM309" s="9">
        <f t="shared" si="280"/>
        <v>99</v>
      </c>
      <c r="EN309" s="9">
        <f t="shared" si="281"/>
        <v>99</v>
      </c>
      <c r="EO309" s="10" t="str">
        <f t="shared" si="282"/>
        <v/>
      </c>
    </row>
    <row r="310" spans="1:145" ht="11.25" customHeight="1" x14ac:dyDescent="0.2">
      <c r="A310" s="1">
        <f t="shared" si="247"/>
        <v>307</v>
      </c>
      <c r="B310" s="1" t="s">
        <v>854</v>
      </c>
      <c r="E310" s="1">
        <f t="shared" si="256"/>
        <v>0</v>
      </c>
      <c r="F310" s="1">
        <v>1</v>
      </c>
      <c r="Z310" s="1" t="b">
        <f>FALSE</f>
        <v>0</v>
      </c>
      <c r="AA310" s="1" t="str">
        <f t="shared" si="259"/>
        <v/>
      </c>
      <c r="AB310" s="1" t="str">
        <f t="shared" si="260"/>
        <v/>
      </c>
      <c r="AC310" s="1">
        <f t="shared" si="257"/>
        <v>0</v>
      </c>
      <c r="AD310" s="1" t="str">
        <f t="shared" si="261"/>
        <v/>
      </c>
      <c r="AE310" s="1" t="str">
        <f t="shared" si="262"/>
        <v/>
      </c>
      <c r="AF310" s="1">
        <f t="shared" si="258"/>
        <v>0</v>
      </c>
      <c r="AG310" s="1">
        <f t="shared" si="263"/>
        <v>5</v>
      </c>
      <c r="AH310" s="1" t="str">
        <f t="shared" si="250"/>
        <v/>
      </c>
      <c r="EB310" s="11"/>
      <c r="ED310" s="11" t="s">
        <v>335</v>
      </c>
      <c r="EE310" s="8" t="s">
        <v>855</v>
      </c>
      <c r="EF310" s="9">
        <f>IF(ISNA($EF$364),99,CHOOSE($EF$364,1,4,7,10))</f>
        <v>99</v>
      </c>
      <c r="EG310" s="9" t="s">
        <v>834</v>
      </c>
      <c r="EH310" s="9">
        <v>3</v>
      </c>
      <c r="EI310" s="9" t="b">
        <f t="shared" si="276"/>
        <v>0</v>
      </c>
      <c r="EJ310" s="9" t="str">
        <f t="shared" si="277"/>
        <v/>
      </c>
      <c r="EK310" s="9">
        <f t="shared" si="278"/>
        <v>99</v>
      </c>
      <c r="EL310" s="9">
        <f t="shared" si="279"/>
        <v>99</v>
      </c>
      <c r="EM310" s="9">
        <f t="shared" si="280"/>
        <v>99</v>
      </c>
      <c r="EN310" s="9">
        <f t="shared" si="281"/>
        <v>99</v>
      </c>
      <c r="EO310" s="10" t="str">
        <f t="shared" si="282"/>
        <v/>
      </c>
    </row>
    <row r="311" spans="1:145" ht="11.25" customHeight="1" x14ac:dyDescent="0.2">
      <c r="A311" s="1">
        <f t="shared" si="247"/>
        <v>308</v>
      </c>
      <c r="B311" s="1" t="s">
        <v>856</v>
      </c>
      <c r="C311" s="1" t="s">
        <v>857</v>
      </c>
      <c r="D311" s="1" t="s">
        <v>857</v>
      </c>
      <c r="E311" s="1">
        <f t="shared" si="256"/>
        <v>0</v>
      </c>
      <c r="G311" s="1">
        <f>ArHLvl</f>
        <v>0</v>
      </c>
      <c r="H311" s="1">
        <f>ArHLvl</f>
        <v>0</v>
      </c>
      <c r="K311" s="1">
        <v>4</v>
      </c>
      <c r="L311" s="1">
        <v>6</v>
      </c>
      <c r="V311" s="1">
        <v>0.75</v>
      </c>
      <c r="W311" s="1">
        <v>0.34</v>
      </c>
      <c r="X311" s="1">
        <v>0.34</v>
      </c>
      <c r="Y311" s="1">
        <v>0.5</v>
      </c>
      <c r="Z311" s="1" t="b">
        <f>FALSE</f>
        <v>0</v>
      </c>
      <c r="AA311" s="1" t="str">
        <f t="shared" si="259"/>
        <v/>
      </c>
      <c r="AB311" s="1" t="str">
        <f t="shared" si="260"/>
        <v/>
      </c>
      <c r="AC311" s="1">
        <f t="shared" si="257"/>
        <v>0</v>
      </c>
      <c r="AD311" s="1" t="str">
        <f t="shared" si="261"/>
        <v/>
      </c>
      <c r="AE311" s="1" t="str">
        <f t="shared" si="262"/>
        <v/>
      </c>
      <c r="AF311" s="1">
        <f t="shared" si="258"/>
        <v>0</v>
      </c>
      <c r="AG311" s="1">
        <f t="shared" si="263"/>
        <v>5</v>
      </c>
      <c r="AH311" s="1" t="str">
        <f t="shared" si="250"/>
        <v/>
      </c>
      <c r="AI311" s="1">
        <v>1</v>
      </c>
      <c r="AJ311" s="1">
        <f t="shared" ref="AJ311:AJ324" si="296">IF(HRXPH,1,0)</f>
        <v>0</v>
      </c>
      <c r="AK311" s="1">
        <v>1</v>
      </c>
      <c r="AL311" s="1">
        <v>1</v>
      </c>
      <c r="AM311" s="1">
        <v>1</v>
      </c>
      <c r="AN311" s="1">
        <f t="shared" ref="AN311:AN318" si="297">IF(IsLycanthrope,2,0)</f>
        <v>0</v>
      </c>
      <c r="AO311" s="1">
        <v>2</v>
      </c>
      <c r="AP311" s="1">
        <v>2</v>
      </c>
      <c r="AQ311" s="1">
        <v>2</v>
      </c>
      <c r="AR311" s="1">
        <v>2</v>
      </c>
      <c r="AS311" s="1">
        <v>2</v>
      </c>
      <c r="AT311" s="1">
        <v>2</v>
      </c>
      <c r="AU311" s="1">
        <v>2</v>
      </c>
      <c r="AV311" s="1">
        <v>2</v>
      </c>
      <c r="AW311" s="1">
        <v>1</v>
      </c>
      <c r="AX311" s="1">
        <v>2</v>
      </c>
      <c r="AY311" s="1">
        <v>1</v>
      </c>
      <c r="AZ311" s="1">
        <v>1</v>
      </c>
      <c r="BA311" s="1">
        <v>1</v>
      </c>
      <c r="BB311" s="1">
        <v>1</v>
      </c>
      <c r="BC311" s="1">
        <v>1</v>
      </c>
      <c r="BD311" s="1">
        <v>2</v>
      </c>
      <c r="BE311" s="1">
        <v>1</v>
      </c>
      <c r="BF311" s="1">
        <v>1</v>
      </c>
      <c r="BG311" s="1">
        <f t="shared" ref="BG311:BG318" si="298">IF(HRRVL,1,0)</f>
        <v>0</v>
      </c>
      <c r="BH311" s="1">
        <f t="shared" ref="BH311:BH318" si="299">IF(HROA,1,0)</f>
        <v>0</v>
      </c>
      <c r="BI311" s="1">
        <v>1</v>
      </c>
      <c r="BJ311" s="1">
        <v>1</v>
      </c>
      <c r="BK311" s="1">
        <v>2</v>
      </c>
      <c r="BL311" s="1">
        <v>1</v>
      </c>
      <c r="BM311" s="1">
        <v>1</v>
      </c>
      <c r="BN311" s="1">
        <v>1</v>
      </c>
      <c r="BO311" s="1">
        <v>1</v>
      </c>
      <c r="BP311" s="1">
        <v>1</v>
      </c>
      <c r="BQ311" s="1">
        <f>IF(HRRVL,2,0)</f>
        <v>0</v>
      </c>
      <c r="BR311" s="1">
        <v>2</v>
      </c>
      <c r="BS311" s="1">
        <v>1</v>
      </c>
      <c r="BT311" s="1">
        <f>IF(HRXPH,1,0)</f>
        <v>0</v>
      </c>
      <c r="BU311" s="1">
        <f>IF(HRRVL,1,0)</f>
        <v>0</v>
      </c>
      <c r="BV311" s="1">
        <v>1</v>
      </c>
      <c r="BW311" s="1">
        <v>1</v>
      </c>
      <c r="BX311" s="1">
        <v>1</v>
      </c>
      <c r="BY311" s="1">
        <v>1</v>
      </c>
      <c r="BZ311" s="1">
        <v>1</v>
      </c>
      <c r="CA311" s="1">
        <v>1</v>
      </c>
      <c r="CB311" s="1">
        <v>1</v>
      </c>
      <c r="CC311" s="1">
        <v>1</v>
      </c>
      <c r="CD311" s="1">
        <v>1</v>
      </c>
      <c r="CE311" s="1">
        <v>1</v>
      </c>
      <c r="CF311" s="1">
        <v>2</v>
      </c>
      <c r="CG311" s="1">
        <f t="shared" ref="CG311:CG318" si="300">IF(HRToB,1,0)</f>
        <v>0</v>
      </c>
      <c r="CH311" s="1">
        <v>1</v>
      </c>
      <c r="CI311" s="1">
        <v>1</v>
      </c>
      <c r="CJ311" s="1">
        <v>1</v>
      </c>
      <c r="CK311" s="1">
        <v>1</v>
      </c>
      <c r="CL311" s="1">
        <v>1</v>
      </c>
      <c r="CM311" s="1">
        <v>1</v>
      </c>
      <c r="CN311" s="1">
        <v>1</v>
      </c>
      <c r="CO311" s="1">
        <v>1</v>
      </c>
      <c r="CP311" s="1">
        <v>2</v>
      </c>
      <c r="CQ311" s="1">
        <v>2</v>
      </c>
      <c r="CR311" s="1">
        <v>2</v>
      </c>
      <c r="CS311" s="1">
        <v>2</v>
      </c>
      <c r="CT311" s="1">
        <v>2</v>
      </c>
      <c r="CU311" s="1">
        <v>2</v>
      </c>
      <c r="CV311" s="1">
        <f t="shared" ref="CV311:CV324" si="301">IF(HRXPH,1,0)</f>
        <v>0</v>
      </c>
      <c r="CW311" s="1">
        <v>2</v>
      </c>
      <c r="CX311" s="1">
        <v>1</v>
      </c>
      <c r="CY311" s="1">
        <v>1</v>
      </c>
      <c r="CZ311" s="1">
        <f t="shared" ref="CZ311:CZ318" si="302">IF(HRCS,1,0)</f>
        <v>0</v>
      </c>
      <c r="DA311" s="1">
        <v>1</v>
      </c>
      <c r="DB311" s="1">
        <v>1</v>
      </c>
      <c r="DC311" s="1">
        <v>2</v>
      </c>
      <c r="DD311" s="1">
        <v>2</v>
      </c>
      <c r="DE311" s="1">
        <v>2</v>
      </c>
      <c r="DF311" s="1">
        <v>2</v>
      </c>
      <c r="DG311" s="1">
        <v>1</v>
      </c>
      <c r="DH311" s="1">
        <v>1</v>
      </c>
      <c r="DI311" s="1">
        <f t="shared" ref="DI311:DI324" si="303">IF(HRXPH,1,0)</f>
        <v>0</v>
      </c>
      <c r="DJ311" s="1">
        <v>1</v>
      </c>
      <c r="DK311" s="1" t="s">
        <v>858</v>
      </c>
      <c r="DL311" s="1" t="s">
        <v>40</v>
      </c>
      <c r="DR311" s="1" t="b">
        <f>AlignmentNonLawful</f>
        <v>0</v>
      </c>
      <c r="DS311" s="1" t="b">
        <f>BaseAtk&gt;=4</f>
        <v>0</v>
      </c>
      <c r="DT311" s="1" t="b">
        <f>SkKnowledgeArcanaRanks&gt;=8</f>
        <v>0</v>
      </c>
      <c r="DU311" s="1" t="b">
        <f>SkKnowledgeNatureRanks&gt;=8</f>
        <v>0</v>
      </c>
      <c r="DV311" s="1" t="b">
        <f ca="1">MaxArcaneSpellLevel&gt;=2</f>
        <v>0</v>
      </c>
      <c r="DW311" s="1" t="b">
        <f ca="1">MaxDivineSpellLevel&gt;=2</f>
        <v>0</v>
      </c>
      <c r="DX311" s="1" t="b">
        <f>OR(DrdLvl&gt;=3,WlRLvl&gt;=1)</f>
        <v>0</v>
      </c>
      <c r="EA311" s="1" t="b">
        <f ca="1">AND(DM311:DZ311)</f>
        <v>0</v>
      </c>
      <c r="EB311" s="11" t="s">
        <v>334</v>
      </c>
      <c r="EC311" s="1" t="str">
        <f ca="1">IF(DR311,"","• Alignment nonlawful
")&amp;IF(DS311,"","• BAB +4
")&amp;IF(DT311,"","• Knowledge(arcana) 8 ranks
")&amp;IF(DU311,"","• Knowledge(nature) 8 ranks
")&amp;IF(DV311,"","• Ability to cast 2nd level arcane spells
")&amp;IF(DW311,"","• Ability to cast 2nd level divine spells
")&amp;IF(DX311,"","• Trackless step class feature")</f>
        <v>• Alignment nonlawful
• BAB +4
• Knowledge(arcana) 8 ranks
• Knowledge(nature) 8 ranks
• Ability to cast 2nd level arcane spells
• Ability to cast 2nd level divine spells
• Trackless step class feature</v>
      </c>
      <c r="ED311" s="11" t="s">
        <v>335</v>
      </c>
      <c r="EE311" s="8" t="s">
        <v>859</v>
      </c>
      <c r="EF311" s="9">
        <v>3</v>
      </c>
      <c r="EG311" s="9" t="s">
        <v>834</v>
      </c>
      <c r="EH311" s="9">
        <f>IF($EI311,INT(WMdLvl/3),0)</f>
        <v>0</v>
      </c>
      <c r="EI311" s="9" t="b">
        <f t="shared" si="276"/>
        <v>0</v>
      </c>
      <c r="EJ311" s="9" t="str">
        <f t="shared" si="277"/>
        <v/>
      </c>
      <c r="EK311" s="9">
        <f t="shared" si="278"/>
        <v>99</v>
      </c>
      <c r="EL311" s="9">
        <f t="shared" si="279"/>
        <v>99</v>
      </c>
      <c r="EM311" s="9">
        <f t="shared" si="280"/>
        <v>99</v>
      </c>
      <c r="EN311" s="9">
        <f t="shared" si="281"/>
        <v>99</v>
      </c>
      <c r="EO311" s="10" t="str">
        <f t="shared" si="282"/>
        <v/>
      </c>
    </row>
    <row r="312" spans="1:145" ht="11.25" customHeight="1" x14ac:dyDescent="0.2">
      <c r="A312" s="1">
        <f t="shared" si="247"/>
        <v>309</v>
      </c>
      <c r="B312" s="1" t="s">
        <v>860</v>
      </c>
      <c r="C312" s="1" t="s">
        <v>861</v>
      </c>
      <c r="D312" s="1" t="s">
        <v>861</v>
      </c>
      <c r="E312" s="1">
        <f t="shared" si="256"/>
        <v>0</v>
      </c>
      <c r="K312" s="1">
        <v>2</v>
      </c>
      <c r="L312" s="1">
        <v>10</v>
      </c>
      <c r="V312" s="1">
        <v>1</v>
      </c>
      <c r="W312" s="1">
        <v>0.5</v>
      </c>
      <c r="X312" s="1">
        <v>0.34</v>
      </c>
      <c r="Y312" s="1">
        <v>0.5</v>
      </c>
      <c r="Z312" s="1" t="b">
        <f>FALSE</f>
        <v>0</v>
      </c>
      <c r="AA312" s="1" t="str">
        <f t="shared" si="259"/>
        <v/>
      </c>
      <c r="AB312" s="1" t="str">
        <f t="shared" si="260"/>
        <v/>
      </c>
      <c r="AC312" s="1">
        <f t="shared" si="257"/>
        <v>0</v>
      </c>
      <c r="AD312" s="1" t="str">
        <f t="shared" si="261"/>
        <v/>
      </c>
      <c r="AE312" s="1" t="str">
        <f t="shared" si="262"/>
        <v/>
      </c>
      <c r="AF312" s="1">
        <f t="shared" si="258"/>
        <v>0</v>
      </c>
      <c r="AG312" s="1">
        <f t="shared" si="263"/>
        <v>5</v>
      </c>
      <c r="AH312" s="1" t="str">
        <f t="shared" si="250"/>
        <v/>
      </c>
      <c r="AI312" s="1">
        <v>1</v>
      </c>
      <c r="AJ312" s="1">
        <f t="shared" si="296"/>
        <v>0</v>
      </c>
      <c r="AK312" s="1">
        <v>1</v>
      </c>
      <c r="AL312" s="1">
        <v>1</v>
      </c>
      <c r="AM312" s="1">
        <v>1</v>
      </c>
      <c r="AN312" s="1">
        <f t="shared" si="297"/>
        <v>0</v>
      </c>
      <c r="AO312" s="1">
        <v>2</v>
      </c>
      <c r="AP312" s="1">
        <v>2</v>
      </c>
      <c r="AQ312" s="1">
        <v>2</v>
      </c>
      <c r="AR312" s="1">
        <v>2</v>
      </c>
      <c r="AS312" s="1">
        <v>2</v>
      </c>
      <c r="AT312" s="1">
        <v>2</v>
      </c>
      <c r="AU312" s="1">
        <v>2</v>
      </c>
      <c r="AV312" s="1">
        <v>2</v>
      </c>
      <c r="AW312" s="1">
        <v>1</v>
      </c>
      <c r="AX312" s="1">
        <v>2</v>
      </c>
      <c r="AY312" s="1">
        <v>1</v>
      </c>
      <c r="AZ312" s="1">
        <v>1</v>
      </c>
      <c r="BA312" s="1">
        <v>1</v>
      </c>
      <c r="BB312" s="1">
        <v>1</v>
      </c>
      <c r="BC312" s="1">
        <v>1</v>
      </c>
      <c r="BD312" s="1">
        <v>2</v>
      </c>
      <c r="BE312" s="1">
        <v>2</v>
      </c>
      <c r="BF312" s="1">
        <v>1</v>
      </c>
      <c r="BG312" s="1">
        <f t="shared" si="298"/>
        <v>0</v>
      </c>
      <c r="BH312" s="1">
        <f t="shared" si="299"/>
        <v>0</v>
      </c>
      <c r="BI312" s="1">
        <v>2</v>
      </c>
      <c r="BJ312" s="1">
        <v>1</v>
      </c>
      <c r="BK312" s="1">
        <v>2</v>
      </c>
      <c r="BL312" s="1">
        <v>2</v>
      </c>
      <c r="BM312" s="1">
        <v>2</v>
      </c>
      <c r="BN312" s="1">
        <v>2</v>
      </c>
      <c r="BO312" s="1">
        <v>2</v>
      </c>
      <c r="BP312" s="1">
        <f>1+NOT(HRLivingGreyhawk)</f>
        <v>2</v>
      </c>
      <c r="BQ312" s="1">
        <f>IF(HRRVL,2,0)</f>
        <v>0</v>
      </c>
      <c r="BR312" s="1">
        <v>2</v>
      </c>
      <c r="BS312" s="1">
        <v>2</v>
      </c>
      <c r="BT312" s="1">
        <f>IF(HRXPH,2,0)</f>
        <v>0</v>
      </c>
      <c r="BU312" s="1">
        <f>IF(HRRVL,2,0)</f>
        <v>0</v>
      </c>
      <c r="BV312" s="1">
        <v>2</v>
      </c>
      <c r="BW312" s="1">
        <v>2</v>
      </c>
      <c r="BX312" s="1">
        <v>2</v>
      </c>
      <c r="BY312" s="1">
        <v>2</v>
      </c>
      <c r="BZ312" s="1">
        <v>2</v>
      </c>
      <c r="CA312" s="1">
        <v>2</v>
      </c>
      <c r="CB312" s="1">
        <v>2</v>
      </c>
      <c r="CC312" s="1">
        <v>2</v>
      </c>
      <c r="CD312" s="1">
        <v>2</v>
      </c>
      <c r="CE312" s="1">
        <v>2</v>
      </c>
      <c r="CF312" s="1">
        <v>1</v>
      </c>
      <c r="CG312" s="1">
        <f t="shared" si="300"/>
        <v>0</v>
      </c>
      <c r="CH312" s="1">
        <v>1</v>
      </c>
      <c r="CI312" s="1">
        <v>1</v>
      </c>
      <c r="CJ312" s="1">
        <v>1</v>
      </c>
      <c r="CK312" s="1">
        <v>1</v>
      </c>
      <c r="CL312" s="1">
        <v>1</v>
      </c>
      <c r="CM312" s="1">
        <v>1</v>
      </c>
      <c r="CN312" s="1">
        <v>1</v>
      </c>
      <c r="CO312" s="1">
        <v>1</v>
      </c>
      <c r="CP312" s="1">
        <v>2</v>
      </c>
      <c r="CQ312" s="1">
        <v>2</v>
      </c>
      <c r="CR312" s="1">
        <v>2</v>
      </c>
      <c r="CS312" s="1">
        <v>2</v>
      </c>
      <c r="CT312" s="1">
        <v>2</v>
      </c>
      <c r="CU312" s="1">
        <v>2</v>
      </c>
      <c r="CV312" s="1">
        <f t="shared" si="301"/>
        <v>0</v>
      </c>
      <c r="CW312" s="1">
        <v>2</v>
      </c>
      <c r="CX312" s="1">
        <v>1</v>
      </c>
      <c r="CY312" s="1">
        <v>2</v>
      </c>
      <c r="CZ312" s="1">
        <f t="shared" si="302"/>
        <v>0</v>
      </c>
      <c r="DA312" s="1">
        <v>1</v>
      </c>
      <c r="DB312" s="1">
        <v>1</v>
      </c>
      <c r="DC312" s="1">
        <v>2</v>
      </c>
      <c r="DD312" s="1">
        <v>1</v>
      </c>
      <c r="DE312" s="1">
        <v>1</v>
      </c>
      <c r="DF312" s="1">
        <v>1</v>
      </c>
      <c r="DG312" s="1">
        <v>1</v>
      </c>
      <c r="DH312" s="1">
        <v>1</v>
      </c>
      <c r="DI312" s="1">
        <f t="shared" si="303"/>
        <v>0</v>
      </c>
      <c r="DJ312" s="1">
        <v>1</v>
      </c>
      <c r="DK312" s="1" t="s">
        <v>858</v>
      </c>
      <c r="DL312" s="1" t="s">
        <v>40</v>
      </c>
      <c r="DO312" s="1" t="b">
        <f>Deity="Corellon Larethian"</f>
        <v>0</v>
      </c>
      <c r="DP312" s="1" t="b">
        <f>OR(FtImprovedWeaponFamiliarity,NOT(ISERROR(FIND("Longsword",WeaponFocusList,1))),NOT(ISERROR(FIND("Thinblade, Elven",ExoticWeaponList,1))),,NOT(ISERROR(FIND("Courtblade, Elven",ExoticWeaponList,1))))</f>
        <v>0</v>
      </c>
      <c r="DQ312" s="1" t="b">
        <f>FtMountedCombat</f>
        <v>0</v>
      </c>
      <c r="DR312" s="1" t="b">
        <f>OR(RaceCi="Elf",RaceCi="Half-Elf")</f>
        <v>0</v>
      </c>
      <c r="DS312" s="1" t="b">
        <f>AlignmentNonEvil</f>
        <v>1</v>
      </c>
      <c r="DT312" s="1" t="b">
        <f>BaseAtk&gt;=7</f>
        <v>0</v>
      </c>
      <c r="DU312" s="1" t="b">
        <f>SkDiplomacyRanks&gt;=4</f>
        <v>0</v>
      </c>
      <c r="DV312" s="1" t="b">
        <f>SkKnowledgeReligionRanks&gt;=2</f>
        <v>0</v>
      </c>
      <c r="DW312" s="1" t="b">
        <f>MartialProf</f>
        <v>1</v>
      </c>
      <c r="DX312" s="1" t="b">
        <f>HvyArmorProf</f>
        <v>1</v>
      </c>
      <c r="DY312" s="1" t="b">
        <f>OR(FtCombatExpertise,FreeCombatExpertise)</f>
        <v>0</v>
      </c>
      <c r="DZ312" s="1" t="b">
        <f>FtDodgeEquiv</f>
        <v>0</v>
      </c>
      <c r="EA312" s="1" t="b">
        <f>AND(DM312:DZ312)</f>
        <v>0</v>
      </c>
      <c r="EB312" s="11" t="s">
        <v>334</v>
      </c>
      <c r="EC312" s="1" t="str">
        <f>IF(DO312,"","• Worship Corellon Larethian
")&amp;IF(DP312,"","• Weapon Focus (Longsword) or Exotic Weapon Proficiency (elven
   thinblade or elven courtblade)
")&amp;IF(DR312,"","• Elf or Half-Elf
")&amp;IF(DS312,"","• Any nonevil
")&amp;IF(DT312,"","• BAB +7
")&amp;IF(DU312,"","• Diplomacy 4 ranks
")&amp;IF(DV312,"","• Knowledge (religion) 2 ranks
")&amp;IF(DW312,"","• Proficient with all martial weapons
")&amp;IF(DX312,"","• Proficient with heavy armor
")&amp;IF(DY312,"","• Combat Expertise feat
")&amp;IF(DZ312,"","• Dodge feat
")&amp;IF(DQ312,"","• Mounted Combat feat")</f>
        <v>• Worship Corellon Larethian
• Weapon Focus (Longsword) or Exotic Weapon Proficiency (elven
   thinblade or elven courtblade)
• Elf or Half-Elf
• BAB +7
• Diplomacy 4 ranks
• Knowledge (religion) 2 ranks
• Combat Expertise feat
• Dodge feat
• Mounted Combat feat</v>
      </c>
      <c r="ED312" s="11" t="s">
        <v>335</v>
      </c>
      <c r="EE312" s="8" t="s">
        <v>262</v>
      </c>
      <c r="EF312" s="9">
        <v>1</v>
      </c>
      <c r="EG312" s="9" t="s">
        <v>840</v>
      </c>
      <c r="EH312" s="9">
        <f>IF($EI312,GSALvl,0)</f>
        <v>0</v>
      </c>
      <c r="EI312" s="9" t="b">
        <f t="shared" si="276"/>
        <v>0</v>
      </c>
      <c r="EJ312" s="9" t="str">
        <f t="shared" si="277"/>
        <v/>
      </c>
      <c r="EK312" s="9">
        <f t="shared" si="278"/>
        <v>99</v>
      </c>
      <c r="EL312" s="9">
        <f t="shared" si="279"/>
        <v>99</v>
      </c>
      <c r="EM312" s="9">
        <f t="shared" si="280"/>
        <v>99</v>
      </c>
      <c r="EN312" s="9">
        <f t="shared" si="281"/>
        <v>99</v>
      </c>
      <c r="EO312" s="10" t="str">
        <f t="shared" si="282"/>
        <v/>
      </c>
    </row>
    <row r="313" spans="1:145" ht="11.25" customHeight="1" x14ac:dyDescent="0.2">
      <c r="A313" s="1">
        <f t="shared" si="247"/>
        <v>310</v>
      </c>
      <c r="B313" s="1" t="s">
        <v>862</v>
      </c>
      <c r="C313" s="1" t="s">
        <v>863</v>
      </c>
      <c r="D313" s="1" t="s">
        <v>863</v>
      </c>
      <c r="E313" s="1">
        <f t="shared" si="256"/>
        <v>0</v>
      </c>
      <c r="G313" s="1">
        <f>(LkSLvl&gt;1)*(LkSLvl-1-INT(LkSLvl/7)-INT(LkSLvl/10))</f>
        <v>0</v>
      </c>
      <c r="K313" s="1">
        <v>4</v>
      </c>
      <c r="L313" s="1">
        <v>4</v>
      </c>
      <c r="V313" s="1">
        <v>0.5</v>
      </c>
      <c r="W313" s="1">
        <v>0.34</v>
      </c>
      <c r="X313" s="1">
        <v>0.34</v>
      </c>
      <c r="Y313" s="1">
        <v>0.5</v>
      </c>
      <c r="Z313" s="1" t="b">
        <f>FALSE</f>
        <v>0</v>
      </c>
      <c r="AA313" s="1" t="str">
        <f t="shared" si="259"/>
        <v/>
      </c>
      <c r="AB313" s="1" t="str">
        <f t="shared" si="260"/>
        <v/>
      </c>
      <c r="AC313" s="1">
        <f t="shared" si="257"/>
        <v>0</v>
      </c>
      <c r="AD313" s="1" t="str">
        <f t="shared" si="261"/>
        <v/>
      </c>
      <c r="AE313" s="1" t="str">
        <f t="shared" si="262"/>
        <v/>
      </c>
      <c r="AF313" s="1">
        <f t="shared" si="258"/>
        <v>0</v>
      </c>
      <c r="AG313" s="1">
        <f t="shared" si="263"/>
        <v>5</v>
      </c>
      <c r="AH313" s="1" t="str">
        <f t="shared" si="250"/>
        <v/>
      </c>
      <c r="AI313" s="1">
        <v>2</v>
      </c>
      <c r="AJ313" s="1">
        <f t="shared" si="296"/>
        <v>0</v>
      </c>
      <c r="AK313" s="1">
        <v>1</v>
      </c>
      <c r="AL313" s="1">
        <v>2</v>
      </c>
      <c r="AM313" s="1">
        <v>1</v>
      </c>
      <c r="AN313" s="1">
        <f t="shared" si="297"/>
        <v>0</v>
      </c>
      <c r="AO313" s="1">
        <v>2</v>
      </c>
      <c r="AP313" s="1">
        <v>2</v>
      </c>
      <c r="AQ313" s="1">
        <v>2</v>
      </c>
      <c r="AR313" s="1">
        <v>2</v>
      </c>
      <c r="AS313" s="1">
        <v>2</v>
      </c>
      <c r="AT313" s="1">
        <v>2</v>
      </c>
      <c r="AU313" s="1">
        <v>2</v>
      </c>
      <c r="AV313" s="1">
        <v>2</v>
      </c>
      <c r="AW313" s="1">
        <v>1</v>
      </c>
      <c r="AX313" s="1">
        <v>1</v>
      </c>
      <c r="AY313" s="1">
        <v>1</v>
      </c>
      <c r="AZ313" s="1">
        <v>1</v>
      </c>
      <c r="BA313" s="1">
        <v>1</v>
      </c>
      <c r="BB313" s="1">
        <v>1</v>
      </c>
      <c r="BC313" s="1">
        <v>1</v>
      </c>
      <c r="BD313" s="1">
        <v>1</v>
      </c>
      <c r="BE313" s="1">
        <v>1</v>
      </c>
      <c r="BF313" s="1">
        <v>1</v>
      </c>
      <c r="BG313" s="1">
        <f t="shared" si="298"/>
        <v>0</v>
      </c>
      <c r="BH313" s="1">
        <f t="shared" si="299"/>
        <v>0</v>
      </c>
      <c r="BI313" s="1">
        <v>1</v>
      </c>
      <c r="BJ313" s="1">
        <v>1</v>
      </c>
      <c r="BK313" s="1">
        <v>1</v>
      </c>
      <c r="BL313" s="1">
        <v>1</v>
      </c>
      <c r="BM313" s="1">
        <v>1</v>
      </c>
      <c r="BN313" s="1">
        <v>1</v>
      </c>
      <c r="BO313" s="1">
        <v>1</v>
      </c>
      <c r="BP313" s="1">
        <f>1+NOT(HRLivingGreyhawk)</f>
        <v>2</v>
      </c>
      <c r="BQ313" s="1">
        <f>IF(HRRVL,1,0)</f>
        <v>0</v>
      </c>
      <c r="BR313" s="1">
        <v>1</v>
      </c>
      <c r="BS313" s="1">
        <v>1</v>
      </c>
      <c r="BT313" s="1">
        <f>IF(HRXPH,1,0)</f>
        <v>0</v>
      </c>
      <c r="BU313" s="1">
        <f>IF(HRRVL,1,0)</f>
        <v>0</v>
      </c>
      <c r="BV313" s="1">
        <v>1</v>
      </c>
      <c r="BW313" s="1">
        <v>1</v>
      </c>
      <c r="BX313" s="1">
        <v>1</v>
      </c>
      <c r="BY313" s="1">
        <v>1</v>
      </c>
      <c r="BZ313" s="1">
        <v>1</v>
      </c>
      <c r="CA313" s="1">
        <v>1</v>
      </c>
      <c r="CB313" s="1">
        <v>1</v>
      </c>
      <c r="CC313" s="1">
        <v>1</v>
      </c>
      <c r="CD313" s="1">
        <v>1</v>
      </c>
      <c r="CE313" s="1">
        <v>1</v>
      </c>
      <c r="CF313" s="1">
        <v>1</v>
      </c>
      <c r="CG313" s="1">
        <f t="shared" si="300"/>
        <v>0</v>
      </c>
      <c r="CH313" s="1">
        <v>1</v>
      </c>
      <c r="CI313" s="1">
        <v>1</v>
      </c>
      <c r="CJ313" s="1">
        <v>1</v>
      </c>
      <c r="CK313" s="1">
        <v>1</v>
      </c>
      <c r="CL313" s="1">
        <v>1</v>
      </c>
      <c r="CM313" s="1">
        <v>1</v>
      </c>
      <c r="CN313" s="1">
        <v>1</v>
      </c>
      <c r="CO313" s="1">
        <v>1</v>
      </c>
      <c r="CP313" s="1">
        <v>2</v>
      </c>
      <c r="CQ313" s="1">
        <v>2</v>
      </c>
      <c r="CR313" s="1">
        <v>2</v>
      </c>
      <c r="CS313" s="1">
        <v>2</v>
      </c>
      <c r="CT313" s="1">
        <v>2</v>
      </c>
      <c r="CU313" s="1">
        <v>2</v>
      </c>
      <c r="CV313" s="1">
        <f t="shared" si="301"/>
        <v>0</v>
      </c>
      <c r="CW313" s="1">
        <v>1</v>
      </c>
      <c r="CX313" s="1">
        <v>1</v>
      </c>
      <c r="CY313" s="1">
        <v>2</v>
      </c>
      <c r="CZ313" s="1">
        <f t="shared" si="302"/>
        <v>0</v>
      </c>
      <c r="DA313" s="1">
        <v>2</v>
      </c>
      <c r="DB313" s="1">
        <v>1</v>
      </c>
      <c r="DC313" s="1">
        <v>2</v>
      </c>
      <c r="DD313" s="1">
        <v>1</v>
      </c>
      <c r="DE313" s="1">
        <v>1</v>
      </c>
      <c r="DF313" s="1">
        <v>1</v>
      </c>
      <c r="DG313" s="1">
        <v>1</v>
      </c>
      <c r="DH313" s="1">
        <v>1</v>
      </c>
      <c r="DI313" s="1">
        <f t="shared" si="303"/>
        <v>0</v>
      </c>
      <c r="DJ313" s="1">
        <v>1</v>
      </c>
      <c r="DK313" s="1" t="s">
        <v>858</v>
      </c>
      <c r="DL313" s="1" t="s">
        <v>170</v>
      </c>
      <c r="DR313" s="1" t="b">
        <f>RaceCi="Halfling"</f>
        <v>0</v>
      </c>
      <c r="DS313" s="1" t="b">
        <f>OR(AND(NOT(ISERROR(FIND("gambler",skprofession1,1))),NOT(ISERROR(FIND("gambler",skprofession2,1))),NOT(ISERROR(FIND("gambler",skprofession3,1))),NOT(ISERROR(FIND("gambler",skprofession4,1))),NOT(ISERROR(FIND("gambler",skprofession5,1)))))</f>
        <v>0</v>
      </c>
      <c r="DT313" s="1" t="b">
        <f>FtDallahThaunsLuck</f>
        <v>0</v>
      </c>
      <c r="DU313" s="1" t="b">
        <f ca="1">OR(MaxArcaneSpellLevel&gt;=3,MaxDivineSpellLevel&gt;=3)</f>
        <v>0</v>
      </c>
      <c r="DV313" s="1" t="b">
        <f ca="1">IF(MaxDivineSpellLevel&gt;0,NOT(ISNA(MATCH("Luck",Domains,0))),TRUE)</f>
        <v>1</v>
      </c>
      <c r="EA313" s="1" t="b">
        <f ca="1">AND(DM313:DZ313)</f>
        <v>0</v>
      </c>
      <c r="EB313" s="11" t="s">
        <v>334</v>
      </c>
      <c r="EC313" s="1" t="str">
        <f ca="1">IF(DR313,"","• Halfling
")&amp;IF(DS313,"","• Profession (gambler) 9 ranks
")&amp;IF(DT313,"","• Dallah Thaun's Luck feat
")&amp;IF(DU313,"","• Ability to cast 3rd level divine or arcane spells
")&amp;IF(DV313,"","• Luck domain (divine casters only)")</f>
        <v xml:space="preserve">• Halfling
• Profession (gambler) 9 ranks
• Dallah Thaun's Luck feat
• Ability to cast 3rd level divine or arcane spells
</v>
      </c>
      <c r="ED313" s="11" t="s">
        <v>335</v>
      </c>
      <c r="EE313" s="8" t="s">
        <v>551</v>
      </c>
      <c r="EF313" s="9">
        <v>7</v>
      </c>
      <c r="EG313" s="9" t="s">
        <v>864</v>
      </c>
      <c r="EH313" s="9">
        <v>1</v>
      </c>
      <c r="EI313" s="9" t="b">
        <f t="shared" si="276"/>
        <v>0</v>
      </c>
      <c r="EJ313" s="9" t="str">
        <f t="shared" si="277"/>
        <v/>
      </c>
      <c r="EK313" s="9">
        <f t="shared" si="278"/>
        <v>99</v>
      </c>
      <c r="EL313" s="9">
        <f t="shared" si="279"/>
        <v>99</v>
      </c>
      <c r="EM313" s="9">
        <f t="shared" si="280"/>
        <v>99</v>
      </c>
      <c r="EN313" s="9">
        <f t="shared" si="281"/>
        <v>99</v>
      </c>
      <c r="EO313" s="10" t="str">
        <f t="shared" si="282"/>
        <v/>
      </c>
    </row>
    <row r="314" spans="1:145" ht="11.25" customHeight="1" x14ac:dyDescent="0.2">
      <c r="A314" s="1">
        <f t="shared" si="247"/>
        <v>311</v>
      </c>
      <c r="B314" s="1" t="s">
        <v>865</v>
      </c>
      <c r="C314" s="1" t="s">
        <v>866</v>
      </c>
      <c r="D314" s="1" t="s">
        <v>866</v>
      </c>
      <c r="E314" s="1">
        <f t="shared" si="256"/>
        <v>0</v>
      </c>
      <c r="G314" s="1">
        <f>RuaLvl</f>
        <v>0</v>
      </c>
      <c r="K314" s="1">
        <v>4</v>
      </c>
      <c r="L314" s="1">
        <v>6</v>
      </c>
      <c r="V314" s="1">
        <v>0.75</v>
      </c>
      <c r="W314" s="1">
        <v>0.34</v>
      </c>
      <c r="X314" s="1">
        <v>0.5</v>
      </c>
      <c r="Y314" s="1">
        <v>0.5</v>
      </c>
      <c r="Z314" s="1" t="b">
        <f>FALSE</f>
        <v>0</v>
      </c>
      <c r="AA314" s="1" t="str">
        <f t="shared" si="259"/>
        <v/>
      </c>
      <c r="AB314" s="1" t="str">
        <f t="shared" si="260"/>
        <v/>
      </c>
      <c r="AC314" s="1">
        <f t="shared" si="257"/>
        <v>0</v>
      </c>
      <c r="AD314" s="1" t="str">
        <f t="shared" si="261"/>
        <v/>
      </c>
      <c r="AE314" s="1" t="str">
        <f t="shared" si="262"/>
        <v/>
      </c>
      <c r="AF314" s="1">
        <f t="shared" si="258"/>
        <v>0</v>
      </c>
      <c r="AG314" s="1">
        <f t="shared" si="263"/>
        <v>5</v>
      </c>
      <c r="AH314" s="1" t="str">
        <f t="shared" si="250"/>
        <v/>
      </c>
      <c r="AI314" s="1">
        <v>1</v>
      </c>
      <c r="AJ314" s="1">
        <f t="shared" si="296"/>
        <v>0</v>
      </c>
      <c r="AK314" s="1">
        <v>1</v>
      </c>
      <c r="AL314" s="1">
        <v>1</v>
      </c>
      <c r="AM314" s="1">
        <v>1</v>
      </c>
      <c r="AN314" s="1">
        <f t="shared" si="297"/>
        <v>0</v>
      </c>
      <c r="AO314" s="1">
        <v>2</v>
      </c>
      <c r="AP314" s="1">
        <v>2</v>
      </c>
      <c r="AQ314" s="1">
        <v>2</v>
      </c>
      <c r="AR314" s="1">
        <v>2</v>
      </c>
      <c r="AS314" s="1">
        <v>2</v>
      </c>
      <c r="AT314" s="1">
        <v>2</v>
      </c>
      <c r="AU314" s="1">
        <v>2</v>
      </c>
      <c r="AV314" s="1">
        <v>2</v>
      </c>
      <c r="AW314" s="1">
        <v>1</v>
      </c>
      <c r="AX314" s="1">
        <v>2</v>
      </c>
      <c r="AY314" s="1">
        <v>1</v>
      </c>
      <c r="AZ314" s="1">
        <v>1</v>
      </c>
      <c r="BA314" s="1">
        <v>1</v>
      </c>
      <c r="BB314" s="1">
        <v>1</v>
      </c>
      <c r="BC314" s="1">
        <v>1</v>
      </c>
      <c r="BD314" s="1">
        <v>2</v>
      </c>
      <c r="BE314" s="1">
        <v>1</v>
      </c>
      <c r="BF314" s="1">
        <v>2</v>
      </c>
      <c r="BG314" s="1">
        <f t="shared" si="298"/>
        <v>0</v>
      </c>
      <c r="BH314" s="1">
        <f t="shared" si="299"/>
        <v>0</v>
      </c>
      <c r="BI314" s="1">
        <v>1</v>
      </c>
      <c r="BJ314" s="1">
        <v>1</v>
      </c>
      <c r="BK314" s="1">
        <v>2</v>
      </c>
      <c r="BL314" s="1">
        <v>2</v>
      </c>
      <c r="BM314" s="1">
        <v>2</v>
      </c>
      <c r="BN314" s="1">
        <v>2</v>
      </c>
      <c r="BO314" s="1">
        <v>2</v>
      </c>
      <c r="BP314" s="1">
        <f>1+NOT(HRLivingGreyhawk)</f>
        <v>2</v>
      </c>
      <c r="BQ314" s="1">
        <f>IF(HRRVL,2,0)</f>
        <v>0</v>
      </c>
      <c r="BR314" s="1">
        <v>2</v>
      </c>
      <c r="BS314" s="1">
        <v>2</v>
      </c>
      <c r="BT314" s="1">
        <f>IF(HRXPH,2,0)</f>
        <v>0</v>
      </c>
      <c r="BU314" s="1">
        <f>IF(HRRVL,2,0)</f>
        <v>0</v>
      </c>
      <c r="BV314" s="1">
        <v>2</v>
      </c>
      <c r="BW314" s="1">
        <v>2</v>
      </c>
      <c r="BX314" s="1">
        <v>2</v>
      </c>
      <c r="BY314" s="1">
        <v>2</v>
      </c>
      <c r="BZ314" s="1">
        <v>2</v>
      </c>
      <c r="CA314" s="1">
        <v>2</v>
      </c>
      <c r="CB314" s="1">
        <v>2</v>
      </c>
      <c r="CC314" s="1">
        <v>2</v>
      </c>
      <c r="CD314" s="1">
        <v>2</v>
      </c>
      <c r="CE314" s="1">
        <v>2</v>
      </c>
      <c r="CF314" s="1">
        <v>2</v>
      </c>
      <c r="CG314" s="1">
        <f t="shared" si="300"/>
        <v>0</v>
      </c>
      <c r="CH314" s="1">
        <v>2</v>
      </c>
      <c r="CI314" s="1">
        <v>1</v>
      </c>
      <c r="CJ314" s="1">
        <v>1</v>
      </c>
      <c r="CK314" s="1">
        <v>1</v>
      </c>
      <c r="CL314" s="1">
        <v>1</v>
      </c>
      <c r="CM314" s="1">
        <v>1</v>
      </c>
      <c r="CN314" s="1">
        <v>1</v>
      </c>
      <c r="CO314" s="1">
        <v>1</v>
      </c>
      <c r="CP314" s="1">
        <v>2</v>
      </c>
      <c r="CQ314" s="1">
        <v>2</v>
      </c>
      <c r="CR314" s="1">
        <v>2</v>
      </c>
      <c r="CS314" s="1">
        <v>2</v>
      </c>
      <c r="CT314" s="1">
        <v>2</v>
      </c>
      <c r="CU314" s="1">
        <v>2</v>
      </c>
      <c r="CV314" s="1">
        <f t="shared" si="301"/>
        <v>0</v>
      </c>
      <c r="CW314" s="1">
        <v>1</v>
      </c>
      <c r="CX314" s="1">
        <v>2</v>
      </c>
      <c r="CY314" s="1">
        <v>2</v>
      </c>
      <c r="CZ314" s="1">
        <f t="shared" si="302"/>
        <v>0</v>
      </c>
      <c r="DA314" s="1">
        <v>1</v>
      </c>
      <c r="DB314" s="1">
        <v>1</v>
      </c>
      <c r="DC314" s="1">
        <v>2</v>
      </c>
      <c r="DD314" s="1">
        <v>2</v>
      </c>
      <c r="DE314" s="1">
        <v>2</v>
      </c>
      <c r="DF314" s="1">
        <v>1</v>
      </c>
      <c r="DG314" s="1">
        <v>1</v>
      </c>
      <c r="DH314" s="1">
        <v>1</v>
      </c>
      <c r="DI314" s="1">
        <f t="shared" si="303"/>
        <v>0</v>
      </c>
      <c r="DJ314" s="1">
        <v>1</v>
      </c>
      <c r="DK314" s="1" t="s">
        <v>858</v>
      </c>
      <c r="DL314" s="1" t="s">
        <v>101</v>
      </c>
      <c r="DR314" s="1" t="b">
        <f>BaseAtk&gt;=6</f>
        <v>0</v>
      </c>
      <c r="DS314" s="1" t="b">
        <f>MAX(SkRanks)&gt;=9</f>
        <v>0</v>
      </c>
      <c r="DT314" s="1" t="b">
        <f ca="1">MaxSpellLevel&gt;=3</f>
        <v>0</v>
      </c>
      <c r="EA314" s="1" t="b">
        <f ca="1">OR(DR314,DS314,DT314)</f>
        <v>0</v>
      </c>
      <c r="EB314" s="11" t="s">
        <v>334</v>
      </c>
      <c r="EC314" s="1" t="str">
        <f ca="1">IF(EA314,"","• BAB +6 OR
  Any skill 9 ranks OR
  Ability to cast 3rd-level spells")</f>
        <v>• BAB +6 OR
  Any skill 9 ranks OR
  Ability to cast 3rd-level spells</v>
      </c>
      <c r="ED314" s="11" t="s">
        <v>335</v>
      </c>
      <c r="EE314" s="8" t="s">
        <v>563</v>
      </c>
      <c r="EF314" s="9">
        <v>10</v>
      </c>
      <c r="EG314" s="9" t="s">
        <v>867</v>
      </c>
      <c r="EH314" s="9">
        <v>10</v>
      </c>
      <c r="EI314" s="9" t="b">
        <f t="shared" si="276"/>
        <v>0</v>
      </c>
      <c r="EJ314" s="9" t="str">
        <f t="shared" si="277"/>
        <v/>
      </c>
      <c r="EK314" s="9">
        <f t="shared" si="278"/>
        <v>99</v>
      </c>
      <c r="EL314" s="9">
        <f t="shared" si="279"/>
        <v>99</v>
      </c>
      <c r="EM314" s="9">
        <f t="shared" si="280"/>
        <v>99</v>
      </c>
      <c r="EN314" s="9">
        <f t="shared" si="281"/>
        <v>99</v>
      </c>
      <c r="EO314" s="10" t="str">
        <f t="shared" si="282"/>
        <v/>
      </c>
    </row>
    <row r="315" spans="1:145" ht="11.25" customHeight="1" x14ac:dyDescent="0.2">
      <c r="A315" s="1">
        <f t="shared" si="247"/>
        <v>312</v>
      </c>
      <c r="B315" s="1" t="s">
        <v>868</v>
      </c>
      <c r="C315" s="1" t="s">
        <v>869</v>
      </c>
      <c r="D315" s="1" t="s">
        <v>869</v>
      </c>
      <c r="E315" s="1">
        <f t="shared" si="256"/>
        <v>0</v>
      </c>
      <c r="G315" s="1">
        <f>SkPLvl</f>
        <v>0</v>
      </c>
      <c r="K315" s="1">
        <v>4</v>
      </c>
      <c r="L315" s="1">
        <v>6</v>
      </c>
      <c r="V315" s="1">
        <v>0.75</v>
      </c>
      <c r="W315" s="1">
        <v>0.34</v>
      </c>
      <c r="X315" s="1">
        <v>0.5</v>
      </c>
      <c r="Y315" s="1">
        <v>0.5</v>
      </c>
      <c r="Z315" s="1" t="b">
        <f>FALSE</f>
        <v>0</v>
      </c>
      <c r="AA315" s="1" t="str">
        <f t="shared" si="259"/>
        <v/>
      </c>
      <c r="AB315" s="1" t="str">
        <f t="shared" si="260"/>
        <v/>
      </c>
      <c r="AC315" s="1">
        <f t="shared" si="257"/>
        <v>0</v>
      </c>
      <c r="AD315" s="1" t="str">
        <f t="shared" si="261"/>
        <v/>
      </c>
      <c r="AE315" s="1" t="str">
        <f t="shared" si="262"/>
        <v/>
      </c>
      <c r="AF315" s="1">
        <f t="shared" si="258"/>
        <v>0</v>
      </c>
      <c r="AG315" s="1">
        <f t="shared" si="263"/>
        <v>5</v>
      </c>
      <c r="AH315" s="1" t="str">
        <f t="shared" si="250"/>
        <v/>
      </c>
      <c r="AI315" s="1">
        <v>1</v>
      </c>
      <c r="AJ315" s="1">
        <f t="shared" si="296"/>
        <v>0</v>
      </c>
      <c r="AK315" s="1">
        <v>1</v>
      </c>
      <c r="AL315" s="1">
        <v>1</v>
      </c>
      <c r="AM315" s="1">
        <v>1</v>
      </c>
      <c r="AN315" s="1">
        <f t="shared" si="297"/>
        <v>0</v>
      </c>
      <c r="AO315" s="1">
        <v>2</v>
      </c>
      <c r="AP315" s="1">
        <v>2</v>
      </c>
      <c r="AQ315" s="1">
        <v>2</v>
      </c>
      <c r="AR315" s="1">
        <v>2</v>
      </c>
      <c r="AS315" s="1">
        <v>2</v>
      </c>
      <c r="AT315" s="1">
        <v>2</v>
      </c>
      <c r="AU315" s="1">
        <v>2</v>
      </c>
      <c r="AV315" s="1">
        <v>2</v>
      </c>
      <c r="AW315" s="1">
        <v>1</v>
      </c>
      <c r="AX315" s="1">
        <v>1</v>
      </c>
      <c r="AY315" s="1">
        <v>1</v>
      </c>
      <c r="AZ315" s="1">
        <v>1</v>
      </c>
      <c r="BA315" s="1">
        <v>1</v>
      </c>
      <c r="BB315" s="1">
        <v>1</v>
      </c>
      <c r="BC315" s="1">
        <v>1</v>
      </c>
      <c r="BD315" s="1">
        <v>2</v>
      </c>
      <c r="BE315" s="1">
        <v>2</v>
      </c>
      <c r="BF315" s="1">
        <v>1</v>
      </c>
      <c r="BG315" s="1">
        <f t="shared" si="298"/>
        <v>0</v>
      </c>
      <c r="BH315" s="1">
        <f t="shared" si="299"/>
        <v>0</v>
      </c>
      <c r="BI315" s="1">
        <v>2</v>
      </c>
      <c r="BJ315" s="1">
        <v>1</v>
      </c>
      <c r="BK315" s="1">
        <v>1</v>
      </c>
      <c r="BL315" s="1">
        <v>1</v>
      </c>
      <c r="BM315" s="1">
        <v>1</v>
      </c>
      <c r="BN315" s="1">
        <v>1</v>
      </c>
      <c r="BO315" s="1">
        <v>1</v>
      </c>
      <c r="BP315" s="1">
        <v>1</v>
      </c>
      <c r="BQ315" s="1">
        <f>IF(HRRVL,2,0)</f>
        <v>0</v>
      </c>
      <c r="BR315" s="1">
        <v>2</v>
      </c>
      <c r="BS315" s="1">
        <v>1</v>
      </c>
      <c r="BT315" s="1">
        <f>IF(HRXPH,1,0)</f>
        <v>0</v>
      </c>
      <c r="BU315" s="1">
        <f>IF(HRRVL,1,0)</f>
        <v>0</v>
      </c>
      <c r="BV315" s="1">
        <v>1</v>
      </c>
      <c r="BW315" s="1">
        <v>2</v>
      </c>
      <c r="BX315" s="1">
        <v>1</v>
      </c>
      <c r="BY315" s="1">
        <v>1</v>
      </c>
      <c r="BZ315" s="1">
        <v>1</v>
      </c>
      <c r="CA315" s="1">
        <v>1</v>
      </c>
      <c r="CB315" s="1">
        <v>1</v>
      </c>
      <c r="CC315" s="1">
        <v>1</v>
      </c>
      <c r="CD315" s="1">
        <v>1</v>
      </c>
      <c r="CE315" s="1">
        <v>1</v>
      </c>
      <c r="CF315" s="1">
        <v>2</v>
      </c>
      <c r="CG315" s="1">
        <f t="shared" si="300"/>
        <v>0</v>
      </c>
      <c r="CH315" s="1">
        <v>1</v>
      </c>
      <c r="CI315" s="1">
        <v>1</v>
      </c>
      <c r="CJ315" s="1">
        <v>1</v>
      </c>
      <c r="CK315" s="1">
        <v>1</v>
      </c>
      <c r="CL315" s="1">
        <v>1</v>
      </c>
      <c r="CM315" s="1">
        <v>1</v>
      </c>
      <c r="CN315" s="1">
        <v>1</v>
      </c>
      <c r="CO315" s="1">
        <v>1</v>
      </c>
      <c r="CP315" s="1">
        <v>2</v>
      </c>
      <c r="CQ315" s="1">
        <v>2</v>
      </c>
      <c r="CR315" s="1">
        <v>2</v>
      </c>
      <c r="CS315" s="1">
        <v>2</v>
      </c>
      <c r="CT315" s="1">
        <v>2</v>
      </c>
      <c r="CU315" s="1">
        <v>2</v>
      </c>
      <c r="CV315" s="1">
        <f t="shared" si="301"/>
        <v>0</v>
      </c>
      <c r="CW315" s="1">
        <v>1</v>
      </c>
      <c r="CX315" s="1">
        <v>1</v>
      </c>
      <c r="CY315" s="1">
        <v>1</v>
      </c>
      <c r="CZ315" s="1">
        <f t="shared" si="302"/>
        <v>0</v>
      </c>
      <c r="DA315" s="1">
        <v>1</v>
      </c>
      <c r="DB315" s="1">
        <v>1</v>
      </c>
      <c r="DC315" s="1">
        <v>2</v>
      </c>
      <c r="DD315" s="1">
        <v>2</v>
      </c>
      <c r="DE315" s="1">
        <v>2</v>
      </c>
      <c r="DF315" s="1">
        <v>1</v>
      </c>
      <c r="DG315" s="1">
        <v>1</v>
      </c>
      <c r="DH315" s="1">
        <v>1</v>
      </c>
      <c r="DI315" s="1">
        <f t="shared" si="303"/>
        <v>0</v>
      </c>
      <c r="DJ315" s="1">
        <v>1</v>
      </c>
      <c r="DK315" s="1" t="s">
        <v>858</v>
      </c>
      <c r="DL315" s="1" t="s">
        <v>150</v>
      </c>
      <c r="DR315" s="1" t="b">
        <f>RaceCi="Raptoran"</f>
        <v>0</v>
      </c>
      <c r="DS315" s="1" t="b">
        <f>HitDice&gt;=5</f>
        <v>0</v>
      </c>
      <c r="EA315" s="1" t="b">
        <f>AND(DM315:DZ315)</f>
        <v>0</v>
      </c>
      <c r="EB315" s="11" t="s">
        <v>338</v>
      </c>
      <c r="EC315" s="1" t="str">
        <f>"• Ability to cast summon monster IV OR
  summon nature's ally IV (not verified)
"&amp;IF(DR315,"","• Raptoran
")&amp;IF(DS315,"","• Flight extrodinary ability")</f>
        <v>• Ability to cast summon monster IV OR
  summon nature's ally IV (not verified)
• Raptoran
• Flight extrodinary ability</v>
      </c>
      <c r="ED315" s="11" t="s">
        <v>335</v>
      </c>
      <c r="EE315" s="8" t="s">
        <v>139</v>
      </c>
      <c r="EF315" s="9">
        <v>20</v>
      </c>
      <c r="EG315" s="9" t="str">
        <f>FavoredDR</f>
        <v>silver</v>
      </c>
      <c r="EH315" s="9">
        <v>10</v>
      </c>
      <c r="EI315" s="9" t="b">
        <f t="shared" si="276"/>
        <v>0</v>
      </c>
      <c r="EJ315" s="9" t="str">
        <f t="shared" si="277"/>
        <v/>
      </c>
      <c r="EK315" s="9">
        <f t="shared" si="278"/>
        <v>99</v>
      </c>
      <c r="EL315" s="9">
        <f t="shared" si="279"/>
        <v>99</v>
      </c>
      <c r="EM315" s="9">
        <f t="shared" si="280"/>
        <v>99</v>
      </c>
      <c r="EN315" s="9">
        <f t="shared" si="281"/>
        <v>99</v>
      </c>
      <c r="EO315" s="10" t="str">
        <f t="shared" si="282"/>
        <v/>
      </c>
    </row>
    <row r="316" spans="1:145" ht="11.25" customHeight="1" x14ac:dyDescent="0.2">
      <c r="A316" s="1">
        <f t="shared" si="247"/>
        <v>313</v>
      </c>
      <c r="B316" s="1" t="s">
        <v>870</v>
      </c>
      <c r="C316" s="1" t="s">
        <v>871</v>
      </c>
      <c r="D316" s="1" t="s">
        <v>871</v>
      </c>
      <c r="E316" s="1">
        <f t="shared" si="256"/>
        <v>0</v>
      </c>
      <c r="K316" s="1">
        <v>2</v>
      </c>
      <c r="L316" s="1">
        <v>10</v>
      </c>
      <c r="V316" s="1">
        <v>1</v>
      </c>
      <c r="W316" s="1">
        <v>0.5</v>
      </c>
      <c r="X316" s="1">
        <v>0.34</v>
      </c>
      <c r="Y316" s="1">
        <v>0.34</v>
      </c>
      <c r="Z316" s="1" t="b">
        <f>FALSE</f>
        <v>0</v>
      </c>
      <c r="AA316" s="1" t="str">
        <f t="shared" si="259"/>
        <v/>
      </c>
      <c r="AB316" s="1" t="str">
        <f t="shared" si="260"/>
        <v/>
      </c>
      <c r="AC316" s="1">
        <f t="shared" si="257"/>
        <v>0</v>
      </c>
      <c r="AD316" s="1" t="str">
        <f t="shared" si="261"/>
        <v/>
      </c>
      <c r="AE316" s="1" t="str">
        <f t="shared" si="262"/>
        <v/>
      </c>
      <c r="AF316" s="1">
        <f t="shared" si="258"/>
        <v>0</v>
      </c>
      <c r="AG316" s="1">
        <f t="shared" si="263"/>
        <v>5</v>
      </c>
      <c r="AH316" s="1" t="str">
        <f t="shared" si="250"/>
        <v/>
      </c>
      <c r="AI316" s="1">
        <v>1</v>
      </c>
      <c r="AJ316" s="1">
        <f t="shared" si="296"/>
        <v>0</v>
      </c>
      <c r="AK316" s="1">
        <v>2</v>
      </c>
      <c r="AL316" s="1">
        <v>1</v>
      </c>
      <c r="AM316" s="1">
        <v>2</v>
      </c>
      <c r="AN316" s="1">
        <f t="shared" si="297"/>
        <v>0</v>
      </c>
      <c r="AO316" s="1">
        <v>1</v>
      </c>
      <c r="AP316" s="1">
        <v>2</v>
      </c>
      <c r="AQ316" s="1">
        <v>2</v>
      </c>
      <c r="AR316" s="1">
        <v>2</v>
      </c>
      <c r="AS316" s="1">
        <v>2</v>
      </c>
      <c r="AT316" s="1">
        <v>2</v>
      </c>
      <c r="AU316" s="1">
        <v>2</v>
      </c>
      <c r="AV316" s="1">
        <v>2</v>
      </c>
      <c r="AW316" s="1">
        <v>1</v>
      </c>
      <c r="AX316" s="1">
        <v>1</v>
      </c>
      <c r="AY316" s="1">
        <v>1</v>
      </c>
      <c r="AZ316" s="1">
        <v>1</v>
      </c>
      <c r="BA316" s="1">
        <v>1</v>
      </c>
      <c r="BB316" s="1">
        <v>1</v>
      </c>
      <c r="BC316" s="1">
        <v>1</v>
      </c>
      <c r="BD316" s="1">
        <v>1</v>
      </c>
      <c r="BE316" s="1">
        <v>1</v>
      </c>
      <c r="BF316" s="1">
        <v>1</v>
      </c>
      <c r="BG316" s="1">
        <f t="shared" si="298"/>
        <v>0</v>
      </c>
      <c r="BH316" s="1">
        <f t="shared" si="299"/>
        <v>0</v>
      </c>
      <c r="BI316" s="1">
        <v>2</v>
      </c>
      <c r="BJ316" s="1">
        <v>2</v>
      </c>
      <c r="BK316" s="1">
        <v>1</v>
      </c>
      <c r="BL316" s="1">
        <v>1</v>
      </c>
      <c r="BM316" s="1">
        <v>1</v>
      </c>
      <c r="BN316" s="1">
        <v>1</v>
      </c>
      <c r="BO316" s="1">
        <v>1</v>
      </c>
      <c r="BP316" s="1">
        <v>1</v>
      </c>
      <c r="BQ316" s="1">
        <f>IF(HRRVL,1,0)</f>
        <v>0</v>
      </c>
      <c r="BR316" s="1">
        <v>1</v>
      </c>
      <c r="BS316" s="1">
        <v>1</v>
      </c>
      <c r="BT316" s="1">
        <f>IF(HRXPH,1,0)</f>
        <v>0</v>
      </c>
      <c r="BU316" s="1">
        <f>IF(HRRVL,1,0)</f>
        <v>0</v>
      </c>
      <c r="BV316" s="1">
        <v>1</v>
      </c>
      <c r="BW316" s="1">
        <v>1</v>
      </c>
      <c r="BX316" s="1">
        <v>1</v>
      </c>
      <c r="BY316" s="1">
        <v>1</v>
      </c>
      <c r="BZ316" s="1">
        <v>1</v>
      </c>
      <c r="CA316" s="1">
        <v>1</v>
      </c>
      <c r="CB316" s="1">
        <v>1</v>
      </c>
      <c r="CC316" s="1">
        <v>1</v>
      </c>
      <c r="CD316" s="1">
        <v>1</v>
      </c>
      <c r="CE316" s="1">
        <v>1</v>
      </c>
      <c r="CF316" s="1">
        <v>1</v>
      </c>
      <c r="CG316" s="1">
        <f t="shared" si="300"/>
        <v>0</v>
      </c>
      <c r="CH316" s="1">
        <v>1</v>
      </c>
      <c r="CI316" s="1">
        <v>1</v>
      </c>
      <c r="CJ316" s="1">
        <v>1</v>
      </c>
      <c r="CK316" s="1">
        <v>1</v>
      </c>
      <c r="CL316" s="1">
        <v>1</v>
      </c>
      <c r="CM316" s="1">
        <v>1</v>
      </c>
      <c r="CN316" s="1">
        <v>1</v>
      </c>
      <c r="CO316" s="1">
        <v>1</v>
      </c>
      <c r="CP316" s="1">
        <v>1</v>
      </c>
      <c r="CQ316" s="1">
        <v>1</v>
      </c>
      <c r="CR316" s="1">
        <v>1</v>
      </c>
      <c r="CS316" s="1">
        <v>1</v>
      </c>
      <c r="CT316" s="1">
        <v>1</v>
      </c>
      <c r="CU316" s="1">
        <v>1</v>
      </c>
      <c r="CV316" s="1">
        <f t="shared" si="301"/>
        <v>0</v>
      </c>
      <c r="CW316" s="1">
        <v>1</v>
      </c>
      <c r="CX316" s="1">
        <v>1</v>
      </c>
      <c r="CY316" s="1">
        <v>1</v>
      </c>
      <c r="CZ316" s="1">
        <f t="shared" si="302"/>
        <v>0</v>
      </c>
      <c r="DA316" s="1">
        <v>1</v>
      </c>
      <c r="DB316" s="1">
        <v>1</v>
      </c>
      <c r="DC316" s="1">
        <v>1</v>
      </c>
      <c r="DD316" s="1">
        <v>2</v>
      </c>
      <c r="DE316" s="1">
        <v>1</v>
      </c>
      <c r="DF316" s="1">
        <v>1</v>
      </c>
      <c r="DG316" s="1">
        <v>2</v>
      </c>
      <c r="DH316" s="1">
        <v>1</v>
      </c>
      <c r="DI316" s="1">
        <f t="shared" si="303"/>
        <v>0</v>
      </c>
      <c r="DJ316" s="1">
        <v>1</v>
      </c>
      <c r="DK316" s="1" t="s">
        <v>858</v>
      </c>
      <c r="DL316" s="1" t="s">
        <v>150</v>
      </c>
      <c r="DR316" s="1" t="b">
        <f>RaceCi="Raptoran"</f>
        <v>0</v>
      </c>
      <c r="DS316" s="1" t="b">
        <f>BaseAtk&gt;=5</f>
        <v>0</v>
      </c>
      <c r="DT316" s="1" t="b">
        <f>HitDice&gt;=5</f>
        <v>0</v>
      </c>
      <c r="EA316" s="1" t="b">
        <f>AND(DM316:DZ316)</f>
        <v>0</v>
      </c>
      <c r="EB316" s="11" t="s">
        <v>334</v>
      </c>
      <c r="EC316" s="1" t="str">
        <f>IF(DR316,"","• Raptoran
")&amp;IF(DS316,"","• BAB +5
")&amp;IF(DT316,"","• Flight extraordinary ability")</f>
        <v>• Raptoran
• BAB +5
• Flight extraordinary ability</v>
      </c>
      <c r="ED316" s="11" t="s">
        <v>335</v>
      </c>
      <c r="EE316" s="8" t="s">
        <v>156</v>
      </c>
      <c r="EF316" s="9">
        <v>1</v>
      </c>
      <c r="EG316" s="9" t="s">
        <v>867</v>
      </c>
      <c r="EH316" s="9">
        <f>IF($EI316,INT((1+WrlLvl)/4),0)</f>
        <v>0</v>
      </c>
      <c r="EI316" s="9" t="b">
        <f t="shared" si="276"/>
        <v>0</v>
      </c>
      <c r="EJ316" s="9" t="str">
        <f t="shared" si="277"/>
        <v/>
      </c>
      <c r="EK316" s="9">
        <f t="shared" si="278"/>
        <v>99</v>
      </c>
      <c r="EL316" s="9">
        <f t="shared" si="279"/>
        <v>99</v>
      </c>
      <c r="EM316" s="9">
        <f t="shared" si="280"/>
        <v>99</v>
      </c>
      <c r="EN316" s="9">
        <f t="shared" si="281"/>
        <v>99</v>
      </c>
      <c r="EO316" s="10" t="str">
        <f t="shared" si="282"/>
        <v/>
      </c>
    </row>
    <row r="317" spans="1:145" ht="11.25" customHeight="1" x14ac:dyDescent="0.2">
      <c r="A317" s="1">
        <f t="shared" si="247"/>
        <v>314</v>
      </c>
      <c r="B317" s="1" t="s">
        <v>872</v>
      </c>
      <c r="C317" s="1" t="s">
        <v>873</v>
      </c>
      <c r="D317" s="1" t="s">
        <v>873</v>
      </c>
      <c r="E317" s="1">
        <f t="shared" si="256"/>
        <v>0</v>
      </c>
      <c r="K317" s="1">
        <v>6</v>
      </c>
      <c r="L317" s="1">
        <v>8</v>
      </c>
      <c r="V317" s="1">
        <v>1</v>
      </c>
      <c r="W317" s="1">
        <v>0.34</v>
      </c>
      <c r="X317" s="1">
        <v>0.5</v>
      </c>
      <c r="Y317" s="1">
        <v>0.34</v>
      </c>
      <c r="Z317" s="1" t="b">
        <f>FALSE</f>
        <v>0</v>
      </c>
      <c r="AA317" s="1" t="str">
        <f t="shared" si="259"/>
        <v/>
      </c>
      <c r="AB317" s="1" t="str">
        <f t="shared" si="260"/>
        <v/>
      </c>
      <c r="AC317" s="1">
        <f t="shared" si="257"/>
        <v>0</v>
      </c>
      <c r="AD317" s="1" t="str">
        <f t="shared" si="261"/>
        <v/>
      </c>
      <c r="AE317" s="1" t="str">
        <f t="shared" si="262"/>
        <v/>
      </c>
      <c r="AF317" s="1">
        <f t="shared" si="258"/>
        <v>0</v>
      </c>
      <c r="AG317" s="1">
        <f t="shared" si="263"/>
        <v>5</v>
      </c>
      <c r="AH317" s="1" t="str">
        <f t="shared" si="250"/>
        <v/>
      </c>
      <c r="AI317" s="1">
        <v>1</v>
      </c>
      <c r="AJ317" s="1">
        <f t="shared" si="296"/>
        <v>0</v>
      </c>
      <c r="AK317" s="1">
        <v>2</v>
      </c>
      <c r="AL317" s="1">
        <v>2</v>
      </c>
      <c r="AM317" s="1">
        <v>2</v>
      </c>
      <c r="AN317" s="1">
        <f t="shared" si="297"/>
        <v>0</v>
      </c>
      <c r="AO317" s="1">
        <v>1</v>
      </c>
      <c r="AP317" s="1">
        <v>1</v>
      </c>
      <c r="AQ317" s="1">
        <v>1</v>
      </c>
      <c r="AR317" s="1">
        <v>1</v>
      </c>
      <c r="AS317" s="1">
        <v>1</v>
      </c>
      <c r="AT317" s="1">
        <v>1</v>
      </c>
      <c r="AU317" s="1">
        <v>1</v>
      </c>
      <c r="AV317" s="1">
        <v>1</v>
      </c>
      <c r="AW317" s="1">
        <v>1</v>
      </c>
      <c r="AX317" s="1">
        <v>1</v>
      </c>
      <c r="AY317" s="1">
        <v>2</v>
      </c>
      <c r="AZ317" s="1">
        <v>1</v>
      </c>
      <c r="BA317" s="1">
        <v>1</v>
      </c>
      <c r="BB317" s="1">
        <v>1</v>
      </c>
      <c r="BC317" s="1">
        <v>1</v>
      </c>
      <c r="BD317" s="1">
        <v>2</v>
      </c>
      <c r="BE317" s="1">
        <v>1</v>
      </c>
      <c r="BF317" s="1">
        <v>2</v>
      </c>
      <c r="BG317" s="1">
        <f t="shared" si="298"/>
        <v>0</v>
      </c>
      <c r="BH317" s="1">
        <f t="shared" si="299"/>
        <v>0</v>
      </c>
      <c r="BI317" s="1">
        <v>2</v>
      </c>
      <c r="BJ317" s="1">
        <v>2</v>
      </c>
      <c r="BK317" s="1">
        <v>1</v>
      </c>
      <c r="BL317" s="1">
        <v>1</v>
      </c>
      <c r="BM317" s="1">
        <v>1</v>
      </c>
      <c r="BN317" s="1">
        <v>1</v>
      </c>
      <c r="BO317" s="1">
        <v>1</v>
      </c>
      <c r="BP317" s="1">
        <f>1+NOT(HRLivingGreyhawk)</f>
        <v>2</v>
      </c>
      <c r="BQ317" s="1">
        <f>IF(HRRVL,1,0)</f>
        <v>0</v>
      </c>
      <c r="BR317" s="1">
        <v>1</v>
      </c>
      <c r="BS317" s="1">
        <v>1</v>
      </c>
      <c r="BT317" s="1">
        <f>IF(HRXPH,1,0)</f>
        <v>0</v>
      </c>
      <c r="BU317" s="1">
        <f>IF(HRRVL,1,0)</f>
        <v>0</v>
      </c>
      <c r="BV317" s="1">
        <v>1</v>
      </c>
      <c r="BW317" s="1">
        <v>1</v>
      </c>
      <c r="BX317" s="1">
        <v>1</v>
      </c>
      <c r="BY317" s="1">
        <v>1</v>
      </c>
      <c r="BZ317" s="1">
        <v>1</v>
      </c>
      <c r="CA317" s="1">
        <v>1</v>
      </c>
      <c r="CB317" s="1">
        <v>1</v>
      </c>
      <c r="CC317" s="1">
        <v>1</v>
      </c>
      <c r="CD317" s="1">
        <v>1</v>
      </c>
      <c r="CE317" s="1">
        <v>1</v>
      </c>
      <c r="CF317" s="1">
        <v>2</v>
      </c>
      <c r="CG317" s="1">
        <f t="shared" si="300"/>
        <v>0</v>
      </c>
      <c r="CH317" s="1">
        <v>2</v>
      </c>
      <c r="CI317" s="1">
        <v>2</v>
      </c>
      <c r="CJ317" s="1">
        <v>1</v>
      </c>
      <c r="CK317" s="1">
        <v>1</v>
      </c>
      <c r="CL317" s="1">
        <v>1</v>
      </c>
      <c r="CM317" s="1">
        <v>1</v>
      </c>
      <c r="CN317" s="1">
        <v>1</v>
      </c>
      <c r="CO317" s="1">
        <v>1</v>
      </c>
      <c r="CP317" s="1">
        <v>1</v>
      </c>
      <c r="CQ317" s="1">
        <v>1</v>
      </c>
      <c r="CR317" s="1">
        <v>1</v>
      </c>
      <c r="CS317" s="1">
        <v>1</v>
      </c>
      <c r="CT317" s="1">
        <v>1</v>
      </c>
      <c r="CU317" s="1">
        <v>1</v>
      </c>
      <c r="CV317" s="1">
        <f t="shared" si="301"/>
        <v>0</v>
      </c>
      <c r="CW317" s="1">
        <v>1</v>
      </c>
      <c r="CX317" s="1">
        <v>2</v>
      </c>
      <c r="CY317" s="1">
        <v>2</v>
      </c>
      <c r="CZ317" s="1">
        <f t="shared" si="302"/>
        <v>0</v>
      </c>
      <c r="DA317" s="1">
        <v>2</v>
      </c>
      <c r="DB317" s="1">
        <v>1</v>
      </c>
      <c r="DC317" s="1">
        <v>1</v>
      </c>
      <c r="DD317" s="1">
        <v>2</v>
      </c>
      <c r="DE317" s="1">
        <v>1</v>
      </c>
      <c r="DF317" s="1">
        <v>2</v>
      </c>
      <c r="DG317" s="1">
        <v>2</v>
      </c>
      <c r="DH317" s="1">
        <v>1</v>
      </c>
      <c r="DI317" s="1">
        <f t="shared" si="303"/>
        <v>0</v>
      </c>
      <c r="DJ317" s="1">
        <v>1</v>
      </c>
      <c r="DK317" s="1" t="s">
        <v>858</v>
      </c>
      <c r="DL317" s="1" t="s">
        <v>40</v>
      </c>
      <c r="DN317" s="1" t="b">
        <f>RaceCi="Halfling"</f>
        <v>0</v>
      </c>
      <c r="DO317" s="1" t="b">
        <f>BaseAtk&gt;=4</f>
        <v>0</v>
      </c>
      <c r="DP317" s="1" t="b">
        <f>SkBalanceRanks&gt;=3</f>
        <v>0</v>
      </c>
      <c r="DQ317" s="1" t="b">
        <f>SkClimbRanks&gt;=3</f>
        <v>0</v>
      </c>
      <c r="DR317" s="1" t="b">
        <f>SkHideRanks&gt;=6</f>
        <v>0</v>
      </c>
      <c r="DS317" s="1" t="b">
        <f>SkJumpRanks&gt;=3</f>
        <v>0</v>
      </c>
      <c r="DT317" s="1" t="b">
        <f>SkMoveSilentlyRanks&gt;=6</f>
        <v>0</v>
      </c>
      <c r="DU317" s="1" t="b">
        <f>SkTumbleRanks&gt;=3</f>
        <v>0</v>
      </c>
      <c r="DV317" s="1" t="b">
        <f>OR(FtPointBlankShot,FreePointBlankShot)</f>
        <v>0</v>
      </c>
      <c r="DW317" s="1" t="b">
        <f>OR(FtQuickDraw,FreeQuickDraw)</f>
        <v>0</v>
      </c>
      <c r="DX317" s="1" t="b">
        <f>OR(OR(FtTwoWeaponFighting,RslHeFtr2),FreeTwoWeaponFighting)</f>
        <v>0</v>
      </c>
      <c r="DY317" s="1" t="b">
        <f>OR(FtWeaponFinesse,FtShadowBlade)</f>
        <v>0</v>
      </c>
      <c r="DZ317" s="1" t="b">
        <f>(SneakAttack+SuddenStrike+PsionicSneakAttack)&gt;=1</f>
        <v>0</v>
      </c>
      <c r="EA317" s="1" t="b">
        <f>AND(DN317:DZ317)</f>
        <v>0</v>
      </c>
      <c r="EB317" s="11" t="s">
        <v>334</v>
      </c>
      <c r="EC317" s="1" t="str">
        <f>IF(DN317,"","• Halfling
")&amp;IF(DO317,"","• BAB +4
")&amp;IF(DP317,"","• Balance 3 ranks
")&amp;IF(DQ317,"","• Climb 3 ranks
")&amp;IF(DR317,"","• Hide 6 ranks
")&amp;IF(DS317,"","• Jump 3 ranks
")&amp;IF(DT317,"","• Move Silently 6 ranks
")&amp;IF(DU317,"","• Tumble 3 ranks
")&amp;IF(DV317,"","• Point-Blank Shot feat
")&amp;IF(DW317,"","• Quick Draw feat
")&amp;IF(DX317,"","• Two-Weapon Fighting feat
")&amp;IF(DY317,"","• Weapon Finesse feat
")&amp;IF(DZ317,"","• Sneak Attack +1d6")</f>
        <v>• Halfling
• BAB +4
• Balance 3 ranks
• Climb 3 ranks
• Hide 6 ranks
• Jump 3 ranks
• Move Silently 6 ranks
• Tumble 3 ranks
• Point-Blank Shot feat
• Quick Draw feat
• Two-Weapon Fighting feat
• Weapon Finesse feat
• Sneak Attack +1d6</v>
      </c>
      <c r="ED317" s="11" t="s">
        <v>335</v>
      </c>
      <c r="EE317" s="8" t="s">
        <v>555</v>
      </c>
      <c r="EF317" s="9">
        <v>9</v>
      </c>
      <c r="EG317" s="9" t="s">
        <v>867</v>
      </c>
      <c r="EH317" s="9">
        <v>2</v>
      </c>
      <c r="EI317" s="9" t="b">
        <f t="shared" si="276"/>
        <v>0</v>
      </c>
      <c r="EJ317" s="9" t="str">
        <f t="shared" si="277"/>
        <v/>
      </c>
      <c r="EK317" s="9">
        <f t="shared" si="278"/>
        <v>99</v>
      </c>
      <c r="EL317" s="9">
        <f t="shared" si="279"/>
        <v>99</v>
      </c>
      <c r="EM317" s="9">
        <f t="shared" si="280"/>
        <v>99</v>
      </c>
      <c r="EN317" s="9">
        <f t="shared" si="281"/>
        <v>99</v>
      </c>
      <c r="EO317" s="10" t="str">
        <f t="shared" si="282"/>
        <v/>
      </c>
    </row>
    <row r="318" spans="1:145" ht="11.25" customHeight="1" x14ac:dyDescent="0.2">
      <c r="A318" s="1">
        <f t="shared" si="247"/>
        <v>315</v>
      </c>
      <c r="B318" s="1" t="s">
        <v>874</v>
      </c>
      <c r="C318" s="1" t="s">
        <v>555</v>
      </c>
      <c r="D318" s="1" t="s">
        <v>555</v>
      </c>
      <c r="E318" s="1">
        <f t="shared" si="256"/>
        <v>0</v>
      </c>
      <c r="K318" s="1">
        <v>4</v>
      </c>
      <c r="L318" s="1">
        <v>10</v>
      </c>
      <c r="V318" s="1">
        <v>1</v>
      </c>
      <c r="W318" s="1">
        <v>0.5</v>
      </c>
      <c r="X318" s="1">
        <v>0.5</v>
      </c>
      <c r="Y318" s="1">
        <v>0.34</v>
      </c>
      <c r="Z318" s="1" t="b">
        <f>FALSE</f>
        <v>0</v>
      </c>
      <c r="AA318" s="1" t="str">
        <f t="shared" si="259"/>
        <v/>
      </c>
      <c r="AB318" s="1" t="str">
        <f t="shared" si="260"/>
        <v/>
      </c>
      <c r="AC318" s="1">
        <f t="shared" si="257"/>
        <v>0</v>
      </c>
      <c r="AD318" s="1" t="str">
        <f t="shared" si="261"/>
        <v/>
      </c>
      <c r="AE318" s="1" t="str">
        <f t="shared" si="262"/>
        <v/>
      </c>
      <c r="AF318" s="1">
        <f t="shared" si="258"/>
        <v>0</v>
      </c>
      <c r="AG318" s="1">
        <f t="shared" si="263"/>
        <v>5</v>
      </c>
      <c r="AH318" s="1" t="str">
        <f t="shared" si="250"/>
        <v/>
      </c>
      <c r="AI318" s="1">
        <v>1</v>
      </c>
      <c r="AJ318" s="1">
        <f t="shared" si="296"/>
        <v>0</v>
      </c>
      <c r="AK318" s="1">
        <v>2</v>
      </c>
      <c r="AL318" s="1">
        <v>1</v>
      </c>
      <c r="AM318" s="1">
        <v>2</v>
      </c>
      <c r="AN318" s="1">
        <f t="shared" si="297"/>
        <v>0</v>
      </c>
      <c r="AO318" s="1">
        <v>1</v>
      </c>
      <c r="AP318" s="1">
        <v>1</v>
      </c>
      <c r="AQ318" s="1">
        <v>1</v>
      </c>
      <c r="AR318" s="1">
        <v>1</v>
      </c>
      <c r="AS318" s="1">
        <v>1</v>
      </c>
      <c r="AT318" s="1">
        <v>1</v>
      </c>
      <c r="AU318" s="1">
        <v>1</v>
      </c>
      <c r="AV318" s="1">
        <v>1</v>
      </c>
      <c r="AW318" s="1">
        <v>1</v>
      </c>
      <c r="AX318" s="1">
        <v>1</v>
      </c>
      <c r="AY318" s="1">
        <v>1</v>
      </c>
      <c r="AZ318" s="1">
        <v>1</v>
      </c>
      <c r="BA318" s="1">
        <v>1</v>
      </c>
      <c r="BB318" s="1">
        <v>1</v>
      </c>
      <c r="BC318" s="1">
        <v>1</v>
      </c>
      <c r="BD318" s="1">
        <v>2</v>
      </c>
      <c r="BE318" s="1">
        <v>1</v>
      </c>
      <c r="BF318" s="1">
        <v>2</v>
      </c>
      <c r="BG318" s="1">
        <f t="shared" si="298"/>
        <v>0</v>
      </c>
      <c r="BH318" s="1">
        <f t="shared" si="299"/>
        <v>0</v>
      </c>
      <c r="BI318" s="1">
        <v>2</v>
      </c>
      <c r="BJ318" s="1">
        <v>2</v>
      </c>
      <c r="BK318" s="1">
        <v>1</v>
      </c>
      <c r="BL318" s="1">
        <v>1</v>
      </c>
      <c r="BM318" s="1">
        <v>1</v>
      </c>
      <c r="BN318" s="1">
        <v>1</v>
      </c>
      <c r="BO318" s="1">
        <v>1</v>
      </c>
      <c r="BP318" s="1">
        <v>1</v>
      </c>
      <c r="BQ318" s="1">
        <f>IF(HRRVL,2,0)</f>
        <v>0</v>
      </c>
      <c r="BR318" s="1">
        <v>2</v>
      </c>
      <c r="BS318" s="1">
        <v>1</v>
      </c>
      <c r="BT318" s="1">
        <f>IF(HRXPH,1,0)</f>
        <v>0</v>
      </c>
      <c r="BU318" s="1">
        <f>IF(HRRVL,1,0)</f>
        <v>0</v>
      </c>
      <c r="BV318" s="1">
        <v>1</v>
      </c>
      <c r="BW318" s="1">
        <v>1</v>
      </c>
      <c r="BX318" s="1">
        <v>1</v>
      </c>
      <c r="BY318" s="1">
        <v>1</v>
      </c>
      <c r="BZ318" s="1">
        <v>1</v>
      </c>
      <c r="CA318" s="1">
        <v>1</v>
      </c>
      <c r="CB318" s="1">
        <v>1</v>
      </c>
      <c r="CC318" s="1">
        <v>1</v>
      </c>
      <c r="CD318" s="1">
        <v>1</v>
      </c>
      <c r="CE318" s="1">
        <v>1</v>
      </c>
      <c r="CF318" s="1">
        <v>2</v>
      </c>
      <c r="CG318" s="1">
        <f t="shared" si="300"/>
        <v>0</v>
      </c>
      <c r="CH318" s="1">
        <v>2</v>
      </c>
      <c r="CI318" s="1">
        <v>1</v>
      </c>
      <c r="CJ318" s="1">
        <v>1</v>
      </c>
      <c r="CK318" s="1">
        <v>1</v>
      </c>
      <c r="CL318" s="1">
        <v>1</v>
      </c>
      <c r="CM318" s="1">
        <v>1</v>
      </c>
      <c r="CN318" s="1">
        <v>1</v>
      </c>
      <c r="CO318" s="1">
        <v>1</v>
      </c>
      <c r="CP318" s="1">
        <v>1</v>
      </c>
      <c r="CQ318" s="1">
        <v>1</v>
      </c>
      <c r="CR318" s="1">
        <v>1</v>
      </c>
      <c r="CS318" s="1">
        <v>1</v>
      </c>
      <c r="CT318" s="1">
        <v>1</v>
      </c>
      <c r="CU318" s="1">
        <v>1</v>
      </c>
      <c r="CV318" s="1">
        <f t="shared" si="301"/>
        <v>0</v>
      </c>
      <c r="CW318" s="1">
        <v>1</v>
      </c>
      <c r="CX318" s="1">
        <v>1</v>
      </c>
      <c r="CY318" s="1">
        <v>1</v>
      </c>
      <c r="CZ318" s="1">
        <f t="shared" si="302"/>
        <v>0</v>
      </c>
      <c r="DA318" s="1">
        <v>1</v>
      </c>
      <c r="DB318" s="1">
        <v>1</v>
      </c>
      <c r="DC318" s="1">
        <v>1</v>
      </c>
      <c r="DD318" s="1">
        <v>2</v>
      </c>
      <c r="DE318" s="1">
        <v>2</v>
      </c>
      <c r="DF318" s="1">
        <v>2</v>
      </c>
      <c r="DG318" s="1">
        <v>1</v>
      </c>
      <c r="DH318" s="1">
        <v>1</v>
      </c>
      <c r="DI318" s="1">
        <f t="shared" si="303"/>
        <v>0</v>
      </c>
      <c r="DJ318" s="1">
        <v>1</v>
      </c>
      <c r="DK318" s="1" t="s">
        <v>858</v>
      </c>
      <c r="DL318" s="1" t="s">
        <v>40</v>
      </c>
      <c r="DR318" s="1" t="b">
        <f>OR(RaceCi="Elf",RaceCi="Half-Elf")</f>
        <v>0</v>
      </c>
      <c r="DS318" s="1" t="b">
        <f>OR(AlignmentChaotic,AlignmentGood)</f>
        <v>1</v>
      </c>
      <c r="DT318" s="1" t="b">
        <f>SkHideRanks&gt;=5</f>
        <v>0</v>
      </c>
      <c r="DU318" s="1" t="b">
        <f>SkKnowledgeNatureRanks&gt;=5</f>
        <v>0</v>
      </c>
      <c r="DV318" s="1" t="b">
        <f>SkMoveSilentlyRanks&gt;=5</f>
        <v>0</v>
      </c>
      <c r="DW318" s="1" t="b">
        <f>SkSurvivalRanks&gt;=8</f>
        <v>0</v>
      </c>
      <c r="DX318" s="1" t="b">
        <f>OR(FtEndurance,FtKoboldEndurance)</f>
        <v>0</v>
      </c>
      <c r="EA318" s="1" t="b">
        <f>AND(DM318:DZ318)</f>
        <v>0</v>
      </c>
      <c r="EB318" s="11" t="s">
        <v>334</v>
      </c>
      <c r="EC318" s="1" t="str">
        <f>IF(DR318,"","• Elf or Half-Elf
")&amp;IF(DS318,"","• Any good or chaotic
")&amp;IF(DT318,"","• Hide 5 ranks
")&amp;IF(DU318,"","• Knowledge (nature) 5 ranks
")&amp;IF(DV318,"","• Move Silently 5 ranks
")&amp;IF(DW318,"","• Survival 8 ranks
")&amp;IF(DX318,"","• Endurance feat")</f>
        <v>• Elf or Half-Elf
• Hide 5 ranks
• Knowledge (nature) 5 ranks
• Move Silently 5 ranks
• Survival 8 ranks
• Endurance feat</v>
      </c>
      <c r="ED318" s="11" t="s">
        <v>335</v>
      </c>
      <c r="EE318" s="8" t="s">
        <v>347</v>
      </c>
      <c r="EF318" s="9">
        <v>10</v>
      </c>
      <c r="EG318" s="9" t="s">
        <v>867</v>
      </c>
      <c r="EH318" s="9">
        <v>5</v>
      </c>
      <c r="EI318" s="9" t="b">
        <f t="shared" si="276"/>
        <v>0</v>
      </c>
      <c r="EJ318" s="9" t="str">
        <f t="shared" si="277"/>
        <v/>
      </c>
      <c r="EK318" s="9">
        <f t="shared" si="278"/>
        <v>99</v>
      </c>
      <c r="EL318" s="9">
        <f t="shared" si="279"/>
        <v>99</v>
      </c>
      <c r="EM318" s="9">
        <f t="shared" si="280"/>
        <v>99</v>
      </c>
      <c r="EN318" s="9">
        <f t="shared" si="281"/>
        <v>99</v>
      </c>
      <c r="EO318" s="10" t="str">
        <f t="shared" si="282"/>
        <v/>
      </c>
    </row>
    <row r="319" spans="1:145" ht="11.25" customHeight="1" x14ac:dyDescent="0.2">
      <c r="A319" s="1">
        <f t="shared" si="247"/>
        <v>316</v>
      </c>
      <c r="B319" s="1" t="s">
        <v>875</v>
      </c>
      <c r="E319" s="1">
        <f t="shared" si="256"/>
        <v>0</v>
      </c>
      <c r="F319" s="1">
        <v>1</v>
      </c>
      <c r="Z319" s="1" t="b">
        <f>FALSE</f>
        <v>0</v>
      </c>
      <c r="AA319" s="1" t="str">
        <f t="shared" si="259"/>
        <v/>
      </c>
      <c r="AB319" s="1" t="str">
        <f t="shared" si="260"/>
        <v/>
      </c>
      <c r="AC319" s="1">
        <f t="shared" si="257"/>
        <v>0</v>
      </c>
      <c r="AD319" s="1" t="str">
        <f t="shared" si="261"/>
        <v/>
      </c>
      <c r="AE319" s="1" t="str">
        <f t="shared" si="262"/>
        <v/>
      </c>
      <c r="AF319" s="1">
        <f t="shared" si="258"/>
        <v>0</v>
      </c>
      <c r="AG319" s="1">
        <f t="shared" si="263"/>
        <v>5</v>
      </c>
      <c r="AH319" s="1" t="str">
        <f t="shared" si="250"/>
        <v/>
      </c>
      <c r="EB319" s="11"/>
      <c r="ED319" s="11" t="s">
        <v>335</v>
      </c>
      <c r="EE319" s="8" t="s">
        <v>876</v>
      </c>
      <c r="EF319" s="9">
        <v>5</v>
      </c>
      <c r="EG319" s="9" t="s">
        <v>867</v>
      </c>
      <c r="EH319" s="9">
        <f>IF(EldeenRangerSectCell=5,3,0)</f>
        <v>0</v>
      </c>
      <c r="EI319" s="9" t="b">
        <f t="shared" si="276"/>
        <v>0</v>
      </c>
      <c r="EJ319" s="9" t="str">
        <f t="shared" si="277"/>
        <v/>
      </c>
      <c r="EK319" s="9">
        <f t="shared" si="278"/>
        <v>99</v>
      </c>
      <c r="EL319" s="9">
        <f t="shared" si="279"/>
        <v>99</v>
      </c>
      <c r="EM319" s="9">
        <f t="shared" si="280"/>
        <v>99</v>
      </c>
      <c r="EN319" s="9">
        <f t="shared" si="281"/>
        <v>99</v>
      </c>
      <c r="EO319" s="10" t="str">
        <f t="shared" si="282"/>
        <v/>
      </c>
    </row>
    <row r="320" spans="1:145" ht="11.25" customHeight="1" x14ac:dyDescent="0.2">
      <c r="A320" s="1">
        <f t="shared" si="247"/>
        <v>317</v>
      </c>
      <c r="B320" s="1" t="s">
        <v>877</v>
      </c>
      <c r="C320" s="1" t="s">
        <v>878</v>
      </c>
      <c r="D320" s="1" t="s">
        <v>878</v>
      </c>
      <c r="E320" s="1">
        <f t="shared" si="256"/>
        <v>0</v>
      </c>
      <c r="K320" s="1">
        <v>4</v>
      </c>
      <c r="L320" s="1">
        <v>8</v>
      </c>
      <c r="V320" s="1">
        <v>0.75</v>
      </c>
      <c r="W320" s="1">
        <v>0.5</v>
      </c>
      <c r="X320" s="1">
        <v>0.5</v>
      </c>
      <c r="Y320" s="1">
        <v>0.5</v>
      </c>
      <c r="Z320" s="1" t="b">
        <f>FALSE</f>
        <v>0</v>
      </c>
      <c r="AA320" s="1" t="str">
        <f t="shared" si="259"/>
        <v/>
      </c>
      <c r="AB320" s="1" t="str">
        <f t="shared" si="260"/>
        <v/>
      </c>
      <c r="AC320" s="1">
        <f t="shared" si="257"/>
        <v>0</v>
      </c>
      <c r="AD320" s="1" t="str">
        <f t="shared" si="261"/>
        <v/>
      </c>
      <c r="AE320" s="1" t="str">
        <f t="shared" si="262"/>
        <v/>
      </c>
      <c r="AF320" s="1">
        <f t="shared" si="258"/>
        <v>0</v>
      </c>
      <c r="AG320" s="1">
        <f t="shared" si="263"/>
        <v>5</v>
      </c>
      <c r="AH320" s="1" t="str">
        <f t="shared" si="250"/>
        <v/>
      </c>
      <c r="AI320" s="1">
        <v>1</v>
      </c>
      <c r="AJ320" s="1">
        <f t="shared" si="296"/>
        <v>0</v>
      </c>
      <c r="AK320" s="1">
        <v>1</v>
      </c>
      <c r="AL320" s="1">
        <v>1</v>
      </c>
      <c r="AM320" s="1">
        <v>2</v>
      </c>
      <c r="AN320" s="1">
        <f>IF(IsLycanthrope,2,0)</f>
        <v>0</v>
      </c>
      <c r="AO320" s="1">
        <v>2</v>
      </c>
      <c r="AP320" s="1">
        <v>2</v>
      </c>
      <c r="AQ320" s="1">
        <v>2</v>
      </c>
      <c r="AR320" s="1">
        <v>2</v>
      </c>
      <c r="AS320" s="1">
        <v>2</v>
      </c>
      <c r="AT320" s="1">
        <v>2</v>
      </c>
      <c r="AU320" s="1">
        <v>2</v>
      </c>
      <c r="AV320" s="1">
        <v>2</v>
      </c>
      <c r="AW320" s="1">
        <v>1</v>
      </c>
      <c r="AX320" s="1">
        <v>2</v>
      </c>
      <c r="AY320" s="1">
        <v>1</v>
      </c>
      <c r="AZ320" s="1">
        <v>1</v>
      </c>
      <c r="BA320" s="1">
        <v>1</v>
      </c>
      <c r="BB320" s="1">
        <v>1</v>
      </c>
      <c r="BC320" s="1">
        <v>2</v>
      </c>
      <c r="BD320" s="1">
        <v>1</v>
      </c>
      <c r="BE320" s="1">
        <v>1</v>
      </c>
      <c r="BF320" s="1">
        <v>2</v>
      </c>
      <c r="BG320" s="1">
        <f>IF(HRRVL,1,0)</f>
        <v>0</v>
      </c>
      <c r="BH320" s="1">
        <f>IF(HROA,1,0)</f>
        <v>0</v>
      </c>
      <c r="BI320" s="1">
        <v>2</v>
      </c>
      <c r="BJ320" s="1">
        <v>2</v>
      </c>
      <c r="BK320" s="1">
        <v>2</v>
      </c>
      <c r="BL320" s="1">
        <v>1</v>
      </c>
      <c r="BM320" s="1">
        <v>1</v>
      </c>
      <c r="BN320" s="1">
        <v>2</v>
      </c>
      <c r="BO320" s="1">
        <v>1</v>
      </c>
      <c r="BP320" s="1">
        <v>1</v>
      </c>
      <c r="BQ320" s="1">
        <f>IF(HRRVL,1,0)</f>
        <v>0</v>
      </c>
      <c r="BR320" s="1">
        <v>1</v>
      </c>
      <c r="BS320" s="1">
        <v>1</v>
      </c>
      <c r="BT320" s="1">
        <f>IF(HRXPH,1,0)</f>
        <v>0</v>
      </c>
      <c r="BU320" s="1">
        <f>IF(HRRVL,1,0)</f>
        <v>0</v>
      </c>
      <c r="BV320" s="1">
        <v>1</v>
      </c>
      <c r="BW320" s="1">
        <v>1</v>
      </c>
      <c r="BX320" s="1">
        <v>1</v>
      </c>
      <c r="BY320" s="1">
        <v>1</v>
      </c>
      <c r="BZ320" s="1">
        <v>1</v>
      </c>
      <c r="CA320" s="1">
        <v>1</v>
      </c>
      <c r="CB320" s="1">
        <v>1</v>
      </c>
      <c r="CC320" s="1">
        <v>1</v>
      </c>
      <c r="CD320" s="1">
        <v>1</v>
      </c>
      <c r="CE320" s="1">
        <v>1</v>
      </c>
      <c r="CF320" s="1">
        <v>2</v>
      </c>
      <c r="CG320" s="1">
        <f>IF(HRToB,1,0)</f>
        <v>0</v>
      </c>
      <c r="CH320" s="1">
        <v>2</v>
      </c>
      <c r="CI320" s="1">
        <v>1</v>
      </c>
      <c r="CJ320" s="1">
        <v>1</v>
      </c>
      <c r="CK320" s="1">
        <v>1</v>
      </c>
      <c r="CL320" s="1">
        <v>1</v>
      </c>
      <c r="CM320" s="1">
        <v>1</v>
      </c>
      <c r="CN320" s="1">
        <v>1</v>
      </c>
      <c r="CO320" s="1">
        <v>1</v>
      </c>
      <c r="CP320" s="1">
        <v>2</v>
      </c>
      <c r="CQ320" s="1">
        <v>2</v>
      </c>
      <c r="CR320" s="1">
        <v>2</v>
      </c>
      <c r="CS320" s="1">
        <v>2</v>
      </c>
      <c r="CT320" s="1">
        <v>2</v>
      </c>
      <c r="CU320" s="1">
        <v>2</v>
      </c>
      <c r="CV320" s="1">
        <f t="shared" si="301"/>
        <v>0</v>
      </c>
      <c r="CW320" s="1">
        <v>1</v>
      </c>
      <c r="CX320" s="1">
        <v>1</v>
      </c>
      <c r="CY320" s="1">
        <v>2</v>
      </c>
      <c r="CZ320" s="1">
        <f>IF(HRCS,1,0)</f>
        <v>0</v>
      </c>
      <c r="DA320" s="1">
        <v>1</v>
      </c>
      <c r="DB320" s="1">
        <v>1</v>
      </c>
      <c r="DC320" s="1">
        <v>1</v>
      </c>
      <c r="DD320" s="1">
        <v>2</v>
      </c>
      <c r="DE320" s="1">
        <v>2</v>
      </c>
      <c r="DF320" s="1">
        <v>2</v>
      </c>
      <c r="DG320" s="1">
        <v>2</v>
      </c>
      <c r="DH320" s="1">
        <v>1</v>
      </c>
      <c r="DI320" s="1">
        <f t="shared" si="303"/>
        <v>0</v>
      </c>
      <c r="DJ320" s="1">
        <v>1</v>
      </c>
      <c r="DK320" s="1" t="s">
        <v>879</v>
      </c>
      <c r="DL320" s="1" t="s">
        <v>101</v>
      </c>
      <c r="DR320" s="1" t="b">
        <f>OR(NOT(ISERROR(FIND("dragonblood",Subtype,1))),MonType="Dragon")</f>
        <v>0</v>
      </c>
      <c r="DS320" s="1" t="b">
        <f>AlignmentLawful</f>
        <v>1</v>
      </c>
      <c r="DT320" s="1" t="b">
        <f>SkConcentrationRanks&gt;=8</f>
        <v>0</v>
      </c>
      <c r="DU320" s="1" t="b">
        <f>SkSpotRanks&gt;=8</f>
        <v>0</v>
      </c>
      <c r="DV320" s="1" t="b">
        <f>FtImprovedUnarmed</f>
        <v>0</v>
      </c>
      <c r="EA320" s="1" t="b">
        <f>AND(DM320:DZ320)</f>
        <v>0</v>
      </c>
      <c r="EB320" s="11" t="s">
        <v>334</v>
      </c>
      <c r="EC320" s="1" t="str">
        <f>IF(DR320,"","• Subtype: Dragonblood.
")&amp;IF(DS320,"","• Must be of any lawful alignment.
")&amp;IF(DT320,"","• 8 ranks in Concentration.
")&amp;IF(DU320,"","• 8 ranks in Spot.
")&amp;IF(DV320,"","• Improved Unarmed Strike feat.")</f>
        <v>• Subtype: Dragonblood.
• 8 ranks in Concentration.
• 8 ranks in Spot.
• Improved Unarmed Strike feat.</v>
      </c>
      <c r="ED320" s="11" t="s">
        <v>335</v>
      </c>
      <c r="EE320" s="8" t="s">
        <v>705</v>
      </c>
      <c r="EF320" s="9">
        <v>1</v>
      </c>
      <c r="EG320" s="9" t="s">
        <v>867</v>
      </c>
      <c r="EH320" s="9">
        <f>IF($EI320,1+IF(ElTLvl&gt;3,INT((ElTLvl-1)/3),0),0)</f>
        <v>0</v>
      </c>
      <c r="EI320" s="9" t="b">
        <f t="shared" si="276"/>
        <v>0</v>
      </c>
      <c r="EJ320" s="9" t="str">
        <f t="shared" si="277"/>
        <v/>
      </c>
      <c r="EK320" s="9">
        <f t="shared" si="278"/>
        <v>99</v>
      </c>
      <c r="EL320" s="9">
        <f t="shared" si="279"/>
        <v>99</v>
      </c>
      <c r="EM320" s="9">
        <f t="shared" si="280"/>
        <v>99</v>
      </c>
      <c r="EN320" s="9">
        <f t="shared" si="281"/>
        <v>99</v>
      </c>
      <c r="EO320" s="10" t="str">
        <f t="shared" si="282"/>
        <v/>
      </c>
    </row>
    <row r="321" spans="1:145" ht="11.25" customHeight="1" x14ac:dyDescent="0.2">
      <c r="A321" s="1">
        <f t="shared" si="247"/>
        <v>318</v>
      </c>
      <c r="B321" s="1" t="s">
        <v>880</v>
      </c>
      <c r="C321" s="1" t="s">
        <v>881</v>
      </c>
      <c r="D321" s="1" t="s">
        <v>881</v>
      </c>
      <c r="E321" s="1">
        <f t="shared" si="256"/>
        <v>0</v>
      </c>
      <c r="G321" s="1">
        <f>(DcxLvl&gt;=2)*(DcxLvl-1)</f>
        <v>0</v>
      </c>
      <c r="K321" s="1">
        <v>4</v>
      </c>
      <c r="L321" s="1">
        <v>6</v>
      </c>
      <c r="V321" s="1">
        <v>0.5</v>
      </c>
      <c r="W321" s="1">
        <v>0.34</v>
      </c>
      <c r="X321" s="1">
        <v>0.34</v>
      </c>
      <c r="Y321" s="1">
        <v>0.5</v>
      </c>
      <c r="Z321" s="1" t="b">
        <f>FALSE</f>
        <v>0</v>
      </c>
      <c r="AA321" s="1" t="str">
        <f t="shared" si="259"/>
        <v/>
      </c>
      <c r="AB321" s="1" t="str">
        <f t="shared" si="260"/>
        <v/>
      </c>
      <c r="AC321" s="1">
        <f t="shared" si="257"/>
        <v>0</v>
      </c>
      <c r="AD321" s="1" t="str">
        <f t="shared" si="261"/>
        <v/>
      </c>
      <c r="AE321" s="1" t="str">
        <f t="shared" si="262"/>
        <v/>
      </c>
      <c r="AF321" s="1">
        <f t="shared" si="258"/>
        <v>0</v>
      </c>
      <c r="AG321" s="1">
        <f t="shared" si="263"/>
        <v>5</v>
      </c>
      <c r="AH321" s="1" t="str">
        <f t="shared" si="250"/>
        <v/>
      </c>
      <c r="AI321" s="1">
        <v>1</v>
      </c>
      <c r="AJ321" s="1">
        <f t="shared" si="296"/>
        <v>0</v>
      </c>
      <c r="AK321" s="1">
        <v>1</v>
      </c>
      <c r="AL321" s="1">
        <v>1</v>
      </c>
      <c r="AM321" s="1">
        <v>2</v>
      </c>
      <c r="AN321" s="1">
        <f>IF(IsLycanthrope,2,0)</f>
        <v>0</v>
      </c>
      <c r="AO321" s="1">
        <v>2</v>
      </c>
      <c r="AP321" s="1">
        <v>2</v>
      </c>
      <c r="AQ321" s="1">
        <v>2</v>
      </c>
      <c r="AR321" s="1">
        <v>2</v>
      </c>
      <c r="AS321" s="1">
        <v>2</v>
      </c>
      <c r="AT321" s="1">
        <v>2</v>
      </c>
      <c r="AU321" s="1">
        <v>2</v>
      </c>
      <c r="AV321" s="1">
        <v>2</v>
      </c>
      <c r="AW321" s="1">
        <v>2</v>
      </c>
      <c r="AX321" s="1">
        <v>1</v>
      </c>
      <c r="AY321" s="1">
        <v>1</v>
      </c>
      <c r="AZ321" s="1">
        <v>1</v>
      </c>
      <c r="BA321" s="1">
        <v>1</v>
      </c>
      <c r="BB321" s="1">
        <v>1</v>
      </c>
      <c r="BC321" s="1">
        <v>2</v>
      </c>
      <c r="BD321" s="1">
        <v>1</v>
      </c>
      <c r="BE321" s="1">
        <v>1</v>
      </c>
      <c r="BF321" s="1">
        <v>1</v>
      </c>
      <c r="BG321" s="1">
        <f>IF(HRRVL,1,0)</f>
        <v>0</v>
      </c>
      <c r="BH321" s="1">
        <f>IF(HROA,1,0)</f>
        <v>0</v>
      </c>
      <c r="BI321" s="1">
        <v>1</v>
      </c>
      <c r="BJ321" s="1">
        <v>2</v>
      </c>
      <c r="BK321" s="1">
        <v>2</v>
      </c>
      <c r="BL321" s="1">
        <v>2</v>
      </c>
      <c r="BM321" s="1">
        <v>2</v>
      </c>
      <c r="BN321" s="1">
        <v>2</v>
      </c>
      <c r="BO321" s="1">
        <v>2</v>
      </c>
      <c r="BP321" s="1">
        <v>2</v>
      </c>
      <c r="BQ321" s="1">
        <f>IF(HRRVL,2,0)</f>
        <v>0</v>
      </c>
      <c r="BR321" s="1">
        <v>2</v>
      </c>
      <c r="BS321" s="1">
        <v>2</v>
      </c>
      <c r="BT321" s="1">
        <f>IF(HRXPH,2,0)</f>
        <v>0</v>
      </c>
      <c r="BU321" s="1">
        <f>IF(HRRVL,2,0)</f>
        <v>0</v>
      </c>
      <c r="BV321" s="1">
        <v>2</v>
      </c>
      <c r="BW321" s="1">
        <v>2</v>
      </c>
      <c r="BX321" s="1">
        <v>2</v>
      </c>
      <c r="BY321" s="1">
        <v>2</v>
      </c>
      <c r="BZ321" s="1">
        <v>2</v>
      </c>
      <c r="CA321" s="1">
        <v>2</v>
      </c>
      <c r="CB321" s="1">
        <v>2</v>
      </c>
      <c r="CC321" s="1">
        <v>2</v>
      </c>
      <c r="CD321" s="1">
        <v>2</v>
      </c>
      <c r="CE321" s="1">
        <v>2</v>
      </c>
      <c r="CF321" s="1">
        <v>1</v>
      </c>
      <c r="CG321" s="1">
        <f>IF(HRToB,1,0)</f>
        <v>0</v>
      </c>
      <c r="CH321" s="1">
        <v>1</v>
      </c>
      <c r="CI321" s="1">
        <v>1</v>
      </c>
      <c r="CJ321" s="1">
        <v>1</v>
      </c>
      <c r="CK321" s="1">
        <v>1</v>
      </c>
      <c r="CL321" s="1">
        <v>1</v>
      </c>
      <c r="CM321" s="1">
        <v>1</v>
      </c>
      <c r="CN321" s="1">
        <v>1</v>
      </c>
      <c r="CO321" s="1">
        <v>1</v>
      </c>
      <c r="CP321" s="1">
        <v>2</v>
      </c>
      <c r="CQ321" s="1">
        <v>2</v>
      </c>
      <c r="CR321" s="1">
        <v>2</v>
      </c>
      <c r="CS321" s="1">
        <v>2</v>
      </c>
      <c r="CT321" s="1">
        <v>2</v>
      </c>
      <c r="CU321" s="1">
        <v>2</v>
      </c>
      <c r="CV321" s="1">
        <f t="shared" si="301"/>
        <v>0</v>
      </c>
      <c r="CW321" s="1">
        <v>1</v>
      </c>
      <c r="CX321" s="1">
        <v>2</v>
      </c>
      <c r="CY321" s="1">
        <v>2</v>
      </c>
      <c r="CZ321" s="1">
        <f>IF(HRCS,1,0)</f>
        <v>0</v>
      </c>
      <c r="DA321" s="1">
        <v>1</v>
      </c>
      <c r="DB321" s="1">
        <v>2</v>
      </c>
      <c r="DC321" s="1">
        <v>2</v>
      </c>
      <c r="DD321" s="1">
        <v>1</v>
      </c>
      <c r="DE321" s="1">
        <v>1</v>
      </c>
      <c r="DF321" s="1">
        <v>2</v>
      </c>
      <c r="DG321" s="1">
        <v>1</v>
      </c>
      <c r="DH321" s="1">
        <v>2</v>
      </c>
      <c r="DI321" s="1">
        <f t="shared" si="303"/>
        <v>0</v>
      </c>
      <c r="DJ321" s="1">
        <v>1</v>
      </c>
      <c r="DK321" s="1" t="s">
        <v>879</v>
      </c>
      <c r="DL321" s="1" t="s">
        <v>101</v>
      </c>
      <c r="DR321" s="1" t="b">
        <f>OR(FtEschewMaterials,FtStillSpell)</f>
        <v>0</v>
      </c>
      <c r="DS321" s="1" t="b">
        <f>SkKnowledgeArcanaRanks&gt;=8</f>
        <v>0</v>
      </c>
      <c r="DT321" s="1" t="b">
        <f>IF(NOT(ISNA(MATCH("Oratory",TblPerformSkills,0))),INDEX(TblPerformRanks,MATCH("Oratory",TblPerformSkills,0),1)&gt;=4,FALSE)</f>
        <v>0</v>
      </c>
      <c r="DU321" s="1" t="b">
        <f>SkSpellcraftRanks&gt;=4</f>
        <v>0</v>
      </c>
      <c r="DV321" s="1" t="b">
        <f ca="1">MaxSpontaneousLevel&gt;=2</f>
        <v>0</v>
      </c>
      <c r="DW321" s="1" t="b">
        <f>NOT(ISNA(MATCH("Draconic",TblLangKnown,0)))</f>
        <v>0</v>
      </c>
      <c r="DX321" s="1" t="b">
        <f>(NOT(ISNA(MATCH("Auran",TblLangKnown,0)))+NOT(ISNA(MATCH("Dwarven",TblLangKnown,0)))+NOT(ISNA(MATCH("Elven",TblLangKnown,0)))+NOT(ISNA(MATCH("Ignan",TblLangKnown,0))))&gt;=2</f>
        <v>0</v>
      </c>
      <c r="EA321" s="1" t="b">
        <f ca="1">AND(DM321:DZ321)</f>
        <v>0</v>
      </c>
      <c r="EB321" s="11" t="s">
        <v>338</v>
      </c>
      <c r="EC321" s="1" t="str">
        <f ca="1">IF(DR321,"","• Eschew Materials or Still Spell feat.
")&amp;IF(DS321,"","• 8 ranks in Knowledge (arcana).
")&amp;IF(DT321,"","• 4 ranks in Perform (oratory).
")&amp;IF(DU321,"","• 4 ranks in Spellcraft.
")&amp;IF(DV321,"","• Must be able to spontaneously cast 2nd-level arcane spells.
")&amp;"• Must know at least one language-dependent spell (not verified).
"&amp;IF(DW321,"","• Must speak Draconic.
")&amp;IF(DX321,"","• Must speak two of the following: Auran, Dwarven, Elven, Ignan.")</f>
        <v>• Eschew Materials or Still Spell feat.
• 8 ranks in Knowledge (arcana).
• 4 ranks in Perform (oratory).
• 4 ranks in Spellcraft.
• Must be able to spontaneously cast 2nd-level arcane spells.
• Must know at least one language-dependent spell (not verified).
• Must speak Draconic.
• Must speak two of the following: Auran, Dwarven, Elven, Ignan.</v>
      </c>
      <c r="ED321" s="11" t="s">
        <v>335</v>
      </c>
      <c r="EE321" s="8" t="s">
        <v>125</v>
      </c>
      <c r="EF321" s="9">
        <v>10</v>
      </c>
      <c r="EG321" s="9" t="s">
        <v>882</v>
      </c>
      <c r="EH321" s="9">
        <v>10</v>
      </c>
      <c r="EI321" s="9" t="b">
        <f t="shared" si="276"/>
        <v>0</v>
      </c>
      <c r="EJ321" s="9" t="str">
        <f t="shared" si="277"/>
        <v/>
      </c>
      <c r="EK321" s="9">
        <f t="shared" si="278"/>
        <v>99</v>
      </c>
      <c r="EL321" s="9">
        <f t="shared" si="279"/>
        <v>99</v>
      </c>
      <c r="EM321" s="9">
        <f t="shared" si="280"/>
        <v>99</v>
      </c>
      <c r="EN321" s="9">
        <f t="shared" si="281"/>
        <v>99</v>
      </c>
      <c r="EO321" s="10" t="str">
        <f t="shared" si="282"/>
        <v/>
      </c>
    </row>
    <row r="322" spans="1:145" ht="11.25" customHeight="1" x14ac:dyDescent="0.2">
      <c r="A322" s="1">
        <f t="shared" si="247"/>
        <v>319</v>
      </c>
      <c r="B322" s="1" t="s">
        <v>883</v>
      </c>
      <c r="C322" s="1" t="s">
        <v>184</v>
      </c>
      <c r="D322" s="1" t="s">
        <v>184</v>
      </c>
      <c r="E322" s="1">
        <f t="shared" si="256"/>
        <v>0</v>
      </c>
      <c r="K322" s="1">
        <v>4</v>
      </c>
      <c r="L322" s="1">
        <v>6</v>
      </c>
      <c r="V322" s="1">
        <v>0.75</v>
      </c>
      <c r="W322" s="1">
        <v>0.5</v>
      </c>
      <c r="X322" s="1">
        <v>0.34</v>
      </c>
      <c r="Y322" s="1">
        <v>0.34</v>
      </c>
      <c r="Z322" s="1" t="b">
        <f>FALSE</f>
        <v>0</v>
      </c>
      <c r="AA322" s="1" t="str">
        <f t="shared" si="259"/>
        <v/>
      </c>
      <c r="AB322" s="1" t="str">
        <f t="shared" si="260"/>
        <v/>
      </c>
      <c r="AC322" s="1">
        <f t="shared" si="257"/>
        <v>0</v>
      </c>
      <c r="AD322" s="1" t="str">
        <f t="shared" si="261"/>
        <v/>
      </c>
      <c r="AE322" s="1" t="str">
        <f t="shared" si="262"/>
        <v/>
      </c>
      <c r="AF322" s="1">
        <f t="shared" si="258"/>
        <v>0</v>
      </c>
      <c r="AG322" s="1">
        <f t="shared" si="263"/>
        <v>5</v>
      </c>
      <c r="AH322" s="1" t="str">
        <f t="shared" si="250"/>
        <v/>
      </c>
      <c r="AI322" s="1">
        <v>1</v>
      </c>
      <c r="AJ322" s="1">
        <f t="shared" si="296"/>
        <v>0</v>
      </c>
      <c r="AK322" s="1">
        <v>1</v>
      </c>
      <c r="AL322" s="1">
        <v>1</v>
      </c>
      <c r="AM322" s="1">
        <v>2</v>
      </c>
      <c r="AN322" s="1">
        <f>IF(IsLycanthrope,2,0)</f>
        <v>0</v>
      </c>
      <c r="AO322" s="1">
        <v>2</v>
      </c>
      <c r="AP322" s="1">
        <v>1</v>
      </c>
      <c r="AQ322" s="1">
        <v>1</v>
      </c>
      <c r="AR322" s="1">
        <v>1</v>
      </c>
      <c r="AS322" s="1">
        <v>1</v>
      </c>
      <c r="AT322" s="1">
        <v>1</v>
      </c>
      <c r="AU322" s="1">
        <v>1</v>
      </c>
      <c r="AV322" s="1">
        <v>1</v>
      </c>
      <c r="AW322" s="1">
        <v>1</v>
      </c>
      <c r="AX322" s="1">
        <v>1</v>
      </c>
      <c r="AY322" s="1">
        <v>1</v>
      </c>
      <c r="AZ322" s="1">
        <v>1</v>
      </c>
      <c r="BA322" s="1">
        <v>1</v>
      </c>
      <c r="BB322" s="1">
        <v>1</v>
      </c>
      <c r="BC322" s="1">
        <v>1</v>
      </c>
      <c r="BD322" s="1">
        <v>1</v>
      </c>
      <c r="BE322" s="1">
        <v>1</v>
      </c>
      <c r="BF322" s="1">
        <v>1</v>
      </c>
      <c r="BG322" s="1">
        <f>IF(HRRVL,1,0)</f>
        <v>0</v>
      </c>
      <c r="BH322" s="1">
        <f>IF(HROA,1,0)</f>
        <v>0</v>
      </c>
      <c r="BI322" s="1">
        <v>2</v>
      </c>
      <c r="BJ322" s="1">
        <v>2</v>
      </c>
      <c r="BK322" s="1">
        <v>2</v>
      </c>
      <c r="BL322" s="1">
        <v>1</v>
      </c>
      <c r="BM322" s="1">
        <v>1</v>
      </c>
      <c r="BN322" s="1">
        <v>1</v>
      </c>
      <c r="BO322" s="1">
        <v>1</v>
      </c>
      <c r="BP322" s="1">
        <v>1</v>
      </c>
      <c r="BQ322" s="1">
        <f>IF(HRRVL,1,0)</f>
        <v>0</v>
      </c>
      <c r="BR322" s="1">
        <v>1</v>
      </c>
      <c r="BS322" s="1">
        <v>1</v>
      </c>
      <c r="BT322" s="1">
        <f>IF(HRXPH,1,0)</f>
        <v>0</v>
      </c>
      <c r="BU322" s="1">
        <f>IF(HRRVL,1,0)</f>
        <v>0</v>
      </c>
      <c r="BV322" s="1">
        <v>1</v>
      </c>
      <c r="BW322" s="1">
        <v>1</v>
      </c>
      <c r="BX322" s="1">
        <v>1</v>
      </c>
      <c r="BY322" s="1">
        <v>1</v>
      </c>
      <c r="BZ322" s="1">
        <v>1</v>
      </c>
      <c r="CA322" s="1">
        <v>1</v>
      </c>
      <c r="CB322" s="1">
        <v>1</v>
      </c>
      <c r="CC322" s="1">
        <v>1</v>
      </c>
      <c r="CD322" s="1">
        <v>1</v>
      </c>
      <c r="CE322" s="1">
        <v>1</v>
      </c>
      <c r="CF322" s="1">
        <v>2</v>
      </c>
      <c r="CG322" s="1">
        <f>IF(HRToB,1,0)</f>
        <v>0</v>
      </c>
      <c r="CH322" s="1">
        <v>1</v>
      </c>
      <c r="CI322" s="1">
        <v>1</v>
      </c>
      <c r="CJ322" s="1">
        <v>1</v>
      </c>
      <c r="CK322" s="1">
        <v>1</v>
      </c>
      <c r="CL322" s="1">
        <v>1</v>
      </c>
      <c r="CM322" s="1">
        <v>1</v>
      </c>
      <c r="CN322" s="1">
        <v>1</v>
      </c>
      <c r="CO322" s="1">
        <v>1</v>
      </c>
      <c r="CP322" s="1">
        <v>1</v>
      </c>
      <c r="CQ322" s="1">
        <v>1</v>
      </c>
      <c r="CR322" s="1">
        <v>1</v>
      </c>
      <c r="CS322" s="1">
        <v>1</v>
      </c>
      <c r="CT322" s="1">
        <v>1</v>
      </c>
      <c r="CU322" s="1">
        <v>1</v>
      </c>
      <c r="CV322" s="1">
        <f t="shared" si="301"/>
        <v>0</v>
      </c>
      <c r="CW322" s="1">
        <v>1</v>
      </c>
      <c r="CX322" s="1">
        <v>1</v>
      </c>
      <c r="CY322" s="1">
        <v>2</v>
      </c>
      <c r="CZ322" s="1">
        <f>IF(HRCS,1,0)</f>
        <v>0</v>
      </c>
      <c r="DA322" s="1">
        <v>1</v>
      </c>
      <c r="DB322" s="1">
        <v>1</v>
      </c>
      <c r="DC322" s="1">
        <v>2</v>
      </c>
      <c r="DD322" s="1">
        <v>2</v>
      </c>
      <c r="DE322" s="1">
        <v>1</v>
      </c>
      <c r="DF322" s="1">
        <v>1</v>
      </c>
      <c r="DG322" s="1">
        <v>1</v>
      </c>
      <c r="DH322" s="1">
        <v>1</v>
      </c>
      <c r="DI322" s="1">
        <f t="shared" si="303"/>
        <v>0</v>
      </c>
      <c r="DJ322" s="1">
        <v>1</v>
      </c>
      <c r="DK322" s="1" t="s">
        <v>879</v>
      </c>
      <c r="DL322" s="1" t="s">
        <v>101</v>
      </c>
      <c r="DR322" s="1" t="b">
        <f>AND(ISERROR(FIND("dragonblood",Subtype,1)),ISERROR(FIND("Dragon",MonType,1)))</f>
        <v>1</v>
      </c>
      <c r="DS322" s="1" t="b">
        <f>BaseAtk&gt;=5</f>
        <v>0</v>
      </c>
      <c r="DT322" s="1" t="b">
        <f>SkKnowledgeArcanaRanks&gt;=1</f>
        <v>0</v>
      </c>
      <c r="DU322" s="1" t="b">
        <f>NOT(ISNA(MATCH("Draconic",TblLangKnown,0)))</f>
        <v>0</v>
      </c>
      <c r="EA322" s="1" t="b">
        <f>AND(DM322:DZ322)</f>
        <v>0</v>
      </c>
      <c r="EB322" s="11" t="s">
        <v>334</v>
      </c>
      <c r="EC322" s="1" t="str">
        <f>IF(DR322,"","• Nondragon, can't have draconic template.
")&amp;IF(DS322,"","• Base Attack Bonus of +5 or greater.
")&amp;IF(DT322,"","• 1 rank in Knowledge (arcana).
")&amp;IF(DU322,"","• Must speak Draconic.")</f>
        <v>• Base Attack Bonus of +5 or greater.
• 1 rank in Knowledge (arcana).
• Must speak Draconic.</v>
      </c>
      <c r="ED322" s="11" t="s">
        <v>335</v>
      </c>
      <c r="EE322" s="8" t="s">
        <v>285</v>
      </c>
      <c r="EF322" s="9">
        <v>6</v>
      </c>
      <c r="EG322" s="9" t="s">
        <v>884</v>
      </c>
      <c r="EH322" s="9">
        <f>IF(EI322,IF(DfALvl&gt;=16,5,2),0)</f>
        <v>0</v>
      </c>
      <c r="EI322" s="9" t="b">
        <f t="shared" si="276"/>
        <v>0</v>
      </c>
      <c r="EJ322" s="9" t="str">
        <f t="shared" si="277"/>
        <v/>
      </c>
      <c r="EK322" s="9">
        <f t="shared" si="278"/>
        <v>99</v>
      </c>
      <c r="EL322" s="9">
        <f t="shared" si="279"/>
        <v>99</v>
      </c>
      <c r="EM322" s="9">
        <f t="shared" si="280"/>
        <v>99</v>
      </c>
      <c r="EN322" s="9">
        <f t="shared" si="281"/>
        <v>99</v>
      </c>
      <c r="EO322" s="10" t="str">
        <f t="shared" si="282"/>
        <v/>
      </c>
    </row>
    <row r="323" spans="1:145" ht="11.25" customHeight="1" x14ac:dyDescent="0.2">
      <c r="A323" s="1">
        <f t="shared" si="247"/>
        <v>320</v>
      </c>
      <c r="B323" s="1" t="s">
        <v>885</v>
      </c>
      <c r="C323" s="1" t="s">
        <v>886</v>
      </c>
      <c r="D323" s="1" t="s">
        <v>886</v>
      </c>
      <c r="E323" s="1">
        <f t="shared" si="256"/>
        <v>0</v>
      </c>
      <c r="G323" s="1">
        <f>(DhMLvl&gt;1)*(DhMLvl-INT((DhMLvl+4)/5))</f>
        <v>0</v>
      </c>
      <c r="K323" s="1">
        <v>2</v>
      </c>
      <c r="L323" s="1">
        <v>6</v>
      </c>
      <c r="V323" s="1">
        <v>0.5</v>
      </c>
      <c r="W323" s="1">
        <v>0.5</v>
      </c>
      <c r="X323" s="1">
        <v>0.34</v>
      </c>
      <c r="Y323" s="1">
        <v>0.5</v>
      </c>
      <c r="Z323" s="1" t="b">
        <f>FALSE</f>
        <v>0</v>
      </c>
      <c r="AA323" s="1" t="str">
        <f t="shared" si="259"/>
        <v/>
      </c>
      <c r="AB323" s="1" t="str">
        <f t="shared" si="260"/>
        <v/>
      </c>
      <c r="AC323" s="1">
        <f t="shared" si="257"/>
        <v>0</v>
      </c>
      <c r="AD323" s="1" t="str">
        <f t="shared" si="261"/>
        <v/>
      </c>
      <c r="AE323" s="1" t="str">
        <f t="shared" si="262"/>
        <v/>
      </c>
      <c r="AF323" s="1">
        <f t="shared" si="258"/>
        <v>0</v>
      </c>
      <c r="AG323" s="1">
        <f t="shared" si="263"/>
        <v>5</v>
      </c>
      <c r="AH323" s="1" t="str">
        <f t="shared" si="250"/>
        <v/>
      </c>
      <c r="AI323" s="1">
        <v>1</v>
      </c>
      <c r="AJ323" s="1">
        <f t="shared" si="296"/>
        <v>0</v>
      </c>
      <c r="AK323" s="1">
        <v>1</v>
      </c>
      <c r="AL323" s="1">
        <v>2</v>
      </c>
      <c r="AM323" s="1">
        <v>1</v>
      </c>
      <c r="AN323" s="1">
        <f>IF(IsLycanthrope,2,0)</f>
        <v>0</v>
      </c>
      <c r="AO323" s="1">
        <v>2</v>
      </c>
      <c r="AP323" s="1">
        <v>1</v>
      </c>
      <c r="AQ323" s="1">
        <v>1</v>
      </c>
      <c r="AR323" s="1">
        <v>1</v>
      </c>
      <c r="AS323" s="1">
        <v>1</v>
      </c>
      <c r="AT323" s="1">
        <v>1</v>
      </c>
      <c r="AU323" s="1">
        <v>1</v>
      </c>
      <c r="AV323" s="1">
        <v>1</v>
      </c>
      <c r="AW323" s="1">
        <v>1</v>
      </c>
      <c r="AX323" s="1">
        <v>1</v>
      </c>
      <c r="AY323" s="1">
        <v>1</v>
      </c>
      <c r="AZ323" s="1">
        <v>1</v>
      </c>
      <c r="BA323" s="1">
        <v>1</v>
      </c>
      <c r="BB323" s="1">
        <v>1</v>
      </c>
      <c r="BC323" s="1">
        <v>2</v>
      </c>
      <c r="BD323" s="1">
        <v>1</v>
      </c>
      <c r="BE323" s="1">
        <v>1</v>
      </c>
      <c r="BF323" s="1">
        <v>1</v>
      </c>
      <c r="BG323" s="1">
        <f>IF(HRRVL,1,0)</f>
        <v>0</v>
      </c>
      <c r="BH323" s="1">
        <f>IF(HROA,1,0)</f>
        <v>0</v>
      </c>
      <c r="BI323" s="1">
        <v>1</v>
      </c>
      <c r="BJ323" s="1">
        <v>1</v>
      </c>
      <c r="BK323" s="1">
        <v>2</v>
      </c>
      <c r="BL323" s="1">
        <v>2</v>
      </c>
      <c r="BM323" s="1">
        <v>2</v>
      </c>
      <c r="BN323" s="1">
        <v>2</v>
      </c>
      <c r="BO323" s="1">
        <v>2</v>
      </c>
      <c r="BP323" s="1">
        <v>2</v>
      </c>
      <c r="BQ323" s="1">
        <f>IF(HRRVL,2,0)</f>
        <v>0</v>
      </c>
      <c r="BR323" s="1">
        <v>2</v>
      </c>
      <c r="BS323" s="1">
        <v>2</v>
      </c>
      <c r="BT323" s="1">
        <f>IF(HRXPH,2,0)</f>
        <v>0</v>
      </c>
      <c r="BU323" s="1">
        <f>IF(HRRVL,2,0)</f>
        <v>0</v>
      </c>
      <c r="BV323" s="1">
        <v>2</v>
      </c>
      <c r="BW323" s="1">
        <v>2</v>
      </c>
      <c r="BX323" s="1">
        <v>2</v>
      </c>
      <c r="BY323" s="1">
        <v>2</v>
      </c>
      <c r="BZ323" s="1">
        <v>2</v>
      </c>
      <c r="CA323" s="1">
        <v>2</v>
      </c>
      <c r="CB323" s="1">
        <v>2</v>
      </c>
      <c r="CC323" s="1">
        <v>2</v>
      </c>
      <c r="CD323" s="1">
        <v>2</v>
      </c>
      <c r="CE323" s="1">
        <v>2</v>
      </c>
      <c r="CF323" s="1">
        <v>2</v>
      </c>
      <c r="CG323" s="1">
        <f>IF(HRToB,1,0)</f>
        <v>0</v>
      </c>
      <c r="CH323" s="1">
        <v>1</v>
      </c>
      <c r="CI323" s="1">
        <v>1</v>
      </c>
      <c r="CJ323" s="1">
        <v>1</v>
      </c>
      <c r="CK323" s="1">
        <v>1</v>
      </c>
      <c r="CL323" s="1">
        <v>1</v>
      </c>
      <c r="CM323" s="1">
        <v>1</v>
      </c>
      <c r="CN323" s="1">
        <v>1</v>
      </c>
      <c r="CO323" s="1">
        <v>1</v>
      </c>
      <c r="CP323" s="1">
        <v>1</v>
      </c>
      <c r="CQ323" s="1">
        <v>1</v>
      </c>
      <c r="CR323" s="1">
        <v>1</v>
      </c>
      <c r="CS323" s="1">
        <v>1</v>
      </c>
      <c r="CT323" s="1">
        <v>1</v>
      </c>
      <c r="CU323" s="1">
        <v>1</v>
      </c>
      <c r="CV323" s="1">
        <f t="shared" si="301"/>
        <v>0</v>
      </c>
      <c r="CW323" s="1">
        <v>1</v>
      </c>
      <c r="CX323" s="1">
        <v>2</v>
      </c>
      <c r="CY323" s="1">
        <v>1</v>
      </c>
      <c r="CZ323" s="1">
        <f>IF(HRCS,1,0)</f>
        <v>0</v>
      </c>
      <c r="DA323" s="1">
        <v>1</v>
      </c>
      <c r="DB323" s="1">
        <v>2</v>
      </c>
      <c r="DC323" s="1">
        <v>2</v>
      </c>
      <c r="DD323" s="1">
        <v>2</v>
      </c>
      <c r="DE323" s="1">
        <v>1</v>
      </c>
      <c r="DF323" s="1">
        <v>1</v>
      </c>
      <c r="DG323" s="1">
        <v>1</v>
      </c>
      <c r="DH323" s="1">
        <v>1</v>
      </c>
      <c r="DI323" s="1">
        <f t="shared" si="303"/>
        <v>0</v>
      </c>
      <c r="DJ323" s="1">
        <v>1</v>
      </c>
      <c r="DK323" s="1" t="s">
        <v>879</v>
      </c>
      <c r="DL323" s="1" t="s">
        <v>101</v>
      </c>
      <c r="DR323" s="1" t="b">
        <f ca="1">AND(MaxArcaneSpellLevel&gt;=1,MaxSpontaneousLevel&gt;=1)</f>
        <v>0</v>
      </c>
      <c r="DS323" s="1" t="b">
        <f>SkKnowledgeArcanaRanks&gt;=8</f>
        <v>0</v>
      </c>
      <c r="DT323" s="1" t="b">
        <f>FtDraconicHeritage</f>
        <v>0</v>
      </c>
      <c r="DU323" s="1" t="b">
        <f>NOT(ISNA(MATCH("Draconic",TblLangKnown,0)))</f>
        <v>0</v>
      </c>
      <c r="EA323" s="1" t="b">
        <f ca="1">AND(DM323:DZ323)</f>
        <v>0</v>
      </c>
      <c r="EB323" s="11" t="s">
        <v>334</v>
      </c>
      <c r="EC323" s="1" t="str">
        <f ca="1">IF(DR323,"","• Ability to spontaneously cast arcane spells.
")&amp;IF(DS323,"","• 8 ranks in Knowledge (arcana).
")&amp;IF(DT323,"","• Draconic Heritage feat.
")&amp;IF(DU323,"","• Must speak Draconic.")</f>
        <v>• Ability to spontaneously cast arcane spells.
• 8 ranks in Knowledge (arcana).
• Draconic Heritage feat.
• Must speak Draconic.</v>
      </c>
      <c r="ED323" s="11" t="s">
        <v>335</v>
      </c>
      <c r="EE323" s="8" t="s">
        <v>386</v>
      </c>
      <c r="EF323" s="9">
        <v>5</v>
      </c>
      <c r="EG323" s="9" t="s">
        <v>884</v>
      </c>
      <c r="EH323" s="9">
        <v>5</v>
      </c>
      <c r="EI323" s="9" t="b">
        <f t="shared" si="276"/>
        <v>0</v>
      </c>
      <c r="EJ323" s="9" t="str">
        <f t="shared" si="277"/>
        <v/>
      </c>
      <c r="EK323" s="9">
        <f t="shared" si="278"/>
        <v>99</v>
      </c>
      <c r="EL323" s="9">
        <f t="shared" si="279"/>
        <v>99</v>
      </c>
      <c r="EM323" s="9">
        <f t="shared" si="280"/>
        <v>99</v>
      </c>
      <c r="EN323" s="9">
        <f t="shared" si="281"/>
        <v>99</v>
      </c>
      <c r="EO323" s="10" t="str">
        <f t="shared" si="282"/>
        <v/>
      </c>
    </row>
    <row r="324" spans="1:145" ht="11.25" customHeight="1" x14ac:dyDescent="0.2">
      <c r="A324" s="1">
        <f t="shared" si="247"/>
        <v>321</v>
      </c>
      <c r="B324" s="1" t="s">
        <v>887</v>
      </c>
      <c r="C324" s="1" t="s">
        <v>888</v>
      </c>
      <c r="D324" s="1" t="s">
        <v>889</v>
      </c>
      <c r="E324" s="1">
        <f t="shared" si="256"/>
        <v>0</v>
      </c>
      <c r="G324" s="1">
        <f>SoCLvl</f>
        <v>0</v>
      </c>
      <c r="K324" s="1">
        <v>4</v>
      </c>
      <c r="L324" s="1">
        <v>6</v>
      </c>
      <c r="V324" s="1">
        <v>0.5</v>
      </c>
      <c r="W324" s="1">
        <v>0.34</v>
      </c>
      <c r="X324" s="1">
        <v>0.5</v>
      </c>
      <c r="Y324" s="1">
        <v>0.5</v>
      </c>
      <c r="Z324" s="1" t="b">
        <f>FALSE</f>
        <v>0</v>
      </c>
      <c r="AA324" s="1" t="str">
        <f t="shared" si="259"/>
        <v/>
      </c>
      <c r="AB324" s="1" t="str">
        <f t="shared" si="260"/>
        <v/>
      </c>
      <c r="AC324" s="1">
        <f t="shared" si="257"/>
        <v>0</v>
      </c>
      <c r="AD324" s="1" t="str">
        <f t="shared" si="261"/>
        <v/>
      </c>
      <c r="AE324" s="1" t="str">
        <f t="shared" si="262"/>
        <v/>
      </c>
      <c r="AF324" s="1">
        <f t="shared" si="258"/>
        <v>0</v>
      </c>
      <c r="AG324" s="1">
        <f t="shared" si="263"/>
        <v>5</v>
      </c>
      <c r="AH324" s="1" t="str">
        <f t="shared" si="250"/>
        <v/>
      </c>
      <c r="AI324" s="1">
        <v>1</v>
      </c>
      <c r="AJ324" s="1">
        <f t="shared" si="296"/>
        <v>0</v>
      </c>
      <c r="AK324" s="1">
        <v>1</v>
      </c>
      <c r="AL324" s="1">
        <v>1</v>
      </c>
      <c r="AM324" s="1">
        <v>1</v>
      </c>
      <c r="AN324" s="1">
        <f>IF(IsLycanthrope,2,0)</f>
        <v>0</v>
      </c>
      <c r="AO324" s="1">
        <v>2</v>
      </c>
      <c r="AP324" s="1">
        <v>1</v>
      </c>
      <c r="AQ324" s="1">
        <v>1</v>
      </c>
      <c r="AR324" s="1">
        <v>1</v>
      </c>
      <c r="AS324" s="1">
        <v>1</v>
      </c>
      <c r="AT324" s="1">
        <v>1</v>
      </c>
      <c r="AU324" s="1">
        <v>1</v>
      </c>
      <c r="AV324" s="1">
        <v>1</v>
      </c>
      <c r="AW324" s="1">
        <v>1</v>
      </c>
      <c r="AX324" s="1">
        <v>2</v>
      </c>
      <c r="AY324" s="1">
        <v>1</v>
      </c>
      <c r="AZ324" s="1">
        <v>1</v>
      </c>
      <c r="BA324" s="1">
        <v>1</v>
      </c>
      <c r="BB324" s="1">
        <v>1</v>
      </c>
      <c r="BC324" s="1">
        <v>1</v>
      </c>
      <c r="BD324" s="1">
        <v>1</v>
      </c>
      <c r="BE324" s="1">
        <v>2</v>
      </c>
      <c r="BF324" s="1">
        <v>1</v>
      </c>
      <c r="BG324" s="1">
        <f>IF(HRRVL,1,0)</f>
        <v>0</v>
      </c>
      <c r="BH324" s="1">
        <f>IF(HROA,1,0)</f>
        <v>0</v>
      </c>
      <c r="BI324" s="1">
        <v>1</v>
      </c>
      <c r="BJ324" s="1">
        <v>1</v>
      </c>
      <c r="BK324" s="1">
        <v>2</v>
      </c>
      <c r="BL324" s="1">
        <v>1</v>
      </c>
      <c r="BM324" s="1">
        <v>1</v>
      </c>
      <c r="BN324" s="1">
        <v>1</v>
      </c>
      <c r="BO324" s="1">
        <v>1</v>
      </c>
      <c r="BP324" s="1">
        <v>1</v>
      </c>
      <c r="BQ324" s="1">
        <f>IF(HRRVL,1,0)</f>
        <v>0</v>
      </c>
      <c r="BR324" s="1">
        <v>1</v>
      </c>
      <c r="BS324" s="1">
        <v>1</v>
      </c>
      <c r="BT324" s="1">
        <f>IF(HRXPH,1,0)</f>
        <v>0</v>
      </c>
      <c r="BU324" s="1">
        <f>IF(HRRVL,2,0)</f>
        <v>0</v>
      </c>
      <c r="BV324" s="1">
        <v>2</v>
      </c>
      <c r="BW324" s="1">
        <v>2</v>
      </c>
      <c r="BX324" s="1">
        <v>1</v>
      </c>
      <c r="BY324" s="1">
        <v>1</v>
      </c>
      <c r="BZ324" s="1">
        <v>1</v>
      </c>
      <c r="CA324" s="1">
        <v>1</v>
      </c>
      <c r="CB324" s="1">
        <v>1</v>
      </c>
      <c r="CC324" s="1">
        <v>1</v>
      </c>
      <c r="CD324" s="1">
        <v>1</v>
      </c>
      <c r="CE324" s="1">
        <v>1</v>
      </c>
      <c r="CF324" s="1">
        <v>1</v>
      </c>
      <c r="CG324" s="1">
        <f>IF(HRToB,1,0)</f>
        <v>0</v>
      </c>
      <c r="CH324" s="1">
        <v>1</v>
      </c>
      <c r="CI324" s="1">
        <v>1</v>
      </c>
      <c r="CJ324" s="1">
        <v>1</v>
      </c>
      <c r="CK324" s="1">
        <v>1</v>
      </c>
      <c r="CL324" s="1">
        <v>1</v>
      </c>
      <c r="CM324" s="1">
        <v>1</v>
      </c>
      <c r="CN324" s="1">
        <v>1</v>
      </c>
      <c r="CO324" s="1">
        <v>1</v>
      </c>
      <c r="CP324" s="1">
        <v>2</v>
      </c>
      <c r="CQ324" s="1">
        <v>2</v>
      </c>
      <c r="CR324" s="1">
        <v>2</v>
      </c>
      <c r="CS324" s="1">
        <v>2</v>
      </c>
      <c r="CT324" s="1">
        <v>2</v>
      </c>
      <c r="CU324" s="1">
        <v>2</v>
      </c>
      <c r="CV324" s="1">
        <f t="shared" si="301"/>
        <v>0</v>
      </c>
      <c r="CW324" s="1">
        <v>1</v>
      </c>
      <c r="CX324" s="1">
        <v>1</v>
      </c>
      <c r="CY324" s="1">
        <v>2</v>
      </c>
      <c r="CZ324" s="1">
        <f>IF(HRCS,1,0)</f>
        <v>0</v>
      </c>
      <c r="DA324" s="1">
        <v>1</v>
      </c>
      <c r="DB324" s="1">
        <v>1</v>
      </c>
      <c r="DC324" s="1">
        <v>2</v>
      </c>
      <c r="DD324" s="1">
        <v>1</v>
      </c>
      <c r="DE324" s="1">
        <v>2</v>
      </c>
      <c r="DF324" s="1">
        <v>1</v>
      </c>
      <c r="DG324" s="1">
        <v>1</v>
      </c>
      <c r="DH324" s="1">
        <v>1</v>
      </c>
      <c r="DI324" s="1">
        <f t="shared" si="303"/>
        <v>0</v>
      </c>
      <c r="DJ324" s="1">
        <v>1</v>
      </c>
      <c r="DK324" s="1" t="s">
        <v>879</v>
      </c>
      <c r="DL324" s="1" t="s">
        <v>101</v>
      </c>
      <c r="DR324" s="1" t="b">
        <f>OR(NOT(ISERROR(FIND("dragonblood",Subtype,1))),MonType="Dragon")</f>
        <v>0</v>
      </c>
      <c r="DS324" s="1" t="b">
        <f ca="1">MaxDivineSpellLevel&gt;=3</f>
        <v>0</v>
      </c>
      <c r="DT324" s="1" t="b">
        <f>SkKnowledgeReligionRanks&gt;=8</f>
        <v>0</v>
      </c>
      <c r="DU324" s="1" t="b">
        <f>Deity="Io"</f>
        <v>0</v>
      </c>
      <c r="EA324" s="1" t="b">
        <f ca="1">AND(DM324:DZ324)</f>
        <v>0</v>
      </c>
      <c r="EB324" s="11" t="s">
        <v>334</v>
      </c>
      <c r="EC324" s="1" t="str">
        <f ca="1">IF(DR324,"","• Subtype: Dragonblood.
")&amp;IF(DS324,"","• Must be able to cast 3rd-level divine spells.
")&amp;IF(DT324,"","• 8 ranks in Knowledge (religion).
")&amp;IF(DU324,"","• Deity: Io.")</f>
        <v>• Subtype: Dragonblood.
• Must be able to cast 3rd-level divine spells.
• 8 ranks in Knowledge (religion).
• Deity: Io.</v>
      </c>
      <c r="ED324" s="11" t="s">
        <v>335</v>
      </c>
      <c r="EE324" s="8" t="s">
        <v>890</v>
      </c>
      <c r="EF324" s="9">
        <v>7</v>
      </c>
      <c r="EG324" s="9" t="s">
        <v>884</v>
      </c>
      <c r="EH324" s="9">
        <v>5</v>
      </c>
      <c r="EI324" s="9" t="b">
        <f t="shared" si="276"/>
        <v>0</v>
      </c>
      <c r="EJ324" s="9" t="str">
        <f t="shared" si="277"/>
        <v/>
      </c>
      <c r="EK324" s="9">
        <f t="shared" si="278"/>
        <v>99</v>
      </c>
      <c r="EL324" s="9">
        <f t="shared" si="279"/>
        <v>99</v>
      </c>
      <c r="EM324" s="9">
        <f t="shared" si="280"/>
        <v>99</v>
      </c>
      <c r="EN324" s="9">
        <f t="shared" si="281"/>
        <v>99</v>
      </c>
      <c r="EO324" s="10" t="str">
        <f t="shared" si="282"/>
        <v/>
      </c>
    </row>
    <row r="325" spans="1:145" ht="11.25" customHeight="1" x14ac:dyDescent="0.2">
      <c r="A325" s="1">
        <f t="shared" si="247"/>
        <v>322</v>
      </c>
      <c r="B325" s="1" t="s">
        <v>891</v>
      </c>
      <c r="E325" s="1">
        <f t="shared" si="256"/>
        <v>0</v>
      </c>
      <c r="F325" s="1">
        <v>1</v>
      </c>
      <c r="Z325" s="1" t="b">
        <f>FALSE</f>
        <v>0</v>
      </c>
      <c r="AA325" s="1" t="str">
        <f t="shared" si="259"/>
        <v/>
      </c>
      <c r="AB325" s="1" t="str">
        <f t="shared" si="260"/>
        <v/>
      </c>
      <c r="AC325" s="1">
        <f t="shared" si="257"/>
        <v>0</v>
      </c>
      <c r="AD325" s="1" t="str">
        <f t="shared" si="261"/>
        <v/>
      </c>
      <c r="AE325" s="1" t="str">
        <f t="shared" si="262"/>
        <v/>
      </c>
      <c r="AF325" s="1">
        <f t="shared" si="258"/>
        <v>0</v>
      </c>
      <c r="AG325" s="1">
        <f t="shared" si="263"/>
        <v>5</v>
      </c>
      <c r="AH325" s="1" t="str">
        <f t="shared" si="250"/>
        <v/>
      </c>
      <c r="EB325" s="11"/>
      <c r="ED325" s="11" t="s">
        <v>335</v>
      </c>
      <c r="EE325" s="8" t="s">
        <v>892</v>
      </c>
      <c r="EF325" s="9">
        <v>9</v>
      </c>
      <c r="EG325" s="9" t="s">
        <v>884</v>
      </c>
      <c r="EH325" s="9">
        <v>5</v>
      </c>
      <c r="EI325" s="9" t="b">
        <f t="shared" si="276"/>
        <v>0</v>
      </c>
      <c r="EJ325" s="9" t="str">
        <f t="shared" si="277"/>
        <v/>
      </c>
      <c r="EK325" s="9">
        <f t="shared" si="278"/>
        <v>99</v>
      </c>
      <c r="EL325" s="9">
        <f t="shared" si="279"/>
        <v>99</v>
      </c>
      <c r="EM325" s="9">
        <f t="shared" si="280"/>
        <v>99</v>
      </c>
      <c r="EN325" s="9">
        <f t="shared" si="281"/>
        <v>99</v>
      </c>
      <c r="EO325" s="10" t="str">
        <f t="shared" si="282"/>
        <v/>
      </c>
    </row>
    <row r="326" spans="1:145" ht="11.25" customHeight="1" x14ac:dyDescent="0.2">
      <c r="A326" s="1">
        <f t="shared" ref="A326:A389" si="304">A325+1</f>
        <v>323</v>
      </c>
      <c r="B326" s="1" t="s">
        <v>893</v>
      </c>
      <c r="C326" s="1" t="s">
        <v>894</v>
      </c>
      <c r="D326" s="1" t="s">
        <v>894</v>
      </c>
      <c r="E326" s="1">
        <f t="shared" si="256"/>
        <v>0</v>
      </c>
      <c r="K326" s="1">
        <v>4</v>
      </c>
      <c r="L326" s="1">
        <v>8</v>
      </c>
      <c r="V326" s="1">
        <v>0.75</v>
      </c>
      <c r="W326" s="1">
        <v>0.5</v>
      </c>
      <c r="X326" s="1">
        <v>0.5</v>
      </c>
      <c r="Y326" s="1">
        <v>0.34</v>
      </c>
      <c r="Z326" s="1" t="b">
        <f>FALSE</f>
        <v>0</v>
      </c>
      <c r="AA326" s="1" t="str">
        <f t="shared" si="259"/>
        <v/>
      </c>
      <c r="AB326" s="1" t="str">
        <f t="shared" si="260"/>
        <v/>
      </c>
      <c r="AC326" s="1">
        <f t="shared" si="257"/>
        <v>0</v>
      </c>
      <c r="AD326" s="1" t="str">
        <f t="shared" si="261"/>
        <v/>
      </c>
      <c r="AE326" s="1" t="str">
        <f t="shared" si="262"/>
        <v/>
      </c>
      <c r="AF326" s="1">
        <f t="shared" si="258"/>
        <v>0</v>
      </c>
      <c r="AG326" s="1">
        <f t="shared" si="263"/>
        <v>5</v>
      </c>
      <c r="AH326" s="1" t="str">
        <f t="shared" si="250"/>
        <v/>
      </c>
      <c r="AI326" s="1">
        <v>1</v>
      </c>
      <c r="AJ326" s="1">
        <f t="shared" ref="AJ326:AJ335" si="305">IF(HRXPH,1,0)</f>
        <v>0</v>
      </c>
      <c r="AK326" s="1">
        <v>2</v>
      </c>
      <c r="AL326" s="1">
        <v>1</v>
      </c>
      <c r="AM326" s="1">
        <v>2</v>
      </c>
      <c r="AN326" s="1">
        <f t="shared" ref="AN326:AN335" si="306">IF(IsLycanthrope,2,0)</f>
        <v>0</v>
      </c>
      <c r="AO326" s="1">
        <v>2</v>
      </c>
      <c r="AP326" s="1">
        <v>2</v>
      </c>
      <c r="AQ326" s="1">
        <v>2</v>
      </c>
      <c r="AR326" s="1">
        <v>2</v>
      </c>
      <c r="AS326" s="1">
        <v>2</v>
      </c>
      <c r="AT326" s="1">
        <v>2</v>
      </c>
      <c r="AU326" s="1">
        <v>2</v>
      </c>
      <c r="AV326" s="1">
        <v>2</v>
      </c>
      <c r="AW326" s="1">
        <v>1</v>
      </c>
      <c r="AX326" s="1">
        <v>1</v>
      </c>
      <c r="AY326" s="1">
        <v>1</v>
      </c>
      <c r="AZ326" s="1">
        <v>1</v>
      </c>
      <c r="BA326" s="1">
        <v>2</v>
      </c>
      <c r="BB326" s="1">
        <v>1</v>
      </c>
      <c r="BC326" s="1">
        <v>1</v>
      </c>
      <c r="BD326" s="1">
        <v>1</v>
      </c>
      <c r="BE326" s="1">
        <v>1</v>
      </c>
      <c r="BF326" s="1">
        <v>1</v>
      </c>
      <c r="BG326" s="1">
        <f t="shared" ref="BG326:BG335" si="307">IF(HRRVL,1,0)</f>
        <v>0</v>
      </c>
      <c r="BH326" s="1">
        <f t="shared" ref="BH326:BH335" si="308">IF(HROA,1,0)</f>
        <v>0</v>
      </c>
      <c r="BI326" s="1">
        <v>1</v>
      </c>
      <c r="BJ326" s="1">
        <v>2</v>
      </c>
      <c r="BK326" s="1">
        <v>1</v>
      </c>
      <c r="BL326" s="1">
        <v>1</v>
      </c>
      <c r="BM326" s="1">
        <v>1</v>
      </c>
      <c r="BN326" s="1">
        <v>1</v>
      </c>
      <c r="BO326" s="1">
        <v>1</v>
      </c>
      <c r="BP326" s="1">
        <v>1</v>
      </c>
      <c r="BQ326" s="1">
        <f>IF(HRRVL,2,0)</f>
        <v>0</v>
      </c>
      <c r="BR326" s="1">
        <v>2</v>
      </c>
      <c r="BS326" s="1">
        <v>1</v>
      </c>
      <c r="BT326" s="1">
        <f>IF(HRXPH,1,0)</f>
        <v>0</v>
      </c>
      <c r="BU326" s="1">
        <f>IF(HRRVL,2,0)</f>
        <v>0</v>
      </c>
      <c r="BV326" s="1">
        <v>2</v>
      </c>
      <c r="BW326" s="1">
        <v>1</v>
      </c>
      <c r="BX326" s="1">
        <v>1</v>
      </c>
      <c r="BY326" s="1">
        <v>1</v>
      </c>
      <c r="BZ326" s="1">
        <v>1</v>
      </c>
      <c r="CA326" s="1">
        <v>1</v>
      </c>
      <c r="CB326" s="1">
        <v>1</v>
      </c>
      <c r="CC326" s="1">
        <v>1</v>
      </c>
      <c r="CD326" s="1">
        <v>1</v>
      </c>
      <c r="CE326" s="1">
        <v>1</v>
      </c>
      <c r="CF326" s="1">
        <v>2</v>
      </c>
      <c r="CG326" s="1">
        <f t="shared" ref="CG326:CG335" si="309">IF(HRToB,1,0)</f>
        <v>0</v>
      </c>
      <c r="CH326" s="1">
        <v>1</v>
      </c>
      <c r="CI326" s="1">
        <v>1</v>
      </c>
      <c r="CJ326" s="1">
        <v>1</v>
      </c>
      <c r="CK326" s="1">
        <v>1</v>
      </c>
      <c r="CL326" s="1">
        <v>1</v>
      </c>
      <c r="CM326" s="1">
        <v>1</v>
      </c>
      <c r="CN326" s="1">
        <v>1</v>
      </c>
      <c r="CO326" s="1">
        <v>1</v>
      </c>
      <c r="CP326" s="1">
        <v>1</v>
      </c>
      <c r="CQ326" s="1">
        <v>1</v>
      </c>
      <c r="CR326" s="1">
        <v>1</v>
      </c>
      <c r="CS326" s="1">
        <v>1</v>
      </c>
      <c r="CT326" s="1">
        <v>1</v>
      </c>
      <c r="CU326" s="1">
        <v>1</v>
      </c>
      <c r="CV326" s="1">
        <f t="shared" ref="CV326:CV335" si="310">IF(HRXPH,1,0)</f>
        <v>0</v>
      </c>
      <c r="CW326" s="1">
        <v>1</v>
      </c>
      <c r="CX326" s="1">
        <v>1</v>
      </c>
      <c r="CY326" s="1">
        <v>1</v>
      </c>
      <c r="CZ326" s="1">
        <f t="shared" ref="CZ326:CZ335" si="311">IF(HRCS,1,0)</f>
        <v>0</v>
      </c>
      <c r="DA326" s="1">
        <v>1</v>
      </c>
      <c r="DB326" s="1">
        <v>1</v>
      </c>
      <c r="DC326" s="1">
        <v>1</v>
      </c>
      <c r="DD326" s="1">
        <v>2</v>
      </c>
      <c r="DE326" s="1">
        <v>2</v>
      </c>
      <c r="DF326" s="1">
        <v>1</v>
      </c>
      <c r="DG326" s="1">
        <v>2</v>
      </c>
      <c r="DH326" s="1">
        <v>1</v>
      </c>
      <c r="DI326" s="1">
        <f t="shared" ref="DI326:DI335" si="312">IF(HRXPH,1,0)</f>
        <v>0</v>
      </c>
      <c r="DJ326" s="1">
        <v>2</v>
      </c>
      <c r="DK326" s="1" t="s">
        <v>895</v>
      </c>
      <c r="DL326" s="1" t="s">
        <v>101</v>
      </c>
      <c r="DR326" s="1" t="b">
        <f>AlignmentNonChaotic</f>
        <v>1</v>
      </c>
      <c r="DS326" s="1" t="b">
        <f>BaseFort&gt;=5</f>
        <v>0</v>
      </c>
      <c r="DT326" s="1" t="b">
        <f>SkClimbRanks&gt;=9</f>
        <v>0</v>
      </c>
      <c r="DU326" s="1" t="b">
        <f>SkJumpRanks&gt;=9</f>
        <v>0</v>
      </c>
      <c r="DV326" s="1" t="b">
        <f>SkKnowledgeReligionRanks&gt;=9</f>
        <v>0</v>
      </c>
      <c r="DW326" s="1" t="b">
        <f>SkSurvivalRanks&gt;=4</f>
        <v>0</v>
      </c>
      <c r="DX326" s="1" t="b">
        <f>FtImprovedUnarmed</f>
        <v>0</v>
      </c>
      <c r="DY326" s="1" t="b">
        <f>FtMountaineer</f>
        <v>0</v>
      </c>
      <c r="EA326" s="1" t="b">
        <f t="shared" ref="EA326:EA335" si="313">AND(DM326:DZ326)</f>
        <v>0</v>
      </c>
      <c r="EB326" s="11" t="s">
        <v>338</v>
      </c>
      <c r="EC326" s="1" t="str">
        <f>IF(DR326,"","• Must be of any Non-Chaotic Alignment.
")&amp;IF(DS326,"","• Base Fortitude Save of +5 or greater.
")&amp;IF(DT326,"","• 9 ranks in Climb.
")&amp;IF(DU326,"","• 9 ranks in Jump.
")&amp;IF(DV326,"","• 9 ranks in Knowledge (Religion).
")&amp;IF(DW326,"","• 4 ranks in Survival.
")&amp;IF(DX326,"","• Improved Unarmed Combat feat.
")&amp;IF(DY326,"","• Mountaineer feat.
")&amp;"• Must live alone above 12,000 ft for a week (not verified)."</f>
        <v>• Base Fortitude Save of +5 or greater.
• 9 ranks in Climb.
• 9 ranks in Jump.
• 9 ranks in Knowledge (Religion).
• 4 ranks in Survival.
• Improved Unarmed Combat feat.
• Mountaineer feat.
• Must live alone above 12,000 ft for a week (not verified).</v>
      </c>
      <c r="ED326" s="11" t="s">
        <v>335</v>
      </c>
      <c r="EE326" s="8" t="s">
        <v>365</v>
      </c>
      <c r="EF326" s="9">
        <v>7</v>
      </c>
      <c r="EG326" s="9" t="s">
        <v>884</v>
      </c>
      <c r="EH326" s="9">
        <v>5</v>
      </c>
      <c r="EI326" s="9" t="b">
        <f t="shared" si="276"/>
        <v>0</v>
      </c>
      <c r="EJ326" s="9" t="str">
        <f t="shared" si="277"/>
        <v/>
      </c>
      <c r="EK326" s="9">
        <f t="shared" si="278"/>
        <v>99</v>
      </c>
      <c r="EL326" s="9">
        <f t="shared" si="279"/>
        <v>99</v>
      </c>
      <c r="EM326" s="9">
        <f t="shared" si="280"/>
        <v>99</v>
      </c>
      <c r="EN326" s="9">
        <f t="shared" si="281"/>
        <v>99</v>
      </c>
      <c r="EO326" s="10" t="str">
        <f t="shared" si="282"/>
        <v/>
      </c>
    </row>
    <row r="327" spans="1:145" ht="11.25" customHeight="1" x14ac:dyDescent="0.2">
      <c r="A327" s="1">
        <f t="shared" si="304"/>
        <v>324</v>
      </c>
      <c r="B327" s="1" t="s">
        <v>896</v>
      </c>
      <c r="C327" s="1" t="s">
        <v>897</v>
      </c>
      <c r="D327" s="1" t="s">
        <v>897</v>
      </c>
      <c r="E327" s="1">
        <f t="shared" si="256"/>
        <v>0</v>
      </c>
      <c r="K327" s="1">
        <v>2</v>
      </c>
      <c r="L327" s="1">
        <v>8</v>
      </c>
      <c r="V327" s="1">
        <v>0.75</v>
      </c>
      <c r="W327" s="1">
        <v>0.5</v>
      </c>
      <c r="X327" s="1">
        <v>0.5</v>
      </c>
      <c r="Y327" s="1">
        <v>0.34</v>
      </c>
      <c r="Z327" s="1" t="b">
        <f>FALSE</f>
        <v>0</v>
      </c>
      <c r="AA327" s="1" t="str">
        <f t="shared" si="259"/>
        <v/>
      </c>
      <c r="AB327" s="1" t="str">
        <f t="shared" si="260"/>
        <v/>
      </c>
      <c r="AC327" s="1">
        <f t="shared" si="257"/>
        <v>0</v>
      </c>
      <c r="AD327" s="1" t="str">
        <f t="shared" si="261"/>
        <v/>
      </c>
      <c r="AE327" s="1" t="str">
        <f t="shared" si="262"/>
        <v/>
      </c>
      <c r="AF327" s="1">
        <f t="shared" si="258"/>
        <v>0</v>
      </c>
      <c r="AG327" s="1">
        <f t="shared" si="263"/>
        <v>5</v>
      </c>
      <c r="AH327" s="1" t="str">
        <f t="shared" si="250"/>
        <v/>
      </c>
      <c r="AI327" s="1">
        <v>1</v>
      </c>
      <c r="AJ327" s="1">
        <f t="shared" si="305"/>
        <v>0</v>
      </c>
      <c r="AK327" s="1">
        <v>1</v>
      </c>
      <c r="AL327" s="1">
        <v>1</v>
      </c>
      <c r="AM327" s="1">
        <v>2</v>
      </c>
      <c r="AN327" s="1">
        <f t="shared" si="306"/>
        <v>0</v>
      </c>
      <c r="AO327" s="1">
        <v>2</v>
      </c>
      <c r="AP327" s="1">
        <v>2</v>
      </c>
      <c r="AQ327" s="1">
        <v>2</v>
      </c>
      <c r="AR327" s="1">
        <v>2</v>
      </c>
      <c r="AS327" s="1">
        <v>2</v>
      </c>
      <c r="AT327" s="1">
        <v>2</v>
      </c>
      <c r="AU327" s="1">
        <v>2</v>
      </c>
      <c r="AV327" s="1">
        <v>2</v>
      </c>
      <c r="AW327" s="1">
        <v>1</v>
      </c>
      <c r="AX327" s="1">
        <v>1</v>
      </c>
      <c r="AY327" s="1">
        <v>1</v>
      </c>
      <c r="AZ327" s="1">
        <v>1</v>
      </c>
      <c r="BA327" s="1">
        <v>1</v>
      </c>
      <c r="BB327" s="1">
        <v>1</v>
      </c>
      <c r="BC327" s="1">
        <v>1</v>
      </c>
      <c r="BD327" s="1">
        <v>1</v>
      </c>
      <c r="BE327" s="1">
        <v>1</v>
      </c>
      <c r="BF327" s="1">
        <v>1</v>
      </c>
      <c r="BG327" s="1">
        <f t="shared" si="307"/>
        <v>0</v>
      </c>
      <c r="BH327" s="1">
        <f t="shared" si="308"/>
        <v>0</v>
      </c>
      <c r="BI327" s="1">
        <v>2</v>
      </c>
      <c r="BJ327" s="1">
        <v>2</v>
      </c>
      <c r="BK327" s="1">
        <v>2</v>
      </c>
      <c r="BL327" s="1">
        <v>1</v>
      </c>
      <c r="BM327" s="1">
        <v>1</v>
      </c>
      <c r="BN327" s="1">
        <v>1</v>
      </c>
      <c r="BO327" s="1">
        <v>1</v>
      </c>
      <c r="BP327" s="1">
        <v>1</v>
      </c>
      <c r="BQ327" s="1">
        <f>IF(HRRVL,1,0)</f>
        <v>0</v>
      </c>
      <c r="BR327" s="1">
        <v>1</v>
      </c>
      <c r="BS327" s="1">
        <v>1</v>
      </c>
      <c r="BT327" s="1">
        <f>IF(HRXPH,1,0)</f>
        <v>0</v>
      </c>
      <c r="BU327" s="1">
        <f>IF(HRRVL,1,0)</f>
        <v>0</v>
      </c>
      <c r="BV327" s="1">
        <v>1</v>
      </c>
      <c r="BW327" s="1">
        <v>1</v>
      </c>
      <c r="BX327" s="1">
        <v>1</v>
      </c>
      <c r="BY327" s="1">
        <v>1</v>
      </c>
      <c r="BZ327" s="1">
        <v>1</v>
      </c>
      <c r="CA327" s="1">
        <v>1</v>
      </c>
      <c r="CB327" s="1">
        <v>1</v>
      </c>
      <c r="CC327" s="1">
        <v>1</v>
      </c>
      <c r="CD327" s="1">
        <v>1</v>
      </c>
      <c r="CE327" s="1">
        <v>1</v>
      </c>
      <c r="CF327" s="1">
        <v>1</v>
      </c>
      <c r="CG327" s="1">
        <f t="shared" si="309"/>
        <v>0</v>
      </c>
      <c r="CH327" s="1">
        <v>1</v>
      </c>
      <c r="CI327" s="1">
        <v>1</v>
      </c>
      <c r="CJ327" s="1">
        <v>1</v>
      </c>
      <c r="CK327" s="1">
        <v>1</v>
      </c>
      <c r="CL327" s="1">
        <v>1</v>
      </c>
      <c r="CM327" s="1">
        <v>1</v>
      </c>
      <c r="CN327" s="1">
        <v>1</v>
      </c>
      <c r="CO327" s="1">
        <v>1</v>
      </c>
      <c r="CP327" s="1">
        <v>1</v>
      </c>
      <c r="CQ327" s="1">
        <v>1</v>
      </c>
      <c r="CR327" s="1">
        <v>1</v>
      </c>
      <c r="CS327" s="1">
        <v>1</v>
      </c>
      <c r="CT327" s="1">
        <v>1</v>
      </c>
      <c r="CU327" s="1">
        <v>1</v>
      </c>
      <c r="CV327" s="1">
        <f t="shared" si="310"/>
        <v>0</v>
      </c>
      <c r="CW327" s="1">
        <v>1</v>
      </c>
      <c r="CX327" s="1">
        <v>1</v>
      </c>
      <c r="CY327" s="1">
        <v>1</v>
      </c>
      <c r="CZ327" s="1">
        <f t="shared" si="311"/>
        <v>0</v>
      </c>
      <c r="DA327" s="1">
        <v>1</v>
      </c>
      <c r="DB327" s="1">
        <v>1</v>
      </c>
      <c r="DC327" s="1">
        <v>2</v>
      </c>
      <c r="DD327" s="1">
        <v>1</v>
      </c>
      <c r="DE327" s="1">
        <v>1</v>
      </c>
      <c r="DF327" s="1">
        <v>1</v>
      </c>
      <c r="DG327" s="1">
        <v>1</v>
      </c>
      <c r="DH327" s="1">
        <v>1</v>
      </c>
      <c r="DI327" s="1">
        <f t="shared" si="312"/>
        <v>0</v>
      </c>
      <c r="DJ327" s="1">
        <v>1</v>
      </c>
      <c r="DK327" s="1" t="s">
        <v>895</v>
      </c>
      <c r="DL327" s="1" t="s">
        <v>170</v>
      </c>
      <c r="DR327" s="1" t="b">
        <f>AlignmentLawful</f>
        <v>1</v>
      </c>
      <c r="DS327" s="1" t="b">
        <f>SkConcentrationRanks&gt;=8</f>
        <v>0</v>
      </c>
      <c r="DT327" s="1" t="b">
        <f>IF(NOT(ISNA(MATCH("alchemy",TblCraftSkills,0))),INDEX(TblCraftRanks,MATCH("alchemy",TblCraftSkills,0),1)&gt;=1,FALSE)</f>
        <v>0</v>
      </c>
      <c r="DU327" s="1" t="b">
        <f>SkKnowledgePsionicsRanks&gt;=2</f>
        <v>0</v>
      </c>
      <c r="EA327" s="1" t="b">
        <f t="shared" si="313"/>
        <v>0</v>
      </c>
      <c r="EB327" s="11" t="s">
        <v>338</v>
      </c>
      <c r="EC327" s="1" t="str">
        <f>IF(DR327,"","• Must be of any Lawful Alignment.
")&amp;IF(DS327,"","• 8 ranks in Concentration.
")&amp;IF(DT327,"","• 1 rank in Craft (Alchemy).
")&amp;IF(DU327,"","• 2 ranks in Knowledge (Psionics).
")&amp;"• Able to manifest the energy emanation power (not verified)."</f>
        <v>• 8 ranks in Concentration.
• 1 rank in Craft (Alchemy).
• 2 ranks in Knowledge (Psionics).
• Able to manifest the energy emanation power (not verified).</v>
      </c>
      <c r="ED327" s="11" t="s">
        <v>335</v>
      </c>
      <c r="EE327" s="8" t="s">
        <v>68</v>
      </c>
      <c r="EF327" s="9">
        <v>20</v>
      </c>
      <c r="EG327" s="9" t="s">
        <v>884</v>
      </c>
      <c r="EH327" s="9">
        <v>10</v>
      </c>
      <c r="EI327" s="9" t="b">
        <f t="shared" si="276"/>
        <v>0</v>
      </c>
      <c r="EJ327" s="9" t="str">
        <f t="shared" si="277"/>
        <v/>
      </c>
      <c r="EK327" s="9">
        <f t="shared" si="278"/>
        <v>99</v>
      </c>
      <c r="EL327" s="9">
        <f t="shared" si="279"/>
        <v>99</v>
      </c>
      <c r="EM327" s="9">
        <f t="shared" si="280"/>
        <v>99</v>
      </c>
      <c r="EN327" s="9">
        <f t="shared" si="281"/>
        <v>99</v>
      </c>
      <c r="EO327" s="10" t="str">
        <f t="shared" si="282"/>
        <v/>
      </c>
    </row>
    <row r="328" spans="1:145" ht="11.25" customHeight="1" x14ac:dyDescent="0.2">
      <c r="A328" s="1">
        <f t="shared" si="304"/>
        <v>325</v>
      </c>
      <c r="B328" s="1" t="s">
        <v>898</v>
      </c>
      <c r="C328" s="1" t="s">
        <v>899</v>
      </c>
      <c r="D328" s="1" t="s">
        <v>899</v>
      </c>
      <c r="E328" s="1">
        <f t="shared" si="256"/>
        <v>0</v>
      </c>
      <c r="K328" s="1">
        <v>2</v>
      </c>
      <c r="L328" s="1">
        <v>10</v>
      </c>
      <c r="N328" s="1" t="b">
        <v>1</v>
      </c>
      <c r="O328" s="1" t="b">
        <v>1</v>
      </c>
      <c r="P328" s="1" t="b">
        <v>1</v>
      </c>
      <c r="Q328" s="1" t="b">
        <v>1</v>
      </c>
      <c r="S328" s="1" t="b">
        <v>1</v>
      </c>
      <c r="T328" s="1" t="b">
        <v>1</v>
      </c>
      <c r="V328" s="1">
        <v>1</v>
      </c>
      <c r="W328" s="1">
        <v>0.34</v>
      </c>
      <c r="X328" s="1">
        <v>0.34</v>
      </c>
      <c r="Y328" s="1">
        <v>0.5</v>
      </c>
      <c r="Z328" s="1" t="b">
        <f>FALSE</f>
        <v>0</v>
      </c>
      <c r="AA328" s="1" t="str">
        <f t="shared" si="259"/>
        <v/>
      </c>
      <c r="AB328" s="1" t="str">
        <f t="shared" si="260"/>
        <v/>
      </c>
      <c r="AC328" s="1">
        <f t="shared" si="257"/>
        <v>0</v>
      </c>
      <c r="AD328" s="1" t="str">
        <f t="shared" si="261"/>
        <v/>
      </c>
      <c r="AE328" s="1" t="str">
        <f t="shared" si="262"/>
        <v/>
      </c>
      <c r="AF328" s="1">
        <f t="shared" si="258"/>
        <v>0</v>
      </c>
      <c r="AG328" s="1">
        <f t="shared" si="263"/>
        <v>5</v>
      </c>
      <c r="AH328" s="1" t="str">
        <f t="shared" si="250"/>
        <v/>
      </c>
      <c r="AI328" s="1">
        <v>1</v>
      </c>
      <c r="AJ328" s="1">
        <f t="shared" si="305"/>
        <v>0</v>
      </c>
      <c r="AK328" s="1">
        <v>1</v>
      </c>
      <c r="AL328" s="1">
        <v>1</v>
      </c>
      <c r="AM328" s="1">
        <v>1</v>
      </c>
      <c r="AN328" s="1">
        <f t="shared" si="306"/>
        <v>0</v>
      </c>
      <c r="AO328" s="1">
        <v>2</v>
      </c>
      <c r="AP328" s="1">
        <v>2</v>
      </c>
      <c r="AQ328" s="1">
        <v>2</v>
      </c>
      <c r="AR328" s="1">
        <v>2</v>
      </c>
      <c r="AS328" s="1">
        <v>2</v>
      </c>
      <c r="AT328" s="1">
        <v>2</v>
      </c>
      <c r="AU328" s="1">
        <v>2</v>
      </c>
      <c r="AV328" s="1">
        <v>2</v>
      </c>
      <c r="AW328" s="1">
        <v>1</v>
      </c>
      <c r="AX328" s="1">
        <v>2</v>
      </c>
      <c r="AY328" s="1">
        <v>1</v>
      </c>
      <c r="AZ328" s="1">
        <v>1</v>
      </c>
      <c r="BA328" s="1">
        <v>1</v>
      </c>
      <c r="BB328" s="1">
        <v>1</v>
      </c>
      <c r="BC328" s="1">
        <v>1</v>
      </c>
      <c r="BD328" s="1">
        <v>1</v>
      </c>
      <c r="BE328" s="1">
        <v>1</v>
      </c>
      <c r="BF328" s="1">
        <v>1</v>
      </c>
      <c r="BG328" s="1">
        <f t="shared" si="307"/>
        <v>0</v>
      </c>
      <c r="BH328" s="1">
        <f t="shared" si="308"/>
        <v>0</v>
      </c>
      <c r="BI328" s="1">
        <v>1</v>
      </c>
      <c r="BJ328" s="1">
        <v>1</v>
      </c>
      <c r="BK328" s="1">
        <v>1</v>
      </c>
      <c r="BL328" s="1">
        <v>1</v>
      </c>
      <c r="BM328" s="1">
        <v>1</v>
      </c>
      <c r="BN328" s="1">
        <v>1</v>
      </c>
      <c r="BO328" s="1">
        <v>1</v>
      </c>
      <c r="BP328" s="1">
        <v>1</v>
      </c>
      <c r="BQ328" s="1">
        <f>IF(HRRVL,1,0)</f>
        <v>0</v>
      </c>
      <c r="BR328" s="1">
        <v>1</v>
      </c>
      <c r="BS328" s="1">
        <v>1</v>
      </c>
      <c r="BT328" s="1">
        <f>IF(HRXPH,1,0)</f>
        <v>0</v>
      </c>
      <c r="BU328" s="1">
        <f>IF(HRRVL,2,0)</f>
        <v>0</v>
      </c>
      <c r="BV328" s="1">
        <v>2</v>
      </c>
      <c r="BW328" s="1">
        <v>2</v>
      </c>
      <c r="BX328" s="1">
        <v>1</v>
      </c>
      <c r="BY328" s="1">
        <v>1</v>
      </c>
      <c r="BZ328" s="1">
        <v>1</v>
      </c>
      <c r="CA328" s="1">
        <v>1</v>
      </c>
      <c r="CB328" s="1">
        <v>1</v>
      </c>
      <c r="CC328" s="1">
        <v>1</v>
      </c>
      <c r="CD328" s="1">
        <v>1</v>
      </c>
      <c r="CE328" s="1">
        <v>1</v>
      </c>
      <c r="CF328" s="1">
        <v>1</v>
      </c>
      <c r="CG328" s="1">
        <f t="shared" si="309"/>
        <v>0</v>
      </c>
      <c r="CH328" s="1">
        <v>1</v>
      </c>
      <c r="CI328" s="1">
        <v>1</v>
      </c>
      <c r="CJ328" s="1">
        <v>1</v>
      </c>
      <c r="CK328" s="1">
        <v>1</v>
      </c>
      <c r="CL328" s="1">
        <v>1</v>
      </c>
      <c r="CM328" s="1">
        <v>1</v>
      </c>
      <c r="CN328" s="1">
        <v>1</v>
      </c>
      <c r="CO328" s="1">
        <v>1</v>
      </c>
      <c r="CP328" s="1">
        <v>2</v>
      </c>
      <c r="CQ328" s="1">
        <v>2</v>
      </c>
      <c r="CR328" s="1">
        <v>2</v>
      </c>
      <c r="CS328" s="1">
        <v>2</v>
      </c>
      <c r="CT328" s="1">
        <v>2</v>
      </c>
      <c r="CU328" s="1">
        <v>2</v>
      </c>
      <c r="CV328" s="1">
        <f t="shared" si="310"/>
        <v>0</v>
      </c>
      <c r="CW328" s="1">
        <v>1</v>
      </c>
      <c r="CX328" s="1">
        <v>1</v>
      </c>
      <c r="CY328" s="1">
        <v>2</v>
      </c>
      <c r="CZ328" s="1">
        <f t="shared" si="311"/>
        <v>0</v>
      </c>
      <c r="DA328" s="1">
        <v>1</v>
      </c>
      <c r="DB328" s="1">
        <v>2</v>
      </c>
      <c r="DC328" s="1">
        <v>2</v>
      </c>
      <c r="DD328" s="1">
        <v>1</v>
      </c>
      <c r="DE328" s="1">
        <v>2</v>
      </c>
      <c r="DF328" s="1">
        <v>1</v>
      </c>
      <c r="DG328" s="1">
        <v>1</v>
      </c>
      <c r="DH328" s="1">
        <v>1</v>
      </c>
      <c r="DI328" s="1">
        <f t="shared" si="312"/>
        <v>0</v>
      </c>
      <c r="DJ328" s="1">
        <v>1</v>
      </c>
      <c r="DK328" s="1" t="s">
        <v>895</v>
      </c>
      <c r="DL328" s="1" t="s">
        <v>170</v>
      </c>
      <c r="DR328" s="1" t="b">
        <f>AlignmentNonGood</f>
        <v>0</v>
      </c>
      <c r="DS328" s="1" t="b">
        <f>SkIntimidateRanks&gt;=4</f>
        <v>0</v>
      </c>
      <c r="DT328" s="1" t="b">
        <f>SkSurvivalRanks&gt;=8</f>
        <v>0</v>
      </c>
      <c r="DU328" s="1" t="b">
        <f>BaseAtk&gt;=4</f>
        <v>0</v>
      </c>
      <c r="DV328" s="1" t="b">
        <f>NOT(ISNA(MATCH("Greataxe",TblWeaponFocusFeat,0)))</f>
        <v>0</v>
      </c>
      <c r="DW328" s="1" t="b">
        <f>FtColdEndurance</f>
        <v>0</v>
      </c>
      <c r="EA328" s="1" t="b">
        <f t="shared" si="313"/>
        <v>0</v>
      </c>
      <c r="EB328" s="11" t="s">
        <v>334</v>
      </c>
      <c r="EC328" s="1" t="str">
        <f>IF(DR328,"","• Must be of any Non-Good Alignment.
")&amp;IF(DS328,"","• 4 ranks in Intimidate.
")&amp;IF(DT328,"","• 8 ranks in Survival.
")&amp;IF(DU328,"","• Base Attack Bonus +4.
")&amp;IF(DV328,"","• Weapon Focus (Greataxe) feat.
")&amp;IF(DW328,"","• Cold Endurance feat or Cold Subtype.")</f>
        <v>• Must be of any Non-Good Alignment.
• 4 ranks in Intimidate.
• 8 ranks in Survival.
• Base Attack Bonus +4.
• Weapon Focus (Greataxe) feat.
• Cold Endurance feat or Cold Subtype.</v>
      </c>
      <c r="ED328" s="11" t="s">
        <v>335</v>
      </c>
      <c r="EE328" s="8" t="s">
        <v>607</v>
      </c>
      <c r="EF328" s="9">
        <v>5</v>
      </c>
      <c r="EG328" s="9" t="s">
        <v>884</v>
      </c>
      <c r="EH328" s="9">
        <v>10</v>
      </c>
      <c r="EI328" s="9" t="b">
        <f t="shared" si="276"/>
        <v>0</v>
      </c>
      <c r="EJ328" s="9" t="str">
        <f t="shared" si="277"/>
        <v/>
      </c>
      <c r="EK328" s="9">
        <f t="shared" si="278"/>
        <v>99</v>
      </c>
      <c r="EL328" s="9">
        <f t="shared" si="279"/>
        <v>99</v>
      </c>
      <c r="EM328" s="9">
        <f t="shared" si="280"/>
        <v>99</v>
      </c>
      <c r="EN328" s="9">
        <f t="shared" si="281"/>
        <v>99</v>
      </c>
      <c r="EO328" s="10" t="str">
        <f t="shared" si="282"/>
        <v/>
      </c>
    </row>
    <row r="329" spans="1:145" ht="11.25" customHeight="1" x14ac:dyDescent="0.2">
      <c r="A329" s="1">
        <f t="shared" si="304"/>
        <v>326</v>
      </c>
      <c r="B329" s="1" t="s">
        <v>900</v>
      </c>
      <c r="C329" s="1" t="s">
        <v>901</v>
      </c>
      <c r="D329" s="1" t="s">
        <v>901</v>
      </c>
      <c r="E329" s="1">
        <f t="shared" si="256"/>
        <v>0</v>
      </c>
      <c r="G329" s="1">
        <f>FrMgLvl</f>
        <v>0</v>
      </c>
      <c r="K329" s="1">
        <v>2</v>
      </c>
      <c r="L329" s="1">
        <v>4</v>
      </c>
      <c r="V329" s="1">
        <v>0.5</v>
      </c>
      <c r="W329" s="1">
        <v>0.34</v>
      </c>
      <c r="X329" s="1">
        <v>0.34</v>
      </c>
      <c r="Y329" s="1">
        <v>0.5</v>
      </c>
      <c r="Z329" s="1" t="b">
        <f>FALSE</f>
        <v>0</v>
      </c>
      <c r="AA329" s="1" t="str">
        <f t="shared" si="259"/>
        <v/>
      </c>
      <c r="AB329" s="1" t="str">
        <f t="shared" si="260"/>
        <v/>
      </c>
      <c r="AC329" s="1">
        <f t="shared" si="257"/>
        <v>0</v>
      </c>
      <c r="AD329" s="1" t="str">
        <f t="shared" si="261"/>
        <v/>
      </c>
      <c r="AE329" s="1" t="str">
        <f t="shared" si="262"/>
        <v/>
      </c>
      <c r="AF329" s="1">
        <f t="shared" si="258"/>
        <v>0</v>
      </c>
      <c r="AG329" s="1">
        <f t="shared" si="263"/>
        <v>5</v>
      </c>
      <c r="AH329" s="1" t="str">
        <f t="shared" si="250"/>
        <v/>
      </c>
      <c r="AI329" s="1">
        <v>1</v>
      </c>
      <c r="AJ329" s="1">
        <f t="shared" si="305"/>
        <v>0</v>
      </c>
      <c r="AK329" s="1">
        <v>1</v>
      </c>
      <c r="AL329" s="1">
        <v>1</v>
      </c>
      <c r="AM329" s="1">
        <v>1</v>
      </c>
      <c r="AN329" s="1">
        <f t="shared" si="306"/>
        <v>0</v>
      </c>
      <c r="AO329" s="1">
        <v>2</v>
      </c>
      <c r="AP329" s="1">
        <v>2</v>
      </c>
      <c r="AQ329" s="1">
        <v>2</v>
      </c>
      <c r="AR329" s="1">
        <v>2</v>
      </c>
      <c r="AS329" s="1">
        <v>2</v>
      </c>
      <c r="AT329" s="1">
        <v>2</v>
      </c>
      <c r="AU329" s="1">
        <v>2</v>
      </c>
      <c r="AV329" s="1">
        <v>2</v>
      </c>
      <c r="AW329" s="1">
        <v>1</v>
      </c>
      <c r="AX329" s="1">
        <v>1</v>
      </c>
      <c r="AY329" s="1">
        <v>1</v>
      </c>
      <c r="AZ329" s="1">
        <v>1</v>
      </c>
      <c r="BA329" s="1">
        <v>1</v>
      </c>
      <c r="BB329" s="1">
        <v>1</v>
      </c>
      <c r="BC329" s="1">
        <v>1</v>
      </c>
      <c r="BD329" s="1">
        <v>1</v>
      </c>
      <c r="BE329" s="1">
        <v>1</v>
      </c>
      <c r="BF329" s="1">
        <v>1</v>
      </c>
      <c r="BG329" s="1">
        <f t="shared" si="307"/>
        <v>0</v>
      </c>
      <c r="BH329" s="1">
        <f t="shared" si="308"/>
        <v>0</v>
      </c>
      <c r="BI329" s="1">
        <v>1</v>
      </c>
      <c r="BJ329" s="1">
        <v>1</v>
      </c>
      <c r="BK329" s="1">
        <v>2</v>
      </c>
      <c r="BL329" s="1">
        <v>2</v>
      </c>
      <c r="BM329" s="1">
        <v>2</v>
      </c>
      <c r="BN329" s="1">
        <v>2</v>
      </c>
      <c r="BO329" s="1">
        <v>2</v>
      </c>
      <c r="BP329" s="1">
        <f>1+NOT(HRLivingGreyhawk)</f>
        <v>2</v>
      </c>
      <c r="BQ329" s="1">
        <f>IF(HRRVL,2,0)</f>
        <v>0</v>
      </c>
      <c r="BR329" s="1">
        <v>2</v>
      </c>
      <c r="BS329" s="1">
        <v>2</v>
      </c>
      <c r="BT329" s="1">
        <f>IF(HRXPH,2,0)</f>
        <v>0</v>
      </c>
      <c r="BU329" s="1">
        <f>IF(HRRVL,2,0)</f>
        <v>0</v>
      </c>
      <c r="BV329" s="1">
        <v>2</v>
      </c>
      <c r="BW329" s="1">
        <v>2</v>
      </c>
      <c r="BX329" s="1">
        <v>2</v>
      </c>
      <c r="BY329" s="1">
        <v>2</v>
      </c>
      <c r="BZ329" s="1">
        <v>2</v>
      </c>
      <c r="CA329" s="1">
        <v>2</v>
      </c>
      <c r="CB329" s="1">
        <v>2</v>
      </c>
      <c r="CC329" s="1">
        <v>2</v>
      </c>
      <c r="CD329" s="1">
        <v>2</v>
      </c>
      <c r="CE329" s="1">
        <v>2</v>
      </c>
      <c r="CF329" s="1">
        <v>1</v>
      </c>
      <c r="CG329" s="1">
        <f t="shared" si="309"/>
        <v>0</v>
      </c>
      <c r="CH329" s="1">
        <v>1</v>
      </c>
      <c r="CI329" s="1">
        <v>1</v>
      </c>
      <c r="CJ329" s="1">
        <v>1</v>
      </c>
      <c r="CK329" s="1">
        <v>1</v>
      </c>
      <c r="CL329" s="1">
        <v>1</v>
      </c>
      <c r="CM329" s="1">
        <v>1</v>
      </c>
      <c r="CN329" s="1">
        <v>1</v>
      </c>
      <c r="CO329" s="1">
        <v>1</v>
      </c>
      <c r="CP329" s="1">
        <v>2</v>
      </c>
      <c r="CQ329" s="1">
        <v>2</v>
      </c>
      <c r="CR329" s="1">
        <v>2</v>
      </c>
      <c r="CS329" s="1">
        <v>2</v>
      </c>
      <c r="CT329" s="1">
        <v>2</v>
      </c>
      <c r="CU329" s="1">
        <v>2</v>
      </c>
      <c r="CV329" s="1">
        <f t="shared" si="310"/>
        <v>0</v>
      </c>
      <c r="CW329" s="1">
        <v>1</v>
      </c>
      <c r="CX329" s="1">
        <v>2</v>
      </c>
      <c r="CY329" s="1">
        <v>1</v>
      </c>
      <c r="CZ329" s="1">
        <f t="shared" si="311"/>
        <v>0</v>
      </c>
      <c r="DA329" s="1">
        <v>1</v>
      </c>
      <c r="DB329" s="1">
        <v>1</v>
      </c>
      <c r="DC329" s="1">
        <v>2</v>
      </c>
      <c r="DD329" s="1">
        <v>1</v>
      </c>
      <c r="DE329" s="1">
        <v>1</v>
      </c>
      <c r="DF329" s="1">
        <v>1</v>
      </c>
      <c r="DG329" s="1">
        <v>1</v>
      </c>
      <c r="DH329" s="1">
        <v>1</v>
      </c>
      <c r="DI329" s="1">
        <f t="shared" si="312"/>
        <v>0</v>
      </c>
      <c r="DJ329" s="1">
        <v>1</v>
      </c>
      <c r="DK329" s="1" t="s">
        <v>895</v>
      </c>
      <c r="DL329" s="1" t="s">
        <v>101</v>
      </c>
      <c r="DR329" s="1" t="b">
        <f>FtFrozenMagic</f>
        <v>0</v>
      </c>
      <c r="DS329" s="1" t="b">
        <f>SkKnowledgeArcanaRanks&gt;=8</f>
        <v>0</v>
      </c>
      <c r="DT329" s="1" t="b">
        <f ca="1">MaxArcaneSpellLevel&gt;=1</f>
        <v>0</v>
      </c>
      <c r="EA329" s="1" t="b">
        <f ca="1">AND(DM329:DZ329)</f>
        <v>0</v>
      </c>
      <c r="EB329" s="11" t="s">
        <v>338</v>
      </c>
      <c r="EC329" s="1" t="str">
        <f ca="1">IF(DR329,"","• Frozen Magic feat.
")&amp;IF(DS329,"","• 8 ranks in Knowledge (Arcana).
")&amp;IF(DT329,"","• Able to cast 1st-level arcane spells.
")&amp;"• Must spend 24 hrs unproteced in a blizzard (not verified)."</f>
        <v>• Frozen Magic feat.
• 8 ranks in Knowledge (Arcana).
• Able to cast 1st-level arcane spells.
• Must spend 24 hrs unproteced in a blizzard (not verified).</v>
      </c>
      <c r="ED329" s="11" t="s">
        <v>335</v>
      </c>
      <c r="EE329" s="8" t="s">
        <v>68</v>
      </c>
      <c r="EF329" s="9">
        <v>7</v>
      </c>
      <c r="EG329" s="9" t="s">
        <v>834</v>
      </c>
      <c r="EH329" s="9">
        <f>IF(EI329,INT((MnkLvl-4)/3),0)</f>
        <v>0</v>
      </c>
      <c r="EI329" s="9" t="b">
        <f>AND((INDEX(TblClasses,MATCH($EE329,TblTLAList,0),ClassInfoLevelColumn)&gt;=$EF329),UAMnkDR)</f>
        <v>0</v>
      </c>
      <c r="EJ329" s="9" t="str">
        <f t="shared" si="277"/>
        <v/>
      </c>
      <c r="EK329" s="9">
        <f t="shared" si="278"/>
        <v>99</v>
      </c>
      <c r="EL329" s="9">
        <f t="shared" si="279"/>
        <v>99</v>
      </c>
      <c r="EM329" s="9">
        <f t="shared" si="280"/>
        <v>99</v>
      </c>
      <c r="EN329" s="9">
        <f t="shared" si="281"/>
        <v>99</v>
      </c>
      <c r="EO329" s="10" t="str">
        <f t="shared" si="282"/>
        <v/>
      </c>
    </row>
    <row r="330" spans="1:145" ht="11.25" customHeight="1" x14ac:dyDescent="0.2">
      <c r="A330" s="1">
        <f t="shared" si="304"/>
        <v>327</v>
      </c>
      <c r="B330" s="1" t="s">
        <v>902</v>
      </c>
      <c r="C330" s="1" t="s">
        <v>903</v>
      </c>
      <c r="D330" s="1" t="s">
        <v>903</v>
      </c>
      <c r="E330" s="1">
        <f t="shared" si="256"/>
        <v>0</v>
      </c>
      <c r="K330" s="1">
        <v>2</v>
      </c>
      <c r="L330" s="1">
        <v>12</v>
      </c>
      <c r="V330" s="1">
        <v>1</v>
      </c>
      <c r="W330" s="1">
        <v>0.5</v>
      </c>
      <c r="X330" s="1">
        <v>0.34</v>
      </c>
      <c r="Y330" s="1">
        <v>0.34</v>
      </c>
      <c r="Z330" s="1" t="b">
        <f>FALSE</f>
        <v>0</v>
      </c>
      <c r="AA330" s="1" t="str">
        <f t="shared" si="259"/>
        <v/>
      </c>
      <c r="AB330" s="1" t="str">
        <f t="shared" si="260"/>
        <v/>
      </c>
      <c r="AC330" s="1">
        <f t="shared" si="257"/>
        <v>0</v>
      </c>
      <c r="AD330" s="1" t="str">
        <f t="shared" si="261"/>
        <v/>
      </c>
      <c r="AE330" s="1" t="str">
        <f t="shared" si="262"/>
        <v/>
      </c>
      <c r="AF330" s="1">
        <f t="shared" si="258"/>
        <v>0</v>
      </c>
      <c r="AG330" s="1">
        <f t="shared" si="263"/>
        <v>5</v>
      </c>
      <c r="AH330" s="1" t="str">
        <f t="shared" si="250"/>
        <v/>
      </c>
      <c r="AI330" s="1">
        <v>1</v>
      </c>
      <c r="AJ330" s="1">
        <f t="shared" si="305"/>
        <v>0</v>
      </c>
      <c r="AK330" s="1">
        <v>1</v>
      </c>
      <c r="AL330" s="1">
        <v>1</v>
      </c>
      <c r="AM330" s="1">
        <v>2</v>
      </c>
      <c r="AN330" s="1">
        <f t="shared" si="306"/>
        <v>0</v>
      </c>
      <c r="AO330" s="1">
        <v>1</v>
      </c>
      <c r="AP330" s="1">
        <v>1</v>
      </c>
      <c r="AQ330" s="1">
        <v>1</v>
      </c>
      <c r="AR330" s="1">
        <v>1</v>
      </c>
      <c r="AS330" s="1">
        <v>1</v>
      </c>
      <c r="AT330" s="1">
        <v>1</v>
      </c>
      <c r="AU330" s="1">
        <v>1</v>
      </c>
      <c r="AV330" s="1">
        <v>1</v>
      </c>
      <c r="AW330" s="1">
        <v>1</v>
      </c>
      <c r="AX330" s="1">
        <v>1</v>
      </c>
      <c r="AY330" s="1">
        <v>1</v>
      </c>
      <c r="AZ330" s="1">
        <v>1</v>
      </c>
      <c r="BA330" s="1">
        <v>1</v>
      </c>
      <c r="BB330" s="1">
        <v>1</v>
      </c>
      <c r="BC330" s="1">
        <v>1</v>
      </c>
      <c r="BD330" s="1">
        <v>1</v>
      </c>
      <c r="BE330" s="1">
        <v>1</v>
      </c>
      <c r="BF330" s="1">
        <v>1</v>
      </c>
      <c r="BG330" s="1">
        <f t="shared" si="307"/>
        <v>0</v>
      </c>
      <c r="BH330" s="1">
        <f t="shared" si="308"/>
        <v>0</v>
      </c>
      <c r="BI330" s="1">
        <v>2</v>
      </c>
      <c r="BJ330" s="1">
        <v>2</v>
      </c>
      <c r="BK330" s="1">
        <v>1</v>
      </c>
      <c r="BL330" s="1">
        <v>1</v>
      </c>
      <c r="BM330" s="1">
        <v>1</v>
      </c>
      <c r="BN330" s="1">
        <v>1</v>
      </c>
      <c r="BO330" s="1">
        <v>1</v>
      </c>
      <c r="BP330" s="1">
        <v>1</v>
      </c>
      <c r="BQ330" s="1">
        <f>IF(HRRVL,1,0)</f>
        <v>0</v>
      </c>
      <c r="BR330" s="1">
        <v>1</v>
      </c>
      <c r="BS330" s="1">
        <v>1</v>
      </c>
      <c r="BT330" s="1">
        <f t="shared" ref="BT330:BT335" si="314">IF(HRXPH,1,0)</f>
        <v>0</v>
      </c>
      <c r="BU330" s="1">
        <f>IF(HRRVL,1,0)</f>
        <v>0</v>
      </c>
      <c r="BV330" s="1">
        <v>1</v>
      </c>
      <c r="BW330" s="1">
        <v>1</v>
      </c>
      <c r="BX330" s="1">
        <v>1</v>
      </c>
      <c r="BY330" s="1">
        <v>1</v>
      </c>
      <c r="BZ330" s="1">
        <v>1</v>
      </c>
      <c r="CA330" s="1">
        <v>1</v>
      </c>
      <c r="CB330" s="1">
        <v>1</v>
      </c>
      <c r="CC330" s="1">
        <v>1</v>
      </c>
      <c r="CD330" s="1">
        <v>1</v>
      </c>
      <c r="CE330" s="1">
        <v>1</v>
      </c>
      <c r="CF330" s="1">
        <v>2</v>
      </c>
      <c r="CG330" s="1">
        <f t="shared" si="309"/>
        <v>0</v>
      </c>
      <c r="CH330" s="1">
        <v>1</v>
      </c>
      <c r="CI330" s="1">
        <v>1</v>
      </c>
      <c r="CJ330" s="1">
        <v>1</v>
      </c>
      <c r="CK330" s="1">
        <v>1</v>
      </c>
      <c r="CL330" s="1">
        <v>1</v>
      </c>
      <c r="CM330" s="1">
        <v>1</v>
      </c>
      <c r="CN330" s="1">
        <v>1</v>
      </c>
      <c r="CO330" s="1">
        <v>1</v>
      </c>
      <c r="CP330" s="1">
        <v>1</v>
      </c>
      <c r="CQ330" s="1">
        <v>1</v>
      </c>
      <c r="CR330" s="1">
        <v>1</v>
      </c>
      <c r="CS330" s="1">
        <v>1</v>
      </c>
      <c r="CT330" s="1">
        <v>1</v>
      </c>
      <c r="CU330" s="1">
        <v>1</v>
      </c>
      <c r="CV330" s="1">
        <f t="shared" si="310"/>
        <v>0</v>
      </c>
      <c r="CW330" s="1">
        <v>1</v>
      </c>
      <c r="CX330" s="1">
        <v>1</v>
      </c>
      <c r="CY330" s="1">
        <v>1</v>
      </c>
      <c r="CZ330" s="1">
        <f t="shared" si="311"/>
        <v>0</v>
      </c>
      <c r="DA330" s="1">
        <v>1</v>
      </c>
      <c r="DB330" s="1">
        <v>1</v>
      </c>
      <c r="DC330" s="1">
        <v>1</v>
      </c>
      <c r="DD330" s="1">
        <v>1</v>
      </c>
      <c r="DE330" s="1">
        <v>2</v>
      </c>
      <c r="DF330" s="1">
        <v>2</v>
      </c>
      <c r="DG330" s="1">
        <v>1</v>
      </c>
      <c r="DH330" s="1">
        <v>1</v>
      </c>
      <c r="DI330" s="1">
        <f t="shared" si="312"/>
        <v>0</v>
      </c>
      <c r="DJ330" s="1">
        <v>1</v>
      </c>
      <c r="DK330" s="1" t="s">
        <v>895</v>
      </c>
      <c r="DL330" s="1" t="s">
        <v>101</v>
      </c>
      <c r="DR330" s="1" t="b">
        <f>BaseAtk&gt;=6</f>
        <v>0</v>
      </c>
      <c r="DS330" s="1" t="b">
        <f>SkIntimidateRanks&gt;=4</f>
        <v>0</v>
      </c>
      <c r="DT330" s="1" t="b">
        <f>SkSurvivalRanks&gt;=4</f>
        <v>0</v>
      </c>
      <c r="DU330" s="1" t="b">
        <f>FtFrozenBerserker</f>
        <v>0</v>
      </c>
      <c r="DV330" s="1" t="b">
        <f>FtImprovedUnarmed</f>
        <v>0</v>
      </c>
      <c r="DW330" s="1" t="b">
        <f>FtPowerAttackEquiv</f>
        <v>0</v>
      </c>
      <c r="DX330" s="1" t="b">
        <f>RageAmount&gt;=1</f>
        <v>0</v>
      </c>
      <c r="EA330" s="1" t="b">
        <f t="shared" si="313"/>
        <v>0</v>
      </c>
      <c r="EB330" s="11" t="s">
        <v>338</v>
      </c>
      <c r="EC330" s="1" t="str">
        <f>IF(DR330,"","• Base Attack Bonus: +6.
")&amp;IF(DS330,"","• 4 ranks in Intimidate.
")&amp;IF(DT330,"","• 4 ranks in Survival.
")&amp;IF(DU330,"","• Frozen Berserker feat.
")&amp;IF(DV330,"","• Improved Unarmed Strike.
")&amp;IF(DW330,"","• Power Attack feat.
")&amp;IF(DX330,"","• Rage as a class ability.
")&amp;"• Must have been reduced to fewer than 0 hit points by cold damage
   (not verified)."</f>
        <v>• Base Attack Bonus: +6.
• 4 ranks in Intimidate.
• 4 ranks in Survival.
• Frozen Berserker feat.
• Improved Unarmed Strike.
• Power Attack feat.
• Rage as a class ability.
• Must have been reduced to fewer than 0 hit points by cold damage
   (not verified).</v>
      </c>
      <c r="ED330" s="11" t="s">
        <v>335</v>
      </c>
      <c r="EE330" s="8" t="s">
        <v>604</v>
      </c>
      <c r="EF330" s="9">
        <v>10</v>
      </c>
      <c r="EG330" s="9" t="s">
        <v>884</v>
      </c>
      <c r="EH330" s="9">
        <v>10</v>
      </c>
      <c r="EI330" s="9" t="b">
        <f t="shared" si="276"/>
        <v>0</v>
      </c>
      <c r="EJ330" s="9" t="str">
        <f t="shared" si="277"/>
        <v/>
      </c>
      <c r="EK330" s="9">
        <f t="shared" si="278"/>
        <v>99</v>
      </c>
      <c r="EL330" s="9">
        <f t="shared" si="279"/>
        <v>99</v>
      </c>
      <c r="EM330" s="9">
        <f t="shared" si="280"/>
        <v>99</v>
      </c>
      <c r="EN330" s="9">
        <f t="shared" si="281"/>
        <v>99</v>
      </c>
      <c r="EO330" s="10" t="str">
        <f t="shared" si="282"/>
        <v/>
      </c>
    </row>
    <row r="331" spans="1:145" ht="11.25" customHeight="1" x14ac:dyDescent="0.2">
      <c r="A331" s="1">
        <f t="shared" si="304"/>
        <v>328</v>
      </c>
      <c r="B331" s="1" t="s">
        <v>904</v>
      </c>
      <c r="C331" s="1" t="s">
        <v>905</v>
      </c>
      <c r="D331" s="1" t="s">
        <v>905</v>
      </c>
      <c r="E331" s="1">
        <f t="shared" si="256"/>
        <v>0</v>
      </c>
      <c r="K331" s="1">
        <v>2</v>
      </c>
      <c r="L331" s="1">
        <v>10</v>
      </c>
      <c r="V331" s="1">
        <v>1</v>
      </c>
      <c r="W331" s="1">
        <v>0.5</v>
      </c>
      <c r="X331" s="1">
        <v>0.34</v>
      </c>
      <c r="Y331" s="1">
        <v>0.5</v>
      </c>
      <c r="Z331" s="1" t="b">
        <f>FALSE</f>
        <v>0</v>
      </c>
      <c r="AA331" s="1" t="str">
        <f t="shared" si="259"/>
        <v/>
      </c>
      <c r="AB331" s="1" t="str">
        <f t="shared" si="260"/>
        <v/>
      </c>
      <c r="AC331" s="1">
        <f t="shared" si="257"/>
        <v>0</v>
      </c>
      <c r="AD331" s="1" t="str">
        <f t="shared" si="261"/>
        <v/>
      </c>
      <c r="AE331" s="1" t="str">
        <f t="shared" si="262"/>
        <v/>
      </c>
      <c r="AF331" s="1">
        <f t="shared" si="258"/>
        <v>0</v>
      </c>
      <c r="AG331" s="1">
        <f t="shared" si="263"/>
        <v>5</v>
      </c>
      <c r="AH331" s="1" t="str">
        <f t="shared" si="250"/>
        <v/>
      </c>
      <c r="AI331" s="1">
        <v>1</v>
      </c>
      <c r="AJ331" s="1">
        <f t="shared" si="305"/>
        <v>0</v>
      </c>
      <c r="AK331" s="1">
        <v>1</v>
      </c>
      <c r="AL331" s="1">
        <v>1</v>
      </c>
      <c r="AM331" s="1">
        <v>1</v>
      </c>
      <c r="AN331" s="1">
        <f t="shared" si="306"/>
        <v>0</v>
      </c>
      <c r="AO331" s="1">
        <v>1</v>
      </c>
      <c r="AP331" s="1">
        <v>2</v>
      </c>
      <c r="AQ331" s="1">
        <v>2</v>
      </c>
      <c r="AR331" s="1">
        <v>2</v>
      </c>
      <c r="AS331" s="1">
        <v>2</v>
      </c>
      <c r="AT331" s="1">
        <v>2</v>
      </c>
      <c r="AU331" s="1">
        <v>2</v>
      </c>
      <c r="AV331" s="1">
        <v>2</v>
      </c>
      <c r="AW331" s="1">
        <v>1</v>
      </c>
      <c r="AX331" s="1">
        <v>2</v>
      </c>
      <c r="AY331" s="1">
        <v>1</v>
      </c>
      <c r="AZ331" s="1">
        <v>1</v>
      </c>
      <c r="BA331" s="1">
        <v>1</v>
      </c>
      <c r="BB331" s="1">
        <v>1</v>
      </c>
      <c r="BC331" s="1">
        <v>1</v>
      </c>
      <c r="BD331" s="1">
        <v>2</v>
      </c>
      <c r="BE331" s="1">
        <v>2</v>
      </c>
      <c r="BF331" s="1">
        <v>1</v>
      </c>
      <c r="BG331" s="1">
        <f t="shared" si="307"/>
        <v>0</v>
      </c>
      <c r="BH331" s="1">
        <f t="shared" si="308"/>
        <v>0</v>
      </c>
      <c r="BI331" s="1">
        <v>1</v>
      </c>
      <c r="BJ331" s="1">
        <v>1</v>
      </c>
      <c r="BK331" s="1">
        <v>1</v>
      </c>
      <c r="BL331" s="1">
        <v>1</v>
      </c>
      <c r="BM331" s="1">
        <v>1</v>
      </c>
      <c r="BN331" s="1">
        <v>2</v>
      </c>
      <c r="BO331" s="1">
        <v>2</v>
      </c>
      <c r="BP331" s="1">
        <f>1+NOT(HRLivingGreyhawk)</f>
        <v>2</v>
      </c>
      <c r="BQ331" s="1">
        <f>IF(HRRVL,1,0)</f>
        <v>0</v>
      </c>
      <c r="BR331" s="1">
        <v>1</v>
      </c>
      <c r="BS331" s="1">
        <v>1</v>
      </c>
      <c r="BT331" s="1">
        <f t="shared" si="314"/>
        <v>0</v>
      </c>
      <c r="BU331" s="1">
        <f>IF(HRRVL,1,0)</f>
        <v>0</v>
      </c>
      <c r="BV331" s="1">
        <v>1</v>
      </c>
      <c r="BW331" s="1">
        <v>1</v>
      </c>
      <c r="BX331" s="1">
        <v>1</v>
      </c>
      <c r="BY331" s="1">
        <v>1</v>
      </c>
      <c r="BZ331" s="1">
        <v>1</v>
      </c>
      <c r="CA331" s="1">
        <v>1</v>
      </c>
      <c r="CB331" s="1">
        <v>1</v>
      </c>
      <c r="CC331" s="1">
        <v>1</v>
      </c>
      <c r="CD331" s="1">
        <v>1</v>
      </c>
      <c r="CE331" s="1">
        <v>1</v>
      </c>
      <c r="CF331" s="1">
        <v>2</v>
      </c>
      <c r="CG331" s="1">
        <f t="shared" si="309"/>
        <v>0</v>
      </c>
      <c r="CH331" s="1">
        <v>1</v>
      </c>
      <c r="CI331" s="1">
        <v>1</v>
      </c>
      <c r="CJ331" s="1">
        <v>1</v>
      </c>
      <c r="CK331" s="1">
        <v>1</v>
      </c>
      <c r="CL331" s="1">
        <v>1</v>
      </c>
      <c r="CM331" s="1">
        <v>1</v>
      </c>
      <c r="CN331" s="1">
        <v>1</v>
      </c>
      <c r="CO331" s="1">
        <v>1</v>
      </c>
      <c r="CP331" s="1">
        <v>1</v>
      </c>
      <c r="CQ331" s="1">
        <v>1</v>
      </c>
      <c r="CR331" s="1">
        <v>1</v>
      </c>
      <c r="CS331" s="1">
        <v>1</v>
      </c>
      <c r="CT331" s="1">
        <v>1</v>
      </c>
      <c r="CU331" s="1">
        <v>1</v>
      </c>
      <c r="CV331" s="1">
        <f t="shared" si="310"/>
        <v>0</v>
      </c>
      <c r="CW331" s="1">
        <v>2</v>
      </c>
      <c r="CX331" s="1">
        <v>1</v>
      </c>
      <c r="CY331" s="1">
        <v>2</v>
      </c>
      <c r="CZ331" s="1">
        <f t="shared" si="311"/>
        <v>0</v>
      </c>
      <c r="DA331" s="1">
        <v>1</v>
      </c>
      <c r="DB331" s="1">
        <v>1</v>
      </c>
      <c r="DC331" s="1">
        <v>1</v>
      </c>
      <c r="DD331" s="1">
        <v>2</v>
      </c>
      <c r="DE331" s="1">
        <v>2</v>
      </c>
      <c r="DF331" s="1">
        <v>1</v>
      </c>
      <c r="DG331" s="1">
        <v>1</v>
      </c>
      <c r="DH331" s="1">
        <v>1</v>
      </c>
      <c r="DI331" s="1">
        <f t="shared" si="312"/>
        <v>0</v>
      </c>
      <c r="DJ331" s="1">
        <v>1</v>
      </c>
      <c r="DK331" s="1" t="s">
        <v>895</v>
      </c>
      <c r="DL331" s="1" t="s">
        <v>170</v>
      </c>
      <c r="DR331" s="1" t="b">
        <f>AND(AlignmentLawful,AlignmentNonEvil)</f>
        <v>1</v>
      </c>
      <c r="DS331" s="1" t="b">
        <f>SkHandleAnimalRanks&gt;=5</f>
        <v>0</v>
      </c>
      <c r="DT331" s="1" t="b">
        <f>SkRideRanks&gt;=9</f>
        <v>0</v>
      </c>
      <c r="DU331" s="1" t="b">
        <f>SkSurvivalRanks&gt;=2</f>
        <v>0</v>
      </c>
      <c r="DV331" s="1" t="b">
        <f>FtAnimalAffinity</f>
        <v>0</v>
      </c>
      <c r="DW331" s="1" t="b">
        <f>NOT(ISNA(MATCH("Sword, bastard",TblExoticFeats,0)))</f>
        <v>0</v>
      </c>
      <c r="DX331" s="1" t="b">
        <f>FtMountedCombat</f>
        <v>0</v>
      </c>
      <c r="DY331" s="1" t="b">
        <f>FtRideByAttack</f>
        <v>0</v>
      </c>
      <c r="EA331" s="1" t="b">
        <f t="shared" si="313"/>
        <v>0</v>
      </c>
      <c r="EB331" s="11" t="s">
        <v>338</v>
      </c>
      <c r="EC331" s="1" t="str">
        <f>IF(DR331,"","• Must be of Lawful Good or Lawful Neutral Alignment.
")&amp;IF(DS331,"","• 5 ranks in Handle Animal.
")&amp;IF(DT331,"","• 9 ranks in Ride.
")&amp;IF(DU331,"","• 2 ranks in Survival.
")&amp;IF(DV331,"","• Animal Affinity feat.
")&amp;IF(DW331,"","• Exotic Weapon Proficiency (bastard sword) feat.
")&amp;IF(DX331,"","• Mounted Combat feat.
")&amp;IF(DY331,"","• Ride-by Attack feat.
")&amp;"• You must prove to the Order of the Iron Glacier that your intentions are
   Noble and True (not verified)."</f>
        <v>• 5 ranks in Handle Animal.
• 9 ranks in Ride.
• 2 ranks in Survival.
• Animal Affinity feat.
• Exotic Weapon Proficiency (bastard sword) feat.
• Mounted Combat feat.
• Ride-by Attack feat.
• You must prove to the Order of the Iron Glacier that your intentions are
   Noble and True (not verified).</v>
      </c>
      <c r="ED331" s="11" t="s">
        <v>335</v>
      </c>
      <c r="EE331" s="8" t="s">
        <v>129</v>
      </c>
      <c r="EF331" s="9">
        <v>10</v>
      </c>
      <c r="EG331" s="9" t="s">
        <v>884</v>
      </c>
      <c r="EH331" s="9">
        <v>10</v>
      </c>
      <c r="EI331" s="9" t="b">
        <f t="shared" si="276"/>
        <v>0</v>
      </c>
      <c r="EJ331" s="9" t="str">
        <f t="shared" si="277"/>
        <v/>
      </c>
      <c r="EK331" s="9">
        <f t="shared" si="278"/>
        <v>99</v>
      </c>
      <c r="EL331" s="9">
        <f t="shared" si="279"/>
        <v>99</v>
      </c>
      <c r="EM331" s="9">
        <f t="shared" si="280"/>
        <v>99</v>
      </c>
      <c r="EN331" s="9">
        <f t="shared" si="281"/>
        <v>99</v>
      </c>
      <c r="EO331" s="10" t="str">
        <f t="shared" si="282"/>
        <v/>
      </c>
    </row>
    <row r="332" spans="1:145" ht="11.25" customHeight="1" x14ac:dyDescent="0.2">
      <c r="A332" s="1">
        <f t="shared" si="304"/>
        <v>329</v>
      </c>
      <c r="B332" s="1" t="s">
        <v>906</v>
      </c>
      <c r="C332" s="1" t="s">
        <v>301</v>
      </c>
      <c r="D332" s="1" t="s">
        <v>301</v>
      </c>
      <c r="E332" s="1">
        <f t="shared" si="256"/>
        <v>0</v>
      </c>
      <c r="K332" s="1">
        <v>2</v>
      </c>
      <c r="L332" s="1">
        <v>10</v>
      </c>
      <c r="V332" s="1">
        <v>1</v>
      </c>
      <c r="W332" s="1">
        <v>0.5</v>
      </c>
      <c r="X332" s="1">
        <v>0.34</v>
      </c>
      <c r="Y332" s="1">
        <v>0.34</v>
      </c>
      <c r="Z332" s="1" t="b">
        <f>FALSE</f>
        <v>0</v>
      </c>
      <c r="AA332" s="1" t="str">
        <f t="shared" si="259"/>
        <v/>
      </c>
      <c r="AB332" s="1" t="str">
        <f t="shared" si="260"/>
        <v/>
      </c>
      <c r="AC332" s="1">
        <f t="shared" si="257"/>
        <v>0</v>
      </c>
      <c r="AD332" s="1" t="str">
        <f t="shared" si="261"/>
        <v/>
      </c>
      <c r="AE332" s="1" t="str">
        <f t="shared" si="262"/>
        <v/>
      </c>
      <c r="AF332" s="1">
        <f t="shared" si="258"/>
        <v>0</v>
      </c>
      <c r="AG332" s="1">
        <f t="shared" si="263"/>
        <v>5</v>
      </c>
      <c r="AH332" s="1" t="str">
        <f t="shared" si="250"/>
        <v/>
      </c>
      <c r="AI332" s="1">
        <v>1</v>
      </c>
      <c r="AJ332" s="1">
        <f t="shared" si="305"/>
        <v>0</v>
      </c>
      <c r="AK332" s="1">
        <v>1</v>
      </c>
      <c r="AL332" s="1">
        <v>1</v>
      </c>
      <c r="AM332" s="1">
        <v>2</v>
      </c>
      <c r="AN332" s="1">
        <f t="shared" si="306"/>
        <v>0</v>
      </c>
      <c r="AO332" s="1">
        <v>2</v>
      </c>
      <c r="AP332" s="1">
        <v>1</v>
      </c>
      <c r="AQ332" s="1">
        <v>1</v>
      </c>
      <c r="AR332" s="1">
        <v>1</v>
      </c>
      <c r="AS332" s="1">
        <v>1</v>
      </c>
      <c r="AT332" s="1">
        <v>1</v>
      </c>
      <c r="AU332" s="1">
        <v>1</v>
      </c>
      <c r="AV332" s="1">
        <v>1</v>
      </c>
      <c r="AW332" s="1">
        <v>1</v>
      </c>
      <c r="AX332" s="1">
        <v>1</v>
      </c>
      <c r="AY332" s="1">
        <v>1</v>
      </c>
      <c r="AZ332" s="1">
        <v>1</v>
      </c>
      <c r="BA332" s="1">
        <v>1</v>
      </c>
      <c r="BB332" s="1">
        <v>1</v>
      </c>
      <c r="BC332" s="1">
        <v>1</v>
      </c>
      <c r="BD332" s="1">
        <v>2</v>
      </c>
      <c r="BE332" s="1">
        <v>1</v>
      </c>
      <c r="BF332" s="1">
        <v>1</v>
      </c>
      <c r="BG332" s="1">
        <f t="shared" si="307"/>
        <v>0</v>
      </c>
      <c r="BH332" s="1">
        <f t="shared" si="308"/>
        <v>0</v>
      </c>
      <c r="BI332" s="1">
        <v>2</v>
      </c>
      <c r="BJ332" s="1">
        <v>2</v>
      </c>
      <c r="BK332" s="1">
        <v>1</v>
      </c>
      <c r="BL332" s="1">
        <v>1</v>
      </c>
      <c r="BM332" s="1">
        <v>1</v>
      </c>
      <c r="BN332" s="1">
        <v>1</v>
      </c>
      <c r="BO332" s="1">
        <v>1</v>
      </c>
      <c r="BP332" s="1">
        <v>1</v>
      </c>
      <c r="BQ332" s="1">
        <f>IF(HRRVL,2,0)</f>
        <v>0</v>
      </c>
      <c r="BR332" s="1">
        <v>2</v>
      </c>
      <c r="BS332" s="1">
        <v>1</v>
      </c>
      <c r="BT332" s="1">
        <f t="shared" si="314"/>
        <v>0</v>
      </c>
      <c r="BU332" s="1">
        <f>IF(HRRVL,1,0)</f>
        <v>0</v>
      </c>
      <c r="BV332" s="1">
        <v>1</v>
      </c>
      <c r="BW332" s="1">
        <v>1</v>
      </c>
      <c r="BX332" s="1">
        <v>1</v>
      </c>
      <c r="BY332" s="1">
        <v>1</v>
      </c>
      <c r="BZ332" s="1">
        <v>1</v>
      </c>
      <c r="CA332" s="1">
        <v>1</v>
      </c>
      <c r="CB332" s="1">
        <v>1</v>
      </c>
      <c r="CC332" s="1">
        <v>1</v>
      </c>
      <c r="CD332" s="1">
        <v>1</v>
      </c>
      <c r="CE332" s="1">
        <v>1</v>
      </c>
      <c r="CF332" s="1">
        <v>2</v>
      </c>
      <c r="CG332" s="1">
        <f t="shared" si="309"/>
        <v>0</v>
      </c>
      <c r="CH332" s="1">
        <v>1</v>
      </c>
      <c r="CI332" s="1">
        <v>1</v>
      </c>
      <c r="CJ332" s="1">
        <v>1</v>
      </c>
      <c r="CK332" s="1">
        <v>1</v>
      </c>
      <c r="CL332" s="1">
        <v>1</v>
      </c>
      <c r="CM332" s="1">
        <v>1</v>
      </c>
      <c r="CN332" s="1">
        <v>1</v>
      </c>
      <c r="CO332" s="1">
        <v>1</v>
      </c>
      <c r="CP332" s="1">
        <v>1</v>
      </c>
      <c r="CQ332" s="1">
        <v>1</v>
      </c>
      <c r="CR332" s="1">
        <v>1</v>
      </c>
      <c r="CS332" s="1">
        <v>1</v>
      </c>
      <c r="CT332" s="1">
        <v>1</v>
      </c>
      <c r="CU332" s="1">
        <v>1</v>
      </c>
      <c r="CV332" s="1">
        <f t="shared" si="310"/>
        <v>0</v>
      </c>
      <c r="CW332" s="1">
        <v>1</v>
      </c>
      <c r="CX332" s="1">
        <v>1</v>
      </c>
      <c r="CY332" s="1">
        <v>1</v>
      </c>
      <c r="CZ332" s="1">
        <f t="shared" si="311"/>
        <v>0</v>
      </c>
      <c r="DA332" s="1">
        <v>1</v>
      </c>
      <c r="DB332" s="1">
        <v>1</v>
      </c>
      <c r="DC332" s="1">
        <v>1</v>
      </c>
      <c r="DD332" s="1">
        <v>2</v>
      </c>
      <c r="DE332" s="1">
        <v>2</v>
      </c>
      <c r="DF332" s="1">
        <v>2</v>
      </c>
      <c r="DG332" s="1">
        <v>1</v>
      </c>
      <c r="DH332" s="1">
        <v>1</v>
      </c>
      <c r="DI332" s="1">
        <f t="shared" si="312"/>
        <v>0</v>
      </c>
      <c r="DJ332" s="1">
        <v>1</v>
      </c>
      <c r="DK332" s="1" t="s">
        <v>895</v>
      </c>
      <c r="DL332" s="1" t="s">
        <v>170</v>
      </c>
      <c r="DR332" s="1" t="b">
        <f>AlignmentNonLawful</f>
        <v>0</v>
      </c>
      <c r="DS332" s="1" t="b">
        <f>BaseAtk&gt;=8</f>
        <v>0</v>
      </c>
      <c r="DT332" s="1" t="b">
        <f>SkHandleAnimalRanks&gt;=5</f>
        <v>0</v>
      </c>
      <c r="DU332" s="1" t="b">
        <f>SkKnowledgeNatureRanks&gt;=5</f>
        <v>0</v>
      </c>
      <c r="DV332" s="1" t="b">
        <f>SkSurvivalRanks&gt;=5</f>
        <v>0</v>
      </c>
      <c r="DW332" s="1" t="b">
        <f>OR(FtEndurance,FtKoboldEndurance)</f>
        <v>0</v>
      </c>
      <c r="DX332" s="1" t="b">
        <f>FtSelfSufficient</f>
        <v>0</v>
      </c>
      <c r="DY332" s="1" t="b">
        <f>FtToughnessEquiv</f>
        <v>0</v>
      </c>
      <c r="EA332" s="1" t="b">
        <f t="shared" si="313"/>
        <v>0</v>
      </c>
      <c r="EB332" s="11" t="s">
        <v>334</v>
      </c>
      <c r="EC332" s="1" t="str">
        <f>IF(DR332,"","• Must be of any Non-Lawful Alignment.
")&amp;IF(DS332,"","• Base Attack Bonus: +8.
")&amp;IF(DT332,"","• 5 ranks in Handle Animal.
")&amp;IF(DU332,"","• 5 ranks in Knowledge (Nature).
")&amp;IF(DV332,"","• 5 ranks in Survival.
")&amp;IF(DW332,"","• Endurance feat.
")&amp;IF(DX332,"","• Self-Sufficient feat.
")&amp;IF(DY332,"","• Toughness feat.")</f>
        <v>• Must be of any Non-Lawful Alignment.
• Base Attack Bonus: +8.
• 5 ranks in Handle Animal.
• 5 ranks in Knowledge (Nature).
• 5 ranks in Survival.
• Endurance feat.
• Self-Sufficient feat.
• Toughness feat.</v>
      </c>
      <c r="ED332" s="11" t="s">
        <v>335</v>
      </c>
      <c r="EE332" s="8" t="s">
        <v>117</v>
      </c>
      <c r="EF332" s="9">
        <v>10</v>
      </c>
      <c r="EG332" s="9" t="s">
        <v>884</v>
      </c>
      <c r="EH332" s="9">
        <v>10</v>
      </c>
      <c r="EI332" s="9" t="b">
        <f t="shared" si="276"/>
        <v>0</v>
      </c>
      <c r="EJ332" s="9" t="str">
        <f t="shared" si="277"/>
        <v/>
      </c>
      <c r="EK332" s="9">
        <f t="shared" si="278"/>
        <v>99</v>
      </c>
      <c r="EL332" s="9">
        <f t="shared" si="279"/>
        <v>99</v>
      </c>
      <c r="EM332" s="9">
        <f t="shared" si="280"/>
        <v>99</v>
      </c>
      <c r="EN332" s="9">
        <f t="shared" si="281"/>
        <v>99</v>
      </c>
      <c r="EO332" s="10" t="str">
        <f t="shared" si="282"/>
        <v/>
      </c>
    </row>
    <row r="333" spans="1:145" ht="11.25" customHeight="1" x14ac:dyDescent="0.2">
      <c r="A333" s="1">
        <f t="shared" si="304"/>
        <v>330</v>
      </c>
      <c r="B333" s="1" t="s">
        <v>907</v>
      </c>
      <c r="C333" s="1" t="s">
        <v>347</v>
      </c>
      <c r="D333" s="1" t="s">
        <v>347</v>
      </c>
      <c r="E333" s="1">
        <f t="shared" si="256"/>
        <v>0</v>
      </c>
      <c r="G333" s="1">
        <f>RmWLvl</f>
        <v>0</v>
      </c>
      <c r="K333" s="1">
        <v>2</v>
      </c>
      <c r="L333" s="1">
        <v>6</v>
      </c>
      <c r="V333" s="1">
        <v>0.5</v>
      </c>
      <c r="W333" s="1">
        <v>0.5</v>
      </c>
      <c r="X333" s="1">
        <v>0.34</v>
      </c>
      <c r="Y333" s="1">
        <v>0.5</v>
      </c>
      <c r="Z333" s="1" t="b">
        <f>FALSE</f>
        <v>0</v>
      </c>
      <c r="AA333" s="1" t="str">
        <f t="shared" si="259"/>
        <v/>
      </c>
      <c r="AB333" s="1" t="str">
        <f t="shared" si="260"/>
        <v/>
      </c>
      <c r="AC333" s="1">
        <f t="shared" si="257"/>
        <v>0</v>
      </c>
      <c r="AD333" s="1" t="str">
        <f t="shared" si="261"/>
        <v/>
      </c>
      <c r="AE333" s="1" t="str">
        <f t="shared" si="262"/>
        <v/>
      </c>
      <c r="AF333" s="1">
        <f t="shared" si="258"/>
        <v>0</v>
      </c>
      <c r="AG333" s="1">
        <f t="shared" si="263"/>
        <v>5</v>
      </c>
      <c r="AH333" s="1" t="str">
        <f t="shared" si="250"/>
        <v/>
      </c>
      <c r="AI333" s="1">
        <v>1</v>
      </c>
      <c r="AJ333" s="1">
        <f t="shared" si="305"/>
        <v>0</v>
      </c>
      <c r="AK333" s="1">
        <v>1</v>
      </c>
      <c r="AL333" s="1">
        <v>1</v>
      </c>
      <c r="AM333" s="1">
        <v>2</v>
      </c>
      <c r="AN333" s="1">
        <f t="shared" si="306"/>
        <v>0</v>
      </c>
      <c r="AO333" s="1">
        <v>2</v>
      </c>
      <c r="AP333" s="1">
        <v>1</v>
      </c>
      <c r="AQ333" s="1">
        <v>1</v>
      </c>
      <c r="AR333" s="1">
        <v>1</v>
      </c>
      <c r="AS333" s="1">
        <v>1</v>
      </c>
      <c r="AT333" s="1">
        <v>1</v>
      </c>
      <c r="AU333" s="1">
        <v>1</v>
      </c>
      <c r="AV333" s="1">
        <v>1</v>
      </c>
      <c r="AW333" s="1">
        <v>1</v>
      </c>
      <c r="AX333" s="1">
        <v>2</v>
      </c>
      <c r="AY333" s="1">
        <v>1</v>
      </c>
      <c r="AZ333" s="1">
        <v>1</v>
      </c>
      <c r="BA333" s="1">
        <v>1</v>
      </c>
      <c r="BB333" s="1">
        <v>1</v>
      </c>
      <c r="BC333" s="1">
        <v>2</v>
      </c>
      <c r="BD333" s="1">
        <v>1</v>
      </c>
      <c r="BE333" s="1">
        <v>2</v>
      </c>
      <c r="BF333" s="1">
        <v>1</v>
      </c>
      <c r="BG333" s="1">
        <f t="shared" si="307"/>
        <v>0</v>
      </c>
      <c r="BH333" s="1">
        <f t="shared" si="308"/>
        <v>0</v>
      </c>
      <c r="BI333" s="1">
        <v>1</v>
      </c>
      <c r="BJ333" s="1">
        <v>2</v>
      </c>
      <c r="BK333" s="1">
        <v>2</v>
      </c>
      <c r="BL333" s="1">
        <v>1</v>
      </c>
      <c r="BM333" s="1">
        <v>1</v>
      </c>
      <c r="BN333" s="1">
        <v>1</v>
      </c>
      <c r="BO333" s="1">
        <v>2</v>
      </c>
      <c r="BP333" s="1">
        <v>1</v>
      </c>
      <c r="BQ333" s="1">
        <f>IF(HRRVL,1,0)</f>
        <v>0</v>
      </c>
      <c r="BR333" s="1">
        <v>1</v>
      </c>
      <c r="BS333" s="1">
        <v>1</v>
      </c>
      <c r="BT333" s="1">
        <f t="shared" si="314"/>
        <v>0</v>
      </c>
      <c r="BU333" s="1">
        <f>IF(HRRVL,2,0)</f>
        <v>0</v>
      </c>
      <c r="BV333" s="1">
        <v>2</v>
      </c>
      <c r="BW333" s="1">
        <v>1</v>
      </c>
      <c r="BX333" s="1">
        <v>1</v>
      </c>
      <c r="BY333" s="1">
        <v>1</v>
      </c>
      <c r="BZ333" s="1">
        <v>1</v>
      </c>
      <c r="CA333" s="1">
        <v>1</v>
      </c>
      <c r="CB333" s="1">
        <v>1</v>
      </c>
      <c r="CC333" s="1">
        <v>1</v>
      </c>
      <c r="CD333" s="1">
        <v>1</v>
      </c>
      <c r="CE333" s="1">
        <v>1</v>
      </c>
      <c r="CF333" s="1">
        <v>1</v>
      </c>
      <c r="CG333" s="1">
        <f t="shared" si="309"/>
        <v>0</v>
      </c>
      <c r="CH333" s="1">
        <v>1</v>
      </c>
      <c r="CI333" s="1">
        <v>1</v>
      </c>
      <c r="CJ333" s="1">
        <v>1</v>
      </c>
      <c r="CK333" s="1">
        <v>1</v>
      </c>
      <c r="CL333" s="1">
        <v>1</v>
      </c>
      <c r="CM333" s="1">
        <v>1</v>
      </c>
      <c r="CN333" s="1">
        <v>1</v>
      </c>
      <c r="CO333" s="1">
        <v>1</v>
      </c>
      <c r="CP333" s="1">
        <v>1</v>
      </c>
      <c r="CQ333" s="1">
        <v>1</v>
      </c>
      <c r="CR333" s="1">
        <v>1</v>
      </c>
      <c r="CS333" s="1">
        <v>1</v>
      </c>
      <c r="CT333" s="1">
        <v>1</v>
      </c>
      <c r="CU333" s="1">
        <v>1</v>
      </c>
      <c r="CV333" s="1">
        <f t="shared" si="310"/>
        <v>0</v>
      </c>
      <c r="CW333" s="1">
        <v>1</v>
      </c>
      <c r="CX333" s="1">
        <v>1</v>
      </c>
      <c r="CY333" s="1">
        <v>2</v>
      </c>
      <c r="CZ333" s="1">
        <f t="shared" si="311"/>
        <v>0</v>
      </c>
      <c r="DA333" s="1">
        <v>1</v>
      </c>
      <c r="DB333" s="1">
        <v>1</v>
      </c>
      <c r="DC333" s="1">
        <v>2</v>
      </c>
      <c r="DD333" s="1">
        <v>1</v>
      </c>
      <c r="DE333" s="1">
        <v>1</v>
      </c>
      <c r="DF333" s="1">
        <v>2</v>
      </c>
      <c r="DG333" s="1">
        <v>1</v>
      </c>
      <c r="DH333" s="1">
        <v>1</v>
      </c>
      <c r="DI333" s="1">
        <f t="shared" si="312"/>
        <v>0</v>
      </c>
      <c r="DJ333" s="1">
        <v>1</v>
      </c>
      <c r="DK333" s="1" t="s">
        <v>895</v>
      </c>
      <c r="DL333" s="1" t="s">
        <v>101</v>
      </c>
      <c r="DR333" s="1" t="b">
        <f>SkConcentrationRanks&gt;=6</f>
        <v>0</v>
      </c>
      <c r="DS333" s="1" t="b">
        <f>SkKnowledgeHistoryRanks&gt;=6</f>
        <v>0</v>
      </c>
      <c r="DT333" s="1" t="b">
        <f>SkKnowledgeReligionRanks&gt;=9</f>
        <v>0</v>
      </c>
      <c r="DU333" s="1" t="b">
        <f>SkSpellcraftRanks&gt;=6</f>
        <v>0</v>
      </c>
      <c r="DV333" s="1" t="b">
        <f>FtIronWill</f>
        <v>0</v>
      </c>
      <c r="DW333" s="1" t="b">
        <f>FtMarkofHleid</f>
        <v>0</v>
      </c>
      <c r="DX333" s="1" t="b">
        <f>MaxDivineLevel&gt;=1</f>
        <v>0</v>
      </c>
      <c r="DY333" s="1" t="b">
        <f>Deity="Hleid"</f>
        <v>0</v>
      </c>
      <c r="EA333" s="1" t="b">
        <f t="shared" si="313"/>
        <v>0</v>
      </c>
      <c r="EB333" s="11" t="s">
        <v>338</v>
      </c>
      <c r="EC333" s="1" t="str">
        <f>IF(DR333,"","• 6 ranks in Concentration.
")&amp;IF(DS333,"","• 6 ranks in Knowledge (history).
")&amp;IF(DT333,"","• 9 ranks in Knowledge (religion).
")&amp;IF(DU333,"","• 9 ranks in Spellcraft.
")&amp;IF(DV333,"","• Iron Will feat.
")&amp;IF(DW333,"","• Mark of Hleid feat.
")&amp;IF(DX333,"","• Able to cast 1st-level divine spells.
")&amp;IF(DY333,"","• Patron Deity: Hleid.
")&amp;"• You must travel to the Iceberg of your chosen Rimefire Eidolon and
   bond with it (not verified)."</f>
        <v>• 6 ranks in Concentration.
• 6 ranks in Knowledge (history).
• 9 ranks in Knowledge (religion).
• 9 ranks in Spellcraft.
• Iron Will feat.
• Mark of Hleid feat.
• Able to cast 1st-level divine spells.
• Patron Deity: Hleid.
• You must travel to the Iceberg of your chosen Rimefire Eidolon and
   bond with it (not verified).</v>
      </c>
      <c r="ED333" s="11" t="s">
        <v>335</v>
      </c>
      <c r="EE333" s="8" t="s">
        <v>301</v>
      </c>
      <c r="EF333" s="9">
        <v>10</v>
      </c>
      <c r="EG333" s="9" t="s">
        <v>884</v>
      </c>
      <c r="EH333" s="9">
        <v>10</v>
      </c>
      <c r="EI333" s="9" t="b">
        <f t="shared" si="276"/>
        <v>0</v>
      </c>
      <c r="EJ333" s="9" t="str">
        <f t="shared" si="277"/>
        <v/>
      </c>
      <c r="EK333" s="9">
        <f t="shared" si="278"/>
        <v>99</v>
      </c>
      <c r="EL333" s="9">
        <f t="shared" si="279"/>
        <v>99</v>
      </c>
      <c r="EM333" s="9">
        <f t="shared" si="280"/>
        <v>99</v>
      </c>
      <c r="EN333" s="9">
        <f t="shared" si="281"/>
        <v>99</v>
      </c>
      <c r="EO333" s="10" t="str">
        <f t="shared" si="282"/>
        <v/>
      </c>
    </row>
    <row r="334" spans="1:145" ht="11.25" customHeight="1" x14ac:dyDescent="0.2">
      <c r="A334" s="1">
        <f t="shared" si="304"/>
        <v>331</v>
      </c>
      <c r="B334" s="1" t="s">
        <v>908</v>
      </c>
      <c r="C334" s="1" t="s">
        <v>909</v>
      </c>
      <c r="D334" s="1" t="s">
        <v>909</v>
      </c>
      <c r="E334" s="1">
        <f t="shared" si="256"/>
        <v>0</v>
      </c>
      <c r="G334" s="1">
        <f>StSLvl</f>
        <v>0</v>
      </c>
      <c r="K334" s="1">
        <v>4</v>
      </c>
      <c r="L334" s="1">
        <v>6</v>
      </c>
      <c r="V334" s="1">
        <v>0.5</v>
      </c>
      <c r="W334" s="1">
        <v>0.34</v>
      </c>
      <c r="X334" s="1">
        <v>0.5</v>
      </c>
      <c r="Y334" s="1">
        <v>0.5</v>
      </c>
      <c r="Z334" s="1" t="b">
        <f>FALSE</f>
        <v>0</v>
      </c>
      <c r="AA334" s="1" t="str">
        <f t="shared" si="259"/>
        <v/>
      </c>
      <c r="AB334" s="1" t="str">
        <f t="shared" si="260"/>
        <v/>
      </c>
      <c r="AC334" s="1">
        <f t="shared" si="257"/>
        <v>0</v>
      </c>
      <c r="AD334" s="1" t="str">
        <f t="shared" si="261"/>
        <v/>
      </c>
      <c r="AE334" s="1" t="str">
        <f t="shared" si="262"/>
        <v/>
      </c>
      <c r="AF334" s="1">
        <f t="shared" si="258"/>
        <v>0</v>
      </c>
      <c r="AG334" s="1">
        <f t="shared" si="263"/>
        <v>5</v>
      </c>
      <c r="AH334" s="1" t="str">
        <f t="shared" si="250"/>
        <v/>
      </c>
      <c r="AI334" s="1">
        <v>1</v>
      </c>
      <c r="AJ334" s="1">
        <f t="shared" si="305"/>
        <v>0</v>
      </c>
      <c r="AK334" s="1">
        <v>1</v>
      </c>
      <c r="AL334" s="1">
        <v>1</v>
      </c>
      <c r="AM334" s="1">
        <v>2</v>
      </c>
      <c r="AN334" s="1">
        <f t="shared" si="306"/>
        <v>0</v>
      </c>
      <c r="AO334" s="1">
        <v>2</v>
      </c>
      <c r="AP334" s="1">
        <v>2</v>
      </c>
      <c r="AQ334" s="1">
        <v>2</v>
      </c>
      <c r="AR334" s="1">
        <v>2</v>
      </c>
      <c r="AS334" s="1">
        <v>2</v>
      </c>
      <c r="AT334" s="1">
        <v>2</v>
      </c>
      <c r="AU334" s="1">
        <v>2</v>
      </c>
      <c r="AV334" s="1">
        <v>2</v>
      </c>
      <c r="AW334" s="1">
        <v>1</v>
      </c>
      <c r="AX334" s="1">
        <v>2</v>
      </c>
      <c r="AY334" s="1">
        <v>1</v>
      </c>
      <c r="AZ334" s="1">
        <v>1</v>
      </c>
      <c r="BA334" s="1">
        <v>1</v>
      </c>
      <c r="BB334" s="1">
        <v>1</v>
      </c>
      <c r="BC334" s="1">
        <v>1</v>
      </c>
      <c r="BD334" s="1">
        <v>1</v>
      </c>
      <c r="BE334" s="1">
        <v>1</v>
      </c>
      <c r="BF334" s="1">
        <v>1</v>
      </c>
      <c r="BG334" s="1">
        <f t="shared" si="307"/>
        <v>0</v>
      </c>
      <c r="BH334" s="1">
        <f t="shared" si="308"/>
        <v>0</v>
      </c>
      <c r="BI334" s="1">
        <v>1</v>
      </c>
      <c r="BJ334" s="1">
        <v>2</v>
      </c>
      <c r="BK334" s="1">
        <v>2</v>
      </c>
      <c r="BL334" s="1">
        <v>1</v>
      </c>
      <c r="BM334" s="1">
        <v>1</v>
      </c>
      <c r="BN334" s="1">
        <v>2</v>
      </c>
      <c r="BO334" s="1">
        <v>1</v>
      </c>
      <c r="BP334" s="1">
        <v>1</v>
      </c>
      <c r="BQ334" s="1">
        <f>IF(HRRVL,2,0)</f>
        <v>0</v>
      </c>
      <c r="BR334" s="1">
        <v>2</v>
      </c>
      <c r="BS334" s="1">
        <v>1</v>
      </c>
      <c r="BT334" s="1">
        <f t="shared" si="314"/>
        <v>0</v>
      </c>
      <c r="BU334" s="1">
        <f>IF(HRRVL,1,0)</f>
        <v>0</v>
      </c>
      <c r="BV334" s="1">
        <v>1</v>
      </c>
      <c r="BW334" s="1">
        <v>1</v>
      </c>
      <c r="BX334" s="1">
        <v>1</v>
      </c>
      <c r="BY334" s="1">
        <v>1</v>
      </c>
      <c r="BZ334" s="1">
        <v>1</v>
      </c>
      <c r="CA334" s="1">
        <v>1</v>
      </c>
      <c r="CB334" s="1">
        <v>1</v>
      </c>
      <c r="CC334" s="1">
        <v>1</v>
      </c>
      <c r="CD334" s="1">
        <v>1</v>
      </c>
      <c r="CE334" s="1">
        <v>1</v>
      </c>
      <c r="CF334" s="1">
        <v>2</v>
      </c>
      <c r="CG334" s="1">
        <f t="shared" si="309"/>
        <v>0</v>
      </c>
      <c r="CH334" s="1">
        <v>1</v>
      </c>
      <c r="CI334" s="1">
        <v>1</v>
      </c>
      <c r="CJ334" s="1">
        <v>2</v>
      </c>
      <c r="CK334" s="1">
        <v>2</v>
      </c>
      <c r="CL334" s="1">
        <v>2</v>
      </c>
      <c r="CM334" s="1">
        <v>2</v>
      </c>
      <c r="CN334" s="1">
        <v>2</v>
      </c>
      <c r="CO334" s="1">
        <v>2</v>
      </c>
      <c r="CP334" s="1">
        <v>2</v>
      </c>
      <c r="CQ334" s="1">
        <v>2</v>
      </c>
      <c r="CR334" s="1">
        <v>2</v>
      </c>
      <c r="CS334" s="1">
        <v>2</v>
      </c>
      <c r="CT334" s="1">
        <v>2</v>
      </c>
      <c r="CU334" s="1">
        <v>2</v>
      </c>
      <c r="CV334" s="1">
        <f t="shared" si="310"/>
        <v>0</v>
      </c>
      <c r="CW334" s="1">
        <v>1</v>
      </c>
      <c r="CX334" s="1">
        <v>1</v>
      </c>
      <c r="CY334" s="1">
        <v>1</v>
      </c>
      <c r="CZ334" s="1">
        <f t="shared" si="311"/>
        <v>0</v>
      </c>
      <c r="DA334" s="1">
        <v>1</v>
      </c>
      <c r="DB334" s="1">
        <v>1</v>
      </c>
      <c r="DC334" s="1">
        <v>2</v>
      </c>
      <c r="DD334" s="1">
        <v>2</v>
      </c>
      <c r="DE334" s="1">
        <v>2</v>
      </c>
      <c r="DF334" s="1">
        <v>2</v>
      </c>
      <c r="DG334" s="1">
        <v>1</v>
      </c>
      <c r="DH334" s="1">
        <v>1</v>
      </c>
      <c r="DI334" s="1">
        <f t="shared" si="312"/>
        <v>0</v>
      </c>
      <c r="DJ334" s="1">
        <v>1</v>
      </c>
      <c r="DK334" s="1" t="s">
        <v>895</v>
      </c>
      <c r="DL334" s="1" t="s">
        <v>101</v>
      </c>
      <c r="DR334" s="1" t="b">
        <f>SkConcentrationRanks&gt;=8</f>
        <v>0</v>
      </c>
      <c r="DS334" s="1" t="b">
        <f>SkKnowledgeArcanaRanks&gt;=8</f>
        <v>0</v>
      </c>
      <c r="DT334" s="1" t="b">
        <f>SkKnowledgeGeographyRanks&gt;=4</f>
        <v>0</v>
      </c>
      <c r="DU334" s="1" t="b">
        <f>SkKnowledgeNatureRanks&gt;=4</f>
        <v>0</v>
      </c>
      <c r="DV334" s="1" t="b">
        <f>IF(NOT(ISNA(MATCH("Sing",TblPerformSkills,0))),INDEX(TblPerformRanks,MATCH("Sing",TblPerformSkills,0),1)&gt;=8,FALSE)</f>
        <v>0</v>
      </c>
      <c r="DW334" s="1" t="b">
        <f>SkSpellcraftRanks&gt;=4</f>
        <v>0</v>
      </c>
      <c r="DX334" s="1" t="b">
        <f>FtMagicalAptitude</f>
        <v>0</v>
      </c>
      <c r="DY334" s="1" t="b">
        <f>FtStormMagic</f>
        <v>0</v>
      </c>
      <c r="DZ334" s="1" t="b">
        <f>BardicMusic</f>
        <v>0</v>
      </c>
      <c r="EA334" s="1" t="b">
        <f t="shared" si="313"/>
        <v>0</v>
      </c>
      <c r="EB334" s="11" t="s">
        <v>334</v>
      </c>
      <c r="EC334" s="1" t="str">
        <f>IF(DR334,"","• 8 ranks in Concentration.
")&amp;IF(DS334,"","• 8 ranks in Knowledge (arcana).
")&amp;IF(DT334,"","• 4 ranks in Knowledge (geography).
")&amp;IF(DU334,"","• 4 ranks in Knowledge (nature).
")&amp;IF(DV334,"","• 8 ranks in Perform (sing).
")&amp;IF(DW334,"","• 4 ranks in Spellcraft.
")&amp;IF(DX334,"","• Magical Aptitude feat.
")&amp;IF(DY334,"","• Storm Magic feat.
")&amp;IF(DZ334,"","• Must have the bardic music class ability.")</f>
        <v>• 8 ranks in Concentration.
• 8 ranks in Knowledge (arcana).
• 4 ranks in Knowledge (geography).
• 4 ranks in Knowledge (nature).
• 8 ranks in Perform (sing).
• 4 ranks in Spellcraft.
• Magical Aptitude feat.
• Storm Magic feat.
• Must have the bardic music class ability.</v>
      </c>
      <c r="ED334" s="11" t="s">
        <v>335</v>
      </c>
      <c r="EE334" s="8" t="s">
        <v>228</v>
      </c>
      <c r="EF334" s="9">
        <v>10</v>
      </c>
      <c r="EG334" s="9" t="s">
        <v>884</v>
      </c>
      <c r="EH334" s="9">
        <v>10</v>
      </c>
      <c r="EI334" s="9" t="b">
        <f t="shared" si="276"/>
        <v>0</v>
      </c>
      <c r="EJ334" s="9" t="str">
        <f t="shared" si="277"/>
        <v/>
      </c>
      <c r="EK334" s="9">
        <f t="shared" si="278"/>
        <v>99</v>
      </c>
      <c r="EL334" s="9">
        <f t="shared" si="279"/>
        <v>99</v>
      </c>
      <c r="EM334" s="9">
        <f t="shared" si="280"/>
        <v>99</v>
      </c>
      <c r="EN334" s="9">
        <f t="shared" si="281"/>
        <v>99</v>
      </c>
      <c r="EO334" s="10" t="str">
        <f t="shared" si="282"/>
        <v/>
      </c>
    </row>
    <row r="335" spans="1:145" ht="11.25" customHeight="1" x14ac:dyDescent="0.2">
      <c r="A335" s="1">
        <f t="shared" si="304"/>
        <v>332</v>
      </c>
      <c r="B335" s="1" t="s">
        <v>910</v>
      </c>
      <c r="C335" s="1" t="s">
        <v>577</v>
      </c>
      <c r="D335" s="1" t="s">
        <v>577</v>
      </c>
      <c r="E335" s="1">
        <f t="shared" si="256"/>
        <v>0</v>
      </c>
      <c r="G335" s="1">
        <f>WoILvl</f>
        <v>0</v>
      </c>
      <c r="K335" s="1">
        <v>2</v>
      </c>
      <c r="L335" s="1">
        <v>8</v>
      </c>
      <c r="N335" s="1" t="b">
        <v>1</v>
      </c>
      <c r="S335" s="1" t="b">
        <v>1</v>
      </c>
      <c r="V335" s="1">
        <v>0.5</v>
      </c>
      <c r="W335" s="1">
        <v>0.5</v>
      </c>
      <c r="X335" s="1">
        <v>0.34</v>
      </c>
      <c r="Y335" s="1">
        <v>0.5</v>
      </c>
      <c r="Z335" s="1" t="b">
        <f>FALSE</f>
        <v>0</v>
      </c>
      <c r="AA335" s="1" t="str">
        <f t="shared" si="259"/>
        <v/>
      </c>
      <c r="AB335" s="1" t="str">
        <f t="shared" si="260"/>
        <v/>
      </c>
      <c r="AC335" s="1">
        <f t="shared" si="257"/>
        <v>0</v>
      </c>
      <c r="AD335" s="1" t="str">
        <f t="shared" si="261"/>
        <v/>
      </c>
      <c r="AE335" s="1" t="str">
        <f t="shared" si="262"/>
        <v/>
      </c>
      <c r="AF335" s="1">
        <f t="shared" si="258"/>
        <v>0</v>
      </c>
      <c r="AG335" s="1">
        <f t="shared" si="263"/>
        <v>5</v>
      </c>
      <c r="AH335" s="1" t="str">
        <f t="shared" si="250"/>
        <v/>
      </c>
      <c r="AI335" s="1">
        <v>1</v>
      </c>
      <c r="AJ335" s="1">
        <f t="shared" si="305"/>
        <v>0</v>
      </c>
      <c r="AK335" s="1">
        <v>1</v>
      </c>
      <c r="AL335" s="1">
        <v>1</v>
      </c>
      <c r="AM335" s="1">
        <v>1</v>
      </c>
      <c r="AN335" s="1">
        <f t="shared" si="306"/>
        <v>0</v>
      </c>
      <c r="AO335" s="1">
        <v>2</v>
      </c>
      <c r="AP335" s="1">
        <v>2</v>
      </c>
      <c r="AQ335" s="1">
        <v>2</v>
      </c>
      <c r="AR335" s="1">
        <v>2</v>
      </c>
      <c r="AS335" s="1">
        <v>2</v>
      </c>
      <c r="AT335" s="1">
        <v>2</v>
      </c>
      <c r="AU335" s="1">
        <v>2</v>
      </c>
      <c r="AV335" s="1">
        <v>2</v>
      </c>
      <c r="AW335" s="1">
        <v>1</v>
      </c>
      <c r="AX335" s="1">
        <v>1</v>
      </c>
      <c r="AY335" s="1">
        <v>1</v>
      </c>
      <c r="AZ335" s="1">
        <v>1</v>
      </c>
      <c r="BA335" s="1">
        <v>1</v>
      </c>
      <c r="BB335" s="1">
        <v>1</v>
      </c>
      <c r="BC335" s="1">
        <v>1</v>
      </c>
      <c r="BD335" s="1">
        <v>1</v>
      </c>
      <c r="BE335" s="1">
        <v>1</v>
      </c>
      <c r="BF335" s="1">
        <v>1</v>
      </c>
      <c r="BG335" s="1">
        <f t="shared" si="307"/>
        <v>0</v>
      </c>
      <c r="BH335" s="1">
        <f t="shared" si="308"/>
        <v>0</v>
      </c>
      <c r="BI335" s="1">
        <v>1</v>
      </c>
      <c r="BJ335" s="1">
        <v>1</v>
      </c>
      <c r="BK335" s="1">
        <v>2</v>
      </c>
      <c r="BL335" s="1">
        <v>1</v>
      </c>
      <c r="BM335" s="1">
        <v>1</v>
      </c>
      <c r="BN335" s="1">
        <v>1</v>
      </c>
      <c r="BO335" s="1">
        <v>1</v>
      </c>
      <c r="BP335" s="1">
        <v>1</v>
      </c>
      <c r="BQ335" s="1">
        <f>IF(HRRVL,1,0)</f>
        <v>0</v>
      </c>
      <c r="BR335" s="1">
        <v>1</v>
      </c>
      <c r="BS335" s="1">
        <v>1</v>
      </c>
      <c r="BT335" s="1">
        <f t="shared" si="314"/>
        <v>0</v>
      </c>
      <c r="BU335" s="1">
        <f>IF(HRRVL,2,0)</f>
        <v>0</v>
      </c>
      <c r="BV335" s="1">
        <v>2</v>
      </c>
      <c r="BW335" s="1">
        <v>1</v>
      </c>
      <c r="BX335" s="1">
        <v>1</v>
      </c>
      <c r="BY335" s="1">
        <v>1</v>
      </c>
      <c r="BZ335" s="1">
        <v>1</v>
      </c>
      <c r="CA335" s="1">
        <v>1</v>
      </c>
      <c r="CB335" s="1">
        <v>1</v>
      </c>
      <c r="CC335" s="1">
        <v>1</v>
      </c>
      <c r="CD335" s="1">
        <v>1</v>
      </c>
      <c r="CE335" s="1">
        <v>1</v>
      </c>
      <c r="CF335" s="1">
        <v>1</v>
      </c>
      <c r="CG335" s="1">
        <f t="shared" si="309"/>
        <v>0</v>
      </c>
      <c r="CH335" s="1">
        <v>1</v>
      </c>
      <c r="CI335" s="1">
        <v>1</v>
      </c>
      <c r="CJ335" s="1">
        <v>1</v>
      </c>
      <c r="CK335" s="1">
        <v>1</v>
      </c>
      <c r="CL335" s="1">
        <v>1</v>
      </c>
      <c r="CM335" s="1">
        <v>1</v>
      </c>
      <c r="CN335" s="1">
        <v>1</v>
      </c>
      <c r="CO335" s="1">
        <v>1</v>
      </c>
      <c r="CP335" s="1">
        <v>2</v>
      </c>
      <c r="CQ335" s="1">
        <v>2</v>
      </c>
      <c r="CR335" s="1">
        <v>2</v>
      </c>
      <c r="CS335" s="1">
        <v>2</v>
      </c>
      <c r="CT335" s="1">
        <v>2</v>
      </c>
      <c r="CU335" s="1">
        <v>2</v>
      </c>
      <c r="CV335" s="1">
        <f t="shared" si="310"/>
        <v>0</v>
      </c>
      <c r="CW335" s="1">
        <v>1</v>
      </c>
      <c r="CX335" s="1">
        <v>1</v>
      </c>
      <c r="CY335" s="1">
        <v>1</v>
      </c>
      <c r="CZ335" s="1">
        <f t="shared" si="311"/>
        <v>0</v>
      </c>
      <c r="DA335" s="1">
        <v>1</v>
      </c>
      <c r="DB335" s="1">
        <v>1</v>
      </c>
      <c r="DC335" s="1">
        <v>2</v>
      </c>
      <c r="DD335" s="1">
        <v>1</v>
      </c>
      <c r="DE335" s="1">
        <v>1</v>
      </c>
      <c r="DF335" s="1">
        <v>1</v>
      </c>
      <c r="DG335" s="1">
        <v>1</v>
      </c>
      <c r="DH335" s="1">
        <v>1</v>
      </c>
      <c r="DI335" s="1">
        <f t="shared" si="312"/>
        <v>0</v>
      </c>
      <c r="DJ335" s="1">
        <v>1</v>
      </c>
      <c r="DK335" s="1" t="s">
        <v>895</v>
      </c>
      <c r="DL335" s="1" t="s">
        <v>170</v>
      </c>
      <c r="DR335" s="1" t="b">
        <f>OR(AND(AlignmentChaotic,AlignmentNeutral),AND(AlignmentChaotic,AlignmentEvil),AND(AlignmentNeutral,AlignmentEvil))</f>
        <v>0</v>
      </c>
      <c r="DS335" s="1" t="b">
        <f>SkConcentrationRanks&gt;=8</f>
        <v>0</v>
      </c>
      <c r="DT335" s="1" t="b">
        <f>SkKnowledgeArcanaRanks&gt;=5</f>
        <v>0</v>
      </c>
      <c r="DU335" s="1" t="b">
        <f>SkKnowledgeReligionRanks&gt;=8</f>
        <v>0</v>
      </c>
      <c r="DV335" s="1" t="b">
        <f>FtChosenofIborighu</f>
        <v>0</v>
      </c>
      <c r="DW335" s="1" t="b">
        <f>FtCraftWonderousItem</f>
        <v>0</v>
      </c>
      <c r="DX335" s="1" t="b">
        <f>FtPiercingCold</f>
        <v>0</v>
      </c>
      <c r="DY335" s="1" t="b">
        <f>MaxDivineLevel&gt;=1</f>
        <v>0</v>
      </c>
      <c r="DZ335" s="1" t="b">
        <f>Deity="Iborighu"</f>
        <v>0</v>
      </c>
      <c r="EA335" s="1" t="b">
        <f t="shared" si="313"/>
        <v>0</v>
      </c>
      <c r="EB335" s="11" t="s">
        <v>338</v>
      </c>
      <c r="EC335" s="1" t="str">
        <f>IF(DR335,"","• Must be of Chaotic Neutral, Chaotic Evil, or Neutral Evil Alignment.
")&amp;IF(DS335,"","• 9 ranks in Concentration.
")&amp;IF(DT335,"","• 5 ranks in Knowledge (arcana).
")&amp;IF(DU335,"","• 5 ranks in Knowledge (religion).
")&amp;IF(DV335,"","• Chosen of Iborighu feat.
")&amp;IF(DW335,"","• Craft Wonderous Item feat.
")&amp;IF(DX335,"","• Piercing Cold feat.
")&amp;IF(DY335,"","• Able to cast 1st-level divine spells.
")&amp;IF(DZ335,"","• Patron Deity: Iborighu.
")&amp;"• You must successfully create an Iceheart (not verified)."</f>
        <v>• Must be of Chaotic Neutral, Chaotic Evil, or Neutral Evil Alignment.
• 9 ranks in Concentration.
• 5 ranks in Knowledge (arcana).
• 5 ranks in Knowledge (religion).
• Chosen of Iborighu feat.
• Craft Wonderous Item feat.
• Piercing Cold feat.
• Able to cast 1st-level divine spells.
• Patron Deity: Iborighu.
• You must successfully create an Iceheart (not verified).</v>
      </c>
      <c r="ED335" s="11" t="s">
        <v>335</v>
      </c>
      <c r="EE335" s="8" t="s">
        <v>593</v>
      </c>
      <c r="EF335" s="9">
        <v>10</v>
      </c>
      <c r="EG335" s="9" t="s">
        <v>884</v>
      </c>
      <c r="EH335" s="9">
        <v>10</v>
      </c>
      <c r="EI335" s="9" t="b">
        <f t="shared" si="276"/>
        <v>0</v>
      </c>
      <c r="EJ335" s="9" t="str">
        <f t="shared" si="277"/>
        <v/>
      </c>
      <c r="EK335" s="9">
        <f t="shared" si="278"/>
        <v>99</v>
      </c>
      <c r="EL335" s="9">
        <f t="shared" si="279"/>
        <v>99</v>
      </c>
      <c r="EM335" s="9">
        <f t="shared" si="280"/>
        <v>99</v>
      </c>
      <c r="EN335" s="9">
        <f t="shared" si="281"/>
        <v>99</v>
      </c>
      <c r="EO335" s="10" t="str">
        <f t="shared" si="282"/>
        <v/>
      </c>
    </row>
    <row r="336" spans="1:145" ht="11.25" customHeight="1" x14ac:dyDescent="0.2">
      <c r="A336" s="1">
        <f t="shared" si="304"/>
        <v>333</v>
      </c>
      <c r="B336" s="1" t="s">
        <v>911</v>
      </c>
      <c r="E336" s="1">
        <f t="shared" si="256"/>
        <v>0</v>
      </c>
      <c r="F336" s="1">
        <v>1</v>
      </c>
      <c r="Z336" s="1" t="b">
        <f>FALSE</f>
        <v>0</v>
      </c>
      <c r="AA336" s="1" t="str">
        <f t="shared" si="259"/>
        <v/>
      </c>
      <c r="AB336" s="1" t="str">
        <f t="shared" si="260"/>
        <v/>
      </c>
      <c r="AC336" s="1">
        <f t="shared" si="257"/>
        <v>0</v>
      </c>
      <c r="AD336" s="1" t="str">
        <f t="shared" si="261"/>
        <v/>
      </c>
      <c r="AE336" s="1" t="str">
        <f t="shared" si="262"/>
        <v/>
      </c>
      <c r="AF336" s="1">
        <f t="shared" si="258"/>
        <v>0</v>
      </c>
      <c r="AG336" s="1">
        <f t="shared" si="263"/>
        <v>5</v>
      </c>
      <c r="AH336" s="1" t="str">
        <f t="shared" si="250"/>
        <v/>
      </c>
      <c r="EB336" s="11"/>
      <c r="ED336" s="11" t="s">
        <v>335</v>
      </c>
      <c r="EE336" s="8" t="s">
        <v>467</v>
      </c>
      <c r="EF336" s="9">
        <v>1</v>
      </c>
      <c r="EG336" s="9" t="s">
        <v>884</v>
      </c>
      <c r="EH336" s="9">
        <f>IF($EI336,IF(COUNTIF(TblMonkTattoos,9)&gt;=1, 2+INT((TtMLvl+1)/2),0),0)</f>
        <v>0</v>
      </c>
      <c r="EI336" s="9" t="b">
        <f t="shared" si="276"/>
        <v>0</v>
      </c>
      <c r="EJ336" s="9" t="str">
        <f t="shared" si="277"/>
        <v/>
      </c>
      <c r="EK336" s="9">
        <f t="shared" si="278"/>
        <v>99</v>
      </c>
      <c r="EL336" s="9">
        <f t="shared" si="279"/>
        <v>99</v>
      </c>
      <c r="EM336" s="9">
        <f t="shared" si="280"/>
        <v>99</v>
      </c>
      <c r="EN336" s="9">
        <f t="shared" si="281"/>
        <v>99</v>
      </c>
      <c r="EO336" s="10" t="str">
        <f t="shared" si="282"/>
        <v/>
      </c>
    </row>
    <row r="337" spans="1:145" ht="11.25" customHeight="1" x14ac:dyDescent="0.2">
      <c r="A337" s="1">
        <f t="shared" si="304"/>
        <v>334</v>
      </c>
      <c r="B337" s="1" t="s">
        <v>912</v>
      </c>
      <c r="C337" s="1" t="s">
        <v>913</v>
      </c>
      <c r="D337" s="1" t="s">
        <v>913</v>
      </c>
      <c r="E337" s="1">
        <f t="shared" si="256"/>
        <v>0</v>
      </c>
      <c r="K337" s="1">
        <v>2</v>
      </c>
      <c r="L337" s="1">
        <v>10</v>
      </c>
      <c r="V337" s="1">
        <v>1</v>
      </c>
      <c r="W337" s="1">
        <v>0.5</v>
      </c>
      <c r="X337" s="1">
        <v>0.34</v>
      </c>
      <c r="Y337" s="1">
        <v>0.34</v>
      </c>
      <c r="Z337" s="1" t="b">
        <f>FALSE</f>
        <v>0</v>
      </c>
      <c r="AA337" s="1" t="str">
        <f t="shared" si="259"/>
        <v/>
      </c>
      <c r="AB337" s="1" t="str">
        <f t="shared" si="260"/>
        <v/>
      </c>
      <c r="AC337" s="1">
        <f t="shared" si="257"/>
        <v>0</v>
      </c>
      <c r="AD337" s="1" t="str">
        <f t="shared" si="261"/>
        <v/>
      </c>
      <c r="AE337" s="1" t="str">
        <f t="shared" si="262"/>
        <v/>
      </c>
      <c r="AF337" s="1">
        <f t="shared" si="258"/>
        <v>0</v>
      </c>
      <c r="AG337" s="1">
        <f t="shared" si="263"/>
        <v>5</v>
      </c>
      <c r="AH337" s="1" t="str">
        <f t="shared" si="250"/>
        <v/>
      </c>
      <c r="AI337" s="1">
        <v>1</v>
      </c>
      <c r="AJ337" s="1">
        <f t="shared" ref="AJ337:AJ342" si="315">IF(HRXPH,1,0)</f>
        <v>0</v>
      </c>
      <c r="AK337" s="1">
        <v>1</v>
      </c>
      <c r="AL337" s="1">
        <v>1</v>
      </c>
      <c r="AM337" s="1">
        <v>2</v>
      </c>
      <c r="AN337" s="1">
        <f t="shared" ref="AN337:AN342" si="316">IF(IsLycanthrope,2,0)</f>
        <v>0</v>
      </c>
      <c r="AO337" s="1">
        <v>1</v>
      </c>
      <c r="AP337" s="1">
        <v>2</v>
      </c>
      <c r="AQ337" s="1">
        <v>2</v>
      </c>
      <c r="AR337" s="1">
        <v>2</v>
      </c>
      <c r="AS337" s="1">
        <v>2</v>
      </c>
      <c r="AT337" s="1">
        <v>2</v>
      </c>
      <c r="AU337" s="1">
        <v>2</v>
      </c>
      <c r="AV337" s="1">
        <v>2</v>
      </c>
      <c r="AW337" s="1">
        <v>1</v>
      </c>
      <c r="AX337" s="1">
        <v>1</v>
      </c>
      <c r="AY337" s="1">
        <v>1</v>
      </c>
      <c r="AZ337" s="1">
        <v>1</v>
      </c>
      <c r="BA337" s="1">
        <v>1</v>
      </c>
      <c r="BB337" s="1">
        <v>1</v>
      </c>
      <c r="BC337" s="1">
        <v>1</v>
      </c>
      <c r="BD337" s="1">
        <v>2</v>
      </c>
      <c r="BE337" s="1">
        <v>1</v>
      </c>
      <c r="BF337" s="1">
        <v>1</v>
      </c>
      <c r="BG337" s="1">
        <f t="shared" ref="BG337:BG342" si="317">IF(HRRVL,1,0)</f>
        <v>0</v>
      </c>
      <c r="BH337" s="1">
        <f t="shared" ref="BH337:BH342" si="318">IF(HROA,1,0)</f>
        <v>0</v>
      </c>
      <c r="BI337" s="1">
        <v>2</v>
      </c>
      <c r="BJ337" s="1">
        <v>2</v>
      </c>
      <c r="BK337" s="1">
        <v>1</v>
      </c>
      <c r="BL337" s="1">
        <v>1</v>
      </c>
      <c r="BM337" s="1">
        <v>1</v>
      </c>
      <c r="BN337" s="1">
        <v>1</v>
      </c>
      <c r="BO337" s="1">
        <v>1</v>
      </c>
      <c r="BP337" s="1">
        <v>1</v>
      </c>
      <c r="BQ337" s="1">
        <f>IF(HRRVL,1,0)</f>
        <v>0</v>
      </c>
      <c r="BR337" s="1">
        <v>1</v>
      </c>
      <c r="BS337" s="1">
        <v>1</v>
      </c>
      <c r="BT337" s="1">
        <f t="shared" ref="BT337:BT342" si="319">IF(HRXPH,1,0)</f>
        <v>0</v>
      </c>
      <c r="BU337" s="1">
        <f>IF(HRRVL,1,0)</f>
        <v>0</v>
      </c>
      <c r="BV337" s="1">
        <v>1</v>
      </c>
      <c r="BW337" s="1">
        <v>1</v>
      </c>
      <c r="BX337" s="1">
        <v>1</v>
      </c>
      <c r="BY337" s="1">
        <v>1</v>
      </c>
      <c r="BZ337" s="1">
        <v>1</v>
      </c>
      <c r="CA337" s="1">
        <v>1</v>
      </c>
      <c r="CB337" s="1">
        <v>1</v>
      </c>
      <c r="CC337" s="1">
        <v>1</v>
      </c>
      <c r="CD337" s="1">
        <v>1</v>
      </c>
      <c r="CE337" s="1">
        <v>1</v>
      </c>
      <c r="CF337" s="1">
        <v>1</v>
      </c>
      <c r="CG337" s="1">
        <f t="shared" ref="CG337:CG342" si="320">IF(HRToB,1,0)</f>
        <v>0</v>
      </c>
      <c r="CH337" s="1">
        <v>1</v>
      </c>
      <c r="CI337" s="1">
        <v>1</v>
      </c>
      <c r="CJ337" s="1">
        <v>1</v>
      </c>
      <c r="CK337" s="1">
        <v>1</v>
      </c>
      <c r="CL337" s="1">
        <v>1</v>
      </c>
      <c r="CM337" s="1">
        <v>1</v>
      </c>
      <c r="CN337" s="1">
        <v>1</v>
      </c>
      <c r="CO337" s="1">
        <v>1</v>
      </c>
      <c r="CP337" s="1">
        <v>2</v>
      </c>
      <c r="CQ337" s="1">
        <v>2</v>
      </c>
      <c r="CR337" s="1">
        <v>2</v>
      </c>
      <c r="CS337" s="1">
        <v>2</v>
      </c>
      <c r="CT337" s="1">
        <v>2</v>
      </c>
      <c r="CU337" s="1">
        <v>2</v>
      </c>
      <c r="CV337" s="1">
        <f t="shared" ref="CV337:CV342" si="321">IF(HRXPH,1,0)</f>
        <v>0</v>
      </c>
      <c r="CW337" s="1">
        <v>2</v>
      </c>
      <c r="CX337" s="1">
        <v>1</v>
      </c>
      <c r="CY337" s="1">
        <v>1</v>
      </c>
      <c r="CZ337" s="1">
        <f t="shared" ref="CZ337:CZ342" si="322">IF(HRCS,1,0)</f>
        <v>0</v>
      </c>
      <c r="DA337" s="1">
        <v>1</v>
      </c>
      <c r="DB337" s="1">
        <v>1</v>
      </c>
      <c r="DC337" s="1">
        <v>1</v>
      </c>
      <c r="DD337" s="1">
        <v>2</v>
      </c>
      <c r="DE337" s="1">
        <v>1</v>
      </c>
      <c r="DF337" s="1">
        <v>1</v>
      </c>
      <c r="DG337" s="1">
        <v>1</v>
      </c>
      <c r="DH337" s="1">
        <v>1</v>
      </c>
      <c r="DI337" s="1">
        <f t="shared" ref="DI337:DI342" si="323">IF(HRXPH,1,0)</f>
        <v>0</v>
      </c>
      <c r="DJ337" s="1">
        <v>1</v>
      </c>
      <c r="DK337" s="1" t="s">
        <v>914</v>
      </c>
      <c r="DL337" s="1" t="str">
        <f>IF(Region="Bright Lands","Open","Limited")</f>
        <v>Limited</v>
      </c>
      <c r="DR337" s="1" t="b">
        <f>BaseAtk&gt;=5</f>
        <v>0</v>
      </c>
      <c r="DS337" s="1" t="b">
        <f>SkHandleAnimalRanks&gt;=10</f>
        <v>0</v>
      </c>
      <c r="DT337" s="1" t="b">
        <f>SkRideRanks&gt;=8</f>
        <v>0</v>
      </c>
      <c r="DU337" s="1" t="b">
        <f>FtMountedCombat</f>
        <v>0</v>
      </c>
      <c r="DV337" s="1" t="b">
        <f>FtRideByAttack</f>
        <v>0</v>
      </c>
      <c r="EA337" s="1" t="b">
        <f t="shared" ref="EA337:EA342" si="324">AND(DM337:DZ337)</f>
        <v>0</v>
      </c>
      <c r="EB337" s="11" t="s">
        <v>338</v>
      </c>
      <c r="EC337" s="1" t="str">
        <f>IF(DR337,"","• Base Attack Bonus of +5 or greater.
")&amp;IF(DS337,"","• 4 ranks in Handle Animal.
")&amp;IF(DT337,"","• 8 ranks in Ride.
")&amp;IF(DU337,"","• Mounted Combat Feat.
")&amp;IF(DV337,"","• Ride-By Attack Feat.
")&amp;"• You must have ridden an ashworm (not verified)."</f>
        <v>• Base Attack Bonus of +5 or greater.
• 4 ranks in Handle Animal.
• 8 ranks in Ride.
• Mounted Combat Feat.
• Ride-By Attack Feat.
• You must have ridden an ashworm (not verified).</v>
      </c>
      <c r="ED337" s="11" t="s">
        <v>335</v>
      </c>
      <c r="EE337" s="8" t="s">
        <v>915</v>
      </c>
      <c r="EF337" s="9">
        <v>8</v>
      </c>
      <c r="EG337" s="9" t="s">
        <v>916</v>
      </c>
      <c r="EH337" s="9">
        <v>2</v>
      </c>
      <c r="EI337" s="9" t="b">
        <f t="shared" si="276"/>
        <v>0</v>
      </c>
      <c r="EJ337" s="9" t="str">
        <f t="shared" si="277"/>
        <v/>
      </c>
      <c r="EK337" s="9">
        <f t="shared" si="278"/>
        <v>99</v>
      </c>
      <c r="EL337" s="9">
        <f t="shared" si="279"/>
        <v>99</v>
      </c>
      <c r="EM337" s="9">
        <f t="shared" si="280"/>
        <v>99</v>
      </c>
      <c r="EN337" s="9">
        <f t="shared" si="281"/>
        <v>99</v>
      </c>
      <c r="EO337" s="10" t="str">
        <f t="shared" si="282"/>
        <v/>
      </c>
    </row>
    <row r="338" spans="1:145" ht="11.25" customHeight="1" x14ac:dyDescent="0.2">
      <c r="A338" s="1">
        <f t="shared" si="304"/>
        <v>335</v>
      </c>
      <c r="B338" s="1" t="s">
        <v>917</v>
      </c>
      <c r="C338" s="1" t="s">
        <v>918</v>
      </c>
      <c r="D338" s="1" t="s">
        <v>918</v>
      </c>
      <c r="E338" s="1">
        <f t="shared" si="256"/>
        <v>0</v>
      </c>
      <c r="G338" s="1">
        <f>(LTiLvl&gt;=2)*(LTiLvl-1)</f>
        <v>0</v>
      </c>
      <c r="K338" s="1">
        <v>4</v>
      </c>
      <c r="L338" s="1">
        <v>8</v>
      </c>
      <c r="V338" s="1">
        <v>0.75</v>
      </c>
      <c r="W338" s="1">
        <v>0.5</v>
      </c>
      <c r="X338" s="1">
        <v>0.34</v>
      </c>
      <c r="Y338" s="1">
        <v>0.5</v>
      </c>
      <c r="Z338" s="1" t="b">
        <f>FALSE</f>
        <v>0</v>
      </c>
      <c r="AA338" s="1" t="str">
        <f t="shared" si="259"/>
        <v/>
      </c>
      <c r="AB338" s="1" t="str">
        <f t="shared" si="260"/>
        <v/>
      </c>
      <c r="AC338" s="1">
        <f t="shared" si="257"/>
        <v>0</v>
      </c>
      <c r="AD338" s="1" t="str">
        <f t="shared" si="261"/>
        <v/>
      </c>
      <c r="AE338" s="1" t="str">
        <f t="shared" si="262"/>
        <v/>
      </c>
      <c r="AF338" s="1">
        <f t="shared" si="258"/>
        <v>0</v>
      </c>
      <c r="AG338" s="1">
        <f t="shared" si="263"/>
        <v>5</v>
      </c>
      <c r="AH338" s="1" t="str">
        <f t="shared" si="250"/>
        <v/>
      </c>
      <c r="AI338" s="1">
        <v>1</v>
      </c>
      <c r="AJ338" s="1">
        <f t="shared" si="315"/>
        <v>0</v>
      </c>
      <c r="AK338" s="1">
        <v>1</v>
      </c>
      <c r="AL338" s="1">
        <v>1</v>
      </c>
      <c r="AM338" s="1">
        <v>1</v>
      </c>
      <c r="AN338" s="1">
        <f t="shared" si="316"/>
        <v>0</v>
      </c>
      <c r="AO338" s="1">
        <v>2</v>
      </c>
      <c r="AP338" s="1">
        <v>2</v>
      </c>
      <c r="AQ338" s="1">
        <v>2</v>
      </c>
      <c r="AR338" s="1">
        <v>2</v>
      </c>
      <c r="AS338" s="1">
        <v>2</v>
      </c>
      <c r="AT338" s="1">
        <v>2</v>
      </c>
      <c r="AU338" s="1">
        <v>2</v>
      </c>
      <c r="AV338" s="1">
        <v>2</v>
      </c>
      <c r="AW338" s="1">
        <v>1</v>
      </c>
      <c r="AX338" s="1">
        <v>1</v>
      </c>
      <c r="AY338" s="1">
        <v>1</v>
      </c>
      <c r="AZ338" s="1">
        <v>1</v>
      </c>
      <c r="BA338" s="1">
        <v>1</v>
      </c>
      <c r="BB338" s="1">
        <v>1</v>
      </c>
      <c r="BC338" s="1">
        <v>1</v>
      </c>
      <c r="BD338" s="1">
        <v>1</v>
      </c>
      <c r="BE338" s="1">
        <v>1</v>
      </c>
      <c r="BF338" s="1">
        <v>1</v>
      </c>
      <c r="BG338" s="1">
        <f t="shared" si="317"/>
        <v>0</v>
      </c>
      <c r="BH338" s="1">
        <f t="shared" si="318"/>
        <v>0</v>
      </c>
      <c r="BI338" s="1">
        <v>1</v>
      </c>
      <c r="BJ338" s="1">
        <v>1</v>
      </c>
      <c r="BK338" s="1">
        <v>1</v>
      </c>
      <c r="BL338" s="1">
        <v>1</v>
      </c>
      <c r="BM338" s="1">
        <v>1</v>
      </c>
      <c r="BN338" s="1">
        <v>2</v>
      </c>
      <c r="BO338" s="1">
        <v>1</v>
      </c>
      <c r="BP338" s="1">
        <v>1</v>
      </c>
      <c r="BQ338" s="1">
        <f>IF(HRRVL,2,0)</f>
        <v>0</v>
      </c>
      <c r="BR338" s="1">
        <v>2</v>
      </c>
      <c r="BS338" s="1">
        <v>1</v>
      </c>
      <c r="BT338" s="1">
        <f t="shared" si="319"/>
        <v>0</v>
      </c>
      <c r="BU338" s="1">
        <f>IF(HRRVL,1,0)</f>
        <v>0</v>
      </c>
      <c r="BV338" s="1">
        <v>1</v>
      </c>
      <c r="BW338" s="1">
        <v>2</v>
      </c>
      <c r="BX338" s="1">
        <v>1</v>
      </c>
      <c r="BY338" s="1">
        <v>1</v>
      </c>
      <c r="BZ338" s="1">
        <v>1</v>
      </c>
      <c r="CA338" s="1">
        <v>1</v>
      </c>
      <c r="CB338" s="1">
        <v>1</v>
      </c>
      <c r="CC338" s="1">
        <v>1</v>
      </c>
      <c r="CD338" s="1">
        <v>1</v>
      </c>
      <c r="CE338" s="1">
        <v>1</v>
      </c>
      <c r="CF338" s="1">
        <v>2</v>
      </c>
      <c r="CG338" s="1">
        <f t="shared" si="320"/>
        <v>0</v>
      </c>
      <c r="CH338" s="1">
        <v>1</v>
      </c>
      <c r="CI338" s="1">
        <v>1</v>
      </c>
      <c r="CJ338" s="1">
        <v>1</v>
      </c>
      <c r="CK338" s="1">
        <v>1</v>
      </c>
      <c r="CL338" s="1">
        <v>1</v>
      </c>
      <c r="CM338" s="1">
        <v>1</v>
      </c>
      <c r="CN338" s="1">
        <v>1</v>
      </c>
      <c r="CO338" s="1">
        <v>1</v>
      </c>
      <c r="CP338" s="1">
        <v>2</v>
      </c>
      <c r="CQ338" s="1">
        <v>2</v>
      </c>
      <c r="CR338" s="1">
        <v>2</v>
      </c>
      <c r="CS338" s="1">
        <v>2</v>
      </c>
      <c r="CT338" s="1">
        <v>2</v>
      </c>
      <c r="CU338" s="1">
        <v>2</v>
      </c>
      <c r="CV338" s="1">
        <f t="shared" si="321"/>
        <v>0</v>
      </c>
      <c r="CW338" s="1">
        <v>1</v>
      </c>
      <c r="CX338" s="1">
        <v>2</v>
      </c>
      <c r="CY338" s="1">
        <v>1</v>
      </c>
      <c r="CZ338" s="1">
        <f t="shared" si="322"/>
        <v>0</v>
      </c>
      <c r="DA338" s="1">
        <v>1</v>
      </c>
      <c r="DB338" s="1">
        <v>1</v>
      </c>
      <c r="DC338" s="1">
        <v>1</v>
      </c>
      <c r="DD338" s="1">
        <v>1</v>
      </c>
      <c r="DE338" s="1">
        <v>2</v>
      </c>
      <c r="DF338" s="1">
        <v>1</v>
      </c>
      <c r="DG338" s="1">
        <v>1</v>
      </c>
      <c r="DH338" s="1">
        <v>1</v>
      </c>
      <c r="DI338" s="1">
        <f t="shared" si="323"/>
        <v>0</v>
      </c>
      <c r="DJ338" s="1">
        <v>1</v>
      </c>
      <c r="DK338" s="1" t="s">
        <v>914</v>
      </c>
      <c r="DL338" s="1" t="str">
        <f>IF(Region="Bright Lands","Open","Limited")</f>
        <v>Limited</v>
      </c>
      <c r="DR338" s="1" t="b">
        <f>SkSurvivalRanks&gt;=8</f>
        <v>0</v>
      </c>
      <c r="DS338" s="1" t="b">
        <f>FtScorpionsResolve</f>
        <v>0</v>
      </c>
      <c r="DT338" s="1" t="b">
        <f ca="1">MaxDivineSpellLevel&gt;=2</f>
        <v>0</v>
      </c>
      <c r="EA338" s="1" t="b">
        <f ca="1">AND(DM338:DZ338)</f>
        <v>0</v>
      </c>
      <c r="EB338" s="11" t="s">
        <v>338</v>
      </c>
      <c r="EC338" s="1" t="str">
        <f ca="1">IF(DR338,"","• 8 ranks in Survival.
")&amp;IF(DS338,"","• Scorpion's Resolve Feat.
")&amp;IF(DT338,"","• Able to cast 2nd-level divine spells.
")&amp;"• You must undergo an initiation and return with a relic (not verified)."</f>
        <v>• 8 ranks in Survival.
• Scorpion's Resolve Feat.
• Able to cast 2nd-level divine spells.
• You must undergo an initiation and return with a relic (not verified).</v>
      </c>
      <c r="ED338" s="11" t="s">
        <v>335</v>
      </c>
      <c r="EE338" s="8" t="s">
        <v>919</v>
      </c>
      <c r="EF338" s="9">
        <v>9</v>
      </c>
      <c r="EG338" s="9" t="s">
        <v>920</v>
      </c>
      <c r="EH338" s="9">
        <v>10</v>
      </c>
      <c r="EI338" s="9" t="b">
        <f t="shared" si="276"/>
        <v>0</v>
      </c>
      <c r="EJ338" s="9" t="str">
        <f t="shared" si="277"/>
        <v/>
      </c>
      <c r="EK338" s="9">
        <f t="shared" si="278"/>
        <v>99</v>
      </c>
      <c r="EL338" s="9">
        <f t="shared" si="279"/>
        <v>99</v>
      </c>
      <c r="EM338" s="9">
        <f t="shared" si="280"/>
        <v>99</v>
      </c>
      <c r="EN338" s="9">
        <f t="shared" si="281"/>
        <v>99</v>
      </c>
      <c r="EO338" s="10" t="str">
        <f t="shared" si="282"/>
        <v/>
      </c>
    </row>
    <row r="339" spans="1:145" ht="11.25" customHeight="1" x14ac:dyDescent="0.2">
      <c r="A339" s="1">
        <f t="shared" si="304"/>
        <v>336</v>
      </c>
      <c r="B339" s="1" t="s">
        <v>921</v>
      </c>
      <c r="C339" s="1" t="s">
        <v>922</v>
      </c>
      <c r="D339" s="1" t="s">
        <v>922</v>
      </c>
      <c r="E339" s="1">
        <f t="shared" si="256"/>
        <v>0</v>
      </c>
      <c r="G339" s="1">
        <f>IF(SShLvl&gt;=1,IF(SShLvl&gt;=9,SShLvl-2,SShLvl-1),0)</f>
        <v>0</v>
      </c>
      <c r="K339" s="1">
        <v>4</v>
      </c>
      <c r="L339" s="1">
        <v>6</v>
      </c>
      <c r="V339" s="1">
        <v>0.5</v>
      </c>
      <c r="W339" s="1">
        <v>0.34</v>
      </c>
      <c r="X339" s="1">
        <v>0.34</v>
      </c>
      <c r="Y339" s="1">
        <v>0.5</v>
      </c>
      <c r="Z339" s="1" t="b">
        <f>FALSE</f>
        <v>0</v>
      </c>
      <c r="AA339" s="1" t="str">
        <f t="shared" si="259"/>
        <v/>
      </c>
      <c r="AB339" s="1" t="str">
        <f t="shared" si="260"/>
        <v/>
      </c>
      <c r="AC339" s="1">
        <f t="shared" si="257"/>
        <v>0</v>
      </c>
      <c r="AD339" s="1" t="str">
        <f t="shared" si="261"/>
        <v/>
      </c>
      <c r="AE339" s="1" t="str">
        <f t="shared" si="262"/>
        <v/>
      </c>
      <c r="AF339" s="1">
        <f t="shared" si="258"/>
        <v>0</v>
      </c>
      <c r="AG339" s="1">
        <f t="shared" si="263"/>
        <v>5</v>
      </c>
      <c r="AH339" s="1" t="str">
        <f t="shared" ref="AH339:AH402" si="325">IF(ROW()&gt;$AG$2,"",INDEX($B$5:$B$794,MATCH(ROW(),$AG$5:$AG$794,0)))</f>
        <v/>
      </c>
      <c r="AI339" s="1">
        <v>1</v>
      </c>
      <c r="AJ339" s="1">
        <f t="shared" si="315"/>
        <v>0</v>
      </c>
      <c r="AK339" s="1">
        <v>1</v>
      </c>
      <c r="AL339" s="1">
        <v>1</v>
      </c>
      <c r="AM339" s="1">
        <v>2</v>
      </c>
      <c r="AN339" s="1">
        <f t="shared" si="316"/>
        <v>0</v>
      </c>
      <c r="AO339" s="1">
        <v>2</v>
      </c>
      <c r="AP339" s="1">
        <v>2</v>
      </c>
      <c r="AQ339" s="1">
        <v>2</v>
      </c>
      <c r="AR339" s="1">
        <v>2</v>
      </c>
      <c r="AS339" s="1">
        <v>2</v>
      </c>
      <c r="AT339" s="1">
        <v>2</v>
      </c>
      <c r="AU339" s="1">
        <v>2</v>
      </c>
      <c r="AV339" s="1">
        <v>2</v>
      </c>
      <c r="AW339" s="1">
        <v>1</v>
      </c>
      <c r="AX339" s="1">
        <v>2</v>
      </c>
      <c r="AY339" s="1">
        <v>1</v>
      </c>
      <c r="AZ339" s="1">
        <v>1</v>
      </c>
      <c r="BA339" s="1">
        <v>1</v>
      </c>
      <c r="BB339" s="1">
        <v>1</v>
      </c>
      <c r="BC339" s="1">
        <v>1</v>
      </c>
      <c r="BD339" s="1">
        <v>2</v>
      </c>
      <c r="BE339" s="1">
        <v>2</v>
      </c>
      <c r="BF339" s="1">
        <v>1</v>
      </c>
      <c r="BG339" s="1">
        <f t="shared" si="317"/>
        <v>0</v>
      </c>
      <c r="BH339" s="1">
        <f t="shared" si="318"/>
        <v>0</v>
      </c>
      <c r="BI339" s="1">
        <v>2</v>
      </c>
      <c r="BJ339" s="1">
        <v>2</v>
      </c>
      <c r="BK339" s="1">
        <v>1</v>
      </c>
      <c r="BL339" s="1">
        <v>1</v>
      </c>
      <c r="BM339" s="1">
        <v>1</v>
      </c>
      <c r="BN339" s="1">
        <v>1</v>
      </c>
      <c r="BO339" s="1">
        <v>1</v>
      </c>
      <c r="BP339" s="1">
        <v>1</v>
      </c>
      <c r="BQ339" s="1">
        <f>IF(HRRVL,2,0)</f>
        <v>0</v>
      </c>
      <c r="BR339" s="1">
        <v>2</v>
      </c>
      <c r="BS339" s="1">
        <v>1</v>
      </c>
      <c r="BT339" s="1">
        <f t="shared" si="319"/>
        <v>0</v>
      </c>
      <c r="BU339" s="1">
        <f>IF(HRRVL,1,0)</f>
        <v>0</v>
      </c>
      <c r="BV339" s="1">
        <v>1</v>
      </c>
      <c r="BW339" s="1">
        <v>1</v>
      </c>
      <c r="BX339" s="1">
        <v>1</v>
      </c>
      <c r="BY339" s="1">
        <v>1</v>
      </c>
      <c r="BZ339" s="1">
        <v>1</v>
      </c>
      <c r="CA339" s="1">
        <v>1</v>
      </c>
      <c r="CB339" s="1">
        <v>1</v>
      </c>
      <c r="CC339" s="1">
        <v>1</v>
      </c>
      <c r="CD339" s="1">
        <v>1</v>
      </c>
      <c r="CE339" s="1">
        <v>1</v>
      </c>
      <c r="CF339" s="1">
        <v>2</v>
      </c>
      <c r="CG339" s="1">
        <f t="shared" si="320"/>
        <v>0</v>
      </c>
      <c r="CH339" s="1">
        <v>1</v>
      </c>
      <c r="CI339" s="1">
        <v>1</v>
      </c>
      <c r="CJ339" s="1">
        <v>1</v>
      </c>
      <c r="CK339" s="1">
        <v>1</v>
      </c>
      <c r="CL339" s="1">
        <v>1</v>
      </c>
      <c r="CM339" s="1">
        <v>1</v>
      </c>
      <c r="CN339" s="1">
        <v>1</v>
      </c>
      <c r="CO339" s="1">
        <v>1</v>
      </c>
      <c r="CP339" s="1">
        <v>2</v>
      </c>
      <c r="CQ339" s="1">
        <v>2</v>
      </c>
      <c r="CR339" s="1">
        <v>2</v>
      </c>
      <c r="CS339" s="1">
        <v>2</v>
      </c>
      <c r="CT339" s="1">
        <v>2</v>
      </c>
      <c r="CU339" s="1">
        <v>2</v>
      </c>
      <c r="CV339" s="1">
        <f t="shared" si="321"/>
        <v>0</v>
      </c>
      <c r="CW339" s="1">
        <v>2</v>
      </c>
      <c r="CX339" s="1">
        <v>2</v>
      </c>
      <c r="CY339" s="1">
        <v>2</v>
      </c>
      <c r="CZ339" s="1">
        <f t="shared" si="322"/>
        <v>0</v>
      </c>
      <c r="DA339" s="1">
        <v>1</v>
      </c>
      <c r="DB339" s="1">
        <v>1</v>
      </c>
      <c r="DC339" s="1">
        <v>2</v>
      </c>
      <c r="DD339" s="1">
        <v>2</v>
      </c>
      <c r="DE339" s="1">
        <v>2</v>
      </c>
      <c r="DF339" s="1">
        <v>1</v>
      </c>
      <c r="DG339" s="1">
        <v>1</v>
      </c>
      <c r="DH339" s="1">
        <v>1</v>
      </c>
      <c r="DI339" s="1">
        <f t="shared" si="323"/>
        <v>0</v>
      </c>
      <c r="DJ339" s="1">
        <v>1</v>
      </c>
      <c r="DK339" s="1" t="s">
        <v>914</v>
      </c>
      <c r="DL339" s="1" t="s">
        <v>170</v>
      </c>
      <c r="DR339" s="1" t="b">
        <f>AlignmentNeutral</f>
        <v>0</v>
      </c>
      <c r="DS339" s="1" t="b">
        <f>SkKnowledgeNatureRanks&gt;=4</f>
        <v>0</v>
      </c>
      <c r="DT339" s="1" t="b">
        <f>SkSurvivalRanks&gt;=4</f>
        <v>0</v>
      </c>
      <c r="DU339" s="1" t="b">
        <f>FtTouchstone1</f>
        <v>0</v>
      </c>
      <c r="DV339" s="1" t="b">
        <f>MaxArcaneLevel&gt;=5</f>
        <v>0</v>
      </c>
      <c r="EA339" s="1" t="b">
        <f>AND(DM339:DZ339)</f>
        <v>0</v>
      </c>
      <c r="EB339" s="11" t="s">
        <v>334</v>
      </c>
      <c r="EC339" s="1" t="str">
        <f>IF(DR339,"","• Must be of Any Neutral Alignment.
")&amp;IF(DS339,"","• 4 ranks in Knowledge (nature).
")&amp;IF(DT339,"","• 4 ranks in Survival.
")&amp;IF(DU339,"","• Touchstone Feat.
")&amp;IF(DV339,"","• Arcane Caster Level 5th.")</f>
        <v>• Must be of Any Neutral Alignment.
• 4 ranks in Knowledge (nature).
• 4 ranks in Survival.
• Touchstone Feat.
• Arcane Caster Level 5th.</v>
      </c>
      <c r="ED339" s="11" t="s">
        <v>335</v>
      </c>
      <c r="EE339" s="8" t="s">
        <v>620</v>
      </c>
      <c r="EF339" s="9">
        <v>10</v>
      </c>
      <c r="EG339" s="9" t="s">
        <v>920</v>
      </c>
      <c r="EH339" s="9">
        <v>10</v>
      </c>
      <c r="EI339" s="9" t="b">
        <f t="shared" si="276"/>
        <v>0</v>
      </c>
      <c r="EJ339" s="9" t="str">
        <f t="shared" si="277"/>
        <v/>
      </c>
      <c r="EK339" s="9">
        <f t="shared" si="278"/>
        <v>99</v>
      </c>
      <c r="EL339" s="9">
        <f t="shared" si="279"/>
        <v>99</v>
      </c>
      <c r="EM339" s="9">
        <f t="shared" si="280"/>
        <v>99</v>
      </c>
      <c r="EN339" s="9">
        <f t="shared" si="281"/>
        <v>99</v>
      </c>
      <c r="EO339" s="10" t="str">
        <f t="shared" si="282"/>
        <v/>
      </c>
    </row>
    <row r="340" spans="1:145" ht="11.25" customHeight="1" x14ac:dyDescent="0.2">
      <c r="A340" s="1">
        <f t="shared" si="304"/>
        <v>337</v>
      </c>
      <c r="B340" s="1" t="s">
        <v>923</v>
      </c>
      <c r="C340" s="1" t="s">
        <v>924</v>
      </c>
      <c r="D340" s="1" t="s">
        <v>924</v>
      </c>
      <c r="E340" s="1">
        <f t="shared" ref="E340:E421" si="326">$AC340+$AF340+IF(HasVirtualClasses,COUNTIF(TblVClassesAtLvlCS,$A340),0)</f>
        <v>0</v>
      </c>
      <c r="G340" s="1">
        <f>INT(STNLvl/2)</f>
        <v>0</v>
      </c>
      <c r="K340" s="1">
        <v>2</v>
      </c>
      <c r="L340" s="1">
        <v>10</v>
      </c>
      <c r="V340" s="1">
        <v>1</v>
      </c>
      <c r="W340" s="1">
        <v>0.5</v>
      </c>
      <c r="X340" s="1">
        <v>0.34</v>
      </c>
      <c r="Y340" s="1">
        <v>0.5</v>
      </c>
      <c r="Z340" s="1" t="b">
        <f>FALSE</f>
        <v>0</v>
      </c>
      <c r="AA340" s="1" t="str">
        <f t="shared" si="259"/>
        <v/>
      </c>
      <c r="AB340" s="1" t="str">
        <f t="shared" si="260"/>
        <v/>
      </c>
      <c r="AC340" s="1">
        <f t="shared" ref="AC340:AC421" si="327">COUNTIF(TblClassesAtLvlCS,$A340)</f>
        <v>0</v>
      </c>
      <c r="AD340" s="1" t="str">
        <f t="shared" si="261"/>
        <v/>
      </c>
      <c r="AE340" s="1" t="str">
        <f t="shared" si="262"/>
        <v/>
      </c>
      <c r="AF340" s="1">
        <f t="shared" ref="AF340:AF421" si="328">IF(HRGestalt,COUNTIF(TblGClassesAtLvlCS,$A340),0)</f>
        <v>0</v>
      </c>
      <c r="AG340" s="1">
        <f t="shared" si="263"/>
        <v>5</v>
      </c>
      <c r="AH340" s="1" t="str">
        <f t="shared" si="325"/>
        <v/>
      </c>
      <c r="AI340" s="1">
        <v>1</v>
      </c>
      <c r="AJ340" s="1">
        <f t="shared" si="315"/>
        <v>0</v>
      </c>
      <c r="AK340" s="1">
        <v>1</v>
      </c>
      <c r="AL340" s="1">
        <v>1</v>
      </c>
      <c r="AM340" s="1">
        <v>1</v>
      </c>
      <c r="AN340" s="1">
        <f t="shared" si="316"/>
        <v>0</v>
      </c>
      <c r="AO340" s="1">
        <v>2</v>
      </c>
      <c r="AP340" s="1">
        <v>2</v>
      </c>
      <c r="AQ340" s="1">
        <v>2</v>
      </c>
      <c r="AR340" s="1">
        <v>2</v>
      </c>
      <c r="AS340" s="1">
        <v>2</v>
      </c>
      <c r="AT340" s="1">
        <v>2</v>
      </c>
      <c r="AU340" s="1">
        <v>2</v>
      </c>
      <c r="AV340" s="1">
        <v>2</v>
      </c>
      <c r="AW340" s="1">
        <v>1</v>
      </c>
      <c r="AX340" s="1">
        <v>2</v>
      </c>
      <c r="AY340" s="1">
        <v>1</v>
      </c>
      <c r="AZ340" s="1">
        <v>1</v>
      </c>
      <c r="BA340" s="1">
        <v>1</v>
      </c>
      <c r="BB340" s="1">
        <v>1</v>
      </c>
      <c r="BC340" s="1">
        <v>2</v>
      </c>
      <c r="BD340" s="1">
        <v>2</v>
      </c>
      <c r="BE340" s="1">
        <v>2</v>
      </c>
      <c r="BF340" s="1">
        <v>1</v>
      </c>
      <c r="BG340" s="1">
        <f t="shared" si="317"/>
        <v>0</v>
      </c>
      <c r="BH340" s="1">
        <f t="shared" si="318"/>
        <v>0</v>
      </c>
      <c r="BI340" s="1">
        <v>1</v>
      </c>
      <c r="BJ340" s="1">
        <v>1</v>
      </c>
      <c r="BK340" s="1">
        <v>1</v>
      </c>
      <c r="BL340" s="1">
        <v>1</v>
      </c>
      <c r="BM340" s="1">
        <v>1</v>
      </c>
      <c r="BN340" s="1">
        <v>1</v>
      </c>
      <c r="BO340" s="1">
        <v>1</v>
      </c>
      <c r="BP340" s="1">
        <v>1</v>
      </c>
      <c r="BQ340" s="1">
        <f>IF(HRRVL,2,0)</f>
        <v>0</v>
      </c>
      <c r="BR340" s="1">
        <v>2</v>
      </c>
      <c r="BS340" s="1">
        <v>1</v>
      </c>
      <c r="BT340" s="1">
        <f t="shared" si="319"/>
        <v>0</v>
      </c>
      <c r="BU340" s="1">
        <f>IF(HRRVL,2,0)</f>
        <v>0</v>
      </c>
      <c r="BV340" s="1">
        <v>2</v>
      </c>
      <c r="BW340" s="1">
        <v>1</v>
      </c>
      <c r="BX340" s="1">
        <v>1</v>
      </c>
      <c r="BY340" s="1">
        <v>1</v>
      </c>
      <c r="BZ340" s="1">
        <v>1</v>
      </c>
      <c r="CA340" s="1">
        <v>1</v>
      </c>
      <c r="CB340" s="1">
        <v>1</v>
      </c>
      <c r="CC340" s="1">
        <v>1</v>
      </c>
      <c r="CD340" s="1">
        <v>1</v>
      </c>
      <c r="CE340" s="1">
        <v>1</v>
      </c>
      <c r="CF340" s="1">
        <v>1</v>
      </c>
      <c r="CG340" s="1">
        <f t="shared" si="320"/>
        <v>0</v>
      </c>
      <c r="CH340" s="1">
        <v>1</v>
      </c>
      <c r="CI340" s="1">
        <v>1</v>
      </c>
      <c r="CJ340" s="1">
        <v>1</v>
      </c>
      <c r="CK340" s="1">
        <v>1</v>
      </c>
      <c r="CL340" s="1">
        <v>1</v>
      </c>
      <c r="CM340" s="1">
        <v>1</v>
      </c>
      <c r="CN340" s="1">
        <v>1</v>
      </c>
      <c r="CO340" s="1">
        <v>1</v>
      </c>
      <c r="CP340" s="1">
        <v>2</v>
      </c>
      <c r="CQ340" s="1">
        <v>2</v>
      </c>
      <c r="CR340" s="1">
        <v>2</v>
      </c>
      <c r="CS340" s="1">
        <v>2</v>
      </c>
      <c r="CT340" s="1">
        <v>2</v>
      </c>
      <c r="CU340" s="1">
        <v>2</v>
      </c>
      <c r="CV340" s="1">
        <f t="shared" si="321"/>
        <v>0</v>
      </c>
      <c r="CW340" s="1">
        <v>2</v>
      </c>
      <c r="CX340" s="1">
        <v>1</v>
      </c>
      <c r="CY340" s="1">
        <v>2</v>
      </c>
      <c r="CZ340" s="1">
        <f t="shared" si="322"/>
        <v>0</v>
      </c>
      <c r="DA340" s="1">
        <v>1</v>
      </c>
      <c r="DB340" s="1">
        <v>1</v>
      </c>
      <c r="DC340" s="1">
        <v>1</v>
      </c>
      <c r="DD340" s="1">
        <v>1</v>
      </c>
      <c r="DE340" s="1">
        <v>2</v>
      </c>
      <c r="DF340" s="1">
        <v>2</v>
      </c>
      <c r="DG340" s="1">
        <v>1</v>
      </c>
      <c r="DH340" s="1">
        <v>1</v>
      </c>
      <c r="DI340" s="1">
        <f t="shared" si="323"/>
        <v>0</v>
      </c>
      <c r="DJ340" s="1">
        <v>1</v>
      </c>
      <c r="DK340" s="1" t="s">
        <v>914</v>
      </c>
      <c r="DL340" s="1" t="s">
        <v>170</v>
      </c>
      <c r="DR340" s="1" t="b">
        <f>AND(AlignmentLawful,AlignmentNonEvil)</f>
        <v>1</v>
      </c>
      <c r="DS340" s="1" t="b">
        <f>BaseAtk&gt;=5</f>
        <v>0</v>
      </c>
      <c r="DT340" s="1" t="b">
        <f>SkDiplomacyRanks&gt;=8</f>
        <v>0</v>
      </c>
      <c r="DU340" s="1" t="b">
        <f>SkSwimRanks&gt;=4</f>
        <v>0</v>
      </c>
      <c r="EA340" s="1" t="b">
        <f t="shared" si="324"/>
        <v>0</v>
      </c>
      <c r="EB340" s="11" t="s">
        <v>338</v>
      </c>
      <c r="EC340" s="1" t="str">
        <f>IF(DR340,"","• Must be of Lawful Good or Lawful Neutral Alignment.
")&amp;IF(DS340,"","• Base Attack Bonus of +5 or greater.
")&amp;IF(DT340,"","• 8 ranks in Diplomacy.
")&amp;IF(DU340,"","• 4 ranks in Swim.
")&amp;"• You must be blessed by Tem-Et-Nu in a ritual held in one of her
   temples (no checked)."</f>
        <v>• Base Attack Bonus of +5 or greater.
• 8 ranks in Diplomacy.
• 4 ranks in Swim.
• You must be blessed by Tem-Et-Nu in a ritual held in one of her
   temples (no checked).</v>
      </c>
      <c r="ED340" s="11" t="s">
        <v>335</v>
      </c>
      <c r="EE340" s="8" t="s">
        <v>925</v>
      </c>
      <c r="EF340" s="9">
        <v>10</v>
      </c>
      <c r="EG340" s="9" t="s">
        <v>920</v>
      </c>
      <c r="EH340" s="9">
        <v>10</v>
      </c>
      <c r="EI340" s="9" t="b">
        <f t="shared" si="276"/>
        <v>0</v>
      </c>
      <c r="EJ340" s="9" t="str">
        <f t="shared" si="277"/>
        <v/>
      </c>
      <c r="EK340" s="9">
        <f t="shared" si="278"/>
        <v>99</v>
      </c>
      <c r="EL340" s="9">
        <f t="shared" si="279"/>
        <v>99</v>
      </c>
      <c r="EM340" s="9">
        <f t="shared" si="280"/>
        <v>99</v>
      </c>
      <c r="EN340" s="9">
        <f t="shared" si="281"/>
        <v>99</v>
      </c>
      <c r="EO340" s="10" t="str">
        <f t="shared" si="282"/>
        <v/>
      </c>
    </row>
    <row r="341" spans="1:145" ht="11.25" customHeight="1" x14ac:dyDescent="0.2">
      <c r="A341" s="1">
        <f t="shared" si="304"/>
        <v>338</v>
      </c>
      <c r="B341" s="1" t="s">
        <v>926</v>
      </c>
      <c r="C341" s="1" t="s">
        <v>927</v>
      </c>
      <c r="D341" s="1" t="s">
        <v>927</v>
      </c>
      <c r="E341" s="1">
        <f t="shared" si="326"/>
        <v>0</v>
      </c>
      <c r="K341" s="1">
        <v>8</v>
      </c>
      <c r="L341" s="1">
        <v>6</v>
      </c>
      <c r="V341" s="1">
        <v>0.75</v>
      </c>
      <c r="W341" s="1">
        <v>0.5</v>
      </c>
      <c r="X341" s="1">
        <v>0.34</v>
      </c>
      <c r="Y341" s="1">
        <v>0.34</v>
      </c>
      <c r="Z341" s="1" t="b">
        <f>FALSE</f>
        <v>0</v>
      </c>
      <c r="AA341" s="1" t="str">
        <f t="shared" ref="AA341:AA422" si="329">IF($AC341=0,"",IF($Z341,"Ex-","")&amp;$B341)</f>
        <v/>
      </c>
      <c r="AB341" s="1" t="str">
        <f t="shared" ref="AB341:AB422" si="330">IF($AC341=0,"",IF($Z341,"Ex-","")&amp;$C341)</f>
        <v/>
      </c>
      <c r="AC341" s="1">
        <f t="shared" si="327"/>
        <v>0</v>
      </c>
      <c r="AD341" s="1" t="str">
        <f t="shared" ref="AD341:AD422" si="331">IF($AF341=0,"",IF($Z341,"Ex-","")&amp;$B341)</f>
        <v/>
      </c>
      <c r="AE341" s="1" t="str">
        <f t="shared" ref="AE341:AE422" si="332">IF($AF341=0,"",IF($Z341,"Ex-","")&amp;$C341)</f>
        <v/>
      </c>
      <c r="AF341" s="1">
        <f t="shared" si="328"/>
        <v>0</v>
      </c>
      <c r="AG341" s="1">
        <f t="shared" ref="AG341:AG404" si="333">IF($AC341&gt;0,$AG340+1,$AG340)</f>
        <v>5</v>
      </c>
      <c r="AH341" s="1" t="str">
        <f t="shared" si="325"/>
        <v/>
      </c>
      <c r="AI341" s="1">
        <v>2</v>
      </c>
      <c r="AJ341" s="1">
        <f t="shared" si="315"/>
        <v>0</v>
      </c>
      <c r="AK341" s="1">
        <v>2</v>
      </c>
      <c r="AL341" s="1">
        <v>2</v>
      </c>
      <c r="AM341" s="1">
        <v>2</v>
      </c>
      <c r="AN341" s="1">
        <f t="shared" si="316"/>
        <v>0</v>
      </c>
      <c r="AO341" s="1">
        <v>1</v>
      </c>
      <c r="AP341" s="1">
        <v>2</v>
      </c>
      <c r="AQ341" s="1">
        <v>2</v>
      </c>
      <c r="AR341" s="1">
        <v>2</v>
      </c>
      <c r="AS341" s="1">
        <v>2</v>
      </c>
      <c r="AT341" s="1">
        <v>2</v>
      </c>
      <c r="AU341" s="1">
        <v>2</v>
      </c>
      <c r="AV341" s="1">
        <v>2</v>
      </c>
      <c r="AW341" s="1">
        <v>2</v>
      </c>
      <c r="AX341" s="1">
        <v>2</v>
      </c>
      <c r="AY341" s="1">
        <v>2</v>
      </c>
      <c r="AZ341" s="1">
        <v>2</v>
      </c>
      <c r="BA341" s="1">
        <v>2</v>
      </c>
      <c r="BB341" s="1">
        <v>2</v>
      </c>
      <c r="BC341" s="1">
        <v>2</v>
      </c>
      <c r="BD341" s="1">
        <v>1</v>
      </c>
      <c r="BE341" s="1">
        <v>1</v>
      </c>
      <c r="BF341" s="1">
        <v>2</v>
      </c>
      <c r="BG341" s="1">
        <f t="shared" si="317"/>
        <v>0</v>
      </c>
      <c r="BH341" s="1">
        <f t="shared" si="318"/>
        <v>0</v>
      </c>
      <c r="BI341" s="1">
        <v>2</v>
      </c>
      <c r="BJ341" s="1">
        <v>2</v>
      </c>
      <c r="BK341" s="1">
        <v>1</v>
      </c>
      <c r="BL341" s="1">
        <v>1</v>
      </c>
      <c r="BM341" s="1">
        <v>1</v>
      </c>
      <c r="BN341" s="1">
        <v>1</v>
      </c>
      <c r="BO341" s="1">
        <v>1</v>
      </c>
      <c r="BP341" s="1">
        <f>1+NOT(HRLivingGreyhawk)</f>
        <v>2</v>
      </c>
      <c r="BQ341" s="1">
        <f>IF(HRRVL,2,0)</f>
        <v>0</v>
      </c>
      <c r="BR341" s="1">
        <v>2</v>
      </c>
      <c r="BS341" s="1">
        <v>1</v>
      </c>
      <c r="BT341" s="1">
        <f t="shared" si="319"/>
        <v>0</v>
      </c>
      <c r="BU341" s="1">
        <f>IF(HRRVL,1,0)</f>
        <v>0</v>
      </c>
      <c r="BV341" s="1">
        <v>1</v>
      </c>
      <c r="BW341" s="1">
        <v>1</v>
      </c>
      <c r="BX341" s="1">
        <v>1</v>
      </c>
      <c r="BY341" s="1">
        <v>1</v>
      </c>
      <c r="BZ341" s="1">
        <v>1</v>
      </c>
      <c r="CA341" s="1">
        <v>1</v>
      </c>
      <c r="CB341" s="1">
        <v>1</v>
      </c>
      <c r="CC341" s="1">
        <v>1</v>
      </c>
      <c r="CD341" s="1">
        <v>1</v>
      </c>
      <c r="CE341" s="1">
        <v>1</v>
      </c>
      <c r="CF341" s="1">
        <v>2</v>
      </c>
      <c r="CG341" s="1">
        <f t="shared" si="320"/>
        <v>0</v>
      </c>
      <c r="CH341" s="1">
        <v>2</v>
      </c>
      <c r="CI341" s="1">
        <v>2</v>
      </c>
      <c r="CJ341" s="1">
        <v>2</v>
      </c>
      <c r="CK341" s="1">
        <v>2</v>
      </c>
      <c r="CL341" s="1">
        <v>2</v>
      </c>
      <c r="CM341" s="1">
        <v>2</v>
      </c>
      <c r="CN341" s="1">
        <v>2</v>
      </c>
      <c r="CO341" s="1">
        <v>2</v>
      </c>
      <c r="CP341" s="1">
        <v>2</v>
      </c>
      <c r="CQ341" s="1">
        <v>2</v>
      </c>
      <c r="CR341" s="1">
        <v>2</v>
      </c>
      <c r="CS341" s="1">
        <v>2</v>
      </c>
      <c r="CT341" s="1">
        <v>2</v>
      </c>
      <c r="CU341" s="1">
        <v>2</v>
      </c>
      <c r="CV341" s="1">
        <f t="shared" si="321"/>
        <v>0</v>
      </c>
      <c r="CW341" s="1">
        <v>1</v>
      </c>
      <c r="CX341" s="1">
        <v>2</v>
      </c>
      <c r="CY341" s="1">
        <v>2</v>
      </c>
      <c r="CZ341" s="1">
        <f t="shared" si="322"/>
        <v>0</v>
      </c>
      <c r="DA341" s="1">
        <v>2</v>
      </c>
      <c r="DB341" s="1">
        <v>1</v>
      </c>
      <c r="DC341" s="1">
        <v>1</v>
      </c>
      <c r="DD341" s="1">
        <v>2</v>
      </c>
      <c r="DE341" s="1">
        <v>2</v>
      </c>
      <c r="DF341" s="1">
        <v>2</v>
      </c>
      <c r="DG341" s="1">
        <v>2</v>
      </c>
      <c r="DH341" s="1">
        <v>2</v>
      </c>
      <c r="DI341" s="1">
        <f t="shared" si="323"/>
        <v>0</v>
      </c>
      <c r="DJ341" s="1">
        <v>2</v>
      </c>
      <c r="DK341" s="1" t="s">
        <v>914</v>
      </c>
      <c r="DL341" s="1" t="str">
        <f>IF(Region="Bright Lands","Open","Limited")</f>
        <v>Limited</v>
      </c>
      <c r="DR341" s="1" t="b">
        <f>BaseAtk&gt;=3</f>
        <v>0</v>
      </c>
      <c r="DS341" s="1" t="b">
        <f>SkHideRanks&gt;=8</f>
        <v>0</v>
      </c>
      <c r="DT341" s="1" t="b">
        <f>SkKnowledgeNatureRanks&gt;=4</f>
        <v>0</v>
      </c>
      <c r="DU341" s="1" t="b">
        <f>SkSurvivalRanks&gt;=4</f>
        <v>0</v>
      </c>
      <c r="DV341" s="1" t="b">
        <f>FtScorpionsResolve</f>
        <v>0</v>
      </c>
      <c r="EA341" s="1" t="b">
        <f t="shared" si="324"/>
        <v>0</v>
      </c>
      <c r="EB341" s="11" t="s">
        <v>338</v>
      </c>
      <c r="EC341" s="1" t="str">
        <f>IF(DR341,"","• Base Attack Bonus of +3 or greater.
")&amp;IF(DS341,"","• 8 ranks in Hide.
")&amp;IF(DT341,"","• 4 ranks in Knowledge (nature).
")&amp;IF(DU341,"","• 4 ranks in Survival.
")&amp;IF(DV341,"","• Scorpion's Resolve feat.
")&amp;"• You must have survived the venomous sting of a monstrous
   scorpion (not verified)."</f>
        <v>• Base Attack Bonus of +3 or greater.
• 8 ranks in Hide.
• 4 ranks in Knowledge (nature).
• 4 ranks in Survival.
• Scorpion's Resolve feat.
• You must have survived the venomous sting of a monstrous
   scorpion (not verified).</v>
      </c>
      <c r="ED341" s="11" t="s">
        <v>335</v>
      </c>
      <c r="EE341" s="12" t="s">
        <v>190</v>
      </c>
      <c r="EF341" s="13">
        <v>2</v>
      </c>
      <c r="EG341" s="13" t="s">
        <v>928</v>
      </c>
      <c r="EH341" s="13">
        <f>IF($EI341,2+IF(DrNLvl&gt;=7,MIN(8,2*INT((DrNLvl-3)/4)),0),0)</f>
        <v>0</v>
      </c>
      <c r="EI341" s="9" t="b">
        <f t="shared" si="276"/>
        <v>0</v>
      </c>
      <c r="EJ341" s="9" t="str">
        <f t="shared" si="277"/>
        <v/>
      </c>
      <c r="EK341" s="9">
        <f t="shared" si="278"/>
        <v>99</v>
      </c>
      <c r="EL341" s="9">
        <f t="shared" si="279"/>
        <v>99</v>
      </c>
      <c r="EM341" s="9">
        <f t="shared" si="280"/>
        <v>99</v>
      </c>
      <c r="EN341" s="9">
        <f t="shared" si="281"/>
        <v>99</v>
      </c>
      <c r="EO341" s="10" t="str">
        <f t="shared" si="282"/>
        <v/>
      </c>
    </row>
    <row r="342" spans="1:145" ht="11.25" customHeight="1" x14ac:dyDescent="0.2">
      <c r="A342" s="1">
        <f t="shared" si="304"/>
        <v>339</v>
      </c>
      <c r="B342" s="1" t="s">
        <v>929</v>
      </c>
      <c r="C342" s="1" t="s">
        <v>930</v>
      </c>
      <c r="D342" s="1" t="s">
        <v>930</v>
      </c>
      <c r="E342" s="1">
        <f t="shared" si="326"/>
        <v>0</v>
      </c>
      <c r="G342" s="1">
        <f>IF(WiWLvl&gt;=1,IF(WiWLvl&gt;=10,WiWLvl-2,WiWLvl-1),0)</f>
        <v>0</v>
      </c>
      <c r="K342" s="1">
        <v>2</v>
      </c>
      <c r="L342" s="1">
        <v>6</v>
      </c>
      <c r="V342" s="1">
        <v>0.5</v>
      </c>
      <c r="W342" s="1">
        <v>0.34</v>
      </c>
      <c r="X342" s="1">
        <v>0.34</v>
      </c>
      <c r="Y342" s="1">
        <v>0.5</v>
      </c>
      <c r="Z342" s="1" t="b">
        <f>FALSE</f>
        <v>0</v>
      </c>
      <c r="AA342" s="1" t="str">
        <f t="shared" si="329"/>
        <v/>
      </c>
      <c r="AB342" s="1" t="str">
        <f t="shared" si="330"/>
        <v/>
      </c>
      <c r="AC342" s="1">
        <f t="shared" si="327"/>
        <v>0</v>
      </c>
      <c r="AD342" s="1" t="str">
        <f t="shared" si="331"/>
        <v/>
      </c>
      <c r="AE342" s="1" t="str">
        <f t="shared" si="332"/>
        <v/>
      </c>
      <c r="AF342" s="1">
        <f t="shared" si="328"/>
        <v>0</v>
      </c>
      <c r="AG342" s="1">
        <f t="shared" si="333"/>
        <v>5</v>
      </c>
      <c r="AH342" s="1" t="str">
        <f t="shared" si="325"/>
        <v/>
      </c>
      <c r="AI342" s="1">
        <v>1</v>
      </c>
      <c r="AJ342" s="1">
        <f t="shared" si="315"/>
        <v>0</v>
      </c>
      <c r="AK342" s="1">
        <v>1</v>
      </c>
      <c r="AL342" s="1">
        <v>1</v>
      </c>
      <c r="AM342" s="1">
        <v>1</v>
      </c>
      <c r="AN342" s="1">
        <f t="shared" si="316"/>
        <v>0</v>
      </c>
      <c r="AO342" s="1">
        <v>2</v>
      </c>
      <c r="AP342" s="1">
        <v>1</v>
      </c>
      <c r="AQ342" s="1">
        <f t="shared" ref="AQ342:AV342" si="334">1+(LOWER(AQ$2)="alchemy")</f>
        <v>1</v>
      </c>
      <c r="AR342" s="1">
        <f t="shared" si="334"/>
        <v>1</v>
      </c>
      <c r="AS342" s="1">
        <f t="shared" si="334"/>
        <v>1</v>
      </c>
      <c r="AT342" s="1">
        <f t="shared" si="334"/>
        <v>1</v>
      </c>
      <c r="AU342" s="1">
        <f t="shared" si="334"/>
        <v>1</v>
      </c>
      <c r="AV342" s="1">
        <f t="shared" si="334"/>
        <v>1</v>
      </c>
      <c r="AW342" s="1">
        <v>2</v>
      </c>
      <c r="AX342" s="1">
        <v>1</v>
      </c>
      <c r="AY342" s="1">
        <v>1</v>
      </c>
      <c r="AZ342" s="1">
        <v>1</v>
      </c>
      <c r="BA342" s="1">
        <v>1</v>
      </c>
      <c r="BB342" s="1">
        <v>1</v>
      </c>
      <c r="BC342" s="1">
        <v>1</v>
      </c>
      <c r="BD342" s="1">
        <v>1</v>
      </c>
      <c r="BE342" s="1">
        <v>2</v>
      </c>
      <c r="BF342" s="1">
        <v>1</v>
      </c>
      <c r="BG342" s="1">
        <f t="shared" si="317"/>
        <v>0</v>
      </c>
      <c r="BH342" s="1">
        <f t="shared" si="318"/>
        <v>0</v>
      </c>
      <c r="BI342" s="1">
        <v>2</v>
      </c>
      <c r="BJ342" s="1">
        <v>1</v>
      </c>
      <c r="BK342" s="1">
        <v>2</v>
      </c>
      <c r="BL342" s="1">
        <v>1</v>
      </c>
      <c r="BM342" s="1">
        <v>1</v>
      </c>
      <c r="BN342" s="1">
        <v>2</v>
      </c>
      <c r="BO342" s="1">
        <v>1</v>
      </c>
      <c r="BP342" s="1">
        <v>1</v>
      </c>
      <c r="BQ342" s="1">
        <f>IF(HRRVL,2,0)</f>
        <v>0</v>
      </c>
      <c r="BR342" s="1">
        <v>2</v>
      </c>
      <c r="BS342" s="1">
        <v>1</v>
      </c>
      <c r="BT342" s="1">
        <f t="shared" si="319"/>
        <v>0</v>
      </c>
      <c r="BU342" s="1">
        <f>IF(HRRVL,1,0)</f>
        <v>0</v>
      </c>
      <c r="BV342" s="1">
        <v>1</v>
      </c>
      <c r="BW342" s="1">
        <v>1</v>
      </c>
      <c r="BX342" s="1">
        <v>1</v>
      </c>
      <c r="BY342" s="1">
        <v>1</v>
      </c>
      <c r="BZ342" s="1">
        <v>1</v>
      </c>
      <c r="CA342" s="1">
        <v>1</v>
      </c>
      <c r="CB342" s="1">
        <v>1</v>
      </c>
      <c r="CC342" s="1">
        <v>1</v>
      </c>
      <c r="CD342" s="1">
        <v>1</v>
      </c>
      <c r="CE342" s="1">
        <v>1</v>
      </c>
      <c r="CF342" s="1">
        <v>1</v>
      </c>
      <c r="CG342" s="1">
        <f t="shared" si="320"/>
        <v>0</v>
      </c>
      <c r="CH342" s="1">
        <v>1</v>
      </c>
      <c r="CI342" s="1">
        <v>1</v>
      </c>
      <c r="CJ342" s="1">
        <v>1</v>
      </c>
      <c r="CK342" s="1">
        <v>1</v>
      </c>
      <c r="CL342" s="1">
        <v>1</v>
      </c>
      <c r="CM342" s="1">
        <v>1</v>
      </c>
      <c r="CN342" s="1">
        <v>1</v>
      </c>
      <c r="CO342" s="1">
        <v>1</v>
      </c>
      <c r="CP342" s="1">
        <v>2</v>
      </c>
      <c r="CQ342" s="1">
        <v>2</v>
      </c>
      <c r="CR342" s="1">
        <v>2</v>
      </c>
      <c r="CS342" s="1">
        <v>2</v>
      </c>
      <c r="CT342" s="1">
        <v>2</v>
      </c>
      <c r="CU342" s="1">
        <v>2</v>
      </c>
      <c r="CV342" s="1">
        <f t="shared" si="321"/>
        <v>0</v>
      </c>
      <c r="CW342" s="1">
        <v>1</v>
      </c>
      <c r="CX342" s="1">
        <v>1</v>
      </c>
      <c r="CY342" s="1">
        <v>1</v>
      </c>
      <c r="CZ342" s="1">
        <f t="shared" si="322"/>
        <v>0</v>
      </c>
      <c r="DA342" s="1">
        <v>1</v>
      </c>
      <c r="DB342" s="1">
        <v>1</v>
      </c>
      <c r="DC342" s="1">
        <v>2</v>
      </c>
      <c r="DD342" s="1">
        <v>1</v>
      </c>
      <c r="DE342" s="1">
        <v>2</v>
      </c>
      <c r="DF342" s="1">
        <v>1</v>
      </c>
      <c r="DG342" s="1">
        <v>1</v>
      </c>
      <c r="DH342" s="1">
        <v>1</v>
      </c>
      <c r="DI342" s="1">
        <f t="shared" si="323"/>
        <v>0</v>
      </c>
      <c r="DJ342" s="1">
        <v>1</v>
      </c>
      <c r="DK342" s="1" t="s">
        <v>914</v>
      </c>
      <c r="DL342" s="1" t="str">
        <f>IF(Region="Bright Lands","Open","Limited")</f>
        <v>Limited</v>
      </c>
      <c r="DR342" s="1" t="b">
        <f>AlignmentNonGood</f>
        <v>0</v>
      </c>
      <c r="DS342" s="1" t="b">
        <f>FtHeatEndurance</f>
        <v>0</v>
      </c>
      <c r="EA342" s="1" t="b">
        <f t="shared" si="324"/>
        <v>0</v>
      </c>
      <c r="EB342" s="11" t="s">
        <v>338</v>
      </c>
      <c r="EC342" s="1" t="str">
        <f>IF(DR342,"","• Must be of Any Non-Good Alignment.
")&amp;IF(DS342,"","• Heat Endurance feat.
")&amp;"• Ability to cast at least three spells of the Sand or Thirst domain as
   divine spells (not verified)."</f>
        <v>• Must be of Any Non-Good Alignment.
• Heat Endurance feat.
• Ability to cast at least three spells of the Sand or Thirst domain as
   divine spells (not verified).</v>
      </c>
      <c r="ED342" s="11" t="s">
        <v>335</v>
      </c>
      <c r="EE342" s="12" t="s">
        <v>931</v>
      </c>
      <c r="EF342" s="13">
        <v>1</v>
      </c>
      <c r="EG342" s="13" t="s">
        <v>932</v>
      </c>
      <c r="EH342" s="13">
        <f>IF(TSLAbilThicker,1,0)</f>
        <v>0</v>
      </c>
      <c r="EI342" s="9" t="b">
        <f t="shared" si="276"/>
        <v>0</v>
      </c>
      <c r="EJ342" s="9" t="str">
        <f t="shared" si="277"/>
        <v/>
      </c>
      <c r="EK342" s="9">
        <f t="shared" si="278"/>
        <v>99</v>
      </c>
      <c r="EL342" s="9">
        <f t="shared" si="279"/>
        <v>99</v>
      </c>
      <c r="EM342" s="9">
        <f t="shared" si="280"/>
        <v>99</v>
      </c>
      <c r="EN342" s="9">
        <f t="shared" si="281"/>
        <v>99</v>
      </c>
      <c r="EO342" s="10" t="str">
        <f t="shared" si="282"/>
        <v/>
      </c>
    </row>
    <row r="343" spans="1:145" ht="11.25" customHeight="1" x14ac:dyDescent="0.2">
      <c r="A343" s="1">
        <f t="shared" si="304"/>
        <v>340</v>
      </c>
      <c r="B343" s="1" t="s">
        <v>933</v>
      </c>
      <c r="E343" s="1">
        <f t="shared" si="326"/>
        <v>0</v>
      </c>
      <c r="F343" s="1">
        <v>1</v>
      </c>
      <c r="Z343" s="1" t="b">
        <f>FALSE</f>
        <v>0</v>
      </c>
      <c r="AA343" s="1" t="str">
        <f t="shared" si="329"/>
        <v/>
      </c>
      <c r="AB343" s="1" t="str">
        <f t="shared" si="330"/>
        <v/>
      </c>
      <c r="AC343" s="1">
        <f t="shared" si="327"/>
        <v>0</v>
      </c>
      <c r="AD343" s="1" t="str">
        <f t="shared" si="331"/>
        <v/>
      </c>
      <c r="AE343" s="1" t="str">
        <f t="shared" si="332"/>
        <v/>
      </c>
      <c r="AF343" s="1">
        <f t="shared" si="328"/>
        <v>0</v>
      </c>
      <c r="AG343" s="1">
        <f t="shared" si="333"/>
        <v>5</v>
      </c>
      <c r="AH343" s="1" t="str">
        <f t="shared" si="325"/>
        <v/>
      </c>
      <c r="EB343" s="11"/>
      <c r="ED343" s="11" t="s">
        <v>335</v>
      </c>
      <c r="EE343" s="12" t="s">
        <v>207</v>
      </c>
      <c r="EF343" s="13">
        <v>1</v>
      </c>
      <c r="EG343" s="13" t="s">
        <v>934</v>
      </c>
      <c r="EH343" s="13">
        <v>2</v>
      </c>
      <c r="EI343" s="9" t="b">
        <f>AND((INDEX(TblClasses,MATCH($EE343,TblTLAList,0),ClassInfoLevelColumn)&gt;=$EF343),AND(BinLvl&gt;=1,NOT(ISERROR(MATCH("Eurynome",VestigesSelected,0)))))</f>
        <v>0</v>
      </c>
      <c r="EJ343" s="9" t="str">
        <f t="shared" si="277"/>
        <v/>
      </c>
      <c r="EK343" s="9">
        <f t="shared" si="278"/>
        <v>99</v>
      </c>
      <c r="EL343" s="9">
        <f t="shared" si="279"/>
        <v>99</v>
      </c>
      <c r="EM343" s="9">
        <f t="shared" si="280"/>
        <v>99</v>
      </c>
      <c r="EN343" s="9">
        <f t="shared" si="281"/>
        <v>99</v>
      </c>
      <c r="EO343" s="10" t="str">
        <f t="shared" si="282"/>
        <v/>
      </c>
    </row>
    <row r="344" spans="1:145" ht="11.25" customHeight="1" x14ac:dyDescent="0.2">
      <c r="A344" s="1">
        <f t="shared" si="304"/>
        <v>341</v>
      </c>
      <c r="B344" s="1" t="s">
        <v>935</v>
      </c>
      <c r="C344" s="1" t="s">
        <v>936</v>
      </c>
      <c r="D344" s="1" t="s">
        <v>936</v>
      </c>
      <c r="E344" s="1">
        <f t="shared" si="326"/>
        <v>0</v>
      </c>
      <c r="K344" s="1">
        <v>2</v>
      </c>
      <c r="L344" s="1">
        <v>10</v>
      </c>
      <c r="M344" s="1">
        <f>KotPLvl</f>
        <v>0</v>
      </c>
      <c r="V344" s="1">
        <v>1</v>
      </c>
      <c r="W344" s="1">
        <v>0.5</v>
      </c>
      <c r="X344" s="1">
        <v>0.34</v>
      </c>
      <c r="Y344" s="1">
        <v>0.5</v>
      </c>
      <c r="Z344" s="1" t="b">
        <f>FALSE</f>
        <v>0</v>
      </c>
      <c r="AA344" s="1" t="str">
        <f t="shared" si="329"/>
        <v/>
      </c>
      <c r="AB344" s="1" t="str">
        <f t="shared" si="330"/>
        <v/>
      </c>
      <c r="AC344" s="1">
        <f t="shared" si="327"/>
        <v>0</v>
      </c>
      <c r="AD344" s="1" t="str">
        <f t="shared" si="331"/>
        <v/>
      </c>
      <c r="AE344" s="1" t="str">
        <f t="shared" si="332"/>
        <v/>
      </c>
      <c r="AF344" s="1">
        <f t="shared" si="328"/>
        <v>0</v>
      </c>
      <c r="AG344" s="1">
        <f t="shared" si="333"/>
        <v>5</v>
      </c>
      <c r="AH344" s="1" t="str">
        <f t="shared" si="325"/>
        <v/>
      </c>
      <c r="AI344" s="1">
        <v>1</v>
      </c>
      <c r="AJ344" s="1">
        <f t="shared" ref="AJ344:AJ350" si="335">IF(HRXPH,1,0)</f>
        <v>0</v>
      </c>
      <c r="AK344" s="1">
        <v>1</v>
      </c>
      <c r="AL344" s="1">
        <v>1</v>
      </c>
      <c r="AM344" s="1">
        <v>1</v>
      </c>
      <c r="AN344" s="1">
        <f t="shared" ref="AN344:AN350" si="336">IF(IsLycanthrope,2,0)</f>
        <v>0</v>
      </c>
      <c r="AO344" s="1">
        <v>2</v>
      </c>
      <c r="AP344" s="1">
        <v>1</v>
      </c>
      <c r="AQ344" s="1">
        <v>1</v>
      </c>
      <c r="AR344" s="1">
        <v>1</v>
      </c>
      <c r="AS344" s="1">
        <v>1</v>
      </c>
      <c r="AT344" s="1">
        <v>1</v>
      </c>
      <c r="AU344" s="1">
        <v>1</v>
      </c>
      <c r="AV344" s="1">
        <v>1</v>
      </c>
      <c r="AW344" s="1">
        <v>1</v>
      </c>
      <c r="AX344" s="1">
        <v>2</v>
      </c>
      <c r="AY344" s="1">
        <v>1</v>
      </c>
      <c r="AZ344" s="1">
        <v>1</v>
      </c>
      <c r="BA344" s="1">
        <v>1</v>
      </c>
      <c r="BB344" s="1">
        <v>1</v>
      </c>
      <c r="BC344" s="1">
        <v>1</v>
      </c>
      <c r="BD344" s="1">
        <v>2</v>
      </c>
      <c r="BE344" s="1">
        <v>2</v>
      </c>
      <c r="BF344" s="1">
        <v>1</v>
      </c>
      <c r="BG344" s="1">
        <f t="shared" ref="BG344:BG350" si="337">IF(HRRVL,1,0)</f>
        <v>0</v>
      </c>
      <c r="BH344" s="1">
        <f t="shared" ref="BH344:BH350" si="338">IF(HROA,1,0)</f>
        <v>0</v>
      </c>
      <c r="BI344" s="1">
        <v>1</v>
      </c>
      <c r="BJ344" s="1">
        <v>1</v>
      </c>
      <c r="BK344" s="1">
        <v>1</v>
      </c>
      <c r="BL344" s="1">
        <v>1</v>
      </c>
      <c r="BM344" s="1">
        <v>1</v>
      </c>
      <c r="BN344" s="1">
        <v>1</v>
      </c>
      <c r="BO344" s="1">
        <v>1</v>
      </c>
      <c r="BP344" s="1">
        <v>1</v>
      </c>
      <c r="BQ344" s="1">
        <f>IF(HRRVL,1,0)</f>
        <v>0</v>
      </c>
      <c r="BR344" s="1">
        <v>1</v>
      </c>
      <c r="BS344" s="1">
        <v>2</v>
      </c>
      <c r="BT344" s="1">
        <f t="shared" ref="BT344:BT350" si="339">IF(HRXPH,1,0)</f>
        <v>0</v>
      </c>
      <c r="BU344" s="1">
        <f>IF(HRRVL,2,0)</f>
        <v>0</v>
      </c>
      <c r="BV344" s="1">
        <v>2</v>
      </c>
      <c r="BW344" s="1">
        <v>1</v>
      </c>
      <c r="BX344" s="1">
        <v>1</v>
      </c>
      <c r="BY344" s="1">
        <v>1</v>
      </c>
      <c r="BZ344" s="1">
        <v>1</v>
      </c>
      <c r="CA344" s="1">
        <v>1</v>
      </c>
      <c r="CB344" s="1">
        <v>1</v>
      </c>
      <c r="CC344" s="1">
        <v>1</v>
      </c>
      <c r="CD344" s="1">
        <v>1</v>
      </c>
      <c r="CE344" s="1">
        <v>1</v>
      </c>
      <c r="CF344" s="1">
        <v>1</v>
      </c>
      <c r="CG344" s="1">
        <f t="shared" ref="CG344:CG350" si="340">IF(HRToB,1,0)</f>
        <v>0</v>
      </c>
      <c r="CH344" s="1">
        <v>1</v>
      </c>
      <c r="CI344" s="1">
        <v>1</v>
      </c>
      <c r="CJ344" s="1">
        <v>1</v>
      </c>
      <c r="CK344" s="1">
        <v>1</v>
      </c>
      <c r="CL344" s="1">
        <v>1</v>
      </c>
      <c r="CM344" s="1">
        <v>1</v>
      </c>
      <c r="CN344" s="1">
        <v>1</v>
      </c>
      <c r="CO344" s="1">
        <v>1</v>
      </c>
      <c r="CP344" s="1">
        <v>2</v>
      </c>
      <c r="CQ344" s="1">
        <v>2</v>
      </c>
      <c r="CR344" s="1">
        <v>2</v>
      </c>
      <c r="CS344" s="1">
        <v>2</v>
      </c>
      <c r="CT344" s="1">
        <v>2</v>
      </c>
      <c r="CU344" s="1">
        <v>2</v>
      </c>
      <c r="CV344" s="1">
        <f t="shared" ref="CV344:CV350" si="341">IF(HRXPH,1,0)</f>
        <v>0</v>
      </c>
      <c r="CW344" s="1">
        <v>2</v>
      </c>
      <c r="CX344" s="1">
        <v>1</v>
      </c>
      <c r="CY344" s="1">
        <v>1</v>
      </c>
      <c r="CZ344" s="1">
        <f t="shared" ref="CZ344:CZ350" si="342">IF(HRCS,1,0)</f>
        <v>0</v>
      </c>
      <c r="DA344" s="1">
        <v>1</v>
      </c>
      <c r="DB344" s="1">
        <v>1</v>
      </c>
      <c r="DC344" s="1">
        <v>1</v>
      </c>
      <c r="DD344" s="1">
        <v>1</v>
      </c>
      <c r="DE344" s="1">
        <v>1</v>
      </c>
      <c r="DF344" s="1">
        <v>2</v>
      </c>
      <c r="DG344" s="1">
        <v>1</v>
      </c>
      <c r="DH344" s="1">
        <v>1</v>
      </c>
      <c r="DI344" s="1">
        <f t="shared" ref="DI344:DI350" si="343">IF(HRXPH,1,0)</f>
        <v>0</v>
      </c>
      <c r="DJ344" s="1">
        <v>1</v>
      </c>
      <c r="DK344" s="1" t="s">
        <v>463</v>
      </c>
      <c r="DL344" s="1" t="s">
        <v>170</v>
      </c>
      <c r="DR344" s="1" t="b">
        <f>AND(AlignmentLawful,AlignmentGood)</f>
        <v>1</v>
      </c>
      <c r="DS344" s="1" t="b">
        <f>BaseAtk&gt;=5</f>
        <v>0</v>
      </c>
      <c r="DT344" s="1" t="b">
        <f>FtExtraTurning1</f>
        <v>0</v>
      </c>
      <c r="DU344" s="1" t="b">
        <f>SkKnowledgeReligionRanks&gt;=5</f>
        <v>0</v>
      </c>
      <c r="DV344" s="1" t="b">
        <f>AND(TurnLvl&gt;=1,TurnRebuke="Turn")</f>
        <v>0</v>
      </c>
      <c r="DW344" s="1" t="b">
        <f>OR(MartialProf,FtMartialWeapon1)</f>
        <v>1</v>
      </c>
      <c r="DX344" s="1" t="b">
        <f>FtArmorHeavy</f>
        <v>0</v>
      </c>
      <c r="EA344" s="1" t="b">
        <f t="shared" ref="EA344:EA349" si="344">AND(DM344:DZ344)</f>
        <v>0</v>
      </c>
      <c r="EB344" s="11" t="s">
        <v>338</v>
      </c>
      <c r="EC344" s="1" t="str">
        <f>IF(DR344,"","• Must be of Lawful Good alignment.
")&amp;IF(DS344,"","• Base Attack Bonus: +5.
")&amp;IF(DT344,"","• Extra Turning Feat.
")&amp;IF(DU344,"","• 5 ranks in Knowledge (religion).
")&amp;IF(DV344,"","• Turn undead as a class ability.
")&amp;IF(DW344,"","• Proficiency in at least one martial weapon.
")&amp;IF(DX344,"","• Proficiency with heavy armor.
")&amp;"• Must be accepted as a member of the Order of the Pearl (not verified)."</f>
        <v>• Base Attack Bonus: +5.
• Extra Turning Feat.
• 5 ranks in Knowledge (religion).
• Turn undead as a class ability.
• Proficiency with heavy armor.
• Must be accepted as a member of the Order of the Pearl (not verified).</v>
      </c>
      <c r="ED344" s="11" t="s">
        <v>335</v>
      </c>
      <c r="EE344" s="12" t="s">
        <v>207</v>
      </c>
      <c r="EF344" s="13">
        <v>1</v>
      </c>
      <c r="EG344" s="13" t="s">
        <v>840</v>
      </c>
      <c r="EH344" s="13">
        <v>10</v>
      </c>
      <c r="EI344" s="9" t="b">
        <f>AND((INDEX(TblClasses,MATCH($EE344,TblTLAList,0),ClassInfoLevelColumn)&gt;=$EF344),AND(BinLvl&gt;=1,NOT(ISERROR(MATCH("Halphax",VestigesSelected,0)))))</f>
        <v>0</v>
      </c>
      <c r="EJ344" s="9" t="str">
        <f t="shared" si="277"/>
        <v/>
      </c>
      <c r="EK344" s="9">
        <f t="shared" si="278"/>
        <v>99</v>
      </c>
      <c r="EL344" s="9">
        <f t="shared" si="279"/>
        <v>99</v>
      </c>
      <c r="EM344" s="9">
        <f t="shared" si="280"/>
        <v>99</v>
      </c>
      <c r="EN344" s="9">
        <f t="shared" si="281"/>
        <v>99</v>
      </c>
      <c r="EO344" s="10" t="str">
        <f t="shared" si="282"/>
        <v/>
      </c>
    </row>
    <row r="345" spans="1:145" ht="11.25" customHeight="1" x14ac:dyDescent="0.2">
      <c r="A345" s="1">
        <f t="shared" si="304"/>
        <v>342</v>
      </c>
      <c r="B345" s="1" t="s">
        <v>937</v>
      </c>
      <c r="C345" s="1" t="s">
        <v>938</v>
      </c>
      <c r="D345" s="1" t="s">
        <v>938</v>
      </c>
      <c r="E345" s="1">
        <f t="shared" si="326"/>
        <v>0</v>
      </c>
      <c r="K345" s="1">
        <v>4</v>
      </c>
      <c r="L345" s="1">
        <v>8</v>
      </c>
      <c r="V345" s="1">
        <v>0.75</v>
      </c>
      <c r="W345" s="1">
        <v>0.5</v>
      </c>
      <c r="X345" s="1">
        <v>0.34</v>
      </c>
      <c r="Y345" s="1">
        <v>0.5</v>
      </c>
      <c r="Z345" s="1" t="b">
        <f>FALSE</f>
        <v>0</v>
      </c>
      <c r="AA345" s="1" t="str">
        <f t="shared" si="329"/>
        <v/>
      </c>
      <c r="AB345" s="1" t="str">
        <f t="shared" si="330"/>
        <v/>
      </c>
      <c r="AC345" s="1">
        <f t="shared" si="327"/>
        <v>0</v>
      </c>
      <c r="AD345" s="1" t="str">
        <f t="shared" si="331"/>
        <v/>
      </c>
      <c r="AE345" s="1" t="str">
        <f t="shared" si="332"/>
        <v/>
      </c>
      <c r="AF345" s="1">
        <f t="shared" si="328"/>
        <v>0</v>
      </c>
      <c r="AG345" s="1">
        <f t="shared" si="333"/>
        <v>5</v>
      </c>
      <c r="AH345" s="1" t="str">
        <f t="shared" si="325"/>
        <v/>
      </c>
      <c r="AI345" s="1">
        <v>1</v>
      </c>
      <c r="AJ345" s="1">
        <f t="shared" si="335"/>
        <v>0</v>
      </c>
      <c r="AK345" s="1">
        <v>2</v>
      </c>
      <c r="AL345" s="1">
        <v>2</v>
      </c>
      <c r="AM345" s="1">
        <v>2</v>
      </c>
      <c r="AN345" s="1">
        <f t="shared" si="336"/>
        <v>0</v>
      </c>
      <c r="AO345" s="1">
        <v>1</v>
      </c>
      <c r="AP345" s="1">
        <v>2</v>
      </c>
      <c r="AQ345" s="1">
        <v>2</v>
      </c>
      <c r="AR345" s="1">
        <v>2</v>
      </c>
      <c r="AS345" s="1">
        <v>2</v>
      </c>
      <c r="AT345" s="1">
        <v>2</v>
      </c>
      <c r="AU345" s="1">
        <v>2</v>
      </c>
      <c r="AV345" s="1">
        <v>2</v>
      </c>
      <c r="AW345" s="1">
        <v>1</v>
      </c>
      <c r="AX345" s="1">
        <v>2</v>
      </c>
      <c r="AY345" s="1">
        <v>1</v>
      </c>
      <c r="AZ345" s="1">
        <v>1</v>
      </c>
      <c r="BA345" s="1">
        <v>1</v>
      </c>
      <c r="BB345" s="1">
        <v>1</v>
      </c>
      <c r="BC345" s="1">
        <v>1</v>
      </c>
      <c r="BD345" s="1">
        <v>1</v>
      </c>
      <c r="BE345" s="1">
        <v>1</v>
      </c>
      <c r="BF345" s="1">
        <v>1</v>
      </c>
      <c r="BG345" s="1">
        <f t="shared" si="337"/>
        <v>0</v>
      </c>
      <c r="BH345" s="1">
        <f t="shared" si="338"/>
        <v>0</v>
      </c>
      <c r="BI345" s="1">
        <v>2</v>
      </c>
      <c r="BJ345" s="1">
        <v>2</v>
      </c>
      <c r="BK345" s="1">
        <v>1</v>
      </c>
      <c r="BL345" s="1">
        <v>2</v>
      </c>
      <c r="BM345" s="1">
        <v>1</v>
      </c>
      <c r="BN345" s="1">
        <v>2</v>
      </c>
      <c r="BO345" s="1">
        <v>1</v>
      </c>
      <c r="BP345" s="1">
        <f>1+NOT(HRLivingGreyhawk)</f>
        <v>2</v>
      </c>
      <c r="BQ345" s="1">
        <f>IF(HRRVL,1,0)</f>
        <v>0</v>
      </c>
      <c r="BR345" s="1">
        <v>1</v>
      </c>
      <c r="BS345" s="1">
        <v>1</v>
      </c>
      <c r="BT345" s="1">
        <f t="shared" si="339"/>
        <v>0</v>
      </c>
      <c r="BU345" s="1">
        <f t="shared" ref="BU345:BU350" si="345">IF(HRRVL,1,0)</f>
        <v>0</v>
      </c>
      <c r="BV345" s="1">
        <v>1</v>
      </c>
      <c r="BW345" s="1">
        <v>1</v>
      </c>
      <c r="BX345" s="1">
        <v>1</v>
      </c>
      <c r="BY345" s="1">
        <v>1</v>
      </c>
      <c r="BZ345" s="1">
        <v>1</v>
      </c>
      <c r="CA345" s="1">
        <v>1</v>
      </c>
      <c r="CB345" s="1">
        <v>1</v>
      </c>
      <c r="CC345" s="1">
        <v>1</v>
      </c>
      <c r="CD345" s="1">
        <v>1</v>
      </c>
      <c r="CE345" s="1">
        <v>1</v>
      </c>
      <c r="CF345" s="1">
        <v>1</v>
      </c>
      <c r="CG345" s="1">
        <f t="shared" si="340"/>
        <v>0</v>
      </c>
      <c r="CH345" s="1">
        <v>1</v>
      </c>
      <c r="CI345" s="1">
        <v>1</v>
      </c>
      <c r="CJ345" s="1">
        <v>1</v>
      </c>
      <c r="CK345" s="1">
        <v>1</v>
      </c>
      <c r="CL345" s="1">
        <v>1</v>
      </c>
      <c r="CM345" s="1">
        <v>1</v>
      </c>
      <c r="CN345" s="1">
        <v>1</v>
      </c>
      <c r="CO345" s="1">
        <v>1</v>
      </c>
      <c r="CP345" s="1">
        <v>2</v>
      </c>
      <c r="CQ345" s="1">
        <v>2</v>
      </c>
      <c r="CR345" s="1">
        <v>2</v>
      </c>
      <c r="CS345" s="1">
        <v>2</v>
      </c>
      <c r="CT345" s="1">
        <v>2</v>
      </c>
      <c r="CU345" s="1">
        <v>2</v>
      </c>
      <c r="CV345" s="1">
        <f t="shared" si="341"/>
        <v>0</v>
      </c>
      <c r="CW345" s="1">
        <v>1</v>
      </c>
      <c r="CX345" s="1">
        <v>1</v>
      </c>
      <c r="CY345" s="1">
        <v>2</v>
      </c>
      <c r="CZ345" s="1">
        <f t="shared" si="342"/>
        <v>0</v>
      </c>
      <c r="DA345" s="1">
        <v>1</v>
      </c>
      <c r="DB345" s="1">
        <v>1</v>
      </c>
      <c r="DC345" s="1">
        <v>1</v>
      </c>
      <c r="DD345" s="1">
        <v>2</v>
      </c>
      <c r="DE345" s="1">
        <v>2</v>
      </c>
      <c r="DF345" s="1">
        <v>2</v>
      </c>
      <c r="DG345" s="1">
        <v>1</v>
      </c>
      <c r="DH345" s="1">
        <v>1</v>
      </c>
      <c r="DI345" s="1">
        <f t="shared" si="343"/>
        <v>0</v>
      </c>
      <c r="DJ345" s="1">
        <v>2</v>
      </c>
      <c r="DK345" s="1" t="s">
        <v>463</v>
      </c>
      <c r="DL345" s="1" t="s">
        <v>101</v>
      </c>
      <c r="DR345" s="1" t="b">
        <f>BaseAtk&gt;=4</f>
        <v>0</v>
      </c>
      <c r="DS345" s="1" t="b">
        <f>IF(NOT(ISNA(MATCH("sailor",TblProfessionSkills,0))),INDEX(TblProfessionRanks,MATCH("sailor",TblProfessionSkills,0),1)&gt;=8,FALSE)</f>
        <v>0</v>
      </c>
      <c r="DT345" s="1" t="b">
        <f>SkKnowledgeGeographyRanks&gt;=5</f>
        <v>0</v>
      </c>
      <c r="DU345" s="1" t="b">
        <f>FtLeadership</f>
        <v>0</v>
      </c>
      <c r="EA345" s="1" t="b">
        <f t="shared" si="344"/>
        <v>0</v>
      </c>
      <c r="EB345" s="11" t="s">
        <v>338</v>
      </c>
      <c r="EC345" s="1" t="str">
        <f>IF(DR345,"","• Base attack bonus of +4.
")&amp;IF(DS345,"","• 8 ranks in Profession (sailor).
")&amp;IF(DT345,"","• 5 ranks in Knowledge (geography).
")&amp;IF(DU345,"","• Leadership Feat.
")&amp;"• Must be the captain or master of a ship (not verified)."</f>
        <v>• Base attack bonus of +4.
• 8 ranks in Profession (sailor).
• 5 ranks in Knowledge (geography).
• Leadership Feat.
• Must be the captain or master of a ship (not verified).</v>
      </c>
      <c r="ED345" s="11" t="s">
        <v>335</v>
      </c>
      <c r="EE345" s="12" t="s">
        <v>207</v>
      </c>
      <c r="EF345" s="13">
        <v>2</v>
      </c>
      <c r="EG345" s="9" t="s">
        <v>834</v>
      </c>
      <c r="EH345" s="13">
        <f>'[1]Binder Vestiges'!T68</f>
        <v>0</v>
      </c>
      <c r="EI345" s="9" t="b">
        <f>AND((INDEX(TblClasses,MATCH($EE345,TblTLAList,0),ClassInfoLevelColumn)&gt;=$EF345),'[1]Binder Vestiges'!T68&gt;0)</f>
        <v>0</v>
      </c>
      <c r="EJ345" s="9" t="str">
        <f t="shared" si="277"/>
        <v/>
      </c>
      <c r="EK345" s="9">
        <f t="shared" si="278"/>
        <v>99</v>
      </c>
      <c r="EL345" s="9">
        <f t="shared" si="279"/>
        <v>99</v>
      </c>
      <c r="EM345" s="9">
        <f t="shared" si="280"/>
        <v>99</v>
      </c>
      <c r="EN345" s="9">
        <f t="shared" si="281"/>
        <v>99</v>
      </c>
      <c r="EO345" s="10" t="str">
        <f t="shared" si="282"/>
        <v/>
      </c>
    </row>
    <row r="346" spans="1:145" ht="11.25" customHeight="1" x14ac:dyDescent="0.2">
      <c r="A346" s="1">
        <f t="shared" si="304"/>
        <v>343</v>
      </c>
      <c r="B346" s="1" t="s">
        <v>939</v>
      </c>
      <c r="C346" s="1" t="s">
        <v>940</v>
      </c>
      <c r="D346" s="1" t="s">
        <v>940</v>
      </c>
      <c r="E346" s="1">
        <f t="shared" si="326"/>
        <v>0</v>
      </c>
      <c r="K346" s="1">
        <v>4</v>
      </c>
      <c r="L346" s="1">
        <v>10</v>
      </c>
      <c r="V346" s="1">
        <v>1</v>
      </c>
      <c r="W346" s="1">
        <v>0.5</v>
      </c>
      <c r="X346" s="1">
        <v>0.34</v>
      </c>
      <c r="Y346" s="1">
        <v>0.34</v>
      </c>
      <c r="Z346" s="1" t="b">
        <f>FALSE</f>
        <v>0</v>
      </c>
      <c r="AA346" s="1" t="str">
        <f t="shared" si="329"/>
        <v/>
      </c>
      <c r="AB346" s="1" t="str">
        <f t="shared" si="330"/>
        <v/>
      </c>
      <c r="AC346" s="1">
        <f t="shared" si="327"/>
        <v>0</v>
      </c>
      <c r="AD346" s="1" t="str">
        <f t="shared" si="331"/>
        <v/>
      </c>
      <c r="AE346" s="1" t="str">
        <f t="shared" si="332"/>
        <v/>
      </c>
      <c r="AF346" s="1">
        <f t="shared" si="328"/>
        <v>0</v>
      </c>
      <c r="AG346" s="1">
        <f t="shared" si="333"/>
        <v>5</v>
      </c>
      <c r="AH346" s="1" t="str">
        <f t="shared" si="325"/>
        <v/>
      </c>
      <c r="AI346" s="1">
        <v>1</v>
      </c>
      <c r="AJ346" s="1">
        <f t="shared" si="335"/>
        <v>0</v>
      </c>
      <c r="AK346" s="1">
        <v>1</v>
      </c>
      <c r="AL346" s="1">
        <v>1</v>
      </c>
      <c r="AM346" s="1">
        <v>2</v>
      </c>
      <c r="AN346" s="1">
        <f t="shared" si="336"/>
        <v>0</v>
      </c>
      <c r="AO346" s="1">
        <v>1</v>
      </c>
      <c r="AP346" s="1">
        <v>2</v>
      </c>
      <c r="AQ346" s="1">
        <v>2</v>
      </c>
      <c r="AR346" s="1">
        <v>2</v>
      </c>
      <c r="AS346" s="1">
        <v>2</v>
      </c>
      <c r="AT346" s="1">
        <v>2</v>
      </c>
      <c r="AU346" s="1">
        <v>2</v>
      </c>
      <c r="AV346" s="1">
        <v>2</v>
      </c>
      <c r="AW346" s="1">
        <v>1</v>
      </c>
      <c r="AX346" s="1">
        <v>1</v>
      </c>
      <c r="AY346" s="1">
        <v>1</v>
      </c>
      <c r="AZ346" s="1">
        <v>1</v>
      </c>
      <c r="BA346" s="1">
        <v>1</v>
      </c>
      <c r="BB346" s="1">
        <v>1</v>
      </c>
      <c r="BC346" s="1">
        <v>2</v>
      </c>
      <c r="BD346" s="1">
        <v>1</v>
      </c>
      <c r="BE346" s="1">
        <v>1</v>
      </c>
      <c r="BF346" s="1">
        <v>2</v>
      </c>
      <c r="BG346" s="1">
        <f t="shared" si="337"/>
        <v>0</v>
      </c>
      <c r="BH346" s="1">
        <f t="shared" si="338"/>
        <v>0</v>
      </c>
      <c r="BI346" s="1">
        <v>1</v>
      </c>
      <c r="BJ346" s="1">
        <v>2</v>
      </c>
      <c r="BK346" s="1">
        <v>2</v>
      </c>
      <c r="BL346" s="1">
        <v>1</v>
      </c>
      <c r="BM346" s="1">
        <v>2</v>
      </c>
      <c r="BN346" s="1">
        <v>1</v>
      </c>
      <c r="BO346" s="1">
        <v>1</v>
      </c>
      <c r="BP346" s="1">
        <v>1</v>
      </c>
      <c r="BQ346" s="1">
        <f>IF(HRRVL,2,0)</f>
        <v>0</v>
      </c>
      <c r="BR346" s="1">
        <v>2</v>
      </c>
      <c r="BS346" s="1">
        <v>1</v>
      </c>
      <c r="BT346" s="1">
        <f t="shared" si="339"/>
        <v>0</v>
      </c>
      <c r="BU346" s="1">
        <f t="shared" si="345"/>
        <v>0</v>
      </c>
      <c r="BV346" s="1">
        <v>1</v>
      </c>
      <c r="BW346" s="1">
        <v>1</v>
      </c>
      <c r="BX346" s="1">
        <v>1</v>
      </c>
      <c r="BY346" s="1">
        <v>1</v>
      </c>
      <c r="BZ346" s="1">
        <v>1</v>
      </c>
      <c r="CA346" s="1">
        <v>1</v>
      </c>
      <c r="CB346" s="1">
        <v>1</v>
      </c>
      <c r="CC346" s="1">
        <v>1</v>
      </c>
      <c r="CD346" s="1">
        <v>1</v>
      </c>
      <c r="CE346" s="1">
        <v>1</v>
      </c>
      <c r="CF346" s="1">
        <v>2</v>
      </c>
      <c r="CG346" s="1">
        <f t="shared" si="340"/>
        <v>0</v>
      </c>
      <c r="CH346" s="1">
        <v>2</v>
      </c>
      <c r="CI346" s="1">
        <v>1</v>
      </c>
      <c r="CJ346" s="1">
        <v>1</v>
      </c>
      <c r="CK346" s="1">
        <v>1</v>
      </c>
      <c r="CL346" s="1">
        <v>1</v>
      </c>
      <c r="CM346" s="1">
        <v>1</v>
      </c>
      <c r="CN346" s="1">
        <v>1</v>
      </c>
      <c r="CO346" s="1">
        <v>1</v>
      </c>
      <c r="CP346" s="1">
        <v>2</v>
      </c>
      <c r="CQ346" s="1">
        <v>2</v>
      </c>
      <c r="CR346" s="1">
        <v>2</v>
      </c>
      <c r="CS346" s="1">
        <v>2</v>
      </c>
      <c r="CT346" s="1">
        <v>2</v>
      </c>
      <c r="CU346" s="1">
        <v>2</v>
      </c>
      <c r="CV346" s="1">
        <f t="shared" si="341"/>
        <v>0</v>
      </c>
      <c r="CW346" s="1">
        <v>1</v>
      </c>
      <c r="CX346" s="1">
        <v>1</v>
      </c>
      <c r="CY346" s="1">
        <v>1</v>
      </c>
      <c r="CZ346" s="1">
        <f t="shared" si="342"/>
        <v>0</v>
      </c>
      <c r="DA346" s="1">
        <v>1</v>
      </c>
      <c r="DB346" s="1">
        <v>1</v>
      </c>
      <c r="DC346" s="1">
        <v>1</v>
      </c>
      <c r="DD346" s="1">
        <v>2</v>
      </c>
      <c r="DE346" s="1">
        <v>2</v>
      </c>
      <c r="DF346" s="1">
        <v>2</v>
      </c>
      <c r="DG346" s="1">
        <v>1</v>
      </c>
      <c r="DH346" s="1">
        <v>1</v>
      </c>
      <c r="DI346" s="1">
        <f t="shared" si="343"/>
        <v>0</v>
      </c>
      <c r="DJ346" s="1">
        <v>1</v>
      </c>
      <c r="DK346" s="1" t="s">
        <v>463</v>
      </c>
      <c r="DL346" s="1" t="s">
        <v>101</v>
      </c>
      <c r="DR346" s="1" t="b">
        <f>BaseAtk&gt;=5</f>
        <v>0</v>
      </c>
      <c r="DS346" s="1" t="b">
        <f>FtIronWill</f>
        <v>0</v>
      </c>
      <c r="DT346" s="1" t="b">
        <f>FtTrack</f>
        <v>0</v>
      </c>
      <c r="DU346" s="1" t="b">
        <f>SkKnowledgeNatureRanks&gt;=4</f>
        <v>0</v>
      </c>
      <c r="DV346" s="1" t="b">
        <f>OR(NOT(ISNA(MATCH("Aberration",TblFavEnemies,0))),NOT(ISNA(MATCH("Animal",TblFavEnemies,0))),NOT(ISNA(MATCH("Dragon",TblFavEnemies,0))),NOT(ISNA(MATCH("Magical Beast",TblFavEnemies,0))))</f>
        <v>0</v>
      </c>
      <c r="EA346" s="1" t="b">
        <f t="shared" si="344"/>
        <v>0</v>
      </c>
      <c r="EB346" s="11" t="s">
        <v>334</v>
      </c>
      <c r="EC346" s="1" t="str">
        <f>IF(DR346,"","• Base attack bonus of +5.
")&amp;IF(DS346,"","• Iron Will feat.
")&amp;IF(DT346,"","• Track feat.
")&amp;IF(DU346,"","• 4 ranks in Knowledge (nature).
")&amp;IF(DV346,"","• Favored enemy (aberrations, animals, dragons, or magical beasts).")</f>
        <v>• Base attack bonus of +5.
• Iron Will feat.
• Track feat.
• 4 ranks in Knowledge (nature).
• Favored enemy (aberrations, animals, dragons, or magical beasts).</v>
      </c>
      <c r="ED346" s="11" t="s">
        <v>335</v>
      </c>
      <c r="EE346" s="12" t="s">
        <v>207</v>
      </c>
      <c r="EF346" s="13">
        <v>1</v>
      </c>
      <c r="EG346" s="9" t="s">
        <v>867</v>
      </c>
      <c r="EH346" s="13">
        <v>10</v>
      </c>
      <c r="EI346" s="9" t="b">
        <f>AND((INDEX(TblClasses,MATCH($EE346,TblTLAList,0),ClassInfoLevelColumn)&gt;=$EF346),AND(BinLvl&gt;=1,NOT(ISERROR(MATCH("Ashardalon",VestigesSelected,0)))))</f>
        <v>0</v>
      </c>
      <c r="EJ346" s="9" t="str">
        <f t="shared" si="277"/>
        <v/>
      </c>
      <c r="EK346" s="9">
        <f t="shared" si="278"/>
        <v>99</v>
      </c>
      <c r="EL346" s="9">
        <f t="shared" si="279"/>
        <v>99</v>
      </c>
      <c r="EM346" s="9">
        <f t="shared" si="280"/>
        <v>99</v>
      </c>
      <c r="EN346" s="9">
        <f t="shared" si="281"/>
        <v>99</v>
      </c>
      <c r="EO346" s="10" t="str">
        <f t="shared" si="282"/>
        <v/>
      </c>
    </row>
    <row r="347" spans="1:145" ht="11.25" customHeight="1" x14ac:dyDescent="0.2">
      <c r="A347" s="1">
        <f t="shared" si="304"/>
        <v>344</v>
      </c>
      <c r="B347" s="1" t="s">
        <v>941</v>
      </c>
      <c r="C347" s="1" t="s">
        <v>942</v>
      </c>
      <c r="D347" s="1" t="s">
        <v>942</v>
      </c>
      <c r="E347" s="1">
        <f t="shared" si="326"/>
        <v>0</v>
      </c>
      <c r="K347" s="1">
        <v>4</v>
      </c>
      <c r="L347" s="1">
        <v>8</v>
      </c>
      <c r="V347" s="1">
        <v>1</v>
      </c>
      <c r="W347" s="1">
        <v>0.34</v>
      </c>
      <c r="X347" s="1">
        <v>0.5</v>
      </c>
      <c r="Y347" s="1">
        <v>0.34</v>
      </c>
      <c r="Z347" s="1" t="b">
        <f>FALSE</f>
        <v>0</v>
      </c>
      <c r="AA347" s="1" t="str">
        <f t="shared" si="329"/>
        <v/>
      </c>
      <c r="AB347" s="1" t="str">
        <f t="shared" si="330"/>
        <v/>
      </c>
      <c r="AC347" s="1">
        <f t="shared" si="327"/>
        <v>0</v>
      </c>
      <c r="AD347" s="1" t="str">
        <f t="shared" si="331"/>
        <v/>
      </c>
      <c r="AE347" s="1" t="str">
        <f t="shared" si="332"/>
        <v/>
      </c>
      <c r="AF347" s="1">
        <f t="shared" si="328"/>
        <v>0</v>
      </c>
      <c r="AG347" s="1">
        <f>IF($AC347&gt;0,$AG346+1,$AG346)</f>
        <v>5</v>
      </c>
      <c r="AH347" s="1" t="str">
        <f t="shared" si="325"/>
        <v/>
      </c>
      <c r="AI347" s="1">
        <v>2</v>
      </c>
      <c r="AJ347" s="1">
        <f t="shared" si="335"/>
        <v>0</v>
      </c>
      <c r="AK347" s="1">
        <v>2</v>
      </c>
      <c r="AL347" s="1">
        <v>2</v>
      </c>
      <c r="AM347" s="1">
        <v>2</v>
      </c>
      <c r="AN347" s="1">
        <f t="shared" si="336"/>
        <v>0</v>
      </c>
      <c r="AO347" s="1">
        <v>1</v>
      </c>
      <c r="AP347" s="1">
        <v>2</v>
      </c>
      <c r="AQ347" s="1">
        <v>2</v>
      </c>
      <c r="AR347" s="1">
        <v>2</v>
      </c>
      <c r="AS347" s="1">
        <v>2</v>
      </c>
      <c r="AT347" s="1">
        <v>2</v>
      </c>
      <c r="AU347" s="1">
        <v>2</v>
      </c>
      <c r="AV347" s="1">
        <v>2</v>
      </c>
      <c r="AW347" s="1">
        <v>2</v>
      </c>
      <c r="AX347" s="1">
        <v>2</v>
      </c>
      <c r="AY347" s="1">
        <v>1</v>
      </c>
      <c r="AZ347" s="1">
        <v>1</v>
      </c>
      <c r="BA347" s="1">
        <v>1</v>
      </c>
      <c r="BB347" s="1">
        <v>1</v>
      </c>
      <c r="BC347" s="1">
        <v>2</v>
      </c>
      <c r="BD347" s="1">
        <v>1</v>
      </c>
      <c r="BE347" s="1">
        <v>1</v>
      </c>
      <c r="BF347" s="1">
        <v>1</v>
      </c>
      <c r="BG347" s="1">
        <f t="shared" si="337"/>
        <v>0</v>
      </c>
      <c r="BH347" s="1">
        <f t="shared" si="338"/>
        <v>0</v>
      </c>
      <c r="BI347" s="1">
        <v>2</v>
      </c>
      <c r="BJ347" s="1">
        <v>2</v>
      </c>
      <c r="BK347" s="1">
        <v>1</v>
      </c>
      <c r="BL347" s="1">
        <v>1</v>
      </c>
      <c r="BM347" s="1">
        <v>1</v>
      </c>
      <c r="BN347" s="1">
        <v>2</v>
      </c>
      <c r="BO347" s="1">
        <v>1</v>
      </c>
      <c r="BP347" s="1">
        <f>1+NOT(HRLivingGreyhawk)</f>
        <v>2</v>
      </c>
      <c r="BQ347" s="1">
        <f>IF(HRRVL,1,0)</f>
        <v>0</v>
      </c>
      <c r="BR347" s="1">
        <v>1</v>
      </c>
      <c r="BS347" s="1">
        <v>1</v>
      </c>
      <c r="BT347" s="1">
        <f t="shared" si="339"/>
        <v>0</v>
      </c>
      <c r="BU347" s="1">
        <f t="shared" si="345"/>
        <v>0</v>
      </c>
      <c r="BV347" s="1">
        <v>1</v>
      </c>
      <c r="BW347" s="1">
        <v>1</v>
      </c>
      <c r="BX347" s="1">
        <v>1</v>
      </c>
      <c r="BY347" s="1">
        <v>1</v>
      </c>
      <c r="BZ347" s="1">
        <v>1</v>
      </c>
      <c r="CA347" s="1">
        <v>1</v>
      </c>
      <c r="CB347" s="1">
        <v>1</v>
      </c>
      <c r="CC347" s="1">
        <v>1</v>
      </c>
      <c r="CD347" s="1">
        <v>1</v>
      </c>
      <c r="CE347" s="1">
        <v>1</v>
      </c>
      <c r="CF347" s="1">
        <v>1</v>
      </c>
      <c r="CG347" s="1">
        <f t="shared" si="340"/>
        <v>0</v>
      </c>
      <c r="CH347" s="1">
        <v>1</v>
      </c>
      <c r="CI347" s="1">
        <v>1</v>
      </c>
      <c r="CJ347" s="1">
        <v>2</v>
      </c>
      <c r="CK347" s="1">
        <v>2</v>
      </c>
      <c r="CL347" s="1">
        <v>2</v>
      </c>
      <c r="CM347" s="1">
        <v>2</v>
      </c>
      <c r="CN347" s="1">
        <v>2</v>
      </c>
      <c r="CO347" s="1">
        <v>2</v>
      </c>
      <c r="CP347" s="1">
        <v>1</v>
      </c>
      <c r="CQ347" s="1">
        <f>IF(LOWER(CQ$2)="sailor",2,1)</f>
        <v>1</v>
      </c>
      <c r="CR347" s="1">
        <f>IF(LOWER(CR$2)="sailor",2,1)</f>
        <v>1</v>
      </c>
      <c r="CS347" s="1">
        <f>IF(LOWER(CS$2)="sailor",2,1)</f>
        <v>1</v>
      </c>
      <c r="CT347" s="1">
        <f>IF(LOWER(CT$2)="sailor",2,1)</f>
        <v>1</v>
      </c>
      <c r="CU347" s="1">
        <f>IF(LOWER(CU$2)="sailor",2,1)</f>
        <v>1</v>
      </c>
      <c r="CV347" s="1">
        <f t="shared" si="341"/>
        <v>0</v>
      </c>
      <c r="CW347" s="1">
        <v>1</v>
      </c>
      <c r="CX347" s="1">
        <v>1</v>
      </c>
      <c r="CY347" s="1">
        <v>1</v>
      </c>
      <c r="CZ347" s="1">
        <f t="shared" si="342"/>
        <v>0</v>
      </c>
      <c r="DA347" s="1">
        <v>1</v>
      </c>
      <c r="DB347" s="1">
        <v>1</v>
      </c>
      <c r="DC347" s="1">
        <v>1</v>
      </c>
      <c r="DD347" s="1">
        <v>1</v>
      </c>
      <c r="DE347" s="1">
        <v>2</v>
      </c>
      <c r="DF347" s="1">
        <v>2</v>
      </c>
      <c r="DG347" s="1">
        <v>2</v>
      </c>
      <c r="DH347" s="1">
        <v>1</v>
      </c>
      <c r="DI347" s="1">
        <f t="shared" si="343"/>
        <v>0</v>
      </c>
      <c r="DJ347" s="1">
        <v>2</v>
      </c>
      <c r="DK347" s="1" t="s">
        <v>463</v>
      </c>
      <c r="DL347" s="1" t="s">
        <v>101</v>
      </c>
      <c r="DR347" s="1" t="b">
        <f>AlignmentNonLawful</f>
        <v>0</v>
      </c>
      <c r="DS347" s="1" t="b">
        <f>BaseAtk&gt;=5</f>
        <v>0</v>
      </c>
      <c r="DT347" s="1" t="b">
        <f>SkBluffRanks&gt;=8</f>
        <v>0</v>
      </c>
      <c r="DU347" s="1" t="b">
        <f>SkIntimidateRanks&gt;=8</f>
        <v>0</v>
      </c>
      <c r="DV347" s="1" t="b">
        <f>IF(NOT(ISNA(MATCH("sailor",TblProfessionSkills,0))),INDEX(TblProfessionRanks,MATCH("sailor",TblProfessionSkills,0),1)&gt;=4,FALSE)</f>
        <v>0</v>
      </c>
      <c r="DW347" s="1" t="b">
        <f>(SneakAttack+SuddenStrike+PsionicSneakAttack)&gt;=1</f>
        <v>0</v>
      </c>
      <c r="EA347" s="1" t="b">
        <f t="shared" si="344"/>
        <v>0</v>
      </c>
      <c r="EB347" s="11" t="s">
        <v>338</v>
      </c>
      <c r="EC347" s="1" t="str">
        <f>IF(DR347,"","• Any nonlawful alignment.
")&amp;IF(DS347,"","• Base attack bonus of +5.
")&amp;IF(DT347,"","• 8 ranks in Bluff.
")&amp;IF(DU347,"","• 8 ranks in Intimidate.
")&amp;IF(DV347,"","• 4 ranks in Profession (sailor).
")&amp;IF(DW347,"","• Sneak attack +1d6.
")&amp;"• Must have established a reputation as a fearsome pirate. (not verified)."</f>
        <v>• Any nonlawful alignment.
• Base attack bonus of +5.
• 8 ranks in Bluff.
• 8 ranks in Intimidate.
• 4 ranks in Profession (sailor).
• Sneak attack +1d6.
• Must have established a reputation as a fearsome pirate. (not verified).</v>
      </c>
      <c r="ED347" s="11" t="s">
        <v>335</v>
      </c>
      <c r="EE347" s="12" t="s">
        <v>207</v>
      </c>
      <c r="EF347" s="13">
        <v>1</v>
      </c>
      <c r="EG347" s="9" t="s">
        <v>834</v>
      </c>
      <c r="EH347" s="13">
        <v>5</v>
      </c>
      <c r="EI347" s="9" t="b">
        <f>AND((INDEX(TblClasses,MATCH($EE347,TblTLAList,0),ClassInfoLevelColumn)&gt;=$EF347),AND(BinLvl&gt;=1,NOT(ISERROR(MATCH("Arete",VestigesSelected,0)))))</f>
        <v>0</v>
      </c>
      <c r="EJ347" s="9" t="str">
        <f t="shared" si="277"/>
        <v/>
      </c>
      <c r="EK347" s="9">
        <f t="shared" si="278"/>
        <v>99</v>
      </c>
      <c r="EL347" s="9">
        <f t="shared" si="279"/>
        <v>99</v>
      </c>
      <c r="EM347" s="9">
        <f t="shared" si="280"/>
        <v>99</v>
      </c>
      <c r="EN347" s="9">
        <f t="shared" si="281"/>
        <v>99</v>
      </c>
      <c r="EO347" s="10" t="str">
        <f t="shared" si="282"/>
        <v/>
      </c>
    </row>
    <row r="348" spans="1:145" ht="11.25" customHeight="1" x14ac:dyDescent="0.2">
      <c r="A348" s="1">
        <f t="shared" si="304"/>
        <v>345</v>
      </c>
      <c r="B348" s="1" t="s">
        <v>943</v>
      </c>
      <c r="C348" s="1" t="s">
        <v>944</v>
      </c>
      <c r="D348" s="1" t="s">
        <v>944</v>
      </c>
      <c r="E348" s="1">
        <f t="shared" si="326"/>
        <v>0</v>
      </c>
      <c r="G348" s="1">
        <f>IF(SwhLvl&gt;=1,SwhLvl-INT(SwhLvl/4),0)</f>
        <v>0</v>
      </c>
      <c r="K348" s="1">
        <v>2</v>
      </c>
      <c r="L348" s="1">
        <v>4</v>
      </c>
      <c r="V348" s="1">
        <v>0.5</v>
      </c>
      <c r="W348" s="1">
        <v>0.5</v>
      </c>
      <c r="X348" s="1">
        <v>0.34</v>
      </c>
      <c r="Y348" s="1">
        <v>0.5</v>
      </c>
      <c r="Z348" s="1" t="b">
        <f>FALSE</f>
        <v>0</v>
      </c>
      <c r="AA348" s="1" t="str">
        <f t="shared" si="329"/>
        <v/>
      </c>
      <c r="AB348" s="1" t="str">
        <f t="shared" si="330"/>
        <v/>
      </c>
      <c r="AC348" s="1">
        <f t="shared" si="327"/>
        <v>0</v>
      </c>
      <c r="AD348" s="1" t="str">
        <f t="shared" si="331"/>
        <v/>
      </c>
      <c r="AE348" s="1" t="str">
        <f t="shared" si="332"/>
        <v/>
      </c>
      <c r="AF348" s="1">
        <f t="shared" si="328"/>
        <v>0</v>
      </c>
      <c r="AG348" s="1">
        <f t="shared" si="333"/>
        <v>5</v>
      </c>
      <c r="AH348" s="1" t="str">
        <f t="shared" si="325"/>
        <v/>
      </c>
      <c r="AI348" s="1">
        <v>1</v>
      </c>
      <c r="AJ348" s="1">
        <f t="shared" si="335"/>
        <v>0</v>
      </c>
      <c r="AK348" s="1">
        <v>1</v>
      </c>
      <c r="AL348" s="1">
        <v>1</v>
      </c>
      <c r="AM348" s="1">
        <v>1</v>
      </c>
      <c r="AN348" s="1">
        <f t="shared" si="336"/>
        <v>0</v>
      </c>
      <c r="AO348" s="1">
        <v>2</v>
      </c>
      <c r="AP348" s="1">
        <v>2</v>
      </c>
      <c r="AQ348" s="1">
        <v>2</v>
      </c>
      <c r="AR348" s="1">
        <v>2</v>
      </c>
      <c r="AS348" s="1">
        <v>2</v>
      </c>
      <c r="AT348" s="1">
        <v>2</v>
      </c>
      <c r="AU348" s="1">
        <v>2</v>
      </c>
      <c r="AV348" s="1">
        <v>2</v>
      </c>
      <c r="AW348" s="1">
        <v>1</v>
      </c>
      <c r="AX348" s="1">
        <v>1</v>
      </c>
      <c r="AY348" s="1">
        <v>1</v>
      </c>
      <c r="AZ348" s="1">
        <v>1</v>
      </c>
      <c r="BA348" s="1">
        <v>1</v>
      </c>
      <c r="BB348" s="1">
        <v>1</v>
      </c>
      <c r="BC348" s="1">
        <v>1</v>
      </c>
      <c r="BD348" s="1">
        <v>1</v>
      </c>
      <c r="BE348" s="1">
        <v>1</v>
      </c>
      <c r="BF348" s="1">
        <v>1</v>
      </c>
      <c r="BG348" s="1">
        <f t="shared" si="337"/>
        <v>0</v>
      </c>
      <c r="BH348" s="1">
        <f t="shared" si="338"/>
        <v>0</v>
      </c>
      <c r="BI348" s="1">
        <v>1</v>
      </c>
      <c r="BJ348" s="1">
        <v>1</v>
      </c>
      <c r="BK348" s="1">
        <v>2</v>
      </c>
      <c r="BL348" s="1">
        <v>1</v>
      </c>
      <c r="BM348" s="1">
        <v>1</v>
      </c>
      <c r="BN348" s="1">
        <v>1</v>
      </c>
      <c r="BO348" s="1">
        <v>1</v>
      </c>
      <c r="BP348" s="1">
        <v>1</v>
      </c>
      <c r="BQ348" s="1">
        <f>IF(HRRVL,2,0)</f>
        <v>0</v>
      </c>
      <c r="BR348" s="1">
        <v>2</v>
      </c>
      <c r="BS348" s="1">
        <v>1</v>
      </c>
      <c r="BT348" s="1">
        <f t="shared" si="339"/>
        <v>0</v>
      </c>
      <c r="BU348" s="1">
        <f t="shared" si="345"/>
        <v>0</v>
      </c>
      <c r="BV348" s="1">
        <v>1</v>
      </c>
      <c r="BW348" s="1">
        <v>2</v>
      </c>
      <c r="BX348" s="1">
        <v>1</v>
      </c>
      <c r="BY348" s="1">
        <v>1</v>
      </c>
      <c r="BZ348" s="1">
        <v>1</v>
      </c>
      <c r="CA348" s="1">
        <v>1</v>
      </c>
      <c r="CB348" s="1">
        <v>1</v>
      </c>
      <c r="CC348" s="1">
        <v>1</v>
      </c>
      <c r="CD348" s="1">
        <v>1</v>
      </c>
      <c r="CE348" s="1">
        <v>1</v>
      </c>
      <c r="CF348" s="1">
        <v>1</v>
      </c>
      <c r="CG348" s="1">
        <f t="shared" si="340"/>
        <v>0</v>
      </c>
      <c r="CH348" s="1">
        <v>1</v>
      </c>
      <c r="CI348" s="1">
        <v>1</v>
      </c>
      <c r="CJ348" s="1">
        <v>1</v>
      </c>
      <c r="CK348" s="1">
        <v>1</v>
      </c>
      <c r="CL348" s="1">
        <v>1</v>
      </c>
      <c r="CM348" s="1">
        <v>1</v>
      </c>
      <c r="CN348" s="1">
        <v>1</v>
      </c>
      <c r="CO348" s="1">
        <v>1</v>
      </c>
      <c r="CP348" s="1">
        <v>2</v>
      </c>
      <c r="CQ348" s="1">
        <v>2</v>
      </c>
      <c r="CR348" s="1">
        <v>2</v>
      </c>
      <c r="CS348" s="1">
        <v>2</v>
      </c>
      <c r="CT348" s="1">
        <v>2</v>
      </c>
      <c r="CU348" s="1">
        <v>2</v>
      </c>
      <c r="CV348" s="1">
        <f t="shared" si="341"/>
        <v>0</v>
      </c>
      <c r="CW348" s="1">
        <v>1</v>
      </c>
      <c r="CX348" s="1">
        <v>1</v>
      </c>
      <c r="CY348" s="1">
        <v>1</v>
      </c>
      <c r="CZ348" s="1">
        <f t="shared" si="342"/>
        <v>0</v>
      </c>
      <c r="DA348" s="1">
        <v>1</v>
      </c>
      <c r="DB348" s="1">
        <v>1</v>
      </c>
      <c r="DC348" s="1">
        <v>2</v>
      </c>
      <c r="DD348" s="1">
        <v>1</v>
      </c>
      <c r="DE348" s="1">
        <v>1</v>
      </c>
      <c r="DF348" s="1">
        <v>2</v>
      </c>
      <c r="DG348" s="1">
        <v>1</v>
      </c>
      <c r="DH348" s="1">
        <v>1</v>
      </c>
      <c r="DI348" s="1">
        <f t="shared" si="343"/>
        <v>0</v>
      </c>
      <c r="DJ348" s="1">
        <v>1</v>
      </c>
      <c r="DK348" s="1" t="s">
        <v>463</v>
      </c>
      <c r="DL348" s="1" t="s">
        <v>101</v>
      </c>
      <c r="DR348" s="1" t="b">
        <f>AlignmentChaotic</f>
        <v>0</v>
      </c>
      <c r="DS348" s="1" t="b">
        <f>NOT(ISNA(MATCH("Aquan",TblLangKnown,0)))</f>
        <v>0</v>
      </c>
      <c r="DT348" s="1" t="b">
        <f>MaxArcaneLevel&gt;=1</f>
        <v>1</v>
      </c>
      <c r="EA348" s="1" t="b">
        <f t="shared" si="344"/>
        <v>0</v>
      </c>
      <c r="EB348" s="11" t="s">
        <v>338</v>
      </c>
      <c r="EC348" s="1" t="str">
        <f>IF(DR348,"","• Any Chaotic alignment.
")&amp;IF(DS348,"","• Speak Language: Aquan.
")&amp;IF(DT348,"","• Able to cast arcane spells.
")&amp;"• You must be able to cast control water, control weather, or favorable
  wind, as well as summon monster III. (not verified)."</f>
        <v>• Any Chaotic alignment.
• Speak Language: Aquan.
• You must be able to cast control water, control weather, or favorable
  wind, as well as summon monster III. (not verified).</v>
      </c>
      <c r="ED348" s="11" t="s">
        <v>335</v>
      </c>
      <c r="EE348" s="12" t="s">
        <v>945</v>
      </c>
      <c r="EF348" s="13">
        <v>4</v>
      </c>
      <c r="EG348" s="13" t="s">
        <v>946</v>
      </c>
      <c r="EH348" s="13">
        <f>DRMaxRacial+IF(DrgALvl&gt;=8,5,0)</f>
        <v>0</v>
      </c>
      <c r="EI348" s="9" t="b">
        <f t="shared" si="276"/>
        <v>0</v>
      </c>
      <c r="EJ348" s="9" t="str">
        <f t="shared" si="277"/>
        <v/>
      </c>
      <c r="EK348" s="9">
        <f t="shared" si="278"/>
        <v>99</v>
      </c>
      <c r="EL348" s="9">
        <f t="shared" si="279"/>
        <v>99</v>
      </c>
      <c r="EM348" s="9">
        <f t="shared" si="280"/>
        <v>99</v>
      </c>
      <c r="EN348" s="9">
        <f t="shared" si="281"/>
        <v>99</v>
      </c>
      <c r="EO348" s="10" t="str">
        <f t="shared" si="282"/>
        <v/>
      </c>
    </row>
    <row r="349" spans="1:145" ht="11.25" customHeight="1" x14ac:dyDescent="0.2">
      <c r="A349" s="1">
        <f t="shared" si="304"/>
        <v>346</v>
      </c>
      <c r="B349" s="1" t="s">
        <v>947</v>
      </c>
      <c r="C349" s="1" t="s">
        <v>948</v>
      </c>
      <c r="D349" s="1" t="s">
        <v>948</v>
      </c>
      <c r="E349" s="1">
        <f t="shared" si="326"/>
        <v>0</v>
      </c>
      <c r="G349" s="1">
        <f>(StCLvl&gt;=2)*(StCLvl-1)</f>
        <v>0</v>
      </c>
      <c r="K349" s="1">
        <v>2</v>
      </c>
      <c r="L349" s="1">
        <v>4</v>
      </c>
      <c r="V349" s="1">
        <v>0.5</v>
      </c>
      <c r="W349" s="1">
        <v>0.5</v>
      </c>
      <c r="X349" s="1">
        <v>0.5</v>
      </c>
      <c r="Y349" s="1">
        <v>0.34</v>
      </c>
      <c r="Z349" s="1" t="b">
        <f>FALSE</f>
        <v>0</v>
      </c>
      <c r="AA349" s="1" t="str">
        <f t="shared" si="329"/>
        <v/>
      </c>
      <c r="AB349" s="1" t="str">
        <f t="shared" si="330"/>
        <v/>
      </c>
      <c r="AC349" s="1">
        <f t="shared" si="327"/>
        <v>0</v>
      </c>
      <c r="AD349" s="1" t="str">
        <f t="shared" si="331"/>
        <v/>
      </c>
      <c r="AE349" s="1" t="str">
        <f t="shared" si="332"/>
        <v/>
      </c>
      <c r="AF349" s="1">
        <f t="shared" si="328"/>
        <v>0</v>
      </c>
      <c r="AG349" s="1">
        <f t="shared" si="333"/>
        <v>5</v>
      </c>
      <c r="AH349" s="1" t="str">
        <f t="shared" si="325"/>
        <v/>
      </c>
      <c r="AI349" s="1">
        <v>1</v>
      </c>
      <c r="AJ349" s="1">
        <f t="shared" si="335"/>
        <v>0</v>
      </c>
      <c r="AK349" s="1">
        <v>1</v>
      </c>
      <c r="AL349" s="1">
        <v>1</v>
      </c>
      <c r="AM349" s="1">
        <v>1</v>
      </c>
      <c r="AN349" s="1">
        <f t="shared" si="336"/>
        <v>0</v>
      </c>
      <c r="AO349" s="1">
        <v>2</v>
      </c>
      <c r="AP349" s="1">
        <v>2</v>
      </c>
      <c r="AQ349" s="1">
        <v>2</v>
      </c>
      <c r="AR349" s="1">
        <v>2</v>
      </c>
      <c r="AS349" s="1">
        <v>2</v>
      </c>
      <c r="AT349" s="1">
        <v>2</v>
      </c>
      <c r="AU349" s="1">
        <v>2</v>
      </c>
      <c r="AV349" s="1">
        <v>2</v>
      </c>
      <c r="AW349" s="1">
        <v>1</v>
      </c>
      <c r="AX349" s="1">
        <v>1</v>
      </c>
      <c r="AY349" s="1">
        <v>1</v>
      </c>
      <c r="AZ349" s="1">
        <v>1</v>
      </c>
      <c r="BA349" s="1">
        <v>1</v>
      </c>
      <c r="BB349" s="1">
        <v>1</v>
      </c>
      <c r="BC349" s="1">
        <v>1</v>
      </c>
      <c r="BD349" s="1">
        <v>1</v>
      </c>
      <c r="BE349" s="1">
        <v>1</v>
      </c>
      <c r="BF349" s="1">
        <v>1</v>
      </c>
      <c r="BG349" s="1">
        <f t="shared" si="337"/>
        <v>0</v>
      </c>
      <c r="BH349" s="1">
        <f t="shared" si="338"/>
        <v>0</v>
      </c>
      <c r="BI349" s="1">
        <v>2</v>
      </c>
      <c r="BJ349" s="1">
        <v>2</v>
      </c>
      <c r="BK349" s="1">
        <v>2</v>
      </c>
      <c r="BL349" s="1">
        <v>1</v>
      </c>
      <c r="BM349" s="1">
        <v>1</v>
      </c>
      <c r="BN349" s="1">
        <v>1</v>
      </c>
      <c r="BO349" s="1">
        <v>1</v>
      </c>
      <c r="BP349" s="1">
        <v>1</v>
      </c>
      <c r="BQ349" s="1">
        <f>IF(HRRVL,2,0)</f>
        <v>0</v>
      </c>
      <c r="BR349" s="1">
        <v>2</v>
      </c>
      <c r="BS349" s="1">
        <v>1</v>
      </c>
      <c r="BT349" s="1">
        <f t="shared" si="339"/>
        <v>0</v>
      </c>
      <c r="BU349" s="1">
        <f t="shared" si="345"/>
        <v>0</v>
      </c>
      <c r="BV349" s="1">
        <v>1</v>
      </c>
      <c r="BW349" s="1">
        <v>1</v>
      </c>
      <c r="BX349" s="1">
        <v>1</v>
      </c>
      <c r="BY349" s="1">
        <v>1</v>
      </c>
      <c r="BZ349" s="1">
        <v>1</v>
      </c>
      <c r="CA349" s="1">
        <v>1</v>
      </c>
      <c r="CB349" s="1">
        <v>1</v>
      </c>
      <c r="CC349" s="1">
        <v>1</v>
      </c>
      <c r="CD349" s="1">
        <v>1</v>
      </c>
      <c r="CE349" s="1">
        <v>1</v>
      </c>
      <c r="CF349" s="1">
        <v>2</v>
      </c>
      <c r="CG349" s="1">
        <f t="shared" si="340"/>
        <v>0</v>
      </c>
      <c r="CH349" s="1">
        <v>1</v>
      </c>
      <c r="CI349" s="1">
        <v>1</v>
      </c>
      <c r="CJ349" s="1">
        <v>1</v>
      </c>
      <c r="CK349" s="1">
        <v>1</v>
      </c>
      <c r="CL349" s="1">
        <v>1</v>
      </c>
      <c r="CM349" s="1">
        <v>1</v>
      </c>
      <c r="CN349" s="1">
        <v>1</v>
      </c>
      <c r="CO349" s="1">
        <v>1</v>
      </c>
      <c r="CP349" s="1">
        <v>2</v>
      </c>
      <c r="CQ349" s="1">
        <v>2</v>
      </c>
      <c r="CR349" s="1">
        <v>2</v>
      </c>
      <c r="CS349" s="1">
        <v>2</v>
      </c>
      <c r="CT349" s="1">
        <v>2</v>
      </c>
      <c r="CU349" s="1">
        <v>2</v>
      </c>
      <c r="CV349" s="1">
        <f t="shared" si="341"/>
        <v>0</v>
      </c>
      <c r="CW349" s="1">
        <v>1</v>
      </c>
      <c r="CX349" s="1">
        <v>1</v>
      </c>
      <c r="CY349" s="1">
        <v>1</v>
      </c>
      <c r="CZ349" s="1">
        <f t="shared" si="342"/>
        <v>0</v>
      </c>
      <c r="DA349" s="1">
        <v>1</v>
      </c>
      <c r="DB349" s="1">
        <v>1</v>
      </c>
      <c r="DC349" s="1">
        <v>2</v>
      </c>
      <c r="DD349" s="1">
        <v>1</v>
      </c>
      <c r="DE349" s="1">
        <v>2</v>
      </c>
      <c r="DF349" s="1">
        <v>1</v>
      </c>
      <c r="DG349" s="1">
        <v>1</v>
      </c>
      <c r="DH349" s="1">
        <v>1</v>
      </c>
      <c r="DI349" s="1">
        <f t="shared" si="343"/>
        <v>0</v>
      </c>
      <c r="DJ349" s="1">
        <v>1</v>
      </c>
      <c r="DK349" s="1" t="s">
        <v>463</v>
      </c>
      <c r="DL349" s="1" t="s">
        <v>101</v>
      </c>
      <c r="DR349" s="1" t="b">
        <f>AlignmentNonLawful</f>
        <v>0</v>
      </c>
      <c r="DS349" s="1" t="b">
        <f>SkKnowledgeArcanaRanks&gt;=4</f>
        <v>0</v>
      </c>
      <c r="DT349" s="1" t="b">
        <f>SkKnowledgeNatureRanks&gt;=4</f>
        <v>0</v>
      </c>
      <c r="EA349" s="1" t="b">
        <f t="shared" si="344"/>
        <v>0</v>
      </c>
      <c r="EB349" s="11" t="s">
        <v>338</v>
      </c>
      <c r="EC349" s="1" t="str">
        <f>IF(DR349,"","• Any nonlawful alignment.
")&amp;IF(DS349,"","• 4 ranks in Knowledge (arcana).
")&amp;IF(DT349,"","• 4 ranks in Knowledge (nature).
")&amp;"• You must be able to cast gust of wind and either lightning bolt or call
  lightning. (not verified)."</f>
        <v>• Any nonlawful alignment.
• 4 ranks in Knowledge (arcana).
• 4 ranks in Knowledge (nature).
• You must be able to cast gust of wind and either lightning bolt or call
  lightning. (not verified).</v>
      </c>
      <c r="ED349" s="11" t="s">
        <v>335</v>
      </c>
      <c r="EE349" s="12" t="s">
        <v>949</v>
      </c>
      <c r="EF349" s="13">
        <v>7</v>
      </c>
      <c r="EG349" s="13" t="s">
        <v>834</v>
      </c>
      <c r="EH349" s="13">
        <v>2</v>
      </c>
      <c r="EI349" s="9" t="b">
        <f t="shared" si="276"/>
        <v>0</v>
      </c>
      <c r="EJ349" s="9" t="str">
        <f t="shared" si="277"/>
        <v/>
      </c>
      <c r="EK349" s="9">
        <f t="shared" si="278"/>
        <v>99</v>
      </c>
      <c r="EL349" s="9">
        <f t="shared" si="279"/>
        <v>99</v>
      </c>
      <c r="EM349" s="9">
        <f t="shared" si="280"/>
        <v>99</v>
      </c>
      <c r="EN349" s="9">
        <f t="shared" si="281"/>
        <v>99</v>
      </c>
      <c r="EO349" s="10" t="str">
        <f t="shared" si="282"/>
        <v/>
      </c>
    </row>
    <row r="350" spans="1:145" ht="11.25" customHeight="1" x14ac:dyDescent="0.2">
      <c r="A350" s="1">
        <f t="shared" si="304"/>
        <v>347</v>
      </c>
      <c r="B350" s="1" t="s">
        <v>950</v>
      </c>
      <c r="C350" s="1" t="s">
        <v>951</v>
      </c>
      <c r="D350" s="1" t="s">
        <v>951</v>
      </c>
      <c r="E350" s="1">
        <f t="shared" si="326"/>
        <v>0</v>
      </c>
      <c r="G350" s="1">
        <f>(WvkLvl&gt;=2)*(WvkLvl-1)</f>
        <v>0</v>
      </c>
      <c r="K350" s="1">
        <v>4</v>
      </c>
      <c r="L350" s="1">
        <v>8</v>
      </c>
      <c r="V350" s="1">
        <v>0.75</v>
      </c>
      <c r="W350" s="1">
        <v>0.5</v>
      </c>
      <c r="X350" s="1">
        <v>0.34</v>
      </c>
      <c r="Y350" s="1">
        <v>0.5</v>
      </c>
      <c r="Z350" s="1" t="b">
        <f>FALSE</f>
        <v>0</v>
      </c>
      <c r="AA350" s="1" t="str">
        <f t="shared" si="329"/>
        <v/>
      </c>
      <c r="AB350" s="1" t="str">
        <f t="shared" si="330"/>
        <v/>
      </c>
      <c r="AC350" s="1">
        <f t="shared" si="327"/>
        <v>0</v>
      </c>
      <c r="AD350" s="1" t="str">
        <f t="shared" si="331"/>
        <v/>
      </c>
      <c r="AE350" s="1" t="str">
        <f t="shared" si="332"/>
        <v/>
      </c>
      <c r="AF350" s="1">
        <f t="shared" si="328"/>
        <v>0</v>
      </c>
      <c r="AG350" s="1">
        <f t="shared" si="333"/>
        <v>5</v>
      </c>
      <c r="AH350" s="1" t="str">
        <f t="shared" si="325"/>
        <v/>
      </c>
      <c r="AI350" s="1">
        <v>1</v>
      </c>
      <c r="AJ350" s="1">
        <f t="shared" si="335"/>
        <v>0</v>
      </c>
      <c r="AK350" s="1">
        <v>1</v>
      </c>
      <c r="AL350" s="1">
        <v>1</v>
      </c>
      <c r="AM350" s="1">
        <v>1</v>
      </c>
      <c r="AN350" s="1">
        <f t="shared" si="336"/>
        <v>0</v>
      </c>
      <c r="AO350" s="1">
        <v>2</v>
      </c>
      <c r="AP350" s="1">
        <v>2</v>
      </c>
      <c r="AQ350" s="1">
        <v>2</v>
      </c>
      <c r="AR350" s="1">
        <v>2</v>
      </c>
      <c r="AS350" s="1">
        <v>2</v>
      </c>
      <c r="AT350" s="1">
        <v>2</v>
      </c>
      <c r="AU350" s="1">
        <v>2</v>
      </c>
      <c r="AV350" s="1">
        <v>2</v>
      </c>
      <c r="AW350" s="1">
        <v>1</v>
      </c>
      <c r="AX350" s="1">
        <v>1</v>
      </c>
      <c r="AY350" s="1">
        <v>1</v>
      </c>
      <c r="AZ350" s="1">
        <v>1</v>
      </c>
      <c r="BA350" s="1">
        <v>1</v>
      </c>
      <c r="BB350" s="1">
        <v>1</v>
      </c>
      <c r="BC350" s="1">
        <v>1</v>
      </c>
      <c r="BD350" s="1">
        <v>2</v>
      </c>
      <c r="BE350" s="1">
        <v>2</v>
      </c>
      <c r="BF350" s="1">
        <v>2</v>
      </c>
      <c r="BG350" s="1">
        <f t="shared" si="337"/>
        <v>0</v>
      </c>
      <c r="BH350" s="1">
        <f t="shared" si="338"/>
        <v>0</v>
      </c>
      <c r="BI350" s="1">
        <v>2</v>
      </c>
      <c r="BJ350" s="1">
        <v>2</v>
      </c>
      <c r="BK350" s="1">
        <v>1</v>
      </c>
      <c r="BL350" s="1">
        <v>1</v>
      </c>
      <c r="BM350" s="1">
        <v>1</v>
      </c>
      <c r="BN350" s="1">
        <v>1</v>
      </c>
      <c r="BO350" s="1">
        <v>1</v>
      </c>
      <c r="BP350" s="1">
        <v>1</v>
      </c>
      <c r="BQ350" s="1">
        <f>IF(HRRVL,2,0)</f>
        <v>0</v>
      </c>
      <c r="BR350" s="1">
        <v>2</v>
      </c>
      <c r="BS350" s="1">
        <v>1</v>
      </c>
      <c r="BT350" s="1">
        <f t="shared" si="339"/>
        <v>0</v>
      </c>
      <c r="BU350" s="1">
        <f t="shared" si="345"/>
        <v>0</v>
      </c>
      <c r="BV350" s="1">
        <v>1</v>
      </c>
      <c r="BW350" s="1">
        <v>1</v>
      </c>
      <c r="BX350" s="1">
        <v>1</v>
      </c>
      <c r="BY350" s="1">
        <v>1</v>
      </c>
      <c r="BZ350" s="1">
        <v>1</v>
      </c>
      <c r="CA350" s="1">
        <v>1</v>
      </c>
      <c r="CB350" s="1">
        <v>1</v>
      </c>
      <c r="CC350" s="1">
        <v>1</v>
      </c>
      <c r="CD350" s="1">
        <v>1</v>
      </c>
      <c r="CE350" s="1">
        <v>1</v>
      </c>
      <c r="CF350" s="1">
        <v>2</v>
      </c>
      <c r="CG350" s="1">
        <f t="shared" si="340"/>
        <v>0</v>
      </c>
      <c r="CH350" s="1">
        <v>2</v>
      </c>
      <c r="CI350" s="1">
        <v>1</v>
      </c>
      <c r="CJ350" s="1">
        <v>1</v>
      </c>
      <c r="CK350" s="1">
        <v>1</v>
      </c>
      <c r="CL350" s="1">
        <v>1</v>
      </c>
      <c r="CM350" s="1">
        <v>1</v>
      </c>
      <c r="CN350" s="1">
        <v>1</v>
      </c>
      <c r="CO350" s="1">
        <v>1</v>
      </c>
      <c r="CP350" s="1">
        <v>2</v>
      </c>
      <c r="CQ350" s="1">
        <v>2</v>
      </c>
      <c r="CR350" s="1">
        <v>2</v>
      </c>
      <c r="CS350" s="1">
        <v>2</v>
      </c>
      <c r="CT350" s="1">
        <v>2</v>
      </c>
      <c r="CU350" s="1">
        <v>2</v>
      </c>
      <c r="CV350" s="1">
        <f t="shared" si="341"/>
        <v>0</v>
      </c>
      <c r="CW350" s="1">
        <v>1</v>
      </c>
      <c r="CX350" s="1">
        <v>2</v>
      </c>
      <c r="CY350" s="1">
        <v>1</v>
      </c>
      <c r="CZ350" s="1">
        <f t="shared" si="342"/>
        <v>0</v>
      </c>
      <c r="DA350" s="1">
        <v>1</v>
      </c>
      <c r="DB350" s="1">
        <v>1</v>
      </c>
      <c r="DC350" s="1">
        <v>2</v>
      </c>
      <c r="DD350" s="1">
        <v>2</v>
      </c>
      <c r="DE350" s="1">
        <v>2</v>
      </c>
      <c r="DF350" s="1">
        <v>2</v>
      </c>
      <c r="DG350" s="1">
        <v>1</v>
      </c>
      <c r="DH350" s="1">
        <v>1</v>
      </c>
      <c r="DI350" s="1">
        <f t="shared" si="343"/>
        <v>0</v>
      </c>
      <c r="DJ350" s="1">
        <v>1</v>
      </c>
      <c r="DK350" s="1" t="s">
        <v>463</v>
      </c>
      <c r="DL350" s="1" t="s">
        <v>101</v>
      </c>
      <c r="DR350" s="1" t="b">
        <f>AlignmentNeutral</f>
        <v>0</v>
      </c>
      <c r="DS350" s="1" t="b">
        <f>BaseAtk&gt;=4</f>
        <v>0</v>
      </c>
      <c r="DT350" s="1" t="b">
        <f>SkSurvivalRanks&gt;=8</f>
        <v>0</v>
      </c>
      <c r="DU350" s="1" t="b">
        <f>SkSwimRanks&gt;=5</f>
        <v>0</v>
      </c>
      <c r="DV350" s="1" t="b">
        <f ca="1">MaxDivineSpellLevel&gt;=1</f>
        <v>0</v>
      </c>
      <c r="EA350" s="1" t="b">
        <f ca="1">AND(DM350:DZ350)</f>
        <v>0</v>
      </c>
      <c r="EB350" s="11" t="s">
        <v>338</v>
      </c>
      <c r="EC350" s="1" t="str">
        <f ca="1">IF(DR350,"","• Any neutral alignment.
")&amp;IF(DS350,"","• Base attack bonus +4.
")&amp;IF(DT350,"","• 8 ranks in Survival.
")&amp;IF(DU350,"","• 5 ranks in Swim.
")&amp;IF(DV350,"","• Able to cast 1st-level divine spells.
")&amp;"• You must have an animal companion with aquatic subtype or swim
  speed. (not verified)."</f>
        <v>• Any neutral alignment.
• Base attack bonus +4.
• 8 ranks in Survival.
• 5 ranks in Swim.
• Able to cast 1st-level divine spells.
• You must have an animal companion with aquatic subtype or swim
  speed. (not verified).</v>
      </c>
      <c r="ED350" s="11" t="s">
        <v>335</v>
      </c>
      <c r="EE350" s="12" t="s">
        <v>952</v>
      </c>
      <c r="EF350" s="13">
        <v>3</v>
      </c>
      <c r="EG350" s="13" t="s">
        <v>840</v>
      </c>
      <c r="EH350" s="13">
        <f>INT(SHrLvl/3)</f>
        <v>0</v>
      </c>
      <c r="EI350" s="9" t="b">
        <f t="shared" si="276"/>
        <v>0</v>
      </c>
      <c r="EJ350" s="9" t="str">
        <f t="shared" si="277"/>
        <v/>
      </c>
      <c r="EK350" s="9">
        <f t="shared" si="278"/>
        <v>99</v>
      </c>
      <c r="EL350" s="9">
        <f t="shared" si="279"/>
        <v>99</v>
      </c>
      <c r="EM350" s="9">
        <f t="shared" si="280"/>
        <v>99</v>
      </c>
      <c r="EN350" s="9">
        <f t="shared" si="281"/>
        <v>99</v>
      </c>
      <c r="EO350" s="10" t="str">
        <f t="shared" si="282"/>
        <v/>
      </c>
    </row>
    <row r="351" spans="1:145" ht="11.25" customHeight="1" x14ac:dyDescent="0.2">
      <c r="A351" s="1">
        <f t="shared" si="304"/>
        <v>348</v>
      </c>
      <c r="B351" s="1" t="s">
        <v>953</v>
      </c>
      <c r="E351" s="1">
        <f t="shared" si="326"/>
        <v>0</v>
      </c>
      <c r="F351" s="1">
        <v>1</v>
      </c>
      <c r="Z351" s="1" t="b">
        <f>FALSE</f>
        <v>0</v>
      </c>
      <c r="AA351" s="1" t="str">
        <f t="shared" si="329"/>
        <v/>
      </c>
      <c r="AB351" s="1" t="str">
        <f t="shared" si="330"/>
        <v/>
      </c>
      <c r="AC351" s="1">
        <f t="shared" si="327"/>
        <v>0</v>
      </c>
      <c r="AD351" s="1" t="str">
        <f t="shared" si="331"/>
        <v/>
      </c>
      <c r="AE351" s="1" t="str">
        <f t="shared" si="332"/>
        <v/>
      </c>
      <c r="AF351" s="1">
        <f t="shared" si="328"/>
        <v>0</v>
      </c>
      <c r="AG351" s="1">
        <f t="shared" si="333"/>
        <v>5</v>
      </c>
      <c r="AH351" s="1" t="str">
        <f t="shared" si="325"/>
        <v/>
      </c>
      <c r="EB351" s="11"/>
      <c r="ED351" s="11" t="s">
        <v>335</v>
      </c>
      <c r="EE351" s="12" t="s">
        <v>954</v>
      </c>
      <c r="EF351" s="13">
        <v>3</v>
      </c>
      <c r="EG351" s="13" t="s">
        <v>834</v>
      </c>
      <c r="EH351" s="13">
        <f>IF(TRgLvl&gt;=7,2,1)</f>
        <v>1</v>
      </c>
      <c r="EI351" s="9" t="b">
        <f t="shared" si="276"/>
        <v>0</v>
      </c>
      <c r="EJ351" s="9" t="str">
        <f t="shared" si="277"/>
        <v/>
      </c>
      <c r="EK351" s="9">
        <f t="shared" si="278"/>
        <v>99</v>
      </c>
      <c r="EL351" s="9">
        <f t="shared" si="279"/>
        <v>99</v>
      </c>
      <c r="EM351" s="9">
        <f t="shared" si="280"/>
        <v>99</v>
      </c>
      <c r="EN351" s="9">
        <f t="shared" si="281"/>
        <v>99</v>
      </c>
      <c r="EO351" s="10" t="str">
        <f t="shared" si="282"/>
        <v/>
      </c>
    </row>
    <row r="352" spans="1:145" ht="11.25" customHeight="1" x14ac:dyDescent="0.2">
      <c r="A352" s="1">
        <f t="shared" si="304"/>
        <v>349</v>
      </c>
      <c r="B352" s="1" t="s">
        <v>955</v>
      </c>
      <c r="C352" s="1" t="s">
        <v>12</v>
      </c>
      <c r="D352" s="1" t="s">
        <v>956</v>
      </c>
      <c r="E352" s="1">
        <f t="shared" si="326"/>
        <v>0</v>
      </c>
      <c r="G352" s="1">
        <f>CMdLvl</f>
        <v>0</v>
      </c>
      <c r="K352" s="1">
        <v>2</v>
      </c>
      <c r="L352" s="1">
        <v>6</v>
      </c>
      <c r="V352" s="1">
        <v>0.5</v>
      </c>
      <c r="W352" s="1">
        <v>0.34</v>
      </c>
      <c r="X352" s="1">
        <v>0.5</v>
      </c>
      <c r="Y352" s="1">
        <v>0.34</v>
      </c>
      <c r="Z352" s="1" t="b">
        <f>FALSE</f>
        <v>0</v>
      </c>
      <c r="AA352" s="1" t="str">
        <f t="shared" si="329"/>
        <v/>
      </c>
      <c r="AB352" s="1" t="str">
        <f t="shared" si="330"/>
        <v/>
      </c>
      <c r="AC352" s="1">
        <f t="shared" si="327"/>
        <v>0</v>
      </c>
      <c r="AD352" s="1" t="str">
        <f t="shared" si="331"/>
        <v/>
      </c>
      <c r="AE352" s="1" t="str">
        <f t="shared" si="332"/>
        <v/>
      </c>
      <c r="AF352" s="1">
        <f t="shared" si="328"/>
        <v>0</v>
      </c>
      <c r="AG352" s="1">
        <f t="shared" si="333"/>
        <v>5</v>
      </c>
      <c r="AH352" s="1" t="str">
        <f t="shared" si="325"/>
        <v/>
      </c>
      <c r="AI352" s="1">
        <v>1</v>
      </c>
      <c r="AJ352" s="1">
        <f>IF(HRXPH,1,0)</f>
        <v>0</v>
      </c>
      <c r="AK352" s="1">
        <v>1</v>
      </c>
      <c r="AL352" s="1">
        <v>1</v>
      </c>
      <c r="AM352" s="1">
        <v>1</v>
      </c>
      <c r="AN352" s="1">
        <f>IF(IsLycanthrope,2,0)</f>
        <v>0</v>
      </c>
      <c r="AO352" s="1">
        <v>2</v>
      </c>
      <c r="AP352" s="1">
        <v>2</v>
      </c>
      <c r="AQ352" s="1">
        <v>2</v>
      </c>
      <c r="AR352" s="1">
        <v>2</v>
      </c>
      <c r="AS352" s="1">
        <v>2</v>
      </c>
      <c r="AT352" s="1">
        <v>2</v>
      </c>
      <c r="AU352" s="1">
        <v>2</v>
      </c>
      <c r="AV352" s="1">
        <v>2</v>
      </c>
      <c r="AW352" s="1">
        <v>1</v>
      </c>
      <c r="AX352" s="1">
        <v>2</v>
      </c>
      <c r="AY352" s="1">
        <v>1</v>
      </c>
      <c r="AZ352" s="1">
        <v>1</v>
      </c>
      <c r="BA352" s="1">
        <v>1</v>
      </c>
      <c r="BB352" s="1">
        <v>1</v>
      </c>
      <c r="BC352" s="1">
        <v>1</v>
      </c>
      <c r="BD352" s="1">
        <v>1</v>
      </c>
      <c r="BE352" s="1">
        <v>2</v>
      </c>
      <c r="BF352" s="1">
        <v>1</v>
      </c>
      <c r="BG352" s="1">
        <f>IF(HRRVL,1,0)</f>
        <v>0</v>
      </c>
      <c r="BH352" s="1">
        <f>IF(HROA,1,0)</f>
        <v>0</v>
      </c>
      <c r="BI352" s="1">
        <v>1</v>
      </c>
      <c r="BJ352" s="1">
        <v>1</v>
      </c>
      <c r="BK352" s="1">
        <v>1</v>
      </c>
      <c r="BL352" s="1">
        <v>1</v>
      </c>
      <c r="BM352" s="1">
        <v>1</v>
      </c>
      <c r="BN352" s="1">
        <v>1</v>
      </c>
      <c r="BO352" s="1">
        <v>2</v>
      </c>
      <c r="BP352" s="1">
        <v>1</v>
      </c>
      <c r="BQ352" s="1">
        <f>IF(HRRVL,1,0)</f>
        <v>0</v>
      </c>
      <c r="BR352" s="1">
        <v>1</v>
      </c>
      <c r="BS352" s="1">
        <v>1</v>
      </c>
      <c r="BT352" s="1">
        <f>IF(HRXPH,1,0)</f>
        <v>0</v>
      </c>
      <c r="BU352" s="1">
        <f>IF(HRRVL,2,0)</f>
        <v>0</v>
      </c>
      <c r="BV352" s="1">
        <v>2</v>
      </c>
      <c r="BW352" s="1">
        <v>1</v>
      </c>
      <c r="BX352" s="1">
        <v>1</v>
      </c>
      <c r="BY352" s="1">
        <v>1</v>
      </c>
      <c r="BZ352" s="1">
        <v>1</v>
      </c>
      <c r="CA352" s="1">
        <v>1</v>
      </c>
      <c r="CB352" s="1">
        <v>1</v>
      </c>
      <c r="CC352" s="1">
        <v>1</v>
      </c>
      <c r="CD352" s="1">
        <v>1</v>
      </c>
      <c r="CE352" s="1">
        <v>1</v>
      </c>
      <c r="CF352" s="1">
        <v>1</v>
      </c>
      <c r="CG352" s="1">
        <f>IF(HRToB,1,0)</f>
        <v>0</v>
      </c>
      <c r="CH352" s="1">
        <v>1</v>
      </c>
      <c r="CI352" s="1">
        <v>1</v>
      </c>
      <c r="CJ352" s="1">
        <v>1</v>
      </c>
      <c r="CK352" s="1">
        <v>1</v>
      </c>
      <c r="CL352" s="1">
        <v>1</v>
      </c>
      <c r="CM352" s="1">
        <v>1</v>
      </c>
      <c r="CN352" s="1">
        <v>1</v>
      </c>
      <c r="CO352" s="1">
        <v>1</v>
      </c>
      <c r="CP352" s="1">
        <v>2</v>
      </c>
      <c r="CQ352" s="1">
        <v>2</v>
      </c>
      <c r="CR352" s="1">
        <v>2</v>
      </c>
      <c r="CS352" s="1">
        <v>2</v>
      </c>
      <c r="CT352" s="1">
        <v>2</v>
      </c>
      <c r="CU352" s="1">
        <v>2</v>
      </c>
      <c r="CV352" s="1">
        <f>IF(HRXPH,1,0)</f>
        <v>0</v>
      </c>
      <c r="CW352" s="1">
        <v>2</v>
      </c>
      <c r="CX352" s="1">
        <v>1</v>
      </c>
      <c r="CY352" s="1">
        <v>1</v>
      </c>
      <c r="CZ352" s="1">
        <f>IF(HRCS,1,0)</f>
        <v>0</v>
      </c>
      <c r="DA352" s="1">
        <v>1</v>
      </c>
      <c r="DB352" s="1">
        <v>1</v>
      </c>
      <c r="DC352" s="1">
        <v>2</v>
      </c>
      <c r="DD352" s="1">
        <v>2</v>
      </c>
      <c r="DE352" s="1">
        <v>1</v>
      </c>
      <c r="DF352" s="1">
        <v>1</v>
      </c>
      <c r="DG352" s="1">
        <v>1</v>
      </c>
      <c r="DH352" s="1">
        <v>1</v>
      </c>
      <c r="DI352" s="1">
        <f>IF(HRXPH,1,0)</f>
        <v>0</v>
      </c>
      <c r="DJ352" s="1">
        <v>1</v>
      </c>
      <c r="DK352" s="1" t="s">
        <v>957</v>
      </c>
      <c r="DL352" s="1" t="s">
        <v>101</v>
      </c>
      <c r="DR352" s="1" t="b">
        <f>AlignmentNonEvil</f>
        <v>1</v>
      </c>
      <c r="DS352" s="1" t="b">
        <f>SkConcentrationRanks&gt;=4</f>
        <v>0</v>
      </c>
      <c r="DT352" s="1" t="b">
        <f>SkHealRanks&gt;=8</f>
        <v>0</v>
      </c>
      <c r="DU352" s="1" t="b">
        <f>FtCombatCasting</f>
        <v>0</v>
      </c>
      <c r="DV352" s="1" t="b">
        <f>FtDodgeEquiv</f>
        <v>0</v>
      </c>
      <c r="EA352" s="1" t="b">
        <f>AND(DM352:DZ352)</f>
        <v>0</v>
      </c>
      <c r="EB352" s="11" t="s">
        <v>338</v>
      </c>
      <c r="EC352" s="1" t="str">
        <f>IF(DR352,"","• Must be of any non-evil alignment.
")&amp;IF(DS352,"","• 4 ranks in Concentration.
")&amp;IF(DT352,"","• 8 ranks in Heal.
")&amp;IF(DU352,"","• Combat Casting Feat.
")&amp;IF(DV352,"","• Dodge Feat.
")&amp;"• Must be able to cast cure light wounds (not verified)."</f>
        <v>• 4 ranks in Concentration.
• 8 ranks in Heal.
• Combat Casting Feat.
• Dodge Feat.
• Must be able to cast cure light wounds (not verified).</v>
      </c>
      <c r="ED352" s="11" t="s">
        <v>335</v>
      </c>
      <c r="EE352" s="12" t="s">
        <v>958</v>
      </c>
      <c r="EF352" s="13">
        <v>7</v>
      </c>
      <c r="EG352" s="13" t="s">
        <v>959</v>
      </c>
      <c r="EH352" s="13">
        <f>IF(MChLvl&gt;=10,15,10)</f>
        <v>10</v>
      </c>
      <c r="EI352" s="9" t="b">
        <f t="shared" si="276"/>
        <v>0</v>
      </c>
      <c r="EJ352" s="9" t="str">
        <f t="shared" si="277"/>
        <v/>
      </c>
      <c r="EK352" s="9">
        <f t="shared" si="278"/>
        <v>99</v>
      </c>
      <c r="EL352" s="9">
        <f t="shared" si="279"/>
        <v>99</v>
      </c>
      <c r="EM352" s="9">
        <f t="shared" si="280"/>
        <v>99</v>
      </c>
      <c r="EN352" s="9">
        <f t="shared" si="281"/>
        <v>99</v>
      </c>
      <c r="EO352" s="10" t="str">
        <f t="shared" si="282"/>
        <v/>
      </c>
    </row>
    <row r="353" spans="1:145" ht="11.25" customHeight="1" x14ac:dyDescent="0.2">
      <c r="A353" s="1">
        <f t="shared" si="304"/>
        <v>350</v>
      </c>
      <c r="B353" s="1" t="s">
        <v>960</v>
      </c>
      <c r="C353" s="1" t="s">
        <v>961</v>
      </c>
      <c r="D353" s="1" t="s">
        <v>961</v>
      </c>
      <c r="E353" s="1">
        <f t="shared" si="326"/>
        <v>0</v>
      </c>
      <c r="K353" s="1">
        <v>6</v>
      </c>
      <c r="L353" s="1">
        <v>8</v>
      </c>
      <c r="V353" s="1">
        <v>1</v>
      </c>
      <c r="W353" s="1">
        <v>0.34</v>
      </c>
      <c r="X353" s="1">
        <v>0.5</v>
      </c>
      <c r="Y353" s="1">
        <v>0.34</v>
      </c>
      <c r="Z353" s="1" t="b">
        <f>FALSE</f>
        <v>0</v>
      </c>
      <c r="AA353" s="1" t="str">
        <f t="shared" si="329"/>
        <v/>
      </c>
      <c r="AB353" s="1" t="str">
        <f t="shared" si="330"/>
        <v/>
      </c>
      <c r="AC353" s="1">
        <f t="shared" si="327"/>
        <v>0</v>
      </c>
      <c r="AD353" s="1" t="str">
        <f t="shared" si="331"/>
        <v/>
      </c>
      <c r="AE353" s="1" t="str">
        <f t="shared" si="332"/>
        <v/>
      </c>
      <c r="AF353" s="1">
        <f t="shared" si="328"/>
        <v>0</v>
      </c>
      <c r="AG353" s="1">
        <f t="shared" si="333"/>
        <v>5</v>
      </c>
      <c r="AH353" s="1" t="str">
        <f t="shared" si="325"/>
        <v/>
      </c>
      <c r="AI353" s="1">
        <v>1</v>
      </c>
      <c r="AJ353" s="1">
        <f>IF(HRXPH,1,0)</f>
        <v>0</v>
      </c>
      <c r="AK353" s="1">
        <v>1</v>
      </c>
      <c r="AL353" s="1">
        <v>1</v>
      </c>
      <c r="AM353" s="1">
        <v>2</v>
      </c>
      <c r="AN353" s="1">
        <f>IF(IsLycanthrope,2,0)</f>
        <v>0</v>
      </c>
      <c r="AO353" s="1">
        <v>1</v>
      </c>
      <c r="AP353" s="1">
        <v>2</v>
      </c>
      <c r="AQ353" s="1">
        <v>2</v>
      </c>
      <c r="AR353" s="1">
        <v>2</v>
      </c>
      <c r="AS353" s="1">
        <v>2</v>
      </c>
      <c r="AT353" s="1">
        <v>2</v>
      </c>
      <c r="AU353" s="1">
        <v>2</v>
      </c>
      <c r="AV353" s="1">
        <v>2</v>
      </c>
      <c r="AW353" s="1">
        <v>1</v>
      </c>
      <c r="AX353" s="1">
        <v>1</v>
      </c>
      <c r="AY353" s="1">
        <v>2</v>
      </c>
      <c r="AZ353" s="1">
        <v>2</v>
      </c>
      <c r="BA353" s="1">
        <v>2</v>
      </c>
      <c r="BB353" s="1">
        <v>1</v>
      </c>
      <c r="BC353" s="1">
        <v>1</v>
      </c>
      <c r="BD353" s="1">
        <v>1</v>
      </c>
      <c r="BE353" s="1">
        <v>1</v>
      </c>
      <c r="BF353" s="1">
        <v>2</v>
      </c>
      <c r="BG353" s="1">
        <f>IF(HRRVL,1,0)</f>
        <v>0</v>
      </c>
      <c r="BH353" s="1">
        <f>IF(HROA,1,0)</f>
        <v>0</v>
      </c>
      <c r="BI353" s="1">
        <v>1</v>
      </c>
      <c r="BJ353" s="1">
        <v>2</v>
      </c>
      <c r="BK353" s="1">
        <v>1</v>
      </c>
      <c r="BL353" s="1">
        <v>1</v>
      </c>
      <c r="BM353" s="1">
        <v>1</v>
      </c>
      <c r="BN353" s="1">
        <v>2</v>
      </c>
      <c r="BO353" s="1">
        <v>1</v>
      </c>
      <c r="BP353" s="1">
        <v>1</v>
      </c>
      <c r="BQ353" s="1">
        <f>IF(HRRVL,1,0)</f>
        <v>0</v>
      </c>
      <c r="BR353" s="1">
        <v>1</v>
      </c>
      <c r="BS353" s="1">
        <v>1</v>
      </c>
      <c r="BT353" s="1">
        <f>IF(HRXPH,1,0)</f>
        <v>0</v>
      </c>
      <c r="BU353" s="1">
        <f>IF(HRRVL,1,0)</f>
        <v>0</v>
      </c>
      <c r="BV353" s="1">
        <v>1</v>
      </c>
      <c r="BW353" s="1">
        <v>1</v>
      </c>
      <c r="BX353" s="1">
        <v>1</v>
      </c>
      <c r="BY353" s="1">
        <v>1</v>
      </c>
      <c r="BZ353" s="1">
        <v>1</v>
      </c>
      <c r="CA353" s="1">
        <v>1</v>
      </c>
      <c r="CB353" s="1">
        <v>1</v>
      </c>
      <c r="CC353" s="1">
        <v>1</v>
      </c>
      <c r="CD353" s="1">
        <v>1</v>
      </c>
      <c r="CE353" s="1">
        <v>1</v>
      </c>
      <c r="CF353" s="1">
        <v>2</v>
      </c>
      <c r="CG353" s="1">
        <f>IF(HRToB,1,0)</f>
        <v>0</v>
      </c>
      <c r="CH353" s="1">
        <v>2</v>
      </c>
      <c r="CI353" s="1">
        <v>2</v>
      </c>
      <c r="CJ353" s="1">
        <v>1</v>
      </c>
      <c r="CK353" s="1">
        <v>1</v>
      </c>
      <c r="CL353" s="1">
        <v>1</v>
      </c>
      <c r="CM353" s="1">
        <v>1</v>
      </c>
      <c r="CN353" s="1">
        <v>1</v>
      </c>
      <c r="CO353" s="1">
        <v>1</v>
      </c>
      <c r="CP353" s="1">
        <v>2</v>
      </c>
      <c r="CQ353" s="1">
        <v>2</v>
      </c>
      <c r="CR353" s="1">
        <v>2</v>
      </c>
      <c r="CS353" s="1">
        <v>2</v>
      </c>
      <c r="CT353" s="1">
        <v>2</v>
      </c>
      <c r="CU353" s="1">
        <v>2</v>
      </c>
      <c r="CV353" s="1">
        <f>IF(HRXPH,1,0)</f>
        <v>0</v>
      </c>
      <c r="CW353" s="1">
        <v>1</v>
      </c>
      <c r="CX353" s="1">
        <v>2</v>
      </c>
      <c r="CY353" s="1">
        <v>1</v>
      </c>
      <c r="CZ353" s="1">
        <f>IF(HRCS,1,0)</f>
        <v>0</v>
      </c>
      <c r="DA353" s="1">
        <v>1</v>
      </c>
      <c r="DB353" s="1">
        <v>1</v>
      </c>
      <c r="DC353" s="1">
        <v>1</v>
      </c>
      <c r="DD353" s="1">
        <v>2</v>
      </c>
      <c r="DE353" s="1">
        <v>1</v>
      </c>
      <c r="DF353" s="1">
        <v>2</v>
      </c>
      <c r="DG353" s="1">
        <v>1</v>
      </c>
      <c r="DH353" s="1">
        <v>1</v>
      </c>
      <c r="DI353" s="1">
        <f>IF(HRXPH,1,0)</f>
        <v>0</v>
      </c>
      <c r="DJ353" s="1">
        <v>2</v>
      </c>
      <c r="DK353" s="1" t="s">
        <v>957</v>
      </c>
      <c r="DL353" s="1" t="s">
        <v>101</v>
      </c>
      <c r="DR353" s="1" t="b">
        <f>BaseAtk&gt;=5</f>
        <v>0</v>
      </c>
      <c r="DS353" s="1" t="b">
        <f>SkHideRanks&gt;=6</f>
        <v>0</v>
      </c>
      <c r="DT353" s="1" t="b">
        <f>SkMoveSilentlyRanks&gt;=6</f>
        <v>0</v>
      </c>
      <c r="DU353" s="1" t="b">
        <f>FtDodgeEquiv</f>
        <v>0</v>
      </c>
      <c r="DV353" s="1" t="b">
        <f>FtMobility</f>
        <v>0</v>
      </c>
      <c r="EA353" s="1" t="b">
        <f>AND(DM353:DZ353)</f>
        <v>0</v>
      </c>
      <c r="EB353" s="11" t="s">
        <v>334</v>
      </c>
      <c r="EC353" s="1" t="str">
        <f>IF(DR353,"","• Base Attack Bonus of +5.
")&amp;IF(DS353,"","• 6 ranks in Hide.
")&amp;IF(DT353,"","• 6 ranks in Move Silently.
")&amp;IF(DU353,"","• Dodge Feat.
")&amp;IF(DV353,"","• Mobility Feat.")</f>
        <v>• Base Attack Bonus of +5.
• 6 ranks in Hide.
• 6 ranks in Move Silently.
• Dodge Feat.
• Mobility Feat.</v>
      </c>
      <c r="ED353" s="11" t="s">
        <v>335</v>
      </c>
      <c r="EE353" s="12" t="s">
        <v>962</v>
      </c>
      <c r="EF353" s="13">
        <v>7</v>
      </c>
      <c r="EG353" s="13" t="s">
        <v>963</v>
      </c>
      <c r="EH353" s="13">
        <v>5</v>
      </c>
      <c r="EI353" s="9" t="b">
        <f t="shared" si="276"/>
        <v>0</v>
      </c>
      <c r="EJ353" s="9" t="str">
        <f t="shared" si="277"/>
        <v/>
      </c>
      <c r="EK353" s="9">
        <f t="shared" si="278"/>
        <v>99</v>
      </c>
      <c r="EL353" s="9">
        <f t="shared" si="279"/>
        <v>99</v>
      </c>
      <c r="EM353" s="9">
        <f t="shared" si="280"/>
        <v>99</v>
      </c>
      <c r="EN353" s="9">
        <f t="shared" si="281"/>
        <v>99</v>
      </c>
      <c r="EO353" s="10" t="str">
        <f t="shared" si="282"/>
        <v/>
      </c>
    </row>
    <row r="354" spans="1:145" ht="11.25" customHeight="1" x14ac:dyDescent="0.2">
      <c r="A354" s="1">
        <f t="shared" si="304"/>
        <v>351</v>
      </c>
      <c r="B354" s="1" t="s">
        <v>964</v>
      </c>
      <c r="C354" s="1" t="s">
        <v>965</v>
      </c>
      <c r="D354" s="1" t="s">
        <v>965</v>
      </c>
      <c r="E354" s="1">
        <f t="shared" si="326"/>
        <v>0</v>
      </c>
      <c r="K354" s="1">
        <v>4</v>
      </c>
      <c r="L354" s="1">
        <v>8</v>
      </c>
      <c r="V354" s="1">
        <v>0.75</v>
      </c>
      <c r="W354" s="1">
        <v>0.34</v>
      </c>
      <c r="X354" s="1">
        <v>0.34</v>
      </c>
      <c r="Y354" s="1">
        <v>0.5</v>
      </c>
      <c r="Z354" s="1" t="b">
        <f>FALSE</f>
        <v>0</v>
      </c>
      <c r="AA354" s="1" t="str">
        <f t="shared" si="329"/>
        <v/>
      </c>
      <c r="AB354" s="1" t="str">
        <f t="shared" si="330"/>
        <v/>
      </c>
      <c r="AC354" s="1">
        <f t="shared" si="327"/>
        <v>0</v>
      </c>
      <c r="AD354" s="1" t="str">
        <f t="shared" si="331"/>
        <v/>
      </c>
      <c r="AE354" s="1" t="str">
        <f t="shared" si="332"/>
        <v/>
      </c>
      <c r="AF354" s="1">
        <f t="shared" si="328"/>
        <v>0</v>
      </c>
      <c r="AG354" s="1">
        <f t="shared" si="333"/>
        <v>5</v>
      </c>
      <c r="AH354" s="1" t="str">
        <f t="shared" si="325"/>
        <v/>
      </c>
      <c r="AI354" s="1">
        <v>1</v>
      </c>
      <c r="AJ354" s="1">
        <f>IF(HRXPH,1,0)</f>
        <v>0</v>
      </c>
      <c r="AK354" s="1">
        <v>1</v>
      </c>
      <c r="AL354" s="1">
        <v>2</v>
      </c>
      <c r="AM354" s="1">
        <v>1</v>
      </c>
      <c r="AN354" s="1">
        <f>IF(IsLycanthrope,2,0)</f>
        <v>0</v>
      </c>
      <c r="AO354" s="1">
        <v>1</v>
      </c>
      <c r="AP354" s="1">
        <v>2</v>
      </c>
      <c r="AQ354" s="1">
        <v>2</v>
      </c>
      <c r="AR354" s="1">
        <v>2</v>
      </c>
      <c r="AS354" s="1">
        <v>2</v>
      </c>
      <c r="AT354" s="1">
        <v>2</v>
      </c>
      <c r="AU354" s="1">
        <v>2</v>
      </c>
      <c r="AV354" s="1">
        <v>2</v>
      </c>
      <c r="AW354" s="1">
        <v>1</v>
      </c>
      <c r="AX354" s="1">
        <v>2</v>
      </c>
      <c r="AY354" s="1">
        <v>1</v>
      </c>
      <c r="AZ354" s="1">
        <v>1</v>
      </c>
      <c r="BA354" s="1">
        <v>1</v>
      </c>
      <c r="BB354" s="1">
        <v>1</v>
      </c>
      <c r="BC354" s="1">
        <v>2</v>
      </c>
      <c r="BD354" s="1">
        <v>2</v>
      </c>
      <c r="BE354" s="1">
        <v>1</v>
      </c>
      <c r="BF354" s="1">
        <v>1</v>
      </c>
      <c r="BG354" s="1">
        <f>IF(HRRVL,1,0)</f>
        <v>0</v>
      </c>
      <c r="BH354" s="1">
        <f>IF(HROA,1,0)</f>
        <v>0</v>
      </c>
      <c r="BI354" s="1">
        <v>2</v>
      </c>
      <c r="BJ354" s="1">
        <v>1</v>
      </c>
      <c r="BK354" s="1">
        <v>1</v>
      </c>
      <c r="BL354" s="1">
        <v>1</v>
      </c>
      <c r="BM354" s="1">
        <v>1</v>
      </c>
      <c r="BN354" s="1">
        <v>1</v>
      </c>
      <c r="BO354" s="1">
        <v>2</v>
      </c>
      <c r="BP354" s="1">
        <v>1</v>
      </c>
      <c r="BQ354" s="1">
        <f>IF(HRRVL,1,0)</f>
        <v>0</v>
      </c>
      <c r="BR354" s="1">
        <v>1</v>
      </c>
      <c r="BS354" s="1">
        <v>2</v>
      </c>
      <c r="BT354" s="1">
        <f>IF(HRXPH,1,0)</f>
        <v>0</v>
      </c>
      <c r="BU354" s="1">
        <f>IF(HRRVL,1,0)</f>
        <v>0</v>
      </c>
      <c r="BV354" s="1">
        <v>1</v>
      </c>
      <c r="BW354" s="1">
        <v>1</v>
      </c>
      <c r="BX354" s="1">
        <v>1</v>
      </c>
      <c r="BY354" s="1">
        <v>1</v>
      </c>
      <c r="BZ354" s="1">
        <v>1</v>
      </c>
      <c r="CA354" s="1">
        <v>1</v>
      </c>
      <c r="CB354" s="1">
        <v>1</v>
      </c>
      <c r="CC354" s="1">
        <v>1</v>
      </c>
      <c r="CD354" s="1">
        <v>1</v>
      </c>
      <c r="CE354" s="1">
        <v>1</v>
      </c>
      <c r="CF354" s="1">
        <v>1</v>
      </c>
      <c r="CG354" s="1">
        <f>IF(HRToB,1,0)</f>
        <v>0</v>
      </c>
      <c r="CH354" s="1">
        <v>1</v>
      </c>
      <c r="CI354" s="1">
        <v>1</v>
      </c>
      <c r="CJ354" s="1">
        <v>1</v>
      </c>
      <c r="CK354" s="1">
        <v>1</v>
      </c>
      <c r="CL354" s="1">
        <v>1</v>
      </c>
      <c r="CM354" s="1">
        <v>1</v>
      </c>
      <c r="CN354" s="1">
        <v>1</v>
      </c>
      <c r="CO354" s="1">
        <v>1</v>
      </c>
      <c r="CP354" s="1">
        <v>2</v>
      </c>
      <c r="CQ354" s="1">
        <v>2</v>
      </c>
      <c r="CR354" s="1">
        <v>2</v>
      </c>
      <c r="CS354" s="1">
        <v>2</v>
      </c>
      <c r="CT354" s="1">
        <v>2</v>
      </c>
      <c r="CU354" s="1">
        <v>2</v>
      </c>
      <c r="CV354" s="1">
        <f>IF(HRXPH,1,0)</f>
        <v>0</v>
      </c>
      <c r="CW354" s="1">
        <v>2</v>
      </c>
      <c r="CX354" s="1">
        <v>1</v>
      </c>
      <c r="CY354" s="1">
        <v>2</v>
      </c>
      <c r="CZ354" s="1">
        <f>IF(HRCS,1,0)</f>
        <v>0</v>
      </c>
      <c r="DA354" s="1">
        <v>1</v>
      </c>
      <c r="DB354" s="1">
        <v>1</v>
      </c>
      <c r="DC354" s="1">
        <v>1</v>
      </c>
      <c r="DD354" s="1">
        <v>1</v>
      </c>
      <c r="DE354" s="1">
        <v>1</v>
      </c>
      <c r="DF354" s="1">
        <v>1</v>
      </c>
      <c r="DG354" s="1">
        <v>1</v>
      </c>
      <c r="DH354" s="1">
        <v>1</v>
      </c>
      <c r="DI354" s="1">
        <f>IF(HRXPH,1,0)</f>
        <v>0</v>
      </c>
      <c r="DJ354" s="1">
        <v>1</v>
      </c>
      <c r="DK354" s="1" t="s">
        <v>957</v>
      </c>
      <c r="DL354" s="1" t="s">
        <v>170</v>
      </c>
      <c r="DR354" s="1" t="b">
        <f>FtIronWill</f>
        <v>0</v>
      </c>
      <c r="DS354" s="1" t="b">
        <f>FtLeadership</f>
        <v>0</v>
      </c>
      <c r="EA354" s="1" t="b">
        <f>AND(DM354:DZ354)</f>
        <v>0</v>
      </c>
      <c r="EB354" s="11" t="s">
        <v>338</v>
      </c>
      <c r="EC354" s="1" t="str">
        <f>IF(DR354,"","• Iron Will Feat.
")&amp;IF(DS354,"","• Leadership Feat.
")&amp;"• Base Leadership score of 7 or higher (not verified)."</f>
        <v>• Iron Will Feat.
• Leadership Feat.
• Base Leadership score of 7 or higher (not verified).</v>
      </c>
      <c r="ED354" s="11" t="s">
        <v>335</v>
      </c>
      <c r="EE354" s="12" t="s">
        <v>254</v>
      </c>
      <c r="EF354" s="13">
        <v>11</v>
      </c>
      <c r="EG354" s="13" t="s">
        <v>834</v>
      </c>
      <c r="EH354" s="13">
        <f>INT((SohLvl-8)/3)</f>
        <v>-3</v>
      </c>
      <c r="EI354" s="9" t="b">
        <f t="shared" si="276"/>
        <v>0</v>
      </c>
      <c r="EJ354" s="9" t="str">
        <f t="shared" si="277"/>
        <v/>
      </c>
      <c r="EK354" s="9">
        <f t="shared" si="278"/>
        <v>99</v>
      </c>
      <c r="EL354" s="9">
        <f t="shared" si="279"/>
        <v>99</v>
      </c>
      <c r="EM354" s="9">
        <f t="shared" si="280"/>
        <v>99</v>
      </c>
      <c r="EN354" s="9">
        <f t="shared" si="281"/>
        <v>99</v>
      </c>
      <c r="EO354" s="10" t="str">
        <f t="shared" si="282"/>
        <v/>
      </c>
    </row>
    <row r="355" spans="1:145" ht="11.25" customHeight="1" x14ac:dyDescent="0.2">
      <c r="A355" s="1">
        <f t="shared" si="304"/>
        <v>352</v>
      </c>
      <c r="B355" s="1" t="s">
        <v>966</v>
      </c>
      <c r="C355" s="1" t="s">
        <v>967</v>
      </c>
      <c r="D355" s="1" t="s">
        <v>967</v>
      </c>
      <c r="E355" s="1">
        <f t="shared" si="326"/>
        <v>0</v>
      </c>
      <c r="G355" s="1">
        <f>(WWvLvl&gt;=2)*(WWvLvl-1)</f>
        <v>0</v>
      </c>
      <c r="K355" s="1">
        <v>2</v>
      </c>
      <c r="L355" s="1">
        <v>4</v>
      </c>
      <c r="V355" s="1">
        <v>0.5</v>
      </c>
      <c r="W355" s="1">
        <v>0.34</v>
      </c>
      <c r="X355" s="1">
        <v>0.34</v>
      </c>
      <c r="Y355" s="1">
        <v>0.5</v>
      </c>
      <c r="Z355" s="1" t="b">
        <f>FALSE</f>
        <v>0</v>
      </c>
      <c r="AA355" s="1" t="str">
        <f t="shared" si="329"/>
        <v/>
      </c>
      <c r="AB355" s="1" t="str">
        <f t="shared" si="330"/>
        <v/>
      </c>
      <c r="AC355" s="1">
        <f t="shared" si="327"/>
        <v>0</v>
      </c>
      <c r="AD355" s="1" t="str">
        <f t="shared" si="331"/>
        <v/>
      </c>
      <c r="AE355" s="1" t="str">
        <f t="shared" si="332"/>
        <v/>
      </c>
      <c r="AF355" s="1">
        <f t="shared" si="328"/>
        <v>0</v>
      </c>
      <c r="AG355" s="1">
        <f t="shared" si="333"/>
        <v>5</v>
      </c>
      <c r="AH355" s="1" t="str">
        <f t="shared" si="325"/>
        <v/>
      </c>
      <c r="AI355" s="1">
        <v>1</v>
      </c>
      <c r="AJ355" s="1">
        <f>IF(HRXPH,1,0)</f>
        <v>0</v>
      </c>
      <c r="AK355" s="1">
        <v>1</v>
      </c>
      <c r="AL355" s="1">
        <v>1</v>
      </c>
      <c r="AM355" s="1">
        <v>1</v>
      </c>
      <c r="AN355" s="1">
        <f>IF(IsLycanthrope,2,0)</f>
        <v>0</v>
      </c>
      <c r="AO355" s="1">
        <v>2</v>
      </c>
      <c r="AP355" s="1">
        <v>2</v>
      </c>
      <c r="AQ355" s="1">
        <v>2</v>
      </c>
      <c r="AR355" s="1">
        <v>2</v>
      </c>
      <c r="AS355" s="1">
        <v>2</v>
      </c>
      <c r="AT355" s="1">
        <v>2</v>
      </c>
      <c r="AU355" s="1">
        <v>2</v>
      </c>
      <c r="AV355" s="1">
        <v>2</v>
      </c>
      <c r="AW355" s="1">
        <v>1</v>
      </c>
      <c r="AX355" s="1">
        <v>1</v>
      </c>
      <c r="AY355" s="1">
        <v>1</v>
      </c>
      <c r="AZ355" s="1">
        <v>1</v>
      </c>
      <c r="BA355" s="1">
        <v>1</v>
      </c>
      <c r="BB355" s="1">
        <v>1</v>
      </c>
      <c r="BC355" s="1">
        <v>1</v>
      </c>
      <c r="BD355" s="1">
        <v>1</v>
      </c>
      <c r="BE355" s="1">
        <v>1</v>
      </c>
      <c r="BF355" s="1">
        <v>1</v>
      </c>
      <c r="BG355" s="1">
        <f>IF(HRRVL,1,0)</f>
        <v>0</v>
      </c>
      <c r="BH355" s="1">
        <f>IF(HROA,1,0)</f>
        <v>0</v>
      </c>
      <c r="BI355" s="1">
        <v>1</v>
      </c>
      <c r="BJ355" s="1">
        <v>1</v>
      </c>
      <c r="BK355" s="1">
        <v>2</v>
      </c>
      <c r="BL355" s="1">
        <v>1</v>
      </c>
      <c r="BM355" s="1">
        <v>1</v>
      </c>
      <c r="BN355" s="1">
        <v>1</v>
      </c>
      <c r="BO355" s="1">
        <v>1</v>
      </c>
      <c r="BP355" s="1">
        <v>1</v>
      </c>
      <c r="BQ355" s="1">
        <f>IF(HRRVL,1,0)</f>
        <v>0</v>
      </c>
      <c r="BR355" s="1">
        <v>1</v>
      </c>
      <c r="BS355" s="1">
        <v>1</v>
      </c>
      <c r="BT355" s="1">
        <f>IF(HRXPH,1,0)</f>
        <v>0</v>
      </c>
      <c r="BU355" s="1">
        <f>IF(HRRVL,1,0)</f>
        <v>0</v>
      </c>
      <c r="BV355" s="1">
        <v>1</v>
      </c>
      <c r="BW355" s="1">
        <v>1</v>
      </c>
      <c r="BX355" s="1">
        <v>1</v>
      </c>
      <c r="BY355" s="1">
        <v>1</v>
      </c>
      <c r="BZ355" s="1">
        <v>1</v>
      </c>
      <c r="CA355" s="1">
        <v>1</v>
      </c>
      <c r="CB355" s="1">
        <v>1</v>
      </c>
      <c r="CC355" s="1">
        <v>1</v>
      </c>
      <c r="CD355" s="1">
        <v>1</v>
      </c>
      <c r="CE355" s="1">
        <v>1</v>
      </c>
      <c r="CF355" s="1">
        <v>1</v>
      </c>
      <c r="CG355" s="1">
        <f>IF(HRToB,1,0)</f>
        <v>0</v>
      </c>
      <c r="CH355" s="1">
        <v>1</v>
      </c>
      <c r="CI355" s="1">
        <v>1</v>
      </c>
      <c r="CJ355" s="1">
        <v>1</v>
      </c>
      <c r="CK355" s="1">
        <v>1</v>
      </c>
      <c r="CL355" s="1">
        <v>1</v>
      </c>
      <c r="CM355" s="1">
        <v>1</v>
      </c>
      <c r="CN355" s="1">
        <v>1</v>
      </c>
      <c r="CO355" s="1">
        <v>1</v>
      </c>
      <c r="CP355" s="1">
        <v>2</v>
      </c>
      <c r="CQ355" s="1">
        <v>2</v>
      </c>
      <c r="CR355" s="1">
        <v>2</v>
      </c>
      <c r="CS355" s="1">
        <v>2</v>
      </c>
      <c r="CT355" s="1">
        <v>2</v>
      </c>
      <c r="CU355" s="1">
        <v>2</v>
      </c>
      <c r="CV355" s="1">
        <f>IF(HRXPH,1,0)</f>
        <v>0</v>
      </c>
      <c r="CW355" s="1">
        <v>1</v>
      </c>
      <c r="CX355" s="1">
        <v>1</v>
      </c>
      <c r="CY355" s="1">
        <v>1</v>
      </c>
      <c r="CZ355" s="1">
        <f>IF(HRCS,1,0)</f>
        <v>0</v>
      </c>
      <c r="DA355" s="1">
        <v>1</v>
      </c>
      <c r="DB355" s="1">
        <v>1</v>
      </c>
      <c r="DC355" s="1">
        <v>2</v>
      </c>
      <c r="DD355" s="1">
        <v>1</v>
      </c>
      <c r="DE355" s="1">
        <v>1</v>
      </c>
      <c r="DF355" s="1">
        <v>1</v>
      </c>
      <c r="DG355" s="1">
        <v>1</v>
      </c>
      <c r="DH355" s="1">
        <v>1</v>
      </c>
      <c r="DI355" s="1">
        <f>IF(HRXPH,1,0)</f>
        <v>0</v>
      </c>
      <c r="DJ355" s="1">
        <v>1</v>
      </c>
      <c r="DK355" s="1" t="s">
        <v>957</v>
      </c>
      <c r="DL355" s="1" t="s">
        <v>101</v>
      </c>
      <c r="DR355" s="1" t="b">
        <f>IF(NOT(ISNA(MATCH("weaving",TblCraftSkills,0))),INDEX(TblCraftRanks,MATCH("weaving",TblCraftSkills,0),1)&gt;=6,FALSE)</f>
        <v>0</v>
      </c>
      <c r="DS355" s="1" t="b">
        <f>SkKnowledgeArcanaRanks&gt;=6</f>
        <v>0</v>
      </c>
      <c r="DT355" s="1" t="b">
        <f>FtEnlargeSpell</f>
        <v>0</v>
      </c>
      <c r="DU355" s="1" t="b">
        <f ca="1">MaxArcaneSpellLevel&gt;=3</f>
        <v>0</v>
      </c>
      <c r="EA355" s="1" t="b">
        <f ca="1">AND(DM355:DZ355)</f>
        <v>0</v>
      </c>
      <c r="EB355" s="11" t="s">
        <v>334</v>
      </c>
      <c r="EC355" s="1" t="str">
        <f ca="1">IF(DR355,"","• 6 ranks in Craft (weaving).
")&amp;IF(DS355,"","• 6 ranks in Knowledge (arcana).
")&amp;IF(DT355,"","• Enlarge Spell Feat.
")&amp;IF(DU355,"","• Must be able to cast 3rd-level Arcane spells.")</f>
        <v>• 6 ranks in Craft (weaving).
• 6 ranks in Knowledge (arcana).
• Enlarge Spell Feat.
• Must be able to cast 3rd-level Arcane spells.</v>
      </c>
      <c r="ED355" s="11" t="s">
        <v>335</v>
      </c>
      <c r="EE355" s="12" t="s">
        <v>968</v>
      </c>
      <c r="EF355" s="13">
        <v>6</v>
      </c>
      <c r="EG355" s="13" t="s">
        <v>834</v>
      </c>
      <c r="EH355" s="13">
        <f>3*INT((DBgLvl-3)/3)</f>
        <v>-3</v>
      </c>
      <c r="EI355" s="9" t="b">
        <f t="shared" si="276"/>
        <v>0</v>
      </c>
      <c r="EJ355" s="9" t="str">
        <f t="shared" si="277"/>
        <v/>
      </c>
      <c r="EK355" s="9">
        <f t="shared" si="278"/>
        <v>99</v>
      </c>
      <c r="EL355" s="9">
        <f t="shared" si="279"/>
        <v>99</v>
      </c>
      <c r="EM355" s="9">
        <f t="shared" si="280"/>
        <v>99</v>
      </c>
      <c r="EN355" s="9">
        <f t="shared" si="281"/>
        <v>99</v>
      </c>
      <c r="EO355" s="10" t="str">
        <f t="shared" si="282"/>
        <v/>
      </c>
    </row>
    <row r="356" spans="1:145" ht="11.25" customHeight="1" x14ac:dyDescent="0.2">
      <c r="A356" s="1">
        <f t="shared" si="304"/>
        <v>353</v>
      </c>
      <c r="B356" s="1" t="s">
        <v>969</v>
      </c>
      <c r="E356" s="1">
        <f t="shared" si="326"/>
        <v>0</v>
      </c>
      <c r="F356" s="1">
        <v>1</v>
      </c>
      <c r="Z356" s="1" t="b">
        <f>FALSE</f>
        <v>0</v>
      </c>
      <c r="AA356" s="1" t="str">
        <f t="shared" si="329"/>
        <v/>
      </c>
      <c r="AB356" s="1" t="str">
        <f t="shared" si="330"/>
        <v/>
      </c>
      <c r="AC356" s="1">
        <f t="shared" si="327"/>
        <v>0</v>
      </c>
      <c r="AD356" s="1" t="str">
        <f t="shared" si="331"/>
        <v/>
      </c>
      <c r="AE356" s="1" t="str">
        <f t="shared" si="332"/>
        <v/>
      </c>
      <c r="AF356" s="1">
        <f t="shared" si="328"/>
        <v>0</v>
      </c>
      <c r="AG356" s="1">
        <f t="shared" si="333"/>
        <v>5</v>
      </c>
      <c r="AH356" s="1" t="str">
        <f t="shared" si="325"/>
        <v/>
      </c>
      <c r="EB356" s="11"/>
      <c r="ED356" s="11" t="s">
        <v>335</v>
      </c>
      <c r="EE356" s="12" t="s">
        <v>970</v>
      </c>
      <c r="EF356" s="13">
        <v>10</v>
      </c>
      <c r="EG356" s="13" t="s">
        <v>884</v>
      </c>
      <c r="EH356" s="13">
        <v>10</v>
      </c>
      <c r="EI356" s="9" t="b">
        <f t="shared" si="276"/>
        <v>0</v>
      </c>
      <c r="EJ356" s="9" t="str">
        <f t="shared" si="277"/>
        <v/>
      </c>
      <c r="EK356" s="9">
        <f t="shared" si="278"/>
        <v>99</v>
      </c>
      <c r="EL356" s="9">
        <f t="shared" si="279"/>
        <v>99</v>
      </c>
      <c r="EM356" s="9">
        <f t="shared" si="280"/>
        <v>99</v>
      </c>
      <c r="EN356" s="9">
        <f t="shared" si="281"/>
        <v>99</v>
      </c>
      <c r="EO356" s="10" t="str">
        <f t="shared" si="282"/>
        <v/>
      </c>
    </row>
    <row r="357" spans="1:145" ht="11.25" customHeight="1" x14ac:dyDescent="0.2">
      <c r="A357" s="1">
        <f t="shared" si="304"/>
        <v>354</v>
      </c>
      <c r="B357" s="1" t="s">
        <v>971</v>
      </c>
      <c r="C357" s="1" t="s">
        <v>972</v>
      </c>
      <c r="D357" s="1" t="s">
        <v>972</v>
      </c>
      <c r="E357" s="1">
        <f t="shared" si="326"/>
        <v>0</v>
      </c>
      <c r="K357" s="1">
        <v>2</v>
      </c>
      <c r="L357" s="1">
        <v>12</v>
      </c>
      <c r="V357" s="1">
        <v>1</v>
      </c>
      <c r="W357" s="1">
        <v>0.5</v>
      </c>
      <c r="X357" s="1">
        <v>0.34</v>
      </c>
      <c r="Y357" s="1">
        <v>0.34</v>
      </c>
      <c r="Z357" s="1" t="b">
        <f>FALSE</f>
        <v>0</v>
      </c>
      <c r="AA357" s="1" t="str">
        <f t="shared" si="329"/>
        <v/>
      </c>
      <c r="AB357" s="1" t="str">
        <f t="shared" si="330"/>
        <v/>
      </c>
      <c r="AC357" s="1">
        <f t="shared" si="327"/>
        <v>0</v>
      </c>
      <c r="AD357" s="1" t="str">
        <f t="shared" si="331"/>
        <v/>
      </c>
      <c r="AE357" s="1" t="str">
        <f t="shared" si="332"/>
        <v/>
      </c>
      <c r="AF357" s="1">
        <f t="shared" si="328"/>
        <v>0</v>
      </c>
      <c r="AG357" s="1">
        <f t="shared" si="333"/>
        <v>5</v>
      </c>
      <c r="AH357" s="1" t="str">
        <f t="shared" si="325"/>
        <v/>
      </c>
      <c r="AI357" s="1">
        <v>1</v>
      </c>
      <c r="AJ357" s="1">
        <f t="shared" ref="AJ357:AJ362" si="346">IF(HRXPH,1,0)</f>
        <v>0</v>
      </c>
      <c r="AK357" s="1">
        <v>1</v>
      </c>
      <c r="AL357" s="1">
        <v>2</v>
      </c>
      <c r="AM357" s="1">
        <v>2</v>
      </c>
      <c r="AN357" s="1">
        <f t="shared" ref="AN357:AN362" si="347">IF(IsLycanthrope,2,0)</f>
        <v>0</v>
      </c>
      <c r="AO357" s="1">
        <v>2</v>
      </c>
      <c r="AP357" s="1">
        <v>1</v>
      </c>
      <c r="AQ357" s="1">
        <v>1</v>
      </c>
      <c r="AR357" s="1">
        <v>1</v>
      </c>
      <c r="AS357" s="1">
        <v>1</v>
      </c>
      <c r="AT357" s="1">
        <v>1</v>
      </c>
      <c r="AU357" s="1">
        <v>1</v>
      </c>
      <c r="AV357" s="1">
        <v>1</v>
      </c>
      <c r="AW357" s="1">
        <v>1</v>
      </c>
      <c r="AX357" s="1">
        <v>2</v>
      </c>
      <c r="AY357" s="1">
        <v>1</v>
      </c>
      <c r="AZ357" s="1">
        <v>1</v>
      </c>
      <c r="BA357" s="1">
        <v>1</v>
      </c>
      <c r="BB357" s="1">
        <v>1</v>
      </c>
      <c r="BC357" s="1">
        <v>1</v>
      </c>
      <c r="BD357" s="1">
        <v>1</v>
      </c>
      <c r="BE357" s="1">
        <v>1</v>
      </c>
      <c r="BF357" s="1">
        <v>1</v>
      </c>
      <c r="BG357" s="1">
        <f t="shared" ref="BG357:BG365" si="348">IF(HRRVL,1,0)</f>
        <v>0</v>
      </c>
      <c r="BH357" s="1">
        <f t="shared" ref="BH357:BH362" si="349">IF(HROA,1,0)</f>
        <v>0</v>
      </c>
      <c r="BI357" s="1">
        <v>2</v>
      </c>
      <c r="BJ357" s="1">
        <v>2</v>
      </c>
      <c r="BK357" s="1">
        <v>1</v>
      </c>
      <c r="BL357" s="1">
        <v>1</v>
      </c>
      <c r="BM357" s="1">
        <v>1</v>
      </c>
      <c r="BN357" s="1">
        <v>1</v>
      </c>
      <c r="BO357" s="1">
        <v>1</v>
      </c>
      <c r="BP357" s="1">
        <v>2</v>
      </c>
      <c r="BQ357" s="1">
        <f>IF(HRRVL,1,0)</f>
        <v>0</v>
      </c>
      <c r="BR357" s="1">
        <v>1</v>
      </c>
      <c r="BS357" s="1">
        <v>1</v>
      </c>
      <c r="BT357" s="1">
        <f>IF(HRXPH,1,0)</f>
        <v>0</v>
      </c>
      <c r="BU357" s="1">
        <f>IF(HRRVL,1,0)</f>
        <v>0</v>
      </c>
      <c r="BV357" s="1">
        <v>1</v>
      </c>
      <c r="BW357" s="1">
        <v>1</v>
      </c>
      <c r="BX357" s="1">
        <v>1</v>
      </c>
      <c r="BY357" s="1">
        <v>1</v>
      </c>
      <c r="BZ357" s="1">
        <v>1</v>
      </c>
      <c r="CA357" s="1">
        <v>1</v>
      </c>
      <c r="CB357" s="1">
        <v>1</v>
      </c>
      <c r="CC357" s="1">
        <v>1</v>
      </c>
      <c r="CD357" s="1">
        <v>1</v>
      </c>
      <c r="CE357" s="1">
        <v>1</v>
      </c>
      <c r="CF357" s="1">
        <v>2</v>
      </c>
      <c r="CG357" s="1">
        <f t="shared" ref="CG357:CG362" si="350">IF(HRToB,1,0)</f>
        <v>0</v>
      </c>
      <c r="CH357" s="1">
        <v>1</v>
      </c>
      <c r="CI357" s="1">
        <v>1</v>
      </c>
      <c r="CJ357" s="1">
        <v>1</v>
      </c>
      <c r="CK357" s="1">
        <v>1</v>
      </c>
      <c r="CL357" s="1">
        <v>1</v>
      </c>
      <c r="CM357" s="1">
        <v>1</v>
      </c>
      <c r="CN357" s="1">
        <v>1</v>
      </c>
      <c r="CO357" s="1">
        <v>1</v>
      </c>
      <c r="CP357" s="1">
        <v>1</v>
      </c>
      <c r="CQ357" s="1">
        <v>1</v>
      </c>
      <c r="CR357" s="1">
        <v>1</v>
      </c>
      <c r="CS357" s="1">
        <v>1</v>
      </c>
      <c r="CT357" s="1">
        <v>1</v>
      </c>
      <c r="CU357" s="1">
        <v>1</v>
      </c>
      <c r="CV357" s="1">
        <f t="shared" ref="CV357:CV362" si="351">IF(HRXPH,1,0)</f>
        <v>0</v>
      </c>
      <c r="CW357" s="1">
        <v>2</v>
      </c>
      <c r="CX357" s="1">
        <v>1</v>
      </c>
      <c r="CY357" s="1">
        <v>2</v>
      </c>
      <c r="CZ357" s="1">
        <f t="shared" ref="CZ357:CZ365" si="352">IF(HRCS,1,0)</f>
        <v>0</v>
      </c>
      <c r="DA357" s="1">
        <v>1</v>
      </c>
      <c r="DB357" s="1">
        <v>1</v>
      </c>
      <c r="DC357" s="1">
        <v>1</v>
      </c>
      <c r="DD357" s="1">
        <v>2</v>
      </c>
      <c r="DE357" s="1">
        <v>2</v>
      </c>
      <c r="DF357" s="1">
        <v>1</v>
      </c>
      <c r="DG357" s="1">
        <v>1</v>
      </c>
      <c r="DH357" s="1">
        <v>1</v>
      </c>
      <c r="DI357" s="1">
        <f t="shared" ref="DI357:DI362" si="353">IF(HRXPH,1,0)</f>
        <v>0</v>
      </c>
      <c r="DJ357" s="1">
        <v>1</v>
      </c>
      <c r="DK357" s="1" t="s">
        <v>188</v>
      </c>
      <c r="DL357" s="1" t="s">
        <v>170</v>
      </c>
      <c r="DR357" s="1" t="b">
        <f>AlignmentNonEvil</f>
        <v>1</v>
      </c>
      <c r="DS357" s="1" t="b">
        <f>BaseAtk&gt;=6</f>
        <v>0</v>
      </c>
      <c r="EA357" s="1" t="b">
        <f t="shared" ref="EA357:EA362" si="354">AND(DM357:DZ357)</f>
        <v>0</v>
      </c>
      <c r="EB357" s="11" t="s">
        <v>338</v>
      </c>
      <c r="EC357" s="1" t="str">
        <f>IF(DR357,"","• Must be of Non-Evil Alignment.
")&amp;IF(DS357,"","• Base Attack Bonus of +6 or greater.
")&amp;"• Taint: Moderate Corruption. (not verified)."</f>
        <v>• Base Attack Bonus of +6 or greater.
• Taint: Moderate Corruption. (not verified).</v>
      </c>
      <c r="ED357" s="11" t="s">
        <v>335</v>
      </c>
      <c r="EE357" s="12" t="s">
        <v>973</v>
      </c>
      <c r="EF357" s="13">
        <v>3</v>
      </c>
      <c r="EG357" s="13" t="s">
        <v>834</v>
      </c>
      <c r="EH357" s="13">
        <f>INT((HiDLvl-1)/2)</f>
        <v>-1</v>
      </c>
      <c r="EI357" s="9" t="b">
        <f t="shared" si="276"/>
        <v>0</v>
      </c>
      <c r="EJ357" s="9" t="str">
        <f t="shared" si="277"/>
        <v/>
      </c>
      <c r="EK357" s="9">
        <f t="shared" si="278"/>
        <v>99</v>
      </c>
      <c r="EL357" s="9">
        <f t="shared" si="279"/>
        <v>99</v>
      </c>
      <c r="EM357" s="9">
        <f t="shared" si="280"/>
        <v>99</v>
      </c>
      <c r="EN357" s="9">
        <f t="shared" si="281"/>
        <v>99</v>
      </c>
      <c r="EO357" s="10" t="str">
        <f t="shared" si="282"/>
        <v/>
      </c>
    </row>
    <row r="358" spans="1:145" ht="11.25" customHeight="1" x14ac:dyDescent="0.2">
      <c r="A358" s="1">
        <f t="shared" si="304"/>
        <v>355</v>
      </c>
      <c r="B358" s="1" t="s">
        <v>974</v>
      </c>
      <c r="C358" s="1" t="s">
        <v>975</v>
      </c>
      <c r="D358" s="1" t="s">
        <v>975</v>
      </c>
      <c r="E358" s="1">
        <f t="shared" si="326"/>
        <v>0</v>
      </c>
      <c r="K358" s="1">
        <v>2</v>
      </c>
      <c r="L358" s="1">
        <v>8</v>
      </c>
      <c r="M358" s="1">
        <f>E358</f>
        <v>0</v>
      </c>
      <c r="V358" s="1">
        <v>0.75</v>
      </c>
      <c r="W358" s="1">
        <v>0.5</v>
      </c>
      <c r="X358" s="1">
        <v>0.34</v>
      </c>
      <c r="Y358" s="1">
        <v>0.5</v>
      </c>
      <c r="Z358" s="1" t="b">
        <f>FALSE</f>
        <v>0</v>
      </c>
      <c r="AA358" s="1" t="str">
        <f t="shared" si="329"/>
        <v/>
      </c>
      <c r="AB358" s="1" t="str">
        <f t="shared" si="330"/>
        <v/>
      </c>
      <c r="AC358" s="1">
        <f t="shared" si="327"/>
        <v>0</v>
      </c>
      <c r="AD358" s="1" t="str">
        <f t="shared" si="331"/>
        <v/>
      </c>
      <c r="AE358" s="1" t="str">
        <f t="shared" si="332"/>
        <v/>
      </c>
      <c r="AF358" s="1">
        <f t="shared" si="328"/>
        <v>0</v>
      </c>
      <c r="AG358" s="1">
        <f t="shared" si="333"/>
        <v>5</v>
      </c>
      <c r="AH358" s="1" t="str">
        <f t="shared" si="325"/>
        <v/>
      </c>
      <c r="AI358" s="1">
        <v>1</v>
      </c>
      <c r="AJ358" s="1">
        <f t="shared" si="346"/>
        <v>0</v>
      </c>
      <c r="AK358" s="1">
        <v>1</v>
      </c>
      <c r="AL358" s="1">
        <v>1</v>
      </c>
      <c r="AM358" s="1">
        <v>1</v>
      </c>
      <c r="AN358" s="1">
        <f t="shared" si="347"/>
        <v>0</v>
      </c>
      <c r="AO358" s="1">
        <v>2</v>
      </c>
      <c r="AP358" s="1">
        <v>2</v>
      </c>
      <c r="AQ358" s="1">
        <v>2</v>
      </c>
      <c r="AR358" s="1">
        <v>2</v>
      </c>
      <c r="AS358" s="1">
        <v>2</v>
      </c>
      <c r="AT358" s="1">
        <v>2</v>
      </c>
      <c r="AU358" s="1">
        <v>2</v>
      </c>
      <c r="AV358" s="1">
        <v>2</v>
      </c>
      <c r="AW358" s="1">
        <v>1</v>
      </c>
      <c r="AX358" s="1">
        <v>1</v>
      </c>
      <c r="AY358" s="1">
        <v>1</v>
      </c>
      <c r="AZ358" s="1">
        <v>1</v>
      </c>
      <c r="BA358" s="1">
        <v>1</v>
      </c>
      <c r="BB358" s="1">
        <v>1</v>
      </c>
      <c r="BC358" s="1">
        <v>2</v>
      </c>
      <c r="BD358" s="1">
        <v>1</v>
      </c>
      <c r="BE358" s="1">
        <v>1</v>
      </c>
      <c r="BF358" s="1">
        <v>1</v>
      </c>
      <c r="BG358" s="1">
        <f t="shared" si="348"/>
        <v>0</v>
      </c>
      <c r="BH358" s="1">
        <f t="shared" si="349"/>
        <v>0</v>
      </c>
      <c r="BI358" s="1">
        <v>1</v>
      </c>
      <c r="BJ358" s="1">
        <v>1</v>
      </c>
      <c r="BK358" s="1">
        <v>2</v>
      </c>
      <c r="BL358" s="1">
        <v>1</v>
      </c>
      <c r="BM358" s="1">
        <v>1</v>
      </c>
      <c r="BN358" s="1">
        <v>1</v>
      </c>
      <c r="BO358" s="1">
        <v>1</v>
      </c>
      <c r="BP358" s="1">
        <v>1</v>
      </c>
      <c r="BQ358" s="1">
        <f>IF(HRRVL,1,0)</f>
        <v>0</v>
      </c>
      <c r="BR358" s="1">
        <v>1</v>
      </c>
      <c r="BS358" s="1">
        <v>1</v>
      </c>
      <c r="BT358" s="1">
        <f>IF(HRXPH,1,0)</f>
        <v>0</v>
      </c>
      <c r="BU358" s="1">
        <f>IF(HRRVL,2,0)</f>
        <v>0</v>
      </c>
      <c r="BV358" s="1">
        <v>2</v>
      </c>
      <c r="BW358" s="1">
        <v>1</v>
      </c>
      <c r="BX358" s="1">
        <v>1</v>
      </c>
      <c r="BY358" s="1">
        <v>1</v>
      </c>
      <c r="BZ358" s="1">
        <v>1</v>
      </c>
      <c r="CA358" s="1">
        <v>1</v>
      </c>
      <c r="CB358" s="1">
        <v>1</v>
      </c>
      <c r="CC358" s="1">
        <v>1</v>
      </c>
      <c r="CD358" s="1">
        <v>1</v>
      </c>
      <c r="CE358" s="1">
        <v>1</v>
      </c>
      <c r="CF358" s="1">
        <v>2</v>
      </c>
      <c r="CG358" s="1">
        <f t="shared" si="350"/>
        <v>0</v>
      </c>
      <c r="CH358" s="1">
        <v>1</v>
      </c>
      <c r="CI358" s="1">
        <v>1</v>
      </c>
      <c r="CJ358" s="1">
        <v>1</v>
      </c>
      <c r="CK358" s="1">
        <v>1</v>
      </c>
      <c r="CL358" s="1">
        <v>1</v>
      </c>
      <c r="CM358" s="1">
        <v>1</v>
      </c>
      <c r="CN358" s="1">
        <v>1</v>
      </c>
      <c r="CO358" s="1">
        <v>1</v>
      </c>
      <c r="CP358" s="1">
        <v>2</v>
      </c>
      <c r="CQ358" s="1">
        <v>2</v>
      </c>
      <c r="CR358" s="1">
        <v>2</v>
      </c>
      <c r="CS358" s="1">
        <v>2</v>
      </c>
      <c r="CT358" s="1">
        <v>2</v>
      </c>
      <c r="CU358" s="1">
        <v>2</v>
      </c>
      <c r="CV358" s="1">
        <f t="shared" si="351"/>
        <v>0</v>
      </c>
      <c r="CW358" s="1">
        <v>1</v>
      </c>
      <c r="CX358" s="1">
        <v>2</v>
      </c>
      <c r="CY358" s="1">
        <v>1</v>
      </c>
      <c r="CZ358" s="1">
        <f t="shared" si="352"/>
        <v>0</v>
      </c>
      <c r="DA358" s="1">
        <v>1</v>
      </c>
      <c r="DB358" s="1">
        <v>1</v>
      </c>
      <c r="DC358" s="1">
        <v>2</v>
      </c>
      <c r="DD358" s="1">
        <v>2</v>
      </c>
      <c r="DE358" s="1">
        <v>1</v>
      </c>
      <c r="DF358" s="1">
        <v>1</v>
      </c>
      <c r="DG358" s="1">
        <v>1</v>
      </c>
      <c r="DH358" s="1">
        <v>1</v>
      </c>
      <c r="DI358" s="1">
        <f t="shared" si="353"/>
        <v>0</v>
      </c>
      <c r="DJ358" s="1">
        <v>1</v>
      </c>
      <c r="DK358" s="1" t="s">
        <v>188</v>
      </c>
      <c r="DL358" s="1" t="s">
        <v>101</v>
      </c>
      <c r="DR358" s="1" t="b">
        <f>BaseWill&gt;=2</f>
        <v>1</v>
      </c>
      <c r="DS358" s="1" t="b">
        <f>SkConcentrationRanks&gt;=8</f>
        <v>0</v>
      </c>
      <c r="DT358" s="1" t="b">
        <f>SkHealRanks&gt;=2</f>
        <v>0</v>
      </c>
      <c r="DU358" s="1" t="b">
        <f>SkKnowledgeReligionRanks&gt;=4</f>
        <v>0</v>
      </c>
      <c r="EA358" s="1" t="b">
        <f t="shared" si="354"/>
        <v>0</v>
      </c>
      <c r="EB358" s="11" t="s">
        <v>338</v>
      </c>
      <c r="EC358" s="1" t="str">
        <f>IF(DR358,"","• Base Will Save +2 or Greater.
")&amp;IF(DS358,"","• 8 ranks in Concentration.
")&amp;IF(DT358,"","• 2 ranks in Heal.
")&amp;IF(DU358,"","• 4 ranks in Knowledge (religion).
")&amp;"• Must have had at least one near-death experience. (not verified)."</f>
        <v>• 8 ranks in Concentration.
• 2 ranks in Heal.
• 4 ranks in Knowledge (religion).
• Must have had at least one near-death experience. (not verified).</v>
      </c>
      <c r="ED358" s="11" t="s">
        <v>335</v>
      </c>
      <c r="EE358" s="12" t="s">
        <v>690</v>
      </c>
      <c r="EF358" s="13">
        <v>4</v>
      </c>
      <c r="EG358" s="13" t="s">
        <v>840</v>
      </c>
      <c r="EH358" s="13">
        <f>INT(RMmLvl/4)</f>
        <v>0</v>
      </c>
      <c r="EI358" s="9" t="b">
        <f t="shared" si="276"/>
        <v>0</v>
      </c>
      <c r="EJ358" s="9" t="str">
        <f t="shared" si="277"/>
        <v/>
      </c>
      <c r="EK358" s="9">
        <f t="shared" si="278"/>
        <v>99</v>
      </c>
      <c r="EL358" s="9">
        <f t="shared" si="279"/>
        <v>99</v>
      </c>
      <c r="EM358" s="9">
        <f t="shared" si="280"/>
        <v>99</v>
      </c>
      <c r="EN358" s="9">
        <f t="shared" si="281"/>
        <v>99</v>
      </c>
      <c r="EO358" s="10" t="str">
        <f t="shared" si="282"/>
        <v/>
      </c>
    </row>
    <row r="359" spans="1:145" ht="11.25" customHeight="1" thickBot="1" x14ac:dyDescent="0.25">
      <c r="A359" s="1">
        <f t="shared" si="304"/>
        <v>356</v>
      </c>
      <c r="B359" s="1" t="s">
        <v>976</v>
      </c>
      <c r="C359" s="1" t="s">
        <v>977</v>
      </c>
      <c r="D359" s="1" t="s">
        <v>977</v>
      </c>
      <c r="E359" s="1">
        <f t="shared" si="326"/>
        <v>0</v>
      </c>
      <c r="G359" s="1">
        <f>(DWhLvl&gt;=2)*(DWhLvl-1)</f>
        <v>0</v>
      </c>
      <c r="K359" s="1">
        <v>2</v>
      </c>
      <c r="L359" s="1">
        <v>4</v>
      </c>
      <c r="V359" s="1">
        <v>0.5</v>
      </c>
      <c r="W359" s="1">
        <v>0.34</v>
      </c>
      <c r="X359" s="1">
        <v>0.34</v>
      </c>
      <c r="Y359" s="1">
        <v>0.5</v>
      </c>
      <c r="Z359" s="1" t="b">
        <f>FALSE</f>
        <v>0</v>
      </c>
      <c r="AA359" s="1" t="str">
        <f t="shared" si="329"/>
        <v/>
      </c>
      <c r="AB359" s="1" t="str">
        <f t="shared" si="330"/>
        <v/>
      </c>
      <c r="AC359" s="1">
        <f t="shared" si="327"/>
        <v>0</v>
      </c>
      <c r="AD359" s="1" t="str">
        <f t="shared" si="331"/>
        <v/>
      </c>
      <c r="AE359" s="1" t="str">
        <f t="shared" si="332"/>
        <v/>
      </c>
      <c r="AF359" s="1">
        <f t="shared" si="328"/>
        <v>0</v>
      </c>
      <c r="AG359" s="1">
        <f t="shared" si="333"/>
        <v>5</v>
      </c>
      <c r="AH359" s="1" t="str">
        <f t="shared" si="325"/>
        <v/>
      </c>
      <c r="AI359" s="1">
        <v>1</v>
      </c>
      <c r="AJ359" s="1">
        <f t="shared" si="346"/>
        <v>0</v>
      </c>
      <c r="AK359" s="1">
        <v>1</v>
      </c>
      <c r="AL359" s="1">
        <v>2</v>
      </c>
      <c r="AM359" s="1">
        <v>1</v>
      </c>
      <c r="AN359" s="1">
        <f t="shared" si="347"/>
        <v>0</v>
      </c>
      <c r="AO359" s="1">
        <v>2</v>
      </c>
      <c r="AP359" s="1">
        <v>2</v>
      </c>
      <c r="AQ359" s="1">
        <v>2</v>
      </c>
      <c r="AR359" s="1">
        <v>2</v>
      </c>
      <c r="AS359" s="1">
        <v>2</v>
      </c>
      <c r="AT359" s="1">
        <v>2</v>
      </c>
      <c r="AU359" s="1">
        <v>2</v>
      </c>
      <c r="AV359" s="1">
        <v>2</v>
      </c>
      <c r="AW359" s="1">
        <v>1</v>
      </c>
      <c r="AX359" s="1">
        <v>1</v>
      </c>
      <c r="AY359" s="1">
        <v>1</v>
      </c>
      <c r="AZ359" s="1">
        <v>1</v>
      </c>
      <c r="BA359" s="1">
        <v>1</v>
      </c>
      <c r="BB359" s="1">
        <v>1</v>
      </c>
      <c r="BC359" s="1">
        <v>1</v>
      </c>
      <c r="BD359" s="1">
        <v>1</v>
      </c>
      <c r="BE359" s="1">
        <v>1</v>
      </c>
      <c r="BF359" s="1">
        <v>1</v>
      </c>
      <c r="BG359" s="1">
        <f t="shared" si="348"/>
        <v>0</v>
      </c>
      <c r="BH359" s="1">
        <f t="shared" si="349"/>
        <v>0</v>
      </c>
      <c r="BI359" s="1">
        <v>2</v>
      </c>
      <c r="BJ359" s="1">
        <v>1</v>
      </c>
      <c r="BK359" s="1">
        <v>2</v>
      </c>
      <c r="BL359" s="1">
        <v>1</v>
      </c>
      <c r="BM359" s="1">
        <v>1</v>
      </c>
      <c r="BN359" s="1">
        <v>1</v>
      </c>
      <c r="BO359" s="1">
        <v>1</v>
      </c>
      <c r="BP359" s="1">
        <v>1</v>
      </c>
      <c r="BQ359" s="1">
        <f>IF(HRRVL,1,0)</f>
        <v>0</v>
      </c>
      <c r="BR359" s="1">
        <v>1</v>
      </c>
      <c r="BS359" s="1">
        <v>1</v>
      </c>
      <c r="BT359" s="1">
        <f>IF(HRXPH,1,0)</f>
        <v>0</v>
      </c>
      <c r="BU359" s="1">
        <f>IF(HRRVL,1,0)</f>
        <v>0</v>
      </c>
      <c r="BV359" s="1">
        <v>1</v>
      </c>
      <c r="BW359" s="1">
        <v>2</v>
      </c>
      <c r="BX359" s="1">
        <v>1</v>
      </c>
      <c r="BY359" s="1">
        <v>1</v>
      </c>
      <c r="BZ359" s="1">
        <v>1</v>
      </c>
      <c r="CA359" s="1">
        <v>1</v>
      </c>
      <c r="CB359" s="1">
        <v>1</v>
      </c>
      <c r="CC359" s="1">
        <v>1</v>
      </c>
      <c r="CD359" s="1">
        <v>1</v>
      </c>
      <c r="CE359" s="1">
        <v>1</v>
      </c>
      <c r="CF359" s="1">
        <v>1</v>
      </c>
      <c r="CG359" s="1">
        <f t="shared" si="350"/>
        <v>0</v>
      </c>
      <c r="CH359" s="1">
        <v>1</v>
      </c>
      <c r="CI359" s="1">
        <v>1</v>
      </c>
      <c r="CJ359" s="1">
        <v>1</v>
      </c>
      <c r="CK359" s="1">
        <v>1</v>
      </c>
      <c r="CL359" s="1">
        <v>1</v>
      </c>
      <c r="CM359" s="1">
        <v>1</v>
      </c>
      <c r="CN359" s="1">
        <v>1</v>
      </c>
      <c r="CO359" s="1">
        <v>1</v>
      </c>
      <c r="CP359" s="1">
        <v>2</v>
      </c>
      <c r="CQ359" s="1">
        <v>2</v>
      </c>
      <c r="CR359" s="1">
        <v>2</v>
      </c>
      <c r="CS359" s="1">
        <v>2</v>
      </c>
      <c r="CT359" s="1">
        <v>2</v>
      </c>
      <c r="CU359" s="1">
        <v>2</v>
      </c>
      <c r="CV359" s="1">
        <f t="shared" si="351"/>
        <v>0</v>
      </c>
      <c r="CW359" s="1">
        <v>1</v>
      </c>
      <c r="CX359" s="1">
        <v>1</v>
      </c>
      <c r="CY359" s="1">
        <v>1</v>
      </c>
      <c r="CZ359" s="1">
        <f t="shared" si="352"/>
        <v>0</v>
      </c>
      <c r="DA359" s="1">
        <v>1</v>
      </c>
      <c r="DB359" s="1">
        <v>1</v>
      </c>
      <c r="DC359" s="1">
        <v>2</v>
      </c>
      <c r="DD359" s="1">
        <v>1</v>
      </c>
      <c r="DE359" s="1">
        <v>1</v>
      </c>
      <c r="DF359" s="1">
        <v>1</v>
      </c>
      <c r="DG359" s="1">
        <v>1</v>
      </c>
      <c r="DH359" s="1">
        <v>1</v>
      </c>
      <c r="DI359" s="1">
        <f t="shared" si="353"/>
        <v>0</v>
      </c>
      <c r="DJ359" s="1">
        <v>1</v>
      </c>
      <c r="DK359" s="1" t="s">
        <v>188</v>
      </c>
      <c r="DL359" s="1" t="s">
        <v>101</v>
      </c>
      <c r="DR359" s="1" t="b">
        <f>BaseWill&gt;=4</f>
        <v>0</v>
      </c>
      <c r="DS359" s="1" t="b">
        <f>SkKnowledgeArcanaRanks&gt;=3</f>
        <v>0</v>
      </c>
      <c r="EA359" s="1" t="b">
        <f t="shared" si="354"/>
        <v>0</v>
      </c>
      <c r="EB359" s="11" t="s">
        <v>338</v>
      </c>
      <c r="EC359" s="1" t="str">
        <f>IF(DR359,"","• Base Will Save of +4 or greater.
")&amp;IF(DS359,"","• 3 ranks in Knowledge (arcana).
")&amp;"• Ability to cast cause fear and scare. (not verified)
"&amp;"• Must have suffered at least one fear effect against which you failed your save. (not verified)."</f>
        <v>• Base Will Save of +4 or greater.
• 3 ranks in Knowledge (arcana).
• Ability to cast cause fear and scare. (not verified)
• Must have suffered at least one fear effect against which you failed your save. (not verified).</v>
      </c>
      <c r="ED359" s="11" t="s">
        <v>335</v>
      </c>
      <c r="EE359" s="17"/>
      <c r="EF359" s="18"/>
      <c r="EG359" s="18"/>
      <c r="EH359" s="18"/>
      <c r="EI359" s="18"/>
      <c r="EJ359" s="18"/>
      <c r="EK359" s="18"/>
      <c r="EL359" s="18"/>
      <c r="EM359" s="18"/>
      <c r="EN359" s="18"/>
      <c r="EO359" s="19"/>
    </row>
    <row r="360" spans="1:145" ht="11.25" customHeight="1" x14ac:dyDescent="0.2">
      <c r="A360" s="1">
        <f t="shared" si="304"/>
        <v>357</v>
      </c>
      <c r="B360" s="1" t="s">
        <v>978</v>
      </c>
      <c r="C360" s="1" t="s">
        <v>228</v>
      </c>
      <c r="D360" s="1" t="s">
        <v>228</v>
      </c>
      <c r="E360" s="1">
        <f t="shared" si="326"/>
        <v>0</v>
      </c>
      <c r="G360" s="1">
        <f>FBdLvl-INT(FBdLvl/10)</f>
        <v>0</v>
      </c>
      <c r="K360" s="1">
        <v>2</v>
      </c>
      <c r="L360" s="1">
        <v>4</v>
      </c>
      <c r="V360" s="1">
        <v>0.5</v>
      </c>
      <c r="W360" s="1">
        <v>0.34</v>
      </c>
      <c r="X360" s="1">
        <v>0.34</v>
      </c>
      <c r="Y360" s="1">
        <v>0.5</v>
      </c>
      <c r="Z360" s="1" t="b">
        <f>FALSE</f>
        <v>0</v>
      </c>
      <c r="AA360" s="1" t="str">
        <f t="shared" si="329"/>
        <v/>
      </c>
      <c r="AB360" s="1" t="str">
        <f t="shared" si="330"/>
        <v/>
      </c>
      <c r="AC360" s="1">
        <f t="shared" si="327"/>
        <v>0</v>
      </c>
      <c r="AD360" s="1" t="str">
        <f t="shared" si="331"/>
        <v/>
      </c>
      <c r="AE360" s="1" t="str">
        <f t="shared" si="332"/>
        <v/>
      </c>
      <c r="AF360" s="1">
        <f t="shared" si="328"/>
        <v>0</v>
      </c>
      <c r="AG360" s="1">
        <f t="shared" si="333"/>
        <v>5</v>
      </c>
      <c r="AH360" s="1" t="str">
        <f t="shared" si="325"/>
        <v/>
      </c>
      <c r="AI360" s="1">
        <v>1</v>
      </c>
      <c r="AJ360" s="1">
        <f t="shared" si="346"/>
        <v>0</v>
      </c>
      <c r="AK360" s="1">
        <v>1</v>
      </c>
      <c r="AL360" s="1">
        <v>2</v>
      </c>
      <c r="AM360" s="1">
        <v>1</v>
      </c>
      <c r="AN360" s="1">
        <f t="shared" si="347"/>
        <v>0</v>
      </c>
      <c r="AO360" s="1">
        <v>2</v>
      </c>
      <c r="AP360" s="1">
        <v>1</v>
      </c>
      <c r="AQ360" s="1">
        <v>1</v>
      </c>
      <c r="AR360" s="1">
        <v>1</v>
      </c>
      <c r="AS360" s="1">
        <v>1</v>
      </c>
      <c r="AT360" s="1">
        <v>1</v>
      </c>
      <c r="AU360" s="1">
        <v>1</v>
      </c>
      <c r="AV360" s="1">
        <v>1</v>
      </c>
      <c r="AW360" s="1">
        <v>1</v>
      </c>
      <c r="AX360" s="1">
        <v>1</v>
      </c>
      <c r="AY360" s="1">
        <v>1</v>
      </c>
      <c r="AZ360" s="1">
        <v>1</v>
      </c>
      <c r="BA360" s="1">
        <v>1</v>
      </c>
      <c r="BB360" s="1">
        <v>1</v>
      </c>
      <c r="BC360" s="1">
        <v>1</v>
      </c>
      <c r="BD360" s="1">
        <v>1</v>
      </c>
      <c r="BE360" s="1">
        <v>1</v>
      </c>
      <c r="BF360" s="1">
        <v>1</v>
      </c>
      <c r="BG360" s="1">
        <f t="shared" si="348"/>
        <v>0</v>
      </c>
      <c r="BH360" s="1">
        <f t="shared" si="349"/>
        <v>0</v>
      </c>
      <c r="BI360" s="1">
        <v>2</v>
      </c>
      <c r="BJ360" s="1">
        <v>1</v>
      </c>
      <c r="BK360" s="1">
        <v>2</v>
      </c>
      <c r="BL360" s="1">
        <v>1</v>
      </c>
      <c r="BM360" s="1">
        <v>1</v>
      </c>
      <c r="BN360" s="1">
        <v>1</v>
      </c>
      <c r="BO360" s="1">
        <v>1</v>
      </c>
      <c r="BP360" s="1">
        <v>1</v>
      </c>
      <c r="BQ360" s="1">
        <f>IF(HRRVL,1,0)</f>
        <v>0</v>
      </c>
      <c r="BR360" s="1">
        <v>1</v>
      </c>
      <c r="BS360" s="1">
        <v>1</v>
      </c>
      <c r="BT360" s="1">
        <f>IF(HRXPH,1,0)</f>
        <v>0</v>
      </c>
      <c r="BU360" s="1">
        <f>IF(HRRVL,1,0)</f>
        <v>0</v>
      </c>
      <c r="BV360" s="1">
        <v>1</v>
      </c>
      <c r="BW360" s="1">
        <v>2</v>
      </c>
      <c r="BX360" s="1">
        <v>1</v>
      </c>
      <c r="BY360" s="1">
        <v>1</v>
      </c>
      <c r="BZ360" s="1">
        <v>1</v>
      </c>
      <c r="CA360" s="1">
        <v>1</v>
      </c>
      <c r="CB360" s="1">
        <v>1</v>
      </c>
      <c r="CC360" s="1">
        <v>1</v>
      </c>
      <c r="CD360" s="1">
        <v>1</v>
      </c>
      <c r="CE360" s="1">
        <v>1</v>
      </c>
      <c r="CF360" s="1">
        <v>1</v>
      </c>
      <c r="CG360" s="1">
        <f t="shared" si="350"/>
        <v>0</v>
      </c>
      <c r="CH360" s="1">
        <v>1</v>
      </c>
      <c r="CI360" s="1">
        <v>1</v>
      </c>
      <c r="CJ360" s="1">
        <v>1</v>
      </c>
      <c r="CK360" s="1">
        <v>1</v>
      </c>
      <c r="CL360" s="1">
        <v>1</v>
      </c>
      <c r="CM360" s="1">
        <v>1</v>
      </c>
      <c r="CN360" s="1">
        <v>1</v>
      </c>
      <c r="CO360" s="1">
        <v>1</v>
      </c>
      <c r="CP360" s="1">
        <v>1</v>
      </c>
      <c r="CQ360" s="1">
        <v>1</v>
      </c>
      <c r="CR360" s="1">
        <v>1</v>
      </c>
      <c r="CS360" s="1">
        <v>1</v>
      </c>
      <c r="CT360" s="1">
        <v>1</v>
      </c>
      <c r="CU360" s="1">
        <v>1</v>
      </c>
      <c r="CV360" s="1">
        <f t="shared" si="351"/>
        <v>0</v>
      </c>
      <c r="CW360" s="1">
        <v>1</v>
      </c>
      <c r="CX360" s="1">
        <v>1</v>
      </c>
      <c r="CY360" s="1">
        <v>1</v>
      </c>
      <c r="CZ360" s="1">
        <f t="shared" si="352"/>
        <v>0</v>
      </c>
      <c r="DA360" s="1">
        <v>1</v>
      </c>
      <c r="DB360" s="1">
        <v>1</v>
      </c>
      <c r="DC360" s="1">
        <v>2</v>
      </c>
      <c r="DD360" s="1">
        <v>1</v>
      </c>
      <c r="DE360" s="1">
        <v>1</v>
      </c>
      <c r="DF360" s="1">
        <v>1</v>
      </c>
      <c r="DG360" s="1">
        <v>1</v>
      </c>
      <c r="DH360" s="1">
        <v>1</v>
      </c>
      <c r="DI360" s="1">
        <f t="shared" si="353"/>
        <v>0</v>
      </c>
      <c r="DJ360" s="1">
        <v>1</v>
      </c>
      <c r="DK360" s="1" t="s">
        <v>188</v>
      </c>
      <c r="DL360" s="1" t="s">
        <v>170</v>
      </c>
      <c r="DR360" s="1" t="b">
        <f>Subrace="Humanoid"</f>
        <v>0</v>
      </c>
      <c r="DS360" s="1" t="b">
        <f>AlignmentNonGood</f>
        <v>0</v>
      </c>
      <c r="DT360" s="1" t="b">
        <f>SkConcentrationRanks&gt;=8</f>
        <v>0</v>
      </c>
      <c r="DU360" s="1" t="b">
        <f>SkKnowledgeArcanaRanks&gt;=8</f>
        <v>0</v>
      </c>
      <c r="DV360" s="1" t="b">
        <f>SkKnowledgePlanesRanks&gt;=8</f>
        <v>0</v>
      </c>
      <c r="DW360" s="1" t="b">
        <f>FtBloodCallsToBlood</f>
        <v>0</v>
      </c>
      <c r="DX360" s="1" t="b">
        <f>FtEschewMaterials</f>
        <v>0</v>
      </c>
      <c r="DY360" s="1" t="b">
        <f ca="1">MaxSpontaneousLevel&gt;=2</f>
        <v>0</v>
      </c>
      <c r="EA360" s="1" t="b">
        <f t="shared" ca="1" si="354"/>
        <v>0</v>
      </c>
      <c r="EB360" s="11" t="s">
        <v>334</v>
      </c>
      <c r="EC360" s="1" t="str">
        <f ca="1">IF(DR360,"","• Any humanoid race (cannot already be a half-fiend).
")&amp;IF(DS360,"","• Any nongood alignment.
")&amp;IF(DT360,"","• 8 ranks in Concentration.
")&amp;IF(DU360,"","• 8 ranks in Knowledge (arcana).
")&amp;IF(DV360,"","• 8 ranks in Knowledge (the planes).
")&amp;IF(DW360,"","• Blood Calls to Blood feat.
")&amp;IF(DX360,"","• Eschew Materials feat.
")&amp;IF(DY360,"","• Must be able to cast 2nd-level arcane spells without preparation.")</f>
        <v>• Any humanoid race (cannot already be a half-fiend).
• Any nongood alignment.
• 8 ranks in Concentration.
• 8 ranks in Knowledge (arcana).
• 8 ranks in Knowledge (the planes).
• Blood Calls to Blood feat.
• Eschew Materials feat.
• Must be able to cast 2nd-level arcane spells without preparation.</v>
      </c>
      <c r="ED360" s="11" t="s">
        <v>335</v>
      </c>
    </row>
    <row r="361" spans="1:145" ht="11.25" customHeight="1" x14ac:dyDescent="0.2">
      <c r="A361" s="1">
        <f t="shared" si="304"/>
        <v>358</v>
      </c>
      <c r="B361" s="1" t="s">
        <v>979</v>
      </c>
      <c r="C361" s="1" t="s">
        <v>980</v>
      </c>
      <c r="D361" s="1" t="s">
        <v>980</v>
      </c>
      <c r="E361" s="1">
        <f t="shared" si="326"/>
        <v>0</v>
      </c>
      <c r="G361" s="1">
        <f>INT((PHDLvl+1)/2)</f>
        <v>0</v>
      </c>
      <c r="K361" s="1">
        <v>2</v>
      </c>
      <c r="L361" s="1">
        <v>8</v>
      </c>
      <c r="M361" s="1">
        <f>E361</f>
        <v>0</v>
      </c>
      <c r="V361" s="1">
        <v>0.75</v>
      </c>
      <c r="W361" s="1">
        <v>0.5</v>
      </c>
      <c r="X361" s="1">
        <v>0.34</v>
      </c>
      <c r="Y361" s="1">
        <v>0.5</v>
      </c>
      <c r="Z361" s="1" t="b">
        <f>FALSE</f>
        <v>0</v>
      </c>
      <c r="AA361" s="1" t="str">
        <f t="shared" si="329"/>
        <v/>
      </c>
      <c r="AB361" s="1" t="str">
        <f t="shared" si="330"/>
        <v/>
      </c>
      <c r="AC361" s="1">
        <f t="shared" si="327"/>
        <v>0</v>
      </c>
      <c r="AD361" s="1" t="str">
        <f t="shared" si="331"/>
        <v/>
      </c>
      <c r="AE361" s="1" t="str">
        <f t="shared" si="332"/>
        <v/>
      </c>
      <c r="AF361" s="1">
        <f t="shared" si="328"/>
        <v>0</v>
      </c>
      <c r="AG361" s="1">
        <f t="shared" si="333"/>
        <v>5</v>
      </c>
      <c r="AH361" s="1" t="str">
        <f t="shared" si="325"/>
        <v/>
      </c>
      <c r="AI361" s="1">
        <v>1</v>
      </c>
      <c r="AJ361" s="1">
        <f t="shared" si="346"/>
        <v>0</v>
      </c>
      <c r="AK361" s="1">
        <v>1</v>
      </c>
      <c r="AL361" s="1">
        <v>1</v>
      </c>
      <c r="AM361" s="1">
        <v>1</v>
      </c>
      <c r="AN361" s="1">
        <f t="shared" si="347"/>
        <v>0</v>
      </c>
      <c r="AO361" s="1">
        <v>2</v>
      </c>
      <c r="AP361" s="1">
        <v>2</v>
      </c>
      <c r="AQ361" s="1">
        <v>2</v>
      </c>
      <c r="AR361" s="1">
        <v>2</v>
      </c>
      <c r="AS361" s="1">
        <v>2</v>
      </c>
      <c r="AT361" s="1">
        <v>2</v>
      </c>
      <c r="AU361" s="1">
        <v>2</v>
      </c>
      <c r="AV361" s="1">
        <v>2</v>
      </c>
      <c r="AW361" s="1">
        <v>1</v>
      </c>
      <c r="AX361" s="1">
        <v>2</v>
      </c>
      <c r="AY361" s="1">
        <v>1</v>
      </c>
      <c r="AZ361" s="1">
        <v>1</v>
      </c>
      <c r="BA361" s="1">
        <v>1</v>
      </c>
      <c r="BB361" s="1">
        <v>1</v>
      </c>
      <c r="BC361" s="1">
        <v>1</v>
      </c>
      <c r="BD361" s="1">
        <v>1</v>
      </c>
      <c r="BE361" s="1">
        <v>2</v>
      </c>
      <c r="BF361" s="1">
        <v>1</v>
      </c>
      <c r="BG361" s="1">
        <f t="shared" si="348"/>
        <v>0</v>
      </c>
      <c r="BH361" s="1">
        <f t="shared" si="349"/>
        <v>0</v>
      </c>
      <c r="BI361" s="1">
        <v>1</v>
      </c>
      <c r="BJ361" s="1">
        <v>1</v>
      </c>
      <c r="BK361" s="1">
        <v>2</v>
      </c>
      <c r="BL361" s="1">
        <v>1</v>
      </c>
      <c r="BM361" s="1">
        <v>1</v>
      </c>
      <c r="BN361" s="1">
        <v>1</v>
      </c>
      <c r="BO361" s="1">
        <v>2</v>
      </c>
      <c r="BP361" s="1">
        <v>1</v>
      </c>
      <c r="BQ361" s="1">
        <f>IF(HRRVL,1,0)</f>
        <v>0</v>
      </c>
      <c r="BR361" s="1">
        <v>1</v>
      </c>
      <c r="BS361" s="1">
        <v>1</v>
      </c>
      <c r="BT361" s="1">
        <f>IF(HRXPH,1,0)</f>
        <v>0</v>
      </c>
      <c r="BU361" s="1">
        <f>IF(HRRVL,2,0)</f>
        <v>0</v>
      </c>
      <c r="BV361" s="1">
        <v>2</v>
      </c>
      <c r="BW361" s="1">
        <v>2</v>
      </c>
      <c r="BX361" s="1">
        <v>1</v>
      </c>
      <c r="BY361" s="1">
        <v>1</v>
      </c>
      <c r="BZ361" s="1">
        <v>1</v>
      </c>
      <c r="CA361" s="1">
        <v>1</v>
      </c>
      <c r="CB361" s="1">
        <v>1</v>
      </c>
      <c r="CC361" s="1">
        <v>1</v>
      </c>
      <c r="CD361" s="1">
        <v>1</v>
      </c>
      <c r="CE361" s="1">
        <v>1</v>
      </c>
      <c r="CF361" s="1">
        <v>1</v>
      </c>
      <c r="CG361" s="1">
        <f t="shared" si="350"/>
        <v>0</v>
      </c>
      <c r="CH361" s="1">
        <v>1</v>
      </c>
      <c r="CI361" s="1">
        <v>1</v>
      </c>
      <c r="CJ361" s="1">
        <v>1</v>
      </c>
      <c r="CK361" s="1">
        <v>1</v>
      </c>
      <c r="CL361" s="1">
        <v>1</v>
      </c>
      <c r="CM361" s="1">
        <v>1</v>
      </c>
      <c r="CN361" s="1">
        <v>1</v>
      </c>
      <c r="CO361" s="1">
        <v>1</v>
      </c>
      <c r="CP361" s="1">
        <v>2</v>
      </c>
      <c r="CQ361" s="1">
        <v>2</v>
      </c>
      <c r="CR361" s="1">
        <v>2</v>
      </c>
      <c r="CS361" s="1">
        <v>2</v>
      </c>
      <c r="CT361" s="1">
        <v>2</v>
      </c>
      <c r="CU361" s="1">
        <v>2</v>
      </c>
      <c r="CV361" s="1">
        <f t="shared" si="351"/>
        <v>0</v>
      </c>
      <c r="CW361" s="1">
        <v>1</v>
      </c>
      <c r="CX361" s="1">
        <v>1</v>
      </c>
      <c r="CY361" s="1">
        <v>1</v>
      </c>
      <c r="CZ361" s="1">
        <f t="shared" si="352"/>
        <v>0</v>
      </c>
      <c r="DA361" s="1">
        <v>1</v>
      </c>
      <c r="DB361" s="1">
        <v>1</v>
      </c>
      <c r="DC361" s="1">
        <v>2</v>
      </c>
      <c r="DD361" s="1">
        <v>1</v>
      </c>
      <c r="DE361" s="1">
        <v>1</v>
      </c>
      <c r="DF361" s="1">
        <v>1</v>
      </c>
      <c r="DG361" s="1">
        <v>1</v>
      </c>
      <c r="DH361" s="1">
        <v>1</v>
      </c>
      <c r="DI361" s="1">
        <f t="shared" si="353"/>
        <v>0</v>
      </c>
      <c r="DJ361" s="1">
        <v>1</v>
      </c>
      <c r="DK361" s="1" t="s">
        <v>188</v>
      </c>
      <c r="DL361" s="1" t="s">
        <v>170</v>
      </c>
      <c r="DR361" s="1" t="b">
        <f>OR(AlignmentGood,AlignmentTrueNeutral)</f>
        <v>1</v>
      </c>
      <c r="DS361" s="1" t="b">
        <f>SkKnowledgeArcanaRanks&gt;=4</f>
        <v>0</v>
      </c>
      <c r="DT361" s="1" t="b">
        <f>SkKnowledgeReligionRanks&gt;=8</f>
        <v>0</v>
      </c>
      <c r="DU361" s="1" t="b">
        <f>FtPureSoul</f>
        <v>0</v>
      </c>
      <c r="DV361" s="1" t="b">
        <f>AND(TurnLvl&gt;=1,TurnRebuke="Turn")</f>
        <v>0</v>
      </c>
      <c r="EA361" s="1" t="b">
        <f t="shared" si="354"/>
        <v>0</v>
      </c>
      <c r="EB361" s="11" t="s">
        <v>334</v>
      </c>
      <c r="EC361" s="1" t="str">
        <f>IF(DR361,"","• Must be of Any Good Alignment or True Neutral.
")&amp;IF(DS361,"","• 4 ranks in Knowledge (arcana)
")&amp;IF(DT361,"","• 8 ranks in Knowledge (religion).
")&amp;IF(DU361,"","• Pure Soul feat.
")&amp;IF(DV361,"","• Ability to Turn Undead.")</f>
        <v>• 4 ranks in Knowledge (arcana)
• 8 ranks in Knowledge (religion).
• Pure Soul feat.
• Ability to Turn Undead.</v>
      </c>
      <c r="ED361" s="11" t="s">
        <v>335</v>
      </c>
      <c r="EE361" s="1" t="s">
        <v>981</v>
      </c>
      <c r="EF361" s="1">
        <f>COUNTA($EE$301:$EE$359)</f>
        <v>58</v>
      </c>
    </row>
    <row r="362" spans="1:145" ht="11.25" customHeight="1" x14ac:dyDescent="0.2">
      <c r="A362" s="1">
        <f t="shared" si="304"/>
        <v>359</v>
      </c>
      <c r="B362" s="1" t="s">
        <v>982</v>
      </c>
      <c r="C362" s="1" t="s">
        <v>931</v>
      </c>
      <c r="D362" s="1" t="s">
        <v>931</v>
      </c>
      <c r="E362" s="1">
        <f t="shared" si="326"/>
        <v>0</v>
      </c>
      <c r="G362" s="1">
        <f>TSlLvl</f>
        <v>0</v>
      </c>
      <c r="K362" s="1">
        <v>2</v>
      </c>
      <c r="L362" s="1">
        <v>6</v>
      </c>
      <c r="V362" s="1">
        <v>0.5</v>
      </c>
      <c r="W362" s="1">
        <v>0.34</v>
      </c>
      <c r="X362" s="1">
        <v>0.34</v>
      </c>
      <c r="Y362" s="1">
        <v>0.5</v>
      </c>
      <c r="Z362" s="1" t="b">
        <f>FALSE</f>
        <v>0</v>
      </c>
      <c r="AA362" s="1" t="str">
        <f t="shared" si="329"/>
        <v/>
      </c>
      <c r="AB362" s="1" t="str">
        <f t="shared" si="330"/>
        <v/>
      </c>
      <c r="AC362" s="1">
        <f t="shared" si="327"/>
        <v>0</v>
      </c>
      <c r="AD362" s="1" t="str">
        <f t="shared" si="331"/>
        <v/>
      </c>
      <c r="AE362" s="1" t="str">
        <f t="shared" si="332"/>
        <v/>
      </c>
      <c r="AF362" s="1">
        <f t="shared" si="328"/>
        <v>0</v>
      </c>
      <c r="AG362" s="1">
        <f t="shared" si="333"/>
        <v>5</v>
      </c>
      <c r="AH362" s="1" t="str">
        <f t="shared" si="325"/>
        <v/>
      </c>
      <c r="AI362" s="1">
        <v>1</v>
      </c>
      <c r="AJ362" s="1">
        <f t="shared" si="346"/>
        <v>0</v>
      </c>
      <c r="AK362" s="1">
        <v>1</v>
      </c>
      <c r="AL362" s="1">
        <v>1</v>
      </c>
      <c r="AM362" s="1">
        <v>1</v>
      </c>
      <c r="AN362" s="1">
        <f t="shared" si="347"/>
        <v>0</v>
      </c>
      <c r="AO362" s="1">
        <v>2</v>
      </c>
      <c r="AP362" s="1">
        <v>2</v>
      </c>
      <c r="AQ362" s="1">
        <v>2</v>
      </c>
      <c r="AR362" s="1">
        <v>2</v>
      </c>
      <c r="AS362" s="1">
        <v>2</v>
      </c>
      <c r="AT362" s="1">
        <v>2</v>
      </c>
      <c r="AU362" s="1">
        <v>2</v>
      </c>
      <c r="AV362" s="1">
        <v>2</v>
      </c>
      <c r="AW362" s="1">
        <v>2</v>
      </c>
      <c r="AX362" s="1">
        <v>1</v>
      </c>
      <c r="AY362" s="1">
        <v>1</v>
      </c>
      <c r="AZ362" s="1">
        <v>1</v>
      </c>
      <c r="BA362" s="1">
        <v>1</v>
      </c>
      <c r="BB362" s="1">
        <v>1</v>
      </c>
      <c r="BC362" s="1">
        <v>1</v>
      </c>
      <c r="BD362" s="1">
        <v>1</v>
      </c>
      <c r="BE362" s="1">
        <v>1</v>
      </c>
      <c r="BF362" s="1">
        <v>1</v>
      </c>
      <c r="BG362" s="1">
        <f t="shared" si="348"/>
        <v>0</v>
      </c>
      <c r="BH362" s="1">
        <f t="shared" si="349"/>
        <v>0</v>
      </c>
      <c r="BI362" s="1">
        <v>2</v>
      </c>
      <c r="BJ362" s="1">
        <v>1</v>
      </c>
      <c r="BK362" s="1">
        <v>2</v>
      </c>
      <c r="BL362" s="1">
        <v>2</v>
      </c>
      <c r="BM362" s="1">
        <v>2</v>
      </c>
      <c r="BN362" s="1">
        <v>2</v>
      </c>
      <c r="BO362" s="1">
        <v>2</v>
      </c>
      <c r="BP362" s="1">
        <v>2</v>
      </c>
      <c r="BQ362" s="1">
        <f>IF(HRRVL,2,0)</f>
        <v>0</v>
      </c>
      <c r="BR362" s="1">
        <v>2</v>
      </c>
      <c r="BS362" s="1">
        <v>2</v>
      </c>
      <c r="BT362" s="1">
        <f>IF(HRXPH,2,0)</f>
        <v>0</v>
      </c>
      <c r="BU362" s="1">
        <f>IF(HRRVL,2,0)</f>
        <v>0</v>
      </c>
      <c r="BV362" s="1">
        <v>2</v>
      </c>
      <c r="BW362" s="1">
        <v>2</v>
      </c>
      <c r="BX362" s="1">
        <v>2</v>
      </c>
      <c r="BY362" s="1">
        <v>2</v>
      </c>
      <c r="BZ362" s="1">
        <v>2</v>
      </c>
      <c r="CA362" s="1">
        <v>2</v>
      </c>
      <c r="CB362" s="1">
        <v>2</v>
      </c>
      <c r="CC362" s="1">
        <v>2</v>
      </c>
      <c r="CD362" s="1">
        <v>2</v>
      </c>
      <c r="CE362" s="1">
        <v>2</v>
      </c>
      <c r="CF362" s="1">
        <v>1</v>
      </c>
      <c r="CG362" s="1">
        <f t="shared" si="350"/>
        <v>0</v>
      </c>
      <c r="CH362" s="1">
        <v>1</v>
      </c>
      <c r="CI362" s="1">
        <v>1</v>
      </c>
      <c r="CJ362" s="1">
        <v>1</v>
      </c>
      <c r="CK362" s="1">
        <v>1</v>
      </c>
      <c r="CL362" s="1">
        <v>1</v>
      </c>
      <c r="CM362" s="1">
        <v>1</v>
      </c>
      <c r="CN362" s="1">
        <v>1</v>
      </c>
      <c r="CO362" s="1">
        <v>1</v>
      </c>
      <c r="CP362" s="1">
        <v>1</v>
      </c>
      <c r="CQ362" s="1">
        <v>1</v>
      </c>
      <c r="CR362" s="1">
        <v>1</v>
      </c>
      <c r="CS362" s="1">
        <v>1</v>
      </c>
      <c r="CT362" s="1">
        <v>1</v>
      </c>
      <c r="CU362" s="1">
        <v>1</v>
      </c>
      <c r="CV362" s="1">
        <f t="shared" si="351"/>
        <v>0</v>
      </c>
      <c r="CW362" s="1">
        <v>1</v>
      </c>
      <c r="CX362" s="1">
        <v>1</v>
      </c>
      <c r="CY362" s="1">
        <v>1</v>
      </c>
      <c r="CZ362" s="1">
        <f t="shared" si="352"/>
        <v>0</v>
      </c>
      <c r="DA362" s="1">
        <v>1</v>
      </c>
      <c r="DB362" s="1">
        <v>1</v>
      </c>
      <c r="DC362" s="1">
        <v>2</v>
      </c>
      <c r="DD362" s="1">
        <v>1</v>
      </c>
      <c r="DE362" s="1">
        <v>1</v>
      </c>
      <c r="DF362" s="1">
        <v>1</v>
      </c>
      <c r="DG362" s="1">
        <v>1</v>
      </c>
      <c r="DH362" s="1">
        <v>1</v>
      </c>
      <c r="DI362" s="1">
        <f t="shared" si="353"/>
        <v>0</v>
      </c>
      <c r="DJ362" s="1">
        <v>1</v>
      </c>
      <c r="DK362" s="1" t="s">
        <v>188</v>
      </c>
      <c r="DL362" s="1" t="s">
        <v>170</v>
      </c>
      <c r="DR362" s="1" t="b">
        <f>SkConcentrationRanks&gt;=8</f>
        <v>0</v>
      </c>
      <c r="DS362" s="1" t="b">
        <f>SkKnowledgeArcanaRanks&gt;=4</f>
        <v>0</v>
      </c>
      <c r="DT362" s="1" t="b">
        <f ca="1">OR(MaxArcaneSpellLevel&gt;=1,TotalArcaneSpellLikeLevel&gt;=1)</f>
        <v>0</v>
      </c>
      <c r="EA362" s="1" t="b">
        <f t="shared" ca="1" si="354"/>
        <v>0</v>
      </c>
      <c r="EB362" s="11" t="s">
        <v>338</v>
      </c>
      <c r="EC362" s="1" t="str">
        <f ca="1">IF(DR362,"","• 8 ranks in Concentration.
")&amp;IF(DS362,"","• 4 ranks in Knowledge (arcana).
")&amp;IF(DT362,"","• Arcane Caster level of 1st or use least invocations.
")&amp;"• Taint: Moderate Corruption. (not verified)."</f>
        <v>• 8 ranks in Concentration.
• 4 ranks in Knowledge (arcana).
• Arcane Caster level of 1st or use least invocations.
• Taint: Moderate Corruption. (not verified).</v>
      </c>
      <c r="ED362" s="11" t="s">
        <v>335</v>
      </c>
      <c r="EE362" s="1" t="s">
        <v>983</v>
      </c>
      <c r="EF362" s="1" t="b">
        <f>OR($EI$302:INDEX(TblClassDR,ClassDRRowsCnt,5))</f>
        <v>0</v>
      </c>
    </row>
    <row r="363" spans="1:145" ht="11.25" customHeight="1" x14ac:dyDescent="0.2">
      <c r="A363" s="1">
        <f t="shared" si="304"/>
        <v>360</v>
      </c>
      <c r="B363" s="1" t="s">
        <v>984</v>
      </c>
      <c r="E363" s="1">
        <f t="shared" si="326"/>
        <v>0</v>
      </c>
      <c r="F363" s="1">
        <v>1</v>
      </c>
      <c r="Z363" s="1" t="b">
        <f>FALSE</f>
        <v>0</v>
      </c>
      <c r="AA363" s="1" t="str">
        <f t="shared" si="329"/>
        <v/>
      </c>
      <c r="AB363" s="1" t="str">
        <f t="shared" si="330"/>
        <v/>
      </c>
      <c r="AC363" s="1">
        <f t="shared" si="327"/>
        <v>0</v>
      </c>
      <c r="AD363" s="1" t="str">
        <f t="shared" si="331"/>
        <v/>
      </c>
      <c r="AE363" s="1" t="str">
        <f t="shared" si="332"/>
        <v/>
      </c>
      <c r="AF363" s="1">
        <f t="shared" si="328"/>
        <v>0</v>
      </c>
      <c r="AG363" s="1">
        <f t="shared" si="333"/>
        <v>5</v>
      </c>
      <c r="AH363" s="1" t="str">
        <f t="shared" si="325"/>
        <v/>
      </c>
      <c r="EB363" s="11"/>
      <c r="ED363" s="11" t="s">
        <v>335</v>
      </c>
      <c r="EE363" s="1" t="s">
        <v>985</v>
      </c>
      <c r="EF363" s="1" t="str">
        <f>IF(DoClassDR,RANGECONCAT(", ",TRUE,EO302:EO359),"")</f>
        <v/>
      </c>
    </row>
    <row r="364" spans="1:145" ht="11.25" customHeight="1" x14ac:dyDescent="0.2">
      <c r="A364" s="1">
        <f t="shared" si="304"/>
        <v>361</v>
      </c>
      <c r="B364" s="1" t="s">
        <v>986</v>
      </c>
      <c r="C364" s="1" t="s">
        <v>987</v>
      </c>
      <c r="D364" s="1" t="s">
        <v>987</v>
      </c>
      <c r="E364" s="1">
        <f t="shared" si="326"/>
        <v>0</v>
      </c>
      <c r="K364" s="1">
        <v>4</v>
      </c>
      <c r="L364" s="1">
        <v>8</v>
      </c>
      <c r="V364" s="1">
        <v>1</v>
      </c>
      <c r="W364" s="1">
        <v>0.5</v>
      </c>
      <c r="X364" s="1">
        <v>0.34</v>
      </c>
      <c r="Y364" s="1">
        <v>0.5</v>
      </c>
      <c r="Z364" s="1" t="b">
        <f>FALSE</f>
        <v>0</v>
      </c>
      <c r="AA364" s="1" t="str">
        <f t="shared" si="329"/>
        <v/>
      </c>
      <c r="AB364" s="1" t="str">
        <f t="shared" si="330"/>
        <v/>
      </c>
      <c r="AC364" s="1">
        <f t="shared" si="327"/>
        <v>0</v>
      </c>
      <c r="AD364" s="1" t="str">
        <f t="shared" si="331"/>
        <v/>
      </c>
      <c r="AE364" s="1" t="str">
        <f t="shared" si="332"/>
        <v/>
      </c>
      <c r="AF364" s="1">
        <f t="shared" si="328"/>
        <v>0</v>
      </c>
      <c r="AG364" s="1">
        <f t="shared" si="333"/>
        <v>5</v>
      </c>
      <c r="AH364" s="1" t="str">
        <f t="shared" si="325"/>
        <v/>
      </c>
      <c r="AI364" s="1">
        <v>1</v>
      </c>
      <c r="AJ364" s="1">
        <f>IF(HRXPH,1,0)</f>
        <v>0</v>
      </c>
      <c r="AK364" s="1">
        <v>1</v>
      </c>
      <c r="AL364" s="1">
        <v>1</v>
      </c>
      <c r="AM364" s="1">
        <v>2</v>
      </c>
      <c r="AN364" s="1">
        <f>IF(IsLycanthrope,2,0)</f>
        <v>0</v>
      </c>
      <c r="AO364" s="1">
        <v>2</v>
      </c>
      <c r="AP364" s="1">
        <v>2</v>
      </c>
      <c r="AQ364" s="1">
        <v>2</v>
      </c>
      <c r="AR364" s="1">
        <v>2</v>
      </c>
      <c r="AS364" s="1">
        <v>2</v>
      </c>
      <c r="AT364" s="1">
        <v>2</v>
      </c>
      <c r="AU364" s="1">
        <v>2</v>
      </c>
      <c r="AV364" s="1">
        <v>2</v>
      </c>
      <c r="AW364" s="1">
        <v>1</v>
      </c>
      <c r="AX364" s="1">
        <v>2</v>
      </c>
      <c r="AY364" s="1">
        <v>1</v>
      </c>
      <c r="AZ364" s="1">
        <v>1</v>
      </c>
      <c r="BA364" s="1">
        <v>1</v>
      </c>
      <c r="BB364" s="1">
        <v>1</v>
      </c>
      <c r="BC364" s="1">
        <v>1</v>
      </c>
      <c r="BD364" s="1">
        <v>2</v>
      </c>
      <c r="BE364" s="1">
        <v>2</v>
      </c>
      <c r="BF364" s="1">
        <v>1</v>
      </c>
      <c r="BG364" s="1">
        <f t="shared" si="348"/>
        <v>0</v>
      </c>
      <c r="BH364" s="1">
        <f>IF(HROA,1,0)</f>
        <v>0</v>
      </c>
      <c r="BI364" s="1">
        <v>1</v>
      </c>
      <c r="BJ364" s="1">
        <v>2</v>
      </c>
      <c r="BK364" s="1">
        <v>2</v>
      </c>
      <c r="BL364" s="1">
        <v>1</v>
      </c>
      <c r="BM364" s="1">
        <v>2</v>
      </c>
      <c r="BN364" s="1">
        <v>1</v>
      </c>
      <c r="BO364" s="1">
        <v>1</v>
      </c>
      <c r="BP364" s="1">
        <v>1</v>
      </c>
      <c r="BQ364" s="1">
        <f>IF(HRRVL,1,0)</f>
        <v>0</v>
      </c>
      <c r="BR364" s="1">
        <v>2</v>
      </c>
      <c r="BS364" s="1">
        <v>1</v>
      </c>
      <c r="BT364" s="1">
        <v>1</v>
      </c>
      <c r="BU364" s="1">
        <v>1</v>
      </c>
      <c r="BV364" s="1">
        <v>1</v>
      </c>
      <c r="BW364" s="1">
        <v>2</v>
      </c>
      <c r="BX364" s="1">
        <v>1</v>
      </c>
      <c r="BY364" s="1">
        <v>1</v>
      </c>
      <c r="BZ364" s="1">
        <v>1</v>
      </c>
      <c r="CA364" s="1">
        <v>1</v>
      </c>
      <c r="CB364" s="1">
        <v>1</v>
      </c>
      <c r="CC364" s="1">
        <v>1</v>
      </c>
      <c r="CD364" s="1">
        <v>1</v>
      </c>
      <c r="CE364" s="1">
        <v>1</v>
      </c>
      <c r="CF364" s="1">
        <v>1</v>
      </c>
      <c r="CG364" s="1">
        <f>IF(HRToB,1,0)</f>
        <v>0</v>
      </c>
      <c r="CH364" s="1">
        <v>1</v>
      </c>
      <c r="CI364" s="1">
        <v>1</v>
      </c>
      <c r="CJ364" s="1">
        <v>1</v>
      </c>
      <c r="CK364" s="1">
        <v>1</v>
      </c>
      <c r="CL364" s="1">
        <v>1</v>
      </c>
      <c r="CM364" s="1">
        <v>1</v>
      </c>
      <c r="CN364" s="1">
        <v>1</v>
      </c>
      <c r="CO364" s="1">
        <v>1</v>
      </c>
      <c r="CP364" s="1">
        <v>2</v>
      </c>
      <c r="CQ364" s="1">
        <v>2</v>
      </c>
      <c r="CR364" s="1">
        <v>2</v>
      </c>
      <c r="CS364" s="1">
        <v>2</v>
      </c>
      <c r="CT364" s="1">
        <v>2</v>
      </c>
      <c r="CU364" s="1">
        <v>2</v>
      </c>
      <c r="CV364" s="1">
        <f>IF(HRXPH,1,0)</f>
        <v>0</v>
      </c>
      <c r="CW364" s="1">
        <v>2</v>
      </c>
      <c r="CX364" s="1">
        <v>1</v>
      </c>
      <c r="CY364" s="1">
        <v>1</v>
      </c>
      <c r="CZ364" s="1">
        <f t="shared" si="352"/>
        <v>0</v>
      </c>
      <c r="DA364" s="1">
        <v>1</v>
      </c>
      <c r="DB364" s="1">
        <v>1</v>
      </c>
      <c r="DC364" s="1">
        <v>1</v>
      </c>
      <c r="DD364" s="1">
        <v>1</v>
      </c>
      <c r="DE364" s="1">
        <v>2</v>
      </c>
      <c r="DF364" s="1">
        <v>2</v>
      </c>
      <c r="DG364" s="1">
        <v>1</v>
      </c>
      <c r="DH364" s="1">
        <v>1</v>
      </c>
      <c r="DI364" s="1">
        <f>IF(HRXPH,1,0)</f>
        <v>0</v>
      </c>
      <c r="DJ364" s="1">
        <v>1</v>
      </c>
      <c r="DK364" s="1" t="s">
        <v>988</v>
      </c>
      <c r="DL364" s="1" t="s">
        <v>170</v>
      </c>
      <c r="DR364" s="1" t="b">
        <f>SkHandleAnimalRanks&gt;=8</f>
        <v>0</v>
      </c>
      <c r="DS364" s="1" t="b">
        <f>SkKnowledgeArcanaRanks&gt;=4</f>
        <v>0</v>
      </c>
      <c r="DT364" s="1" t="b">
        <f>SkKnowledgeDungeoneeringRanks&gt;=4</f>
        <v>0</v>
      </c>
      <c r="DU364" s="1" t="b">
        <f>FtAnimalAffinity</f>
        <v>0</v>
      </c>
      <c r="EA364" s="1" t="b">
        <f>AND(DM364:DZ364)</f>
        <v>0</v>
      </c>
      <c r="EB364" s="11" t="s">
        <v>338</v>
      </c>
      <c r="EC364" s="1" t="str">
        <f>IF(DR364,"","• 8 ranks in Handle Animal.
")&amp;IF(DS364,"","• 4 ranks in Knowledge (arcana).
")&amp;IF(DT364,"","• 4 ranks in Knowledge (dungeoneering).
")&amp;IF(DU364,"","• Animal Affinity feat.
")&amp;"• Spend one week living alone in a dungeon complex. (not verified)."</f>
        <v>• 8 ranks in Handle Animal.
• 4 ranks in Knowledge (arcana).
• 4 ranks in Knowledge (dungeoneering).
• Animal Affinity feat.
• Spend one week living alone in a dungeon complex. (not verified).</v>
      </c>
      <c r="ED364" s="11" t="s">
        <v>335</v>
      </c>
      <c r="EE364" s="22" t="s">
        <v>120</v>
      </c>
      <c r="EF364" s="1" t="e">
        <f>MATCH(4,TblAnointSelf,0)</f>
        <v>#N/A</v>
      </c>
    </row>
    <row r="365" spans="1:145" ht="11.25" customHeight="1" x14ac:dyDescent="0.2">
      <c r="A365" s="1">
        <f t="shared" si="304"/>
        <v>362</v>
      </c>
      <c r="B365" s="1" t="s">
        <v>989</v>
      </c>
      <c r="C365" s="1" t="s">
        <v>990</v>
      </c>
      <c r="D365" s="1" t="s">
        <v>990</v>
      </c>
      <c r="E365" s="1">
        <f t="shared" si="326"/>
        <v>0</v>
      </c>
      <c r="K365" s="1">
        <v>6</v>
      </c>
      <c r="L365" s="1">
        <v>6</v>
      </c>
      <c r="V365" s="1">
        <v>0.75</v>
      </c>
      <c r="W365" s="1">
        <v>0.34</v>
      </c>
      <c r="X365" s="1">
        <v>0.5</v>
      </c>
      <c r="Y365" s="1">
        <v>0.34</v>
      </c>
      <c r="Z365" s="1" t="b">
        <f>FALSE</f>
        <v>0</v>
      </c>
      <c r="AA365" s="1" t="str">
        <f t="shared" si="329"/>
        <v/>
      </c>
      <c r="AB365" s="1" t="str">
        <f t="shared" si="330"/>
        <v/>
      </c>
      <c r="AC365" s="1">
        <f t="shared" si="327"/>
        <v>0</v>
      </c>
      <c r="AD365" s="1" t="str">
        <f t="shared" si="331"/>
        <v/>
      </c>
      <c r="AE365" s="1" t="str">
        <f t="shared" si="332"/>
        <v/>
      </c>
      <c r="AF365" s="1">
        <f t="shared" si="328"/>
        <v>0</v>
      </c>
      <c r="AG365" s="1">
        <f t="shared" si="333"/>
        <v>5</v>
      </c>
      <c r="AH365" s="1" t="str">
        <f t="shared" si="325"/>
        <v/>
      </c>
      <c r="AI365" s="1">
        <v>2</v>
      </c>
      <c r="AJ365" s="1">
        <f>IF(HRXPH,1,0)</f>
        <v>0</v>
      </c>
      <c r="AK365" s="1">
        <f>IF(HRXPH,1,0)</f>
        <v>0</v>
      </c>
      <c r="AL365" s="1">
        <f>IF(HRXPH,1,0)</f>
        <v>0</v>
      </c>
      <c r="AM365" s="1">
        <f>IF(HRXPH,1,0)</f>
        <v>0</v>
      </c>
      <c r="AN365" s="1">
        <f>IF(IsLycanthrope,2,0)</f>
        <v>0</v>
      </c>
      <c r="AO365" s="1">
        <f>IF(HRXPH,1,0)</f>
        <v>0</v>
      </c>
      <c r="AP365" s="1">
        <v>2</v>
      </c>
      <c r="AQ365" s="1">
        <v>2</v>
      </c>
      <c r="AR365" s="1">
        <v>2</v>
      </c>
      <c r="AS365" s="1">
        <v>2</v>
      </c>
      <c r="AT365" s="1">
        <v>2</v>
      </c>
      <c r="AU365" s="1">
        <v>2</v>
      </c>
      <c r="AV365" s="1">
        <v>2</v>
      </c>
      <c r="AW365" s="1">
        <f>IF(HRXPH,1,0)</f>
        <v>0</v>
      </c>
      <c r="AX365" s="1">
        <f>IF(HRXPH,1,0)</f>
        <v>0</v>
      </c>
      <c r="AY365" s="1">
        <v>2</v>
      </c>
      <c r="AZ365" s="1">
        <f>IF(HRXPH,1,0)</f>
        <v>0</v>
      </c>
      <c r="BA365" s="1">
        <v>2</v>
      </c>
      <c r="BB365" s="1">
        <f>IF(HRXPH,1,0)</f>
        <v>0</v>
      </c>
      <c r="BC365" s="1">
        <f>IF(HRXPH,1,0)</f>
        <v>0</v>
      </c>
      <c r="BD365" s="1">
        <f>IF(HRXPH,1,0)</f>
        <v>0</v>
      </c>
      <c r="BE365" s="1">
        <f>IF(HRXPH,1,0)</f>
        <v>0</v>
      </c>
      <c r="BF365" s="1">
        <f>IF(HRXPH,1,0)</f>
        <v>0</v>
      </c>
      <c r="BG365" s="1">
        <f t="shared" si="348"/>
        <v>0</v>
      </c>
      <c r="BH365" s="1">
        <f>IF(HROA,1,0)</f>
        <v>0</v>
      </c>
      <c r="BI365" s="1">
        <f>IF(HRXPH,1,0)</f>
        <v>0</v>
      </c>
      <c r="BJ365" s="1">
        <f>IF(HRXPH,1,0)</f>
        <v>0</v>
      </c>
      <c r="BK365" s="1">
        <f>IF(HRXPH,1,0)</f>
        <v>0</v>
      </c>
      <c r="BL365" s="1">
        <v>2</v>
      </c>
      <c r="BM365" s="1">
        <f>IF(HRXPH,1,0)</f>
        <v>0</v>
      </c>
      <c r="BN365" s="1">
        <f>IF(HRXPH,1,0)</f>
        <v>0</v>
      </c>
      <c r="BO365" s="1">
        <f>IF(HRXPH,1,0)</f>
        <v>0</v>
      </c>
      <c r="BP365" s="1">
        <f>IF(HRXPH,1,0)</f>
        <v>0</v>
      </c>
      <c r="BQ365" s="1">
        <f>IF(HRRVL,1,0)</f>
        <v>0</v>
      </c>
      <c r="BR365" s="1">
        <f t="shared" ref="BR365:CE365" si="355">IF(HRXPH,1,0)</f>
        <v>0</v>
      </c>
      <c r="BS365" s="1">
        <f t="shared" si="355"/>
        <v>0</v>
      </c>
      <c r="BT365" s="1">
        <f t="shared" si="355"/>
        <v>0</v>
      </c>
      <c r="BU365" s="1">
        <f t="shared" si="355"/>
        <v>0</v>
      </c>
      <c r="BV365" s="1">
        <f t="shared" si="355"/>
        <v>0</v>
      </c>
      <c r="BW365" s="1">
        <f t="shared" si="355"/>
        <v>0</v>
      </c>
      <c r="BX365" s="1">
        <f t="shared" si="355"/>
        <v>0</v>
      </c>
      <c r="BY365" s="1">
        <f t="shared" si="355"/>
        <v>0</v>
      </c>
      <c r="BZ365" s="1">
        <f t="shared" si="355"/>
        <v>0</v>
      </c>
      <c r="CA365" s="1">
        <f t="shared" si="355"/>
        <v>0</v>
      </c>
      <c r="CB365" s="1">
        <f t="shared" si="355"/>
        <v>0</v>
      </c>
      <c r="CC365" s="1">
        <f t="shared" si="355"/>
        <v>0</v>
      </c>
      <c r="CD365" s="1">
        <f t="shared" si="355"/>
        <v>0</v>
      </c>
      <c r="CE365" s="1">
        <f t="shared" si="355"/>
        <v>0</v>
      </c>
      <c r="CF365" s="1">
        <v>2</v>
      </c>
      <c r="CG365" s="1">
        <f>IF(HRToB,1,0)</f>
        <v>0</v>
      </c>
      <c r="CH365" s="1">
        <f>IF(HRXPH,1,0)</f>
        <v>0</v>
      </c>
      <c r="CI365" s="1">
        <v>2</v>
      </c>
      <c r="CJ365" s="1">
        <f t="shared" ref="CJ365:CO365" si="356">IF(HRXPH,1,0)</f>
        <v>0</v>
      </c>
      <c r="CK365" s="1">
        <f t="shared" si="356"/>
        <v>0</v>
      </c>
      <c r="CL365" s="1">
        <f t="shared" si="356"/>
        <v>0</v>
      </c>
      <c r="CM365" s="1">
        <f t="shared" si="356"/>
        <v>0</v>
      </c>
      <c r="CN365" s="1">
        <f t="shared" si="356"/>
        <v>0</v>
      </c>
      <c r="CO365" s="1">
        <f t="shared" si="356"/>
        <v>0</v>
      </c>
      <c r="CP365" s="1">
        <v>2</v>
      </c>
      <c r="CQ365" s="1">
        <v>2</v>
      </c>
      <c r="CR365" s="1">
        <v>2</v>
      </c>
      <c r="CS365" s="1">
        <v>2</v>
      </c>
      <c r="CT365" s="1">
        <v>2</v>
      </c>
      <c r="CU365" s="1">
        <v>2</v>
      </c>
      <c r="CV365" s="1">
        <f>IF(HRXPH,1,0)</f>
        <v>0</v>
      </c>
      <c r="CW365" s="1">
        <f>IF(HRXPH,1,0)</f>
        <v>0</v>
      </c>
      <c r="CX365" s="1">
        <v>2</v>
      </c>
      <c r="CY365" s="1">
        <f>IF(HRXPH,1,0)</f>
        <v>0</v>
      </c>
      <c r="CZ365" s="1">
        <f t="shared" si="352"/>
        <v>0</v>
      </c>
      <c r="DA365" s="1">
        <v>2</v>
      </c>
      <c r="DB365" s="1">
        <f>IF(HRXPH,1,0)</f>
        <v>0</v>
      </c>
      <c r="DC365" s="1">
        <f>IF(HRXPH,1,0)</f>
        <v>0</v>
      </c>
      <c r="DD365" s="1">
        <v>2</v>
      </c>
      <c r="DE365" s="1">
        <f>IF(HRXPH,1,0)</f>
        <v>0</v>
      </c>
      <c r="DF365" s="1">
        <f>IF(HRXPH,1,0)</f>
        <v>0</v>
      </c>
      <c r="DG365" s="1">
        <f>IF(HRXPH,1,0)</f>
        <v>0</v>
      </c>
      <c r="DH365" s="1">
        <v>1</v>
      </c>
      <c r="DI365" s="1">
        <f>IF(HRXPH,1,0)</f>
        <v>0</v>
      </c>
      <c r="DJ365" s="1">
        <v>2</v>
      </c>
      <c r="DK365" s="1" t="s">
        <v>988</v>
      </c>
      <c r="DL365" s="1" t="s">
        <v>101</v>
      </c>
      <c r="DR365" s="1" t="b">
        <f>IF(NOT(ISNA(MATCH("Trapmaking",TblCraftSkills,0))),INDEX(TblCraftRanks,MATCH("Trapmaking",TblCraftSkills,0),1)&gt;=8,FALSE)</f>
        <v>0</v>
      </c>
      <c r="DS365" s="1" t="b">
        <f>SkDisableDeviceRanks&gt;=8</f>
        <v>0</v>
      </c>
      <c r="DT365" s="1" t="b">
        <f>SkOpenLockRanks&gt;=5</f>
        <v>0</v>
      </c>
      <c r="DU365" s="1" t="b">
        <f>SkSearchRanks&gt;=8</f>
        <v>0</v>
      </c>
      <c r="DV365" s="1" t="b">
        <f>hasTrapfinding</f>
        <v>0</v>
      </c>
      <c r="EA365" s="1" t="b">
        <f>AND(DM365:DZ365)</f>
        <v>0</v>
      </c>
      <c r="EB365" s="11" t="s">
        <v>334</v>
      </c>
      <c r="EC365" s="1" t="str">
        <f>IF(DR365,"","• 8 ranks in Craft (trapmaking).
")&amp;IF(DS365,"","• 8 ranks in Disable Device.
")&amp;IF(DT365,"","• 5 ranks in Open Lock.
")&amp;IF(DU365,"","• 8 ranks in Search.
")&amp;IF(DV365,"","• Trapfinding class feature.
")</f>
        <v xml:space="preserve">• 8 ranks in Craft (trapmaking).
• 8 ranks in Disable Device.
• 5 ranks in Open Lock.
• 8 ranks in Search.
• Trapfinding class feature.
</v>
      </c>
      <c r="ED365" s="11" t="s">
        <v>335</v>
      </c>
    </row>
    <row r="366" spans="1:145" ht="11.25" customHeight="1" x14ac:dyDescent="0.2">
      <c r="A366" s="1">
        <f t="shared" si="304"/>
        <v>363</v>
      </c>
      <c r="B366" s="1" t="s">
        <v>991</v>
      </c>
      <c r="E366" s="1">
        <f t="shared" si="326"/>
        <v>0</v>
      </c>
      <c r="F366" s="1">
        <v>1</v>
      </c>
      <c r="Z366" s="1" t="b">
        <f>FALSE</f>
        <v>0</v>
      </c>
      <c r="AA366" s="1" t="str">
        <f t="shared" si="329"/>
        <v/>
      </c>
      <c r="AB366" s="1" t="str">
        <f t="shared" si="330"/>
        <v/>
      </c>
      <c r="AC366" s="1">
        <f t="shared" si="327"/>
        <v>0</v>
      </c>
      <c r="AD366" s="1" t="str">
        <f t="shared" si="331"/>
        <v/>
      </c>
      <c r="AE366" s="1" t="str">
        <f t="shared" si="332"/>
        <v/>
      </c>
      <c r="AF366" s="1">
        <f t="shared" si="328"/>
        <v>0</v>
      </c>
      <c r="AG366" s="1">
        <f t="shared" si="333"/>
        <v>5</v>
      </c>
      <c r="AH366" s="1" t="str">
        <f t="shared" si="325"/>
        <v/>
      </c>
      <c r="EB366" s="11"/>
      <c r="ED366" s="11" t="s">
        <v>335</v>
      </c>
      <c r="EE366" s="4"/>
    </row>
    <row r="367" spans="1:145" ht="11.25" customHeight="1" x14ac:dyDescent="0.2">
      <c r="A367" s="1">
        <f t="shared" si="304"/>
        <v>364</v>
      </c>
      <c r="B367" s="1" t="s">
        <v>992</v>
      </c>
      <c r="C367" s="1" t="s">
        <v>993</v>
      </c>
      <c r="D367" s="1" t="s">
        <v>993</v>
      </c>
      <c r="E367" s="1">
        <f t="shared" si="326"/>
        <v>0</v>
      </c>
      <c r="K367" s="1">
        <v>2</v>
      </c>
      <c r="L367" s="1">
        <v>8</v>
      </c>
      <c r="V367" s="1">
        <v>0.75</v>
      </c>
      <c r="W367" s="1">
        <v>0.34</v>
      </c>
      <c r="X367" s="1">
        <v>0.5</v>
      </c>
      <c r="Y367" s="1">
        <v>0.5</v>
      </c>
      <c r="Z367" s="1" t="b">
        <f>FALSE</f>
        <v>0</v>
      </c>
      <c r="AA367" s="1" t="str">
        <f t="shared" si="329"/>
        <v/>
      </c>
      <c r="AB367" s="1" t="str">
        <f t="shared" si="330"/>
        <v/>
      </c>
      <c r="AC367" s="1">
        <f t="shared" si="327"/>
        <v>0</v>
      </c>
      <c r="AD367" s="1" t="str">
        <f t="shared" si="331"/>
        <v/>
      </c>
      <c r="AE367" s="1" t="str">
        <f t="shared" si="332"/>
        <v/>
      </c>
      <c r="AF367" s="1">
        <f t="shared" si="328"/>
        <v>0</v>
      </c>
      <c r="AG367" s="1">
        <f t="shared" si="333"/>
        <v>5</v>
      </c>
      <c r="AH367" s="1" t="str">
        <f t="shared" si="325"/>
        <v/>
      </c>
      <c r="AI367" s="1">
        <v>1</v>
      </c>
      <c r="AJ367" s="1">
        <f>IF(HRXPH,1,0)</f>
        <v>0</v>
      </c>
      <c r="AK367" s="1">
        <f>IF(HRXPH,1,0)</f>
        <v>0</v>
      </c>
      <c r="AL367" s="1">
        <f>IF(HRXPH,1,0)</f>
        <v>0</v>
      </c>
      <c r="AM367" s="1">
        <v>2</v>
      </c>
      <c r="AN367" s="1">
        <f>IF(IsLycanthrope,2,0)</f>
        <v>0</v>
      </c>
      <c r="AO367" s="1">
        <f>IF(HRXPH,1,0)</f>
        <v>0</v>
      </c>
      <c r="AP367" s="1">
        <v>2</v>
      </c>
      <c r="AQ367" s="1">
        <v>2</v>
      </c>
      <c r="AR367" s="1">
        <v>2</v>
      </c>
      <c r="AS367" s="1">
        <v>2</v>
      </c>
      <c r="AT367" s="1">
        <v>2</v>
      </c>
      <c r="AU367" s="1">
        <v>2</v>
      </c>
      <c r="AV367" s="1">
        <v>2</v>
      </c>
      <c r="AW367" s="1">
        <f>IF(HRXPH,1,0)</f>
        <v>0</v>
      </c>
      <c r="AX367" s="1">
        <f>IF(HRXPH,1,0)</f>
        <v>0</v>
      </c>
      <c r="AY367" s="1">
        <v>2</v>
      </c>
      <c r="AZ367" s="1">
        <f t="shared" ref="AZ367:BE367" si="357">IF(HRXPH,1,0)</f>
        <v>0</v>
      </c>
      <c r="BA367" s="1">
        <f t="shared" si="357"/>
        <v>0</v>
      </c>
      <c r="BB367" s="1">
        <f t="shared" si="357"/>
        <v>0</v>
      </c>
      <c r="BC367" s="1">
        <f t="shared" si="357"/>
        <v>0</v>
      </c>
      <c r="BD367" s="1">
        <f t="shared" si="357"/>
        <v>0</v>
      </c>
      <c r="BE367" s="1">
        <f t="shared" si="357"/>
        <v>0</v>
      </c>
      <c r="BF367" s="1">
        <v>2</v>
      </c>
      <c r="BG367" s="1">
        <f>IF(HRRVL,1,0)</f>
        <v>0</v>
      </c>
      <c r="BH367" s="1">
        <f>IF(HROA,1,0)</f>
        <v>0</v>
      </c>
      <c r="BI367" s="1">
        <v>2</v>
      </c>
      <c r="BJ367" s="1">
        <v>2</v>
      </c>
      <c r="BK367" s="1">
        <f>IF(HRXPH,1,0)</f>
        <v>0</v>
      </c>
      <c r="BL367" s="1">
        <v>2</v>
      </c>
      <c r="BM367" s="1">
        <f t="shared" ref="BM367:CE367" si="358">IF(HRXPH,1,0)</f>
        <v>0</v>
      </c>
      <c r="BN367" s="1">
        <f t="shared" si="358"/>
        <v>0</v>
      </c>
      <c r="BO367" s="1">
        <f t="shared" si="358"/>
        <v>0</v>
      </c>
      <c r="BP367" s="1">
        <f t="shared" si="358"/>
        <v>0</v>
      </c>
      <c r="BQ367" s="1">
        <f t="shared" si="358"/>
        <v>0</v>
      </c>
      <c r="BR367" s="1">
        <f t="shared" si="358"/>
        <v>0</v>
      </c>
      <c r="BS367" s="1">
        <f t="shared" si="358"/>
        <v>0</v>
      </c>
      <c r="BT367" s="1">
        <f t="shared" si="358"/>
        <v>0</v>
      </c>
      <c r="BU367" s="1">
        <f t="shared" si="358"/>
        <v>0</v>
      </c>
      <c r="BV367" s="1">
        <f t="shared" si="358"/>
        <v>0</v>
      </c>
      <c r="BW367" s="1">
        <f t="shared" si="358"/>
        <v>0</v>
      </c>
      <c r="BX367" s="1">
        <f t="shared" si="358"/>
        <v>0</v>
      </c>
      <c r="BY367" s="1">
        <f t="shared" si="358"/>
        <v>0</v>
      </c>
      <c r="BZ367" s="1">
        <f t="shared" si="358"/>
        <v>0</v>
      </c>
      <c r="CA367" s="1">
        <f t="shared" si="358"/>
        <v>0</v>
      </c>
      <c r="CB367" s="1">
        <f t="shared" si="358"/>
        <v>0</v>
      </c>
      <c r="CC367" s="1">
        <f t="shared" si="358"/>
        <v>0</v>
      </c>
      <c r="CD367" s="1">
        <f t="shared" si="358"/>
        <v>0</v>
      </c>
      <c r="CE367" s="1">
        <f t="shared" si="358"/>
        <v>0</v>
      </c>
      <c r="CF367" s="1">
        <v>2</v>
      </c>
      <c r="CG367" s="1">
        <f>IF(HRToB,1,0)</f>
        <v>0</v>
      </c>
      <c r="CH367" s="1">
        <v>2</v>
      </c>
      <c r="CI367" s="1">
        <v>2</v>
      </c>
      <c r="CJ367" s="1">
        <f t="shared" ref="CJ367:CW367" si="359">IF(HRXPH,1,0)</f>
        <v>0</v>
      </c>
      <c r="CK367" s="1">
        <f t="shared" si="359"/>
        <v>0</v>
      </c>
      <c r="CL367" s="1">
        <f t="shared" si="359"/>
        <v>0</v>
      </c>
      <c r="CM367" s="1">
        <f t="shared" si="359"/>
        <v>0</v>
      </c>
      <c r="CN367" s="1">
        <f t="shared" si="359"/>
        <v>0</v>
      </c>
      <c r="CO367" s="1">
        <f t="shared" si="359"/>
        <v>0</v>
      </c>
      <c r="CP367" s="1">
        <f t="shared" si="359"/>
        <v>0</v>
      </c>
      <c r="CQ367" s="1">
        <f t="shared" si="359"/>
        <v>0</v>
      </c>
      <c r="CR367" s="1">
        <f t="shared" si="359"/>
        <v>0</v>
      </c>
      <c r="CS367" s="1">
        <f t="shared" si="359"/>
        <v>0</v>
      </c>
      <c r="CT367" s="1">
        <f t="shared" si="359"/>
        <v>0</v>
      </c>
      <c r="CU367" s="1">
        <f t="shared" si="359"/>
        <v>0</v>
      </c>
      <c r="CV367" s="1">
        <f t="shared" si="359"/>
        <v>0</v>
      </c>
      <c r="CW367" s="1">
        <f t="shared" si="359"/>
        <v>0</v>
      </c>
      <c r="CX367" s="1">
        <v>2</v>
      </c>
      <c r="CY367" s="1">
        <f>IF(HRXPH,1,0)</f>
        <v>0</v>
      </c>
      <c r="CZ367" s="1">
        <f>IF(HRXPH,1,0)</f>
        <v>0</v>
      </c>
      <c r="DA367" s="1">
        <f>IF(HRXPH,1,0)</f>
        <v>0</v>
      </c>
      <c r="DB367" s="1">
        <f>IF(HRXPH,1,0)</f>
        <v>0</v>
      </c>
      <c r="DC367" s="1">
        <f>IF(HRXPH,1,0)</f>
        <v>0</v>
      </c>
      <c r="DD367" s="1">
        <v>2</v>
      </c>
      <c r="DE367" s="1">
        <f>IF(HRXPH,1,0)</f>
        <v>0</v>
      </c>
      <c r="DF367" s="1">
        <v>2</v>
      </c>
      <c r="DG367" s="1">
        <f>IF(HRXPH,1,0)</f>
        <v>0</v>
      </c>
      <c r="DH367" s="1">
        <f>IF(HRXPH,1,0)</f>
        <v>0</v>
      </c>
      <c r="DI367" s="1">
        <f>IF(HRXPH,1,0)</f>
        <v>0</v>
      </c>
      <c r="DJ367" s="1">
        <v>2</v>
      </c>
      <c r="DK367" s="1" t="s">
        <v>988</v>
      </c>
      <c r="DL367" s="1" t="s">
        <v>170</v>
      </c>
      <c r="DR367" s="1" t="b">
        <f>BaseAtk&gt;=5</f>
        <v>0</v>
      </c>
      <c r="DS367" s="1" t="b">
        <f>Int&gt;=10</f>
        <v>0</v>
      </c>
      <c r="DT367" s="1" t="b">
        <f>IF(MonType="Humanoid",OR(NOT(ISERROR(SEARCH("goblinoid",Subtype))),Race="kobold"),NOT(ISERROR(SEARCH(MonType,"aberration,dragon,fey,magical beast,monstrous humanoid,outsider,undead"))))</f>
        <v>0</v>
      </c>
      <c r="EA367" s="1" t="b">
        <f>AND(DM367:DZ367)</f>
        <v>0</v>
      </c>
      <c r="EB367" s="11" t="s">
        <v>338</v>
      </c>
      <c r="EC367" s="1" t="str">
        <f>IF(DR367,"","• Base Attack Bonus of +5.
")&amp;IF(DS367,"","• Intelligence of 10.
")&amp;IF(DT367,"","• Creature type aberration, dragon, fey, magical beast,
  monsterous humanoid, outsider, or undead -- or --
• Subtype: goblinoid -- or --
• Race: Kobold
")&amp;"• Ability to cast spells or any spell-like or supernatural ability.
  (not verified).
• Complete familiarity with chosen dungeon complex and it's contents.
  (not verified)."</f>
        <v>• Base Attack Bonus of +5.
• Intelligence of 10.
• Creature type aberration, dragon, fey, magical beast,
  monsterous humanoid, outsider, or undead -- or --
• Subtype: goblinoid -- or --
• Race: Kobold
• Ability to cast spells or any spell-like or supernatural ability.
  (not verified).
• Complete familiarity with chosen dungeon complex and it's contents.
  (not verified).</v>
      </c>
      <c r="ED367" s="11" t="s">
        <v>335</v>
      </c>
      <c r="EE367"/>
      <c r="EF367"/>
      <c r="EG367"/>
      <c r="EH367"/>
      <c r="EI367"/>
      <c r="EJ367"/>
      <c r="EK367"/>
      <c r="EL367"/>
      <c r="EM367"/>
      <c r="EN367"/>
      <c r="EO367"/>
    </row>
    <row r="368" spans="1:145" ht="11.25" customHeight="1" x14ac:dyDescent="0.2">
      <c r="A368" s="1">
        <f t="shared" si="304"/>
        <v>365</v>
      </c>
      <c r="B368" s="1" t="s">
        <v>994</v>
      </c>
      <c r="E368" s="1">
        <f t="shared" si="326"/>
        <v>0</v>
      </c>
      <c r="F368" s="1">
        <v>1</v>
      </c>
      <c r="Z368" s="1" t="b">
        <f>FALSE</f>
        <v>0</v>
      </c>
      <c r="AA368" s="1" t="str">
        <f t="shared" si="329"/>
        <v/>
      </c>
      <c r="AB368" s="1" t="str">
        <f t="shared" si="330"/>
        <v/>
      </c>
      <c r="AC368" s="1">
        <f t="shared" si="327"/>
        <v>0</v>
      </c>
      <c r="AD368" s="1" t="str">
        <f t="shared" si="331"/>
        <v/>
      </c>
      <c r="AE368" s="1" t="str">
        <f t="shared" si="332"/>
        <v/>
      </c>
      <c r="AF368" s="1">
        <f t="shared" si="328"/>
        <v>0</v>
      </c>
      <c r="AG368" s="1">
        <f t="shared" si="333"/>
        <v>5</v>
      </c>
      <c r="AH368" s="1" t="str">
        <f t="shared" si="325"/>
        <v/>
      </c>
      <c r="EB368" s="11"/>
      <c r="ED368" s="11" t="s">
        <v>335</v>
      </c>
      <c r="EE368"/>
      <c r="EF368"/>
      <c r="EG368"/>
      <c r="EH368"/>
      <c r="EI368"/>
      <c r="EJ368"/>
      <c r="EK368"/>
      <c r="EL368"/>
      <c r="EM368"/>
      <c r="EN368"/>
      <c r="EO368"/>
    </row>
    <row r="369" spans="1:145" ht="11.25" customHeight="1" x14ac:dyDescent="0.2">
      <c r="A369" s="1">
        <f t="shared" si="304"/>
        <v>366</v>
      </c>
      <c r="B369" s="1" t="s">
        <v>995</v>
      </c>
      <c r="C369" s="1" t="s">
        <v>996</v>
      </c>
      <c r="D369" s="1" t="s">
        <v>996</v>
      </c>
      <c r="E369" s="1">
        <f t="shared" si="326"/>
        <v>0</v>
      </c>
      <c r="K369" s="1">
        <v>6</v>
      </c>
      <c r="L369" s="1">
        <v>10</v>
      </c>
      <c r="N369" s="1" t="b">
        <v>1</v>
      </c>
      <c r="O369" s="1" t="b">
        <v>1</v>
      </c>
      <c r="Q369" s="1" t="b">
        <v>1</v>
      </c>
      <c r="S369" s="1" t="b">
        <v>1</v>
      </c>
      <c r="T369" s="1" t="b">
        <v>1</v>
      </c>
      <c r="V369" s="1">
        <v>1</v>
      </c>
      <c r="W369" s="1">
        <v>0.5</v>
      </c>
      <c r="X369" s="1">
        <v>0.5</v>
      </c>
      <c r="Y369" s="1">
        <v>0.34</v>
      </c>
      <c r="Z369" s="1" t="b">
        <f>FALSE</f>
        <v>0</v>
      </c>
      <c r="AA369" s="1" t="str">
        <f t="shared" si="329"/>
        <v/>
      </c>
      <c r="AB369" s="1" t="str">
        <f t="shared" si="330"/>
        <v/>
      </c>
      <c r="AC369" s="1">
        <f t="shared" si="327"/>
        <v>0</v>
      </c>
      <c r="AD369" s="1" t="str">
        <f t="shared" si="331"/>
        <v/>
      </c>
      <c r="AE369" s="1" t="str">
        <f t="shared" si="332"/>
        <v/>
      </c>
      <c r="AF369" s="1">
        <f t="shared" si="328"/>
        <v>0</v>
      </c>
      <c r="AG369" s="1">
        <f t="shared" si="333"/>
        <v>5</v>
      </c>
      <c r="AH369" s="1" t="str">
        <f t="shared" si="325"/>
        <v/>
      </c>
      <c r="AI369" s="1">
        <v>1</v>
      </c>
      <c r="AJ369" s="1">
        <v>1</v>
      </c>
      <c r="AK369" s="1">
        <v>2</v>
      </c>
      <c r="AL369" s="1">
        <v>2</v>
      </c>
      <c r="AM369" s="1">
        <v>2</v>
      </c>
      <c r="AN369" s="1">
        <f>IF(IsLycanthrope,2,0)</f>
        <v>0</v>
      </c>
      <c r="AO369" s="1">
        <v>1</v>
      </c>
      <c r="AP369" s="1">
        <v>1</v>
      </c>
      <c r="AQ369" s="1">
        <f t="shared" ref="AQ369:AV369" si="360">1+(LOWER(AQ$2)="trapmaking")</f>
        <v>1</v>
      </c>
      <c r="AR369" s="1">
        <f t="shared" si="360"/>
        <v>1</v>
      </c>
      <c r="AS369" s="1">
        <f t="shared" si="360"/>
        <v>1</v>
      </c>
      <c r="AT369" s="1">
        <f t="shared" si="360"/>
        <v>1</v>
      </c>
      <c r="AU369" s="1">
        <f t="shared" si="360"/>
        <v>1</v>
      </c>
      <c r="AV369" s="1">
        <f t="shared" si="360"/>
        <v>1</v>
      </c>
      <c r="AW369" s="1">
        <v>1</v>
      </c>
      <c r="AX369" s="1">
        <v>2</v>
      </c>
      <c r="AY369" s="1">
        <v>2</v>
      </c>
      <c r="AZ369" s="1">
        <v>2</v>
      </c>
      <c r="BA369" s="1">
        <v>2</v>
      </c>
      <c r="BB369" s="1">
        <v>1</v>
      </c>
      <c r="BC369" s="1">
        <v>2</v>
      </c>
      <c r="BD369" s="1">
        <v>2</v>
      </c>
      <c r="BE369" s="1">
        <v>1</v>
      </c>
      <c r="BF369" s="1">
        <v>2</v>
      </c>
      <c r="BG369" s="1">
        <f>IF(HRRVL,1,0)</f>
        <v>0</v>
      </c>
      <c r="BH369" s="1">
        <f>IF(HROA,1,0)</f>
        <v>0</v>
      </c>
      <c r="BI369" s="1">
        <v>2</v>
      </c>
      <c r="BJ369" s="1">
        <v>2</v>
      </c>
      <c r="BK369" s="1">
        <v>1</v>
      </c>
      <c r="BL369" s="1">
        <v>1</v>
      </c>
      <c r="BM369" s="1">
        <v>1</v>
      </c>
      <c r="BN369" s="1">
        <v>1</v>
      </c>
      <c r="BO369" s="1">
        <v>1</v>
      </c>
      <c r="BP369" s="1">
        <v>2</v>
      </c>
      <c r="BQ369" s="1">
        <f>IF(HRRVL,1,0)</f>
        <v>0</v>
      </c>
      <c r="BR369" s="1">
        <v>1</v>
      </c>
      <c r="BS369" s="1">
        <v>1</v>
      </c>
      <c r="BT369" s="1">
        <f>IF(HRXPH,1,0)</f>
        <v>0</v>
      </c>
      <c r="BU369" s="1">
        <f>IF(HRRVL,1,0)</f>
        <v>0</v>
      </c>
      <c r="BV369" s="1">
        <v>1</v>
      </c>
      <c r="BW369" s="1">
        <v>1</v>
      </c>
      <c r="BX369" s="1">
        <v>1</v>
      </c>
      <c r="BY369" s="1">
        <v>1</v>
      </c>
      <c r="BZ369" s="1">
        <v>1</v>
      </c>
      <c r="CA369" s="1">
        <v>1</v>
      </c>
      <c r="CB369" s="1">
        <v>1</v>
      </c>
      <c r="CC369" s="1">
        <v>1</v>
      </c>
      <c r="CD369" s="1">
        <v>1</v>
      </c>
      <c r="CE369" s="1">
        <v>1</v>
      </c>
      <c r="CF369" s="1">
        <v>2</v>
      </c>
      <c r="CG369" s="1">
        <f>IF(HRToB,1,0)</f>
        <v>0</v>
      </c>
      <c r="CH369" s="1">
        <v>2</v>
      </c>
      <c r="CI369" s="1">
        <v>1</v>
      </c>
      <c r="CJ369" s="1">
        <v>1</v>
      </c>
      <c r="CK369" s="1">
        <v>1</v>
      </c>
      <c r="CL369" s="1">
        <v>1</v>
      </c>
      <c r="CM369" s="1">
        <v>1</v>
      </c>
      <c r="CN369" s="1">
        <v>1</v>
      </c>
      <c r="CO369" s="1">
        <v>1</v>
      </c>
      <c r="CP369" s="1">
        <v>1</v>
      </c>
      <c r="CQ369" s="1">
        <v>1</v>
      </c>
      <c r="CR369" s="1">
        <v>1</v>
      </c>
      <c r="CS369" s="1">
        <v>1</v>
      </c>
      <c r="CT369" s="1">
        <v>1</v>
      </c>
      <c r="CU369" s="1">
        <v>1</v>
      </c>
      <c r="CV369" s="1">
        <f>IF(HRXPH,1,0)</f>
        <v>0</v>
      </c>
      <c r="CW369" s="1">
        <v>2</v>
      </c>
      <c r="CX369" s="1">
        <v>2</v>
      </c>
      <c r="CY369" s="1">
        <v>2</v>
      </c>
      <c r="CZ369" s="1">
        <f>IF(HRCS,1,0)</f>
        <v>0</v>
      </c>
      <c r="DA369" s="1">
        <v>1</v>
      </c>
      <c r="DB369" s="1">
        <v>1</v>
      </c>
      <c r="DC369" s="1">
        <v>1</v>
      </c>
      <c r="DD369" s="1">
        <v>2</v>
      </c>
      <c r="DE369" s="1">
        <v>2</v>
      </c>
      <c r="DF369" s="1">
        <v>2</v>
      </c>
      <c r="DG369" s="1">
        <v>1</v>
      </c>
      <c r="DH369" s="1">
        <v>1</v>
      </c>
      <c r="DI369" s="1">
        <f>IF(HRXPH,1,0)</f>
        <v>0</v>
      </c>
      <c r="DJ369" s="1">
        <v>2</v>
      </c>
      <c r="DK369" s="1" t="s">
        <v>997</v>
      </c>
      <c r="DL369" s="1" t="s">
        <v>170</v>
      </c>
      <c r="DR369" s="1" t="b">
        <f>AlignmentNonGood</f>
        <v>0</v>
      </c>
      <c r="DS369" s="1" t="b">
        <f>BaseAtk&gt;=4</f>
        <v>0</v>
      </c>
      <c r="DT369" s="1" t="b">
        <f>BaseFort&gt;=3</f>
        <v>0</v>
      </c>
      <c r="DU369" s="1" t="b">
        <f>SkGatherInformationRanks&gt;=4</f>
        <v>0</v>
      </c>
      <c r="DV369" s="1" t="b">
        <f>SkHandleAnimalRanks&gt;=8</f>
        <v>0</v>
      </c>
      <c r="DW369" s="1" t="b">
        <f>SkHealRanks&gt;=1</f>
        <v>0</v>
      </c>
      <c r="DX369" s="1" t="b">
        <f>SkIntimidateRanks&gt;=3</f>
        <v>0</v>
      </c>
      <c r="DY369" s="1" t="b">
        <f>FtUrbanTracking</f>
        <v>0</v>
      </c>
      <c r="EA369" s="1" t="b">
        <f>AND(DM369:DZ369)</f>
        <v>0</v>
      </c>
      <c r="EB369" s="11" t="s">
        <v>334</v>
      </c>
      <c r="EC369" s="1" t="str">
        <f>IF(DR369,"","• Must be of Any Non-Good Alignment.
")&amp;IF(DS369,"","• Base Attack Bonus of +4.
")&amp;IF(DT369,"","• Base Fort Save of +3 or greater.
")&amp;IF(DU369,"","• 4 ranks in Gather Information.
")&amp;IF(DV369,"","• 8 ranks in Handle Animal.
")&amp;IF(DW369,"","• 1 rank in Heal.
")&amp;IF(DX369,"","• 3 ranks in Intimidate.
")&amp;IF(DY369,"","• Urban Tracking feat.")</f>
        <v>• Must be of Any Non-Good Alignment.
• Base Attack Bonus of +4.
• Base Fort Save of +3 or greater.
• 4 ranks in Gather Information.
• 8 ranks in Handle Animal.
• 1 rank in Heal.
• 3 ranks in Intimidate.
• Urban Tracking feat.</v>
      </c>
      <c r="ED369" s="11" t="s">
        <v>335</v>
      </c>
      <c r="EE369"/>
      <c r="EF369"/>
      <c r="EG369"/>
      <c r="EH369"/>
      <c r="EI369"/>
      <c r="EJ369"/>
      <c r="EK369"/>
      <c r="EL369"/>
      <c r="EM369"/>
      <c r="EN369"/>
      <c r="EO369"/>
    </row>
    <row r="370" spans="1:145" ht="11.25" customHeight="1" x14ac:dyDescent="0.2">
      <c r="A370" s="1">
        <f t="shared" si="304"/>
        <v>367</v>
      </c>
      <c r="B370" s="1" t="s">
        <v>998</v>
      </c>
      <c r="C370" s="1" t="s">
        <v>999</v>
      </c>
      <c r="D370" s="1" t="s">
        <v>999</v>
      </c>
      <c r="E370" s="1">
        <f t="shared" si="326"/>
        <v>0</v>
      </c>
      <c r="K370" s="1">
        <v>6</v>
      </c>
      <c r="L370" s="1">
        <v>6</v>
      </c>
      <c r="V370" s="1">
        <v>0.75</v>
      </c>
      <c r="W370" s="1">
        <v>0.34</v>
      </c>
      <c r="X370" s="1">
        <v>0.5</v>
      </c>
      <c r="Y370" s="1">
        <v>0.34</v>
      </c>
      <c r="Z370" s="1" t="b">
        <f>FALSE</f>
        <v>0</v>
      </c>
      <c r="AA370" s="1" t="str">
        <f t="shared" si="329"/>
        <v/>
      </c>
      <c r="AB370" s="1" t="str">
        <f t="shared" si="330"/>
        <v/>
      </c>
      <c r="AC370" s="1">
        <f t="shared" si="327"/>
        <v>0</v>
      </c>
      <c r="AD370" s="1" t="str">
        <f t="shared" si="331"/>
        <v/>
      </c>
      <c r="AE370" s="1" t="str">
        <f t="shared" si="332"/>
        <v/>
      </c>
      <c r="AF370" s="1">
        <f t="shared" si="328"/>
        <v>0</v>
      </c>
      <c r="AG370" s="1">
        <f t="shared" si="333"/>
        <v>5</v>
      </c>
      <c r="AH370" s="1" t="str">
        <f t="shared" si="325"/>
        <v/>
      </c>
      <c r="AI370" s="1">
        <v>1</v>
      </c>
      <c r="AJ370" s="1">
        <f>IF(HRXPH,1,0)</f>
        <v>0</v>
      </c>
      <c r="AK370" s="1">
        <v>2</v>
      </c>
      <c r="AL370" s="1">
        <v>2</v>
      </c>
      <c r="AM370" s="1">
        <v>1</v>
      </c>
      <c r="AN370" s="1">
        <f>IF(IsLycanthrope,2,0)</f>
        <v>0</v>
      </c>
      <c r="AO370" s="1">
        <v>1</v>
      </c>
      <c r="AP370" s="1">
        <v>2</v>
      </c>
      <c r="AQ370" s="1">
        <v>2</v>
      </c>
      <c r="AR370" s="1">
        <v>2</v>
      </c>
      <c r="AS370" s="1">
        <v>2</v>
      </c>
      <c r="AT370" s="1">
        <v>2</v>
      </c>
      <c r="AU370" s="1">
        <v>2</v>
      </c>
      <c r="AV370" s="1">
        <v>2</v>
      </c>
      <c r="AW370" s="1">
        <v>2</v>
      </c>
      <c r="AX370" s="1">
        <v>2</v>
      </c>
      <c r="AY370" s="1">
        <v>2</v>
      </c>
      <c r="AZ370" s="1">
        <v>2</v>
      </c>
      <c r="BA370" s="1">
        <v>2</v>
      </c>
      <c r="BB370" s="1">
        <v>2</v>
      </c>
      <c r="BC370" s="1">
        <v>2</v>
      </c>
      <c r="BD370" s="1">
        <v>1</v>
      </c>
      <c r="BE370" s="1">
        <v>1</v>
      </c>
      <c r="BF370" s="1">
        <v>2</v>
      </c>
      <c r="BG370" s="1">
        <f>IF(HRRVL,1,0)</f>
        <v>0</v>
      </c>
      <c r="BH370" s="1">
        <f>IF(HROA,1,0)</f>
        <v>0</v>
      </c>
      <c r="BI370" s="1">
        <v>1</v>
      </c>
      <c r="BJ370" s="1">
        <v>2</v>
      </c>
      <c r="BK370" s="1">
        <v>1</v>
      </c>
      <c r="BL370" s="1">
        <v>1</v>
      </c>
      <c r="BM370" s="1">
        <v>1</v>
      </c>
      <c r="BN370" s="1">
        <v>1</v>
      </c>
      <c r="BO370" s="1">
        <v>1</v>
      </c>
      <c r="BP370" s="1">
        <v>1</v>
      </c>
      <c r="BQ370" s="1">
        <f>IF(HRRVL,1,0)</f>
        <v>0</v>
      </c>
      <c r="BR370" s="1">
        <v>1</v>
      </c>
      <c r="BS370" s="1">
        <v>2</v>
      </c>
      <c r="BT370" s="1">
        <f>IF(HRXPH,1,0)</f>
        <v>0</v>
      </c>
      <c r="BU370" s="1">
        <f>IF(HRRVL,1,0)</f>
        <v>0</v>
      </c>
      <c r="BV370" s="1">
        <v>1</v>
      </c>
      <c r="BW370" s="1">
        <v>1</v>
      </c>
      <c r="BX370" s="1">
        <v>1</v>
      </c>
      <c r="BY370" s="1">
        <v>1</v>
      </c>
      <c r="BZ370" s="1">
        <v>1</v>
      </c>
      <c r="CA370" s="1">
        <v>1</v>
      </c>
      <c r="CB370" s="1">
        <v>1</v>
      </c>
      <c r="CC370" s="1">
        <v>1</v>
      </c>
      <c r="CD370" s="1">
        <v>1</v>
      </c>
      <c r="CE370" s="1">
        <v>1</v>
      </c>
      <c r="CF370" s="1">
        <v>2</v>
      </c>
      <c r="CG370" s="1">
        <f>IF(HRToB,1,0)</f>
        <v>0</v>
      </c>
      <c r="CH370" s="1">
        <v>2</v>
      </c>
      <c r="CI370" s="1">
        <v>2</v>
      </c>
      <c r="CJ370" s="1">
        <v>1</v>
      </c>
      <c r="CK370" s="1">
        <v>1</v>
      </c>
      <c r="CL370" s="1">
        <v>1</v>
      </c>
      <c r="CM370" s="1">
        <v>1</v>
      </c>
      <c r="CN370" s="1">
        <v>1</v>
      </c>
      <c r="CO370" s="1">
        <v>1</v>
      </c>
      <c r="CP370" s="1">
        <v>1</v>
      </c>
      <c r="CQ370" s="1">
        <v>1</v>
      </c>
      <c r="CR370" s="1">
        <v>1</v>
      </c>
      <c r="CS370" s="1">
        <v>1</v>
      </c>
      <c r="CT370" s="1">
        <v>1</v>
      </c>
      <c r="CU370" s="1">
        <v>1</v>
      </c>
      <c r="CV370" s="1">
        <f>IF(HRXPH,1,0)</f>
        <v>0</v>
      </c>
      <c r="CW370" s="1">
        <v>1</v>
      </c>
      <c r="CX370" s="1">
        <v>2</v>
      </c>
      <c r="CY370" s="1">
        <v>2</v>
      </c>
      <c r="CZ370" s="1">
        <f>IF(HRCS,1,0)</f>
        <v>0</v>
      </c>
      <c r="DA370" s="1">
        <v>2</v>
      </c>
      <c r="DB370" s="1">
        <v>1</v>
      </c>
      <c r="DC370" s="1">
        <v>1</v>
      </c>
      <c r="DD370" s="1">
        <v>2</v>
      </c>
      <c r="DE370" s="1">
        <v>1</v>
      </c>
      <c r="DF370" s="1">
        <v>1</v>
      </c>
      <c r="DG370" s="1">
        <v>2</v>
      </c>
      <c r="DH370" s="1">
        <v>1</v>
      </c>
      <c r="DI370" s="1">
        <f>IF(HRXPH,1,0)</f>
        <v>0</v>
      </c>
      <c r="DJ370" s="1">
        <v>2</v>
      </c>
      <c r="DK370" s="1" t="s">
        <v>997</v>
      </c>
      <c r="DL370" s="1" t="s">
        <v>170</v>
      </c>
      <c r="DR370" s="1" t="b">
        <f>SkDecipherScriptRanks&gt;=4</f>
        <v>0</v>
      </c>
      <c r="DS370" s="1" t="b">
        <f>SkHideRanks&gt;=8</f>
        <v>0</v>
      </c>
      <c r="DT370" s="1" t="b">
        <f>SkMoveSilentlyRanks&gt;=8</f>
        <v>0</v>
      </c>
      <c r="DU370" s="1" t="b">
        <f>SkSearchRanks&gt;=4</f>
        <v>0</v>
      </c>
      <c r="DV370" s="1" t="b">
        <f>SkSenseMotiveRanks&gt;=4</f>
        <v>0</v>
      </c>
      <c r="DW370" s="1" t="b">
        <f>(FtAlertness+FtDeceitful+FtNegotiator+FtInvestigator+FtStealthy)&gt;=2</f>
        <v>0</v>
      </c>
      <c r="EA370" s="1" t="b">
        <f>AND(DR370:DZ370)</f>
        <v>0</v>
      </c>
      <c r="EB370" s="11" t="s">
        <v>338</v>
      </c>
      <c r="EC370" s="1" t="str">
        <f>IF(DR370,"","• 4 ranks in Decipher Script.
")&amp;IF(DS370,"","• 8 ranks in Hide.
")&amp;IF(DT370,"","• 8 ranks in Move Silently.
")&amp;IF(DU370,"","• 4 ranks in Search.
")&amp;IF(DV370,"","• 4 ranks in Sense Motive.
")&amp;IF(DW370,"","• Any two of Alertness, Deceitful, Investigator, Negotiator, and Stealthy.
")&amp;"• Must be a member of House Ebonmar. (not verified)."</f>
        <v>• 4 ranks in Decipher Script.
• 8 ranks in Hide.
• 8 ranks in Move Silently.
• 4 ranks in Search.
• 4 ranks in Sense Motive.
• Any two of Alertness, Deceitful, Investigator, Negotiator, and Stealthy.
• Must be a member of House Ebonmar. (not verified).</v>
      </c>
      <c r="ED370" s="11" t="s">
        <v>335</v>
      </c>
      <c r="EE370"/>
      <c r="EF370"/>
      <c r="EG370"/>
      <c r="EH370"/>
      <c r="EI370"/>
      <c r="EJ370"/>
      <c r="EK370"/>
      <c r="EL370"/>
      <c r="EM370"/>
      <c r="EN370"/>
      <c r="EO370"/>
    </row>
    <row r="371" spans="1:145" ht="11.25" customHeight="1" x14ac:dyDescent="0.2">
      <c r="A371" s="1">
        <f t="shared" si="304"/>
        <v>368</v>
      </c>
      <c r="B371" s="1" t="s">
        <v>1000</v>
      </c>
      <c r="C371" s="1" t="s">
        <v>1001</v>
      </c>
      <c r="D371" s="1" t="s">
        <v>1001</v>
      </c>
      <c r="E371" s="1">
        <f t="shared" si="326"/>
        <v>0</v>
      </c>
      <c r="G371" s="1">
        <f>UrSvLvl-INT(UrSvLvl/10)</f>
        <v>0</v>
      </c>
      <c r="K371" s="1">
        <v>6</v>
      </c>
      <c r="L371" s="1">
        <v>6</v>
      </c>
      <c r="V371" s="1">
        <v>0.5</v>
      </c>
      <c r="W371" s="1">
        <v>0.34</v>
      </c>
      <c r="X371" s="1">
        <v>0.5</v>
      </c>
      <c r="Y371" s="1">
        <v>0.5</v>
      </c>
      <c r="Z371" s="1" t="b">
        <f>FALSE</f>
        <v>0</v>
      </c>
      <c r="AA371" s="1" t="str">
        <f t="shared" si="329"/>
        <v/>
      </c>
      <c r="AB371" s="1" t="str">
        <f t="shared" si="330"/>
        <v/>
      </c>
      <c r="AC371" s="1">
        <f t="shared" si="327"/>
        <v>0</v>
      </c>
      <c r="AD371" s="1" t="str">
        <f t="shared" si="331"/>
        <v/>
      </c>
      <c r="AE371" s="1" t="str">
        <f t="shared" si="332"/>
        <v/>
      </c>
      <c r="AF371" s="1">
        <f t="shared" si="328"/>
        <v>0</v>
      </c>
      <c r="AG371" s="1">
        <f t="shared" si="333"/>
        <v>5</v>
      </c>
      <c r="AH371" s="1" t="str">
        <f t="shared" si="325"/>
        <v/>
      </c>
      <c r="AI371" s="1">
        <v>1</v>
      </c>
      <c r="AJ371" s="1">
        <f>IF(HRXPH,1,0)</f>
        <v>0</v>
      </c>
      <c r="AK371" s="1">
        <v>2</v>
      </c>
      <c r="AL371" s="1">
        <v>2</v>
      </c>
      <c r="AM371" s="1">
        <v>2</v>
      </c>
      <c r="AN371" s="1">
        <f>IF(IsLycanthrope,2,0)</f>
        <v>0</v>
      </c>
      <c r="AO371" s="1">
        <v>2</v>
      </c>
      <c r="AP371" s="1">
        <v>1</v>
      </c>
      <c r="AQ371" s="1">
        <v>1</v>
      </c>
      <c r="AR371" s="1">
        <v>1</v>
      </c>
      <c r="AS371" s="1">
        <v>1</v>
      </c>
      <c r="AT371" s="1">
        <v>1</v>
      </c>
      <c r="AU371" s="1">
        <v>1</v>
      </c>
      <c r="AV371" s="1">
        <v>1</v>
      </c>
      <c r="AW371" s="1">
        <v>2</v>
      </c>
      <c r="AX371" s="1">
        <v>2</v>
      </c>
      <c r="AY371" s="1">
        <v>1</v>
      </c>
      <c r="AZ371" s="1">
        <v>1</v>
      </c>
      <c r="BA371" s="1">
        <v>1</v>
      </c>
      <c r="BB371" s="1">
        <v>1</v>
      </c>
      <c r="BC371" s="1">
        <v>2</v>
      </c>
      <c r="BD371" s="1">
        <v>1</v>
      </c>
      <c r="BE371" s="1">
        <v>1</v>
      </c>
      <c r="BF371" s="1">
        <v>2</v>
      </c>
      <c r="BG371" s="1">
        <f>IF(HRRVL,1,0)</f>
        <v>0</v>
      </c>
      <c r="BH371" s="1">
        <f>IF(HROA,1,0)</f>
        <v>0</v>
      </c>
      <c r="BI371" s="1">
        <v>1</v>
      </c>
      <c r="BJ371" s="1">
        <v>1</v>
      </c>
      <c r="BK371" s="1">
        <v>2</v>
      </c>
      <c r="BL371" s="1">
        <v>2</v>
      </c>
      <c r="BM371" s="1">
        <v>2</v>
      </c>
      <c r="BN371" s="1">
        <v>2</v>
      </c>
      <c r="BO371" s="1">
        <v>2</v>
      </c>
      <c r="BP371" s="1">
        <v>2</v>
      </c>
      <c r="BQ371" s="1">
        <f>IF(HRRVL,1,0)</f>
        <v>0</v>
      </c>
      <c r="BR371" s="1">
        <v>2</v>
      </c>
      <c r="BS371" s="1">
        <v>2</v>
      </c>
      <c r="BT371" s="1">
        <f>IF(HRXPH,2,0)</f>
        <v>0</v>
      </c>
      <c r="BU371" s="1">
        <f>IF(HRRVL,2,0)</f>
        <v>0</v>
      </c>
      <c r="BV371" s="1">
        <v>2</v>
      </c>
      <c r="BW371" s="1">
        <v>2</v>
      </c>
      <c r="BX371" s="1">
        <v>2</v>
      </c>
      <c r="BY371" s="1">
        <v>2</v>
      </c>
      <c r="BZ371" s="1">
        <v>2</v>
      </c>
      <c r="CA371" s="1">
        <v>2</v>
      </c>
      <c r="CB371" s="1">
        <v>2</v>
      </c>
      <c r="CC371" s="1">
        <v>2</v>
      </c>
      <c r="CD371" s="1">
        <v>2</v>
      </c>
      <c r="CE371" s="1">
        <v>2</v>
      </c>
      <c r="CF371" s="1">
        <v>2</v>
      </c>
      <c r="CG371" s="1">
        <f>IF(HRToB,1,0)</f>
        <v>0</v>
      </c>
      <c r="CH371" s="1">
        <v>2</v>
      </c>
      <c r="CI371" s="1">
        <v>1</v>
      </c>
      <c r="CJ371" s="1">
        <v>1</v>
      </c>
      <c r="CK371" s="1">
        <v>1</v>
      </c>
      <c r="CL371" s="1">
        <v>1</v>
      </c>
      <c r="CM371" s="1">
        <v>1</v>
      </c>
      <c r="CN371" s="1">
        <v>1</v>
      </c>
      <c r="CO371" s="1">
        <v>1</v>
      </c>
      <c r="CP371" s="1">
        <v>2</v>
      </c>
      <c r="CQ371" s="1">
        <v>2</v>
      </c>
      <c r="CR371" s="1">
        <v>2</v>
      </c>
      <c r="CS371" s="1">
        <v>2</v>
      </c>
      <c r="CT371" s="1">
        <v>2</v>
      </c>
      <c r="CU371" s="1">
        <v>2</v>
      </c>
      <c r="CV371" s="1">
        <f>IF(HRXPH,1,0)</f>
        <v>0</v>
      </c>
      <c r="CW371" s="1">
        <v>1</v>
      </c>
      <c r="CX371" s="1">
        <v>2</v>
      </c>
      <c r="CY371" s="1">
        <v>2</v>
      </c>
      <c r="CZ371" s="1">
        <f>IF(HRCS,1,0)</f>
        <v>0</v>
      </c>
      <c r="DA371" s="1">
        <v>1</v>
      </c>
      <c r="DB371" s="1">
        <v>2</v>
      </c>
      <c r="DC371" s="1">
        <v>2</v>
      </c>
      <c r="DD371" s="1">
        <v>2</v>
      </c>
      <c r="DE371" s="1">
        <v>1</v>
      </c>
      <c r="DF371" s="1">
        <v>1</v>
      </c>
      <c r="DG371" s="1">
        <v>2</v>
      </c>
      <c r="DH371" s="1">
        <v>2</v>
      </c>
      <c r="DI371" s="1">
        <f>IF(HRXPH,1,0)</f>
        <v>0</v>
      </c>
      <c r="DJ371" s="1">
        <v>1</v>
      </c>
      <c r="DK371" s="1" t="s">
        <v>997</v>
      </c>
      <c r="DL371" s="1" t="s">
        <v>170</v>
      </c>
      <c r="DR371" s="1" t="b">
        <f>AND(AND(SkKnowledgeLocalRanks&gt;=2,SkKnowledgeDungeoneeringRanks&gt;=2,SkKnowledgeNatureRanks&gt;=2),MAX(SkKnowledgeLocalRanks,SkKnowledgeDungeoneeringRanks,SkKnowledgeNatureRanks)&gt;=8)</f>
        <v>0</v>
      </c>
      <c r="DS371" s="1" t="b">
        <f>OR(FtFavored,FtFavoredInHouse)</f>
        <v>0</v>
      </c>
      <c r="DT371" s="1" t="b">
        <f>BardicKnowledge</f>
        <v>0</v>
      </c>
      <c r="EA371" s="1" t="b">
        <f>AND(DP371:DZ371)</f>
        <v>0</v>
      </c>
      <c r="EB371" s="11" t="s">
        <v>338</v>
      </c>
      <c r="EC371" s="1" t="str">
        <f>IF(DR371,"","• 8 ranks in any one, and two ranks in each of the other two of Knowledge(local), Knowledge(dungeoneering), Knowledge (nature).
")&amp;IF(DS371,"","• Favored feat.
")&amp;IF(DT371,"","• Bardic Knowledge class ability.
")&amp;"• Must be a member in good standing of the League of Eyes (or similar organization). (not verified)."</f>
        <v>• 8 ranks in any one, and two ranks in each of the other two of Knowledge(local), Knowledge(dungeoneering), Knowledge (nature).
• Favored feat.
• Bardic Knowledge class ability.
• Must be a member in good standing of the League of Eyes (or similar organization). (not verified).</v>
      </c>
      <c r="ED371" s="11" t="s">
        <v>335</v>
      </c>
      <c r="EE371"/>
      <c r="EF371"/>
      <c r="EG371"/>
      <c r="EH371"/>
      <c r="EI371"/>
      <c r="EJ371"/>
      <c r="EK371"/>
      <c r="EL371"/>
      <c r="EM371"/>
      <c r="EN371"/>
      <c r="EO371"/>
    </row>
    <row r="372" spans="1:145" ht="11.25" customHeight="1" x14ac:dyDescent="0.2">
      <c r="A372" s="1">
        <f t="shared" si="304"/>
        <v>369</v>
      </c>
      <c r="B372" s="1" t="s">
        <v>1002</v>
      </c>
      <c r="E372" s="1">
        <f t="shared" si="326"/>
        <v>0</v>
      </c>
      <c r="F372" s="1">
        <v>1</v>
      </c>
      <c r="Z372" s="1" t="b">
        <f>FALSE</f>
        <v>0</v>
      </c>
      <c r="AA372" s="1" t="str">
        <f t="shared" si="329"/>
        <v/>
      </c>
      <c r="AB372" s="1" t="str">
        <f t="shared" si="330"/>
        <v/>
      </c>
      <c r="AC372" s="1">
        <f t="shared" si="327"/>
        <v>0</v>
      </c>
      <c r="AD372" s="1" t="str">
        <f t="shared" si="331"/>
        <v/>
      </c>
      <c r="AE372" s="1" t="str">
        <f t="shared" si="332"/>
        <v/>
      </c>
      <c r="AF372" s="1">
        <f t="shared" si="328"/>
        <v>0</v>
      </c>
      <c r="AG372" s="1">
        <f t="shared" si="333"/>
        <v>5</v>
      </c>
      <c r="AH372" s="1" t="str">
        <f t="shared" si="325"/>
        <v/>
      </c>
      <c r="EB372" s="11"/>
      <c r="ED372" s="11" t="s">
        <v>335</v>
      </c>
      <c r="EE372"/>
      <c r="EF372"/>
      <c r="EG372"/>
      <c r="EH372"/>
      <c r="EI372"/>
      <c r="EJ372"/>
      <c r="EK372"/>
      <c r="EL372"/>
      <c r="EM372"/>
      <c r="EN372"/>
      <c r="EO372"/>
    </row>
    <row r="373" spans="1:145" ht="11.25" customHeight="1" x14ac:dyDescent="0.2">
      <c r="A373" s="1">
        <f t="shared" si="304"/>
        <v>370</v>
      </c>
      <c r="B373" s="1" t="s">
        <v>1003</v>
      </c>
      <c r="C373" s="1" t="s">
        <v>1004</v>
      </c>
      <c r="D373" s="1" t="s">
        <v>1004</v>
      </c>
      <c r="E373" s="1">
        <f t="shared" si="326"/>
        <v>0</v>
      </c>
      <c r="K373" s="1">
        <v>2</v>
      </c>
      <c r="L373" s="1">
        <v>12</v>
      </c>
      <c r="V373" s="1">
        <v>0.75</v>
      </c>
      <c r="W373" s="1">
        <v>0.5</v>
      </c>
      <c r="X373" s="1">
        <v>0.5</v>
      </c>
      <c r="Y373" s="1">
        <v>0.34</v>
      </c>
      <c r="Z373" s="1" t="b">
        <f>FALSE</f>
        <v>0</v>
      </c>
      <c r="AA373" s="1" t="str">
        <f t="shared" si="329"/>
        <v/>
      </c>
      <c r="AB373" s="1" t="str">
        <f t="shared" si="330"/>
        <v/>
      </c>
      <c r="AC373" s="1">
        <f t="shared" si="327"/>
        <v>0</v>
      </c>
      <c r="AD373" s="1" t="str">
        <f t="shared" si="331"/>
        <v/>
      </c>
      <c r="AE373" s="1" t="str">
        <f t="shared" si="332"/>
        <v/>
      </c>
      <c r="AF373" s="1">
        <f t="shared" si="328"/>
        <v>0</v>
      </c>
      <c r="AG373" s="1">
        <f t="shared" si="333"/>
        <v>5</v>
      </c>
      <c r="AH373" s="1" t="str">
        <f t="shared" si="325"/>
        <v/>
      </c>
      <c r="AI373" s="1">
        <v>1</v>
      </c>
      <c r="AJ373" s="1">
        <f t="shared" ref="AJ373:AJ386" si="361">IF(HRXPH,1,0)</f>
        <v>0</v>
      </c>
      <c r="AK373" s="1">
        <v>2</v>
      </c>
      <c r="AL373" s="1">
        <v>1</v>
      </c>
      <c r="AM373" s="1">
        <v>2</v>
      </c>
      <c r="AN373" s="1">
        <f t="shared" ref="AN373:AN380" si="362">IF(IsLycanthrope,2,0)</f>
        <v>0</v>
      </c>
      <c r="AO373" s="1">
        <v>1</v>
      </c>
      <c r="AP373" s="1">
        <v>1</v>
      </c>
      <c r="AQ373" s="1">
        <v>1</v>
      </c>
      <c r="AR373" s="1">
        <v>1</v>
      </c>
      <c r="AS373" s="1">
        <v>1</v>
      </c>
      <c r="AT373" s="1">
        <v>1</v>
      </c>
      <c r="AU373" s="1">
        <v>1</v>
      </c>
      <c r="AV373" s="1">
        <v>1</v>
      </c>
      <c r="AW373" s="1">
        <v>1</v>
      </c>
      <c r="AX373" s="1">
        <v>1</v>
      </c>
      <c r="AY373" s="1">
        <v>1</v>
      </c>
      <c r="AZ373" s="1">
        <v>1</v>
      </c>
      <c r="BA373" s="1">
        <v>1</v>
      </c>
      <c r="BB373" s="1">
        <v>1</v>
      </c>
      <c r="BC373" s="1">
        <v>1</v>
      </c>
      <c r="BD373" s="1">
        <v>2</v>
      </c>
      <c r="BE373" s="1">
        <v>1</v>
      </c>
      <c r="BF373" s="1">
        <v>2</v>
      </c>
      <c r="BG373" s="1">
        <f t="shared" ref="BG373:BG386" si="363">IF(HRRVL,1,0)</f>
        <v>0</v>
      </c>
      <c r="BH373" s="1">
        <f t="shared" ref="BH373:BH380" si="364">IF(HROA,1,0)</f>
        <v>0</v>
      </c>
      <c r="BI373" s="1">
        <v>1</v>
      </c>
      <c r="BJ373" s="1">
        <v>2</v>
      </c>
      <c r="BK373" s="1">
        <v>1</v>
      </c>
      <c r="BL373" s="1">
        <v>1</v>
      </c>
      <c r="BM373" s="1">
        <v>1</v>
      </c>
      <c r="BN373" s="1">
        <v>1</v>
      </c>
      <c r="BO373" s="1">
        <v>1</v>
      </c>
      <c r="BP373" s="1">
        <v>1</v>
      </c>
      <c r="BQ373" s="1">
        <f>IF(HRRVL,1,0)</f>
        <v>0</v>
      </c>
      <c r="BR373" s="1">
        <v>2</v>
      </c>
      <c r="BS373" s="1">
        <v>1</v>
      </c>
      <c r="BT373" s="1">
        <f>IF(HRXPH,1,0)</f>
        <v>0</v>
      </c>
      <c r="BU373" s="1">
        <f>IF(HRRVL,1,0)</f>
        <v>0</v>
      </c>
      <c r="BV373" s="1">
        <v>1</v>
      </c>
      <c r="BW373" s="1">
        <v>1</v>
      </c>
      <c r="BX373" s="1">
        <v>1</v>
      </c>
      <c r="BY373" s="1">
        <v>1</v>
      </c>
      <c r="BZ373" s="1">
        <v>1</v>
      </c>
      <c r="CA373" s="1">
        <v>1</v>
      </c>
      <c r="CB373" s="1">
        <v>1</v>
      </c>
      <c r="CC373" s="1">
        <v>1</v>
      </c>
      <c r="CD373" s="1">
        <v>1</v>
      </c>
      <c r="CE373" s="1">
        <v>1</v>
      </c>
      <c r="CF373" s="1">
        <v>2</v>
      </c>
      <c r="CG373" s="1">
        <v>2</v>
      </c>
      <c r="CH373" s="1">
        <v>2</v>
      </c>
      <c r="CI373" s="1">
        <v>1</v>
      </c>
      <c r="CJ373" s="1">
        <v>1</v>
      </c>
      <c r="CK373" s="1">
        <v>1</v>
      </c>
      <c r="CL373" s="1">
        <v>1</v>
      </c>
      <c r="CM373" s="1">
        <v>1</v>
      </c>
      <c r="CN373" s="1">
        <v>1</v>
      </c>
      <c r="CO373" s="1">
        <v>1</v>
      </c>
      <c r="CP373" s="1">
        <v>1</v>
      </c>
      <c r="CQ373" s="1">
        <v>1</v>
      </c>
      <c r="CR373" s="1">
        <v>1</v>
      </c>
      <c r="CS373" s="1">
        <v>1</v>
      </c>
      <c r="CT373" s="1">
        <v>1</v>
      </c>
      <c r="CU373" s="1">
        <v>1</v>
      </c>
      <c r="CV373" s="1">
        <f t="shared" ref="CV373:CV386" si="365">IF(HRXPH,1,0)</f>
        <v>0</v>
      </c>
      <c r="CW373" s="1">
        <v>1</v>
      </c>
      <c r="CX373" s="1">
        <v>1</v>
      </c>
      <c r="CY373" s="1">
        <v>1</v>
      </c>
      <c r="CZ373" s="1">
        <f t="shared" ref="CZ373:CZ380" si="366">IF(HRCS,1,0)</f>
        <v>0</v>
      </c>
      <c r="DA373" s="1">
        <v>1</v>
      </c>
      <c r="DB373" s="1">
        <v>1</v>
      </c>
      <c r="DC373" s="1">
        <v>1</v>
      </c>
      <c r="DD373" s="1">
        <v>2</v>
      </c>
      <c r="DE373" s="1">
        <v>2</v>
      </c>
      <c r="DF373" s="1">
        <v>1</v>
      </c>
      <c r="DG373" s="1">
        <v>1</v>
      </c>
      <c r="DH373" s="1">
        <v>1</v>
      </c>
      <c r="DI373" s="1">
        <f t="shared" ref="DI373:DI386" si="367">IF(HRXPH,1,0)</f>
        <v>0</v>
      </c>
      <c r="DJ373" s="1">
        <v>1</v>
      </c>
      <c r="DK373" s="1" t="s">
        <v>199</v>
      </c>
      <c r="DL373" s="1" t="s">
        <v>170</v>
      </c>
      <c r="DR373" s="1" t="b">
        <f>SkJumpRanks&gt;=9</f>
        <v>0</v>
      </c>
      <c r="DS373" s="1" t="b">
        <f>OR(FtMultiattack,OR(FtTwoWeaponFighting,RslHeFtr2))</f>
        <v>0</v>
      </c>
      <c r="DT373" s="1" t="b">
        <f>TigerClawManeuvers&gt;=3</f>
        <v>0</v>
      </c>
      <c r="EA373" s="1" t="b">
        <f t="shared" ref="EA373:EA398" si="368">AND(DM373:DZ373)</f>
        <v>0</v>
      </c>
      <c r="EB373" s="11" t="s">
        <v>334</v>
      </c>
      <c r="EC373" s="1" t="str">
        <f>IF(DR373,"","• 9 ranks in Jump.
")&amp;IF(DS373,"","• Multiattack or Two-Weapon Fighting.
")&amp;IF(DT373,"","• Must know three Tiger Claw maneuvers.
")</f>
        <v xml:space="preserve">• 9 ranks in Jump.
• Multiattack or Two-Weapon Fighting.
• Must know three Tiger Claw maneuvers.
</v>
      </c>
      <c r="ED373" s="11" t="s">
        <v>335</v>
      </c>
      <c r="EE373"/>
      <c r="EF373"/>
      <c r="EG373"/>
      <c r="EH373"/>
      <c r="EI373"/>
      <c r="EJ373"/>
      <c r="EK373"/>
      <c r="EL373"/>
      <c r="EM373"/>
      <c r="EN373"/>
      <c r="EO373"/>
    </row>
    <row r="374" spans="1:145" ht="11.25" customHeight="1" x14ac:dyDescent="0.2">
      <c r="A374" s="1">
        <f t="shared" si="304"/>
        <v>371</v>
      </c>
      <c r="B374" s="1" t="s">
        <v>1005</v>
      </c>
      <c r="C374" s="1" t="s">
        <v>1006</v>
      </c>
      <c r="D374" s="1" t="s">
        <v>1006</v>
      </c>
      <c r="E374" s="1">
        <f t="shared" si="326"/>
        <v>0</v>
      </c>
      <c r="K374" s="1">
        <v>4</v>
      </c>
      <c r="L374" s="1">
        <v>12</v>
      </c>
      <c r="V374" s="1">
        <v>1</v>
      </c>
      <c r="W374" s="1">
        <v>0.5</v>
      </c>
      <c r="X374" s="1">
        <v>0.34</v>
      </c>
      <c r="Y374" s="1">
        <v>0.34</v>
      </c>
      <c r="Z374" s="1" t="b">
        <f>FALSE</f>
        <v>0</v>
      </c>
      <c r="AA374" s="1" t="str">
        <f t="shared" si="329"/>
        <v/>
      </c>
      <c r="AB374" s="1" t="str">
        <f t="shared" si="330"/>
        <v/>
      </c>
      <c r="AC374" s="1">
        <f t="shared" si="327"/>
        <v>0</v>
      </c>
      <c r="AD374" s="1" t="str">
        <f t="shared" si="331"/>
        <v/>
      </c>
      <c r="AE374" s="1" t="str">
        <f t="shared" si="332"/>
        <v/>
      </c>
      <c r="AF374" s="1">
        <f t="shared" si="328"/>
        <v>0</v>
      </c>
      <c r="AG374" s="1">
        <f t="shared" si="333"/>
        <v>5</v>
      </c>
      <c r="AH374" s="1" t="str">
        <f t="shared" si="325"/>
        <v/>
      </c>
      <c r="AI374" s="1">
        <v>1</v>
      </c>
      <c r="AJ374" s="1">
        <f t="shared" si="361"/>
        <v>0</v>
      </c>
      <c r="AK374" s="1">
        <v>2</v>
      </c>
      <c r="AL374" s="1">
        <v>1</v>
      </c>
      <c r="AM374" s="1">
        <v>1</v>
      </c>
      <c r="AN374" s="1">
        <f t="shared" si="362"/>
        <v>0</v>
      </c>
      <c r="AO374" s="1">
        <v>2</v>
      </c>
      <c r="AP374" s="1">
        <v>2</v>
      </c>
      <c r="AQ374" s="1">
        <v>2</v>
      </c>
      <c r="AR374" s="1">
        <v>2</v>
      </c>
      <c r="AS374" s="1">
        <v>2</v>
      </c>
      <c r="AT374" s="1">
        <v>2</v>
      </c>
      <c r="AU374" s="1">
        <v>2</v>
      </c>
      <c r="AV374" s="1">
        <v>2</v>
      </c>
      <c r="AW374" s="1">
        <v>1</v>
      </c>
      <c r="AX374" s="1">
        <v>1</v>
      </c>
      <c r="AY374" s="1">
        <v>1</v>
      </c>
      <c r="AZ374" s="1">
        <v>1</v>
      </c>
      <c r="BA374" s="1">
        <v>1</v>
      </c>
      <c r="BB374" s="1">
        <v>1</v>
      </c>
      <c r="BC374" s="1">
        <v>1</v>
      </c>
      <c r="BD374" s="1">
        <v>1</v>
      </c>
      <c r="BE374" s="1">
        <v>1</v>
      </c>
      <c r="BF374" s="1">
        <v>1</v>
      </c>
      <c r="BG374" s="1">
        <f t="shared" si="363"/>
        <v>0</v>
      </c>
      <c r="BH374" s="1">
        <f t="shared" si="364"/>
        <v>0</v>
      </c>
      <c r="BI374" s="1">
        <v>2</v>
      </c>
      <c r="BJ374" s="1">
        <v>2</v>
      </c>
      <c r="BK374" s="1">
        <v>1</v>
      </c>
      <c r="BL374" s="1">
        <v>1</v>
      </c>
      <c r="BM374" s="1">
        <v>1</v>
      </c>
      <c r="BN374" s="1">
        <v>1</v>
      </c>
      <c r="BO374" s="1">
        <v>1</v>
      </c>
      <c r="BP374" s="1">
        <v>1</v>
      </c>
      <c r="BQ374" s="1">
        <v>0</v>
      </c>
      <c r="BR374" s="1">
        <v>1</v>
      </c>
      <c r="BS374" s="1">
        <v>1</v>
      </c>
      <c r="BT374" s="1">
        <f>IF(HRXPH,2,0)</f>
        <v>0</v>
      </c>
      <c r="BU374" s="1">
        <f>IF(HRRVL,2,0)</f>
        <v>0</v>
      </c>
      <c r="BV374" s="1">
        <v>1</v>
      </c>
      <c r="BW374" s="1">
        <v>1</v>
      </c>
      <c r="BX374" s="1">
        <v>1</v>
      </c>
      <c r="BY374" s="1">
        <v>1</v>
      </c>
      <c r="BZ374" s="1">
        <v>1</v>
      </c>
      <c r="CA374" s="1">
        <v>1</v>
      </c>
      <c r="CB374" s="1">
        <v>1</v>
      </c>
      <c r="CC374" s="1">
        <v>1</v>
      </c>
      <c r="CD374" s="1">
        <v>1</v>
      </c>
      <c r="CE374" s="1">
        <v>1</v>
      </c>
      <c r="CF374" s="1">
        <v>1</v>
      </c>
      <c r="CG374" s="1">
        <v>2</v>
      </c>
      <c r="CH374" s="1">
        <v>1</v>
      </c>
      <c r="CI374" s="1">
        <v>1</v>
      </c>
      <c r="CJ374" s="1">
        <v>1</v>
      </c>
      <c r="CK374" s="1">
        <v>1</v>
      </c>
      <c r="CL374" s="1">
        <v>1</v>
      </c>
      <c r="CM374" s="1">
        <v>1</v>
      </c>
      <c r="CN374" s="1">
        <v>1</v>
      </c>
      <c r="CO374" s="1">
        <v>1</v>
      </c>
      <c r="CP374" s="1">
        <v>1</v>
      </c>
      <c r="CQ374" s="1">
        <v>1</v>
      </c>
      <c r="CR374" s="1">
        <v>1</v>
      </c>
      <c r="CS374" s="1">
        <v>1</v>
      </c>
      <c r="CT374" s="1">
        <v>1</v>
      </c>
      <c r="CU374" s="1">
        <v>1</v>
      </c>
      <c r="CV374" s="1">
        <f t="shared" si="365"/>
        <v>0</v>
      </c>
      <c r="CW374" s="1">
        <v>1</v>
      </c>
      <c r="CX374" s="1">
        <v>1</v>
      </c>
      <c r="CY374" s="1">
        <v>1</v>
      </c>
      <c r="CZ374" s="1">
        <f t="shared" si="366"/>
        <v>0</v>
      </c>
      <c r="DA374" s="1">
        <v>1</v>
      </c>
      <c r="DB374" s="1">
        <v>1</v>
      </c>
      <c r="DC374" s="1">
        <v>1</v>
      </c>
      <c r="DD374" s="1">
        <v>2</v>
      </c>
      <c r="DE374" s="1">
        <v>1</v>
      </c>
      <c r="DF374" s="1">
        <v>1</v>
      </c>
      <c r="DG374" s="1">
        <v>2</v>
      </c>
      <c r="DH374" s="1">
        <v>1</v>
      </c>
      <c r="DI374" s="1">
        <f t="shared" si="367"/>
        <v>0</v>
      </c>
      <c r="DJ374" s="1">
        <v>1</v>
      </c>
      <c r="DK374" s="1" t="s">
        <v>199</v>
      </c>
      <c r="DL374" s="1" t="s">
        <v>170</v>
      </c>
      <c r="DR374" s="1" t="b">
        <f>SkBalanceRanks&gt;=8</f>
        <v>0</v>
      </c>
      <c r="DS374" s="1" t="b">
        <f>FtPointBlankShot</f>
        <v>0</v>
      </c>
      <c r="EA374" s="1" t="b">
        <f t="shared" si="368"/>
        <v>0</v>
      </c>
      <c r="EB374" s="11" t="s">
        <v>338</v>
      </c>
      <c r="EC374" s="1" t="str">
        <f>IF(DR374,"","• 8 ranks in Balance.
")&amp;IF(DS374,"","• Point Blank Shot.
")&amp;"• Must one Iron Heart strike and one Iron Heart stance (not verified).
"</f>
        <v xml:space="preserve">• 8 ranks in Balance.
• Point Blank Shot.
• Must one Iron Heart strike and one Iron Heart stance (not verified).
</v>
      </c>
      <c r="ED374" s="11" t="s">
        <v>335</v>
      </c>
      <c r="EE374"/>
      <c r="EF374"/>
      <c r="EG374"/>
      <c r="EH374"/>
      <c r="EI374"/>
      <c r="EJ374"/>
      <c r="EK374"/>
      <c r="EL374"/>
      <c r="EM374"/>
      <c r="EN374"/>
      <c r="EO374"/>
    </row>
    <row r="375" spans="1:145" ht="11.25" customHeight="1" x14ac:dyDescent="0.2">
      <c r="A375" s="1">
        <f t="shared" si="304"/>
        <v>372</v>
      </c>
      <c r="B375" s="1" t="s">
        <v>1007</v>
      </c>
      <c r="C375" s="1" t="s">
        <v>1008</v>
      </c>
      <c r="D375" s="1" t="s">
        <v>1008</v>
      </c>
      <c r="E375" s="1">
        <f t="shared" si="326"/>
        <v>0</v>
      </c>
      <c r="K375" s="1">
        <v>2</v>
      </c>
      <c r="L375" s="1">
        <v>10</v>
      </c>
      <c r="V375" s="1">
        <v>0.75</v>
      </c>
      <c r="W375" s="1">
        <v>0.5</v>
      </c>
      <c r="X375" s="1">
        <v>0.34</v>
      </c>
      <c r="Y375" s="1">
        <v>0.34</v>
      </c>
      <c r="Z375" s="1" t="b">
        <f>FALSE</f>
        <v>0</v>
      </c>
      <c r="AA375" s="1" t="str">
        <f t="shared" si="329"/>
        <v/>
      </c>
      <c r="AB375" s="1" t="str">
        <f t="shared" si="330"/>
        <v/>
      </c>
      <c r="AC375" s="1">
        <f t="shared" si="327"/>
        <v>0</v>
      </c>
      <c r="AD375" s="1" t="str">
        <f t="shared" si="331"/>
        <v/>
      </c>
      <c r="AE375" s="1" t="str">
        <f t="shared" si="332"/>
        <v/>
      </c>
      <c r="AF375" s="1">
        <f t="shared" si="328"/>
        <v>0</v>
      </c>
      <c r="AG375" s="1">
        <f t="shared" si="333"/>
        <v>5</v>
      </c>
      <c r="AH375" s="1" t="str">
        <f t="shared" si="325"/>
        <v/>
      </c>
      <c r="AI375" s="1">
        <v>1</v>
      </c>
      <c r="AJ375" s="1">
        <f t="shared" si="361"/>
        <v>0</v>
      </c>
      <c r="AK375" s="1">
        <v>2</v>
      </c>
      <c r="AL375" s="1">
        <v>1</v>
      </c>
      <c r="AM375" s="1">
        <v>1</v>
      </c>
      <c r="AN375" s="1">
        <f t="shared" si="362"/>
        <v>0</v>
      </c>
      <c r="AO375" s="1">
        <v>2</v>
      </c>
      <c r="AP375" s="1">
        <v>2</v>
      </c>
      <c r="AQ375" s="1">
        <v>2</v>
      </c>
      <c r="AR375" s="1">
        <v>2</v>
      </c>
      <c r="AS375" s="1">
        <v>2</v>
      </c>
      <c r="AT375" s="1">
        <v>2</v>
      </c>
      <c r="AU375" s="1">
        <v>2</v>
      </c>
      <c r="AV375" s="1">
        <v>2</v>
      </c>
      <c r="AW375" s="1">
        <v>1</v>
      </c>
      <c r="AX375" s="1">
        <v>1</v>
      </c>
      <c r="AY375" s="1">
        <v>1</v>
      </c>
      <c r="AZ375" s="1">
        <v>1</v>
      </c>
      <c r="BA375" s="1">
        <v>1</v>
      </c>
      <c r="BB375" s="1">
        <v>1</v>
      </c>
      <c r="BC375" s="1">
        <v>1</v>
      </c>
      <c r="BD375" s="1">
        <v>1</v>
      </c>
      <c r="BE375" s="1">
        <v>1</v>
      </c>
      <c r="BF375" s="1">
        <v>1</v>
      </c>
      <c r="BG375" s="1">
        <f t="shared" si="363"/>
        <v>0</v>
      </c>
      <c r="BH375" s="1">
        <f t="shared" si="364"/>
        <v>0</v>
      </c>
      <c r="BI375" s="1">
        <v>2</v>
      </c>
      <c r="BJ375" s="1">
        <v>1</v>
      </c>
      <c r="BK375" s="1">
        <v>1</v>
      </c>
      <c r="BL375" s="1">
        <v>1</v>
      </c>
      <c r="BM375" s="1">
        <v>2</v>
      </c>
      <c r="BN375" s="1">
        <v>1</v>
      </c>
      <c r="BO375" s="1">
        <v>1</v>
      </c>
      <c r="BP375" s="1">
        <v>1</v>
      </c>
      <c r="BQ375" s="1">
        <v>0</v>
      </c>
      <c r="BR375" s="1">
        <v>1</v>
      </c>
      <c r="BS375" s="1">
        <v>1</v>
      </c>
      <c r="BT375" s="1">
        <f>IF(HRXPH,2,0)</f>
        <v>0</v>
      </c>
      <c r="BU375" s="1">
        <f>IF(HRRVL,2,0)</f>
        <v>0</v>
      </c>
      <c r="BV375" s="1">
        <v>1</v>
      </c>
      <c r="BW375" s="1">
        <v>1</v>
      </c>
      <c r="BX375" s="1">
        <v>1</v>
      </c>
      <c r="BY375" s="1">
        <v>1</v>
      </c>
      <c r="BZ375" s="1">
        <v>1</v>
      </c>
      <c r="CA375" s="1">
        <v>1</v>
      </c>
      <c r="CB375" s="1">
        <v>1</v>
      </c>
      <c r="CC375" s="1">
        <v>1</v>
      </c>
      <c r="CD375" s="1">
        <v>1</v>
      </c>
      <c r="CE375" s="1">
        <v>1</v>
      </c>
      <c r="CF375" s="1">
        <v>2</v>
      </c>
      <c r="CG375" s="1">
        <v>2</v>
      </c>
      <c r="CH375" s="1">
        <v>1</v>
      </c>
      <c r="CI375" s="1">
        <v>1</v>
      </c>
      <c r="CJ375" s="1">
        <v>1</v>
      </c>
      <c r="CK375" s="1">
        <v>1</v>
      </c>
      <c r="CL375" s="1">
        <v>1</v>
      </c>
      <c r="CM375" s="1">
        <v>1</v>
      </c>
      <c r="CN375" s="1">
        <v>1</v>
      </c>
      <c r="CO375" s="1">
        <v>1</v>
      </c>
      <c r="CP375" s="1">
        <v>1</v>
      </c>
      <c r="CQ375" s="1">
        <v>1</v>
      </c>
      <c r="CR375" s="1">
        <v>1</v>
      </c>
      <c r="CS375" s="1">
        <v>1</v>
      </c>
      <c r="CT375" s="1">
        <v>1</v>
      </c>
      <c r="CU375" s="1">
        <v>1</v>
      </c>
      <c r="CV375" s="1">
        <f t="shared" si="365"/>
        <v>0</v>
      </c>
      <c r="CW375" s="1">
        <v>1</v>
      </c>
      <c r="CX375" s="1">
        <v>1</v>
      </c>
      <c r="CY375" s="1">
        <v>1</v>
      </c>
      <c r="CZ375" s="1">
        <f t="shared" si="366"/>
        <v>0</v>
      </c>
      <c r="DA375" s="1">
        <v>1</v>
      </c>
      <c r="DB375" s="1">
        <v>1</v>
      </c>
      <c r="DC375" s="1">
        <v>1</v>
      </c>
      <c r="DD375" s="1">
        <v>2</v>
      </c>
      <c r="DE375" s="1">
        <v>1</v>
      </c>
      <c r="DF375" s="1">
        <v>1</v>
      </c>
      <c r="DG375" s="1">
        <v>1</v>
      </c>
      <c r="DH375" s="1">
        <v>1</v>
      </c>
      <c r="DI375" s="1">
        <f t="shared" si="367"/>
        <v>0</v>
      </c>
      <c r="DJ375" s="1">
        <v>1</v>
      </c>
      <c r="DK375" s="1" t="s">
        <v>199</v>
      </c>
      <c r="DL375" s="1" t="s">
        <v>170</v>
      </c>
      <c r="DR375" s="1" t="b">
        <f>RaceCi="Dwarf"</f>
        <v>1</v>
      </c>
      <c r="DS375" s="1" t="b">
        <f>BaseAtk&gt;=10</f>
        <v>0</v>
      </c>
      <c r="DT375" s="1" t="b">
        <f>SkBalanceRanks&gt;=13</f>
        <v>0</v>
      </c>
      <c r="DU375" s="1" t="b">
        <f>FtPowerAttackEquiv</f>
        <v>0</v>
      </c>
      <c r="DV375" s="1" t="b">
        <f>StoneDragonManeuvers&gt;=2</f>
        <v>0</v>
      </c>
      <c r="EA375" s="1" t="b">
        <f t="shared" si="368"/>
        <v>0</v>
      </c>
      <c r="EB375" s="11" t="s">
        <v>338</v>
      </c>
      <c r="EC375" s="1" t="str">
        <f>IF(DR375,"","• Dwarf.
")&amp;IF(DS375,"","• Base attack bonus +10.
")&amp;IF(DT375,"","• 13 ranks in Balance.
")&amp;IF(DU375,"","• Power Attack or Stone Power.
")&amp;IF(DV375,"","• Must know 2 Stone Dragon maneuvers.
")&amp;"• Must know one Stone Dragon stance (not verified)"</f>
        <v>• Base attack bonus +10.
• 13 ranks in Balance.
• Power Attack or Stone Power.
• Must know 2 Stone Dragon maneuvers.
• Must know one Stone Dragon stance (not verified)</v>
      </c>
      <c r="ED375" s="11" t="s">
        <v>335</v>
      </c>
      <c r="EE375"/>
      <c r="EF375"/>
      <c r="EG375"/>
      <c r="EH375"/>
      <c r="EI375"/>
      <c r="EJ375"/>
      <c r="EK375"/>
      <c r="EL375"/>
      <c r="EM375"/>
      <c r="EN375"/>
      <c r="EO375"/>
    </row>
    <row r="376" spans="1:145" ht="11.25" customHeight="1" x14ac:dyDescent="0.2">
      <c r="A376" s="1">
        <f t="shared" si="304"/>
        <v>373</v>
      </c>
      <c r="B376" s="1" t="s">
        <v>1009</v>
      </c>
      <c r="C376" s="1" t="s">
        <v>1010</v>
      </c>
      <c r="D376" s="1" t="s">
        <v>1010</v>
      </c>
      <c r="E376" s="1">
        <f t="shared" si="326"/>
        <v>0</v>
      </c>
      <c r="K376" s="1">
        <v>2</v>
      </c>
      <c r="L376" s="1">
        <v>10</v>
      </c>
      <c r="V376" s="1">
        <v>1</v>
      </c>
      <c r="W376" s="1">
        <v>0.5</v>
      </c>
      <c r="X376" s="1">
        <v>0.34</v>
      </c>
      <c r="Y376" s="1">
        <v>0.34</v>
      </c>
      <c r="Z376" s="1" t="b">
        <f>FALSE</f>
        <v>0</v>
      </c>
      <c r="AA376" s="1" t="str">
        <f t="shared" si="329"/>
        <v/>
      </c>
      <c r="AB376" s="1" t="str">
        <f t="shared" si="330"/>
        <v/>
      </c>
      <c r="AC376" s="1">
        <f t="shared" si="327"/>
        <v>0</v>
      </c>
      <c r="AD376" s="1" t="str">
        <f t="shared" si="331"/>
        <v/>
      </c>
      <c r="AE376" s="1" t="str">
        <f t="shared" si="332"/>
        <v/>
      </c>
      <c r="AF376" s="1">
        <f t="shared" si="328"/>
        <v>0</v>
      </c>
      <c r="AG376" s="1">
        <f t="shared" si="333"/>
        <v>5</v>
      </c>
      <c r="AH376" s="1" t="str">
        <f t="shared" si="325"/>
        <v/>
      </c>
      <c r="AI376" s="1">
        <v>1</v>
      </c>
      <c r="AJ376" s="1">
        <f t="shared" si="361"/>
        <v>0</v>
      </c>
      <c r="AK376" s="1">
        <v>1</v>
      </c>
      <c r="AL376" s="1">
        <v>1</v>
      </c>
      <c r="AM376" s="1">
        <v>2</v>
      </c>
      <c r="AN376" s="1">
        <f t="shared" si="362"/>
        <v>0</v>
      </c>
      <c r="AO376" s="1">
        <v>2</v>
      </c>
      <c r="AP376" s="1">
        <v>1</v>
      </c>
      <c r="AQ376" s="1">
        <v>1</v>
      </c>
      <c r="AR376" s="1">
        <v>1</v>
      </c>
      <c r="AS376" s="1">
        <v>1</v>
      </c>
      <c r="AT376" s="1">
        <v>1</v>
      </c>
      <c r="AU376" s="1">
        <v>1</v>
      </c>
      <c r="AV376" s="1">
        <v>1</v>
      </c>
      <c r="AW376" s="1">
        <v>1</v>
      </c>
      <c r="AX376" s="1">
        <v>2</v>
      </c>
      <c r="AY376" s="1">
        <v>1</v>
      </c>
      <c r="AZ376" s="1">
        <v>1</v>
      </c>
      <c r="BA376" s="1">
        <v>1</v>
      </c>
      <c r="BB376" s="1">
        <v>1</v>
      </c>
      <c r="BC376" s="1">
        <v>1</v>
      </c>
      <c r="BD376" s="1">
        <v>2</v>
      </c>
      <c r="BE376" s="1">
        <v>1</v>
      </c>
      <c r="BF376" s="1">
        <v>1</v>
      </c>
      <c r="BG376" s="1">
        <f t="shared" si="363"/>
        <v>0</v>
      </c>
      <c r="BH376" s="1">
        <f t="shared" si="364"/>
        <v>0</v>
      </c>
      <c r="BI376" s="1">
        <v>2</v>
      </c>
      <c r="BJ376" s="1">
        <v>2</v>
      </c>
      <c r="BK376" s="1">
        <v>1</v>
      </c>
      <c r="BL376" s="1">
        <v>1</v>
      </c>
      <c r="BM376" s="1">
        <v>1</v>
      </c>
      <c r="BN376" s="1">
        <v>1</v>
      </c>
      <c r="BO376" s="1">
        <v>1</v>
      </c>
      <c r="BP376" s="1">
        <v>1</v>
      </c>
      <c r="BQ376" s="1">
        <f>IF(HRRVL,1,0)</f>
        <v>0</v>
      </c>
      <c r="BR376" s="1">
        <v>1</v>
      </c>
      <c r="BS376" s="1">
        <v>1</v>
      </c>
      <c r="BT376" s="1">
        <f>IF(HRXPH,1,0)</f>
        <v>0</v>
      </c>
      <c r="BU376" s="1">
        <f>IF(HRRVL,1,0)</f>
        <v>0</v>
      </c>
      <c r="BV376" s="1">
        <v>1</v>
      </c>
      <c r="BW376" s="1">
        <v>1</v>
      </c>
      <c r="BX376" s="1">
        <v>1</v>
      </c>
      <c r="BY376" s="1">
        <v>1</v>
      </c>
      <c r="BZ376" s="1">
        <v>1</v>
      </c>
      <c r="CA376" s="1">
        <v>1</v>
      </c>
      <c r="CB376" s="1">
        <v>1</v>
      </c>
      <c r="CC376" s="1">
        <v>1</v>
      </c>
      <c r="CD376" s="1">
        <v>1</v>
      </c>
      <c r="CE376" s="1">
        <v>1</v>
      </c>
      <c r="CF376" s="1">
        <v>1</v>
      </c>
      <c r="CG376" s="1">
        <v>2</v>
      </c>
      <c r="CH376" s="1">
        <v>1</v>
      </c>
      <c r="CI376" s="1">
        <v>1</v>
      </c>
      <c r="CJ376" s="1">
        <v>1</v>
      </c>
      <c r="CK376" s="1">
        <v>1</v>
      </c>
      <c r="CL376" s="1">
        <v>1</v>
      </c>
      <c r="CM376" s="1">
        <v>1</v>
      </c>
      <c r="CN376" s="1">
        <v>1</v>
      </c>
      <c r="CO376" s="1">
        <v>1</v>
      </c>
      <c r="CP376" s="1">
        <v>1</v>
      </c>
      <c r="CQ376" s="1">
        <v>1</v>
      </c>
      <c r="CR376" s="1">
        <v>1</v>
      </c>
      <c r="CS376" s="1">
        <v>1</v>
      </c>
      <c r="CT376" s="1">
        <v>1</v>
      </c>
      <c r="CU376" s="1">
        <v>1</v>
      </c>
      <c r="CV376" s="1">
        <f t="shared" si="365"/>
        <v>0</v>
      </c>
      <c r="CW376" s="1">
        <v>2</v>
      </c>
      <c r="CX376" s="1">
        <v>1</v>
      </c>
      <c r="CY376" s="1">
        <v>2</v>
      </c>
      <c r="CZ376" s="1">
        <f t="shared" si="366"/>
        <v>0</v>
      </c>
      <c r="DA376" s="1">
        <v>1</v>
      </c>
      <c r="DB376" s="1">
        <v>1</v>
      </c>
      <c r="DC376" s="1">
        <v>1</v>
      </c>
      <c r="DD376" s="1">
        <v>1</v>
      </c>
      <c r="DE376" s="1">
        <v>1</v>
      </c>
      <c r="DF376" s="1">
        <v>1</v>
      </c>
      <c r="DG376" s="1">
        <v>2</v>
      </c>
      <c r="DH376" s="1">
        <v>1</v>
      </c>
      <c r="DI376" s="1">
        <f t="shared" si="367"/>
        <v>0</v>
      </c>
      <c r="DJ376" s="1">
        <v>1</v>
      </c>
      <c r="DK376" s="1" t="s">
        <v>199</v>
      </c>
      <c r="DL376" s="1" t="s">
        <v>170</v>
      </c>
      <c r="DR376" s="1" t="b">
        <f>RaceCi="Elf"</f>
        <v>0</v>
      </c>
      <c r="DS376" s="1" t="b">
        <f>BaseAtk&gt;=10</f>
        <v>0</v>
      </c>
      <c r="DT376" s="1" t="b">
        <f>FtWeaponFocus</f>
        <v>0</v>
      </c>
      <c r="DU376" s="1" t="b">
        <f>OR(DevotedSpiritManeuvers&gt;=2,DiamondMindManeuvers&gt;=2)</f>
        <v>0</v>
      </c>
      <c r="EA376" s="1" t="b">
        <f t="shared" si="368"/>
        <v>0</v>
      </c>
      <c r="EB376" s="11" t="s">
        <v>334</v>
      </c>
      <c r="EC376" s="1" t="str">
        <f>IF(DR376,"","• Elf.
")&amp;IF(DS376,"","• Base attack bonus +10.
")&amp;IF(DT376,"","• Weapon Focus (any).
")&amp;IF(DU376,"","• Any 2 Devoted Spirit or Diamond Mind maneuvers.
")</f>
        <v xml:space="preserve">• Elf.
• Base attack bonus +10.
• Weapon Focus (any).
• Any 2 Devoted Spirit or Diamond Mind maneuvers.
</v>
      </c>
      <c r="ED376" s="11" t="s">
        <v>335</v>
      </c>
      <c r="EE376"/>
      <c r="EF376"/>
      <c r="EG376"/>
      <c r="EH376"/>
      <c r="EI376"/>
      <c r="EJ376"/>
      <c r="EK376"/>
      <c r="EL376"/>
      <c r="EM376"/>
      <c r="EN376"/>
      <c r="EO376"/>
    </row>
    <row r="377" spans="1:145" ht="11.25" customHeight="1" x14ac:dyDescent="0.2">
      <c r="A377" s="1">
        <f t="shared" si="304"/>
        <v>374</v>
      </c>
      <c r="B377" s="1" t="s">
        <v>1011</v>
      </c>
      <c r="C377" s="1" t="s">
        <v>1012</v>
      </c>
      <c r="D377" s="1" t="s">
        <v>1012</v>
      </c>
      <c r="E377" s="1">
        <f t="shared" si="326"/>
        <v>0</v>
      </c>
      <c r="G377" s="1">
        <f>INT(JPMLvl*4/5)</f>
        <v>0</v>
      </c>
      <c r="K377" s="1">
        <v>2</v>
      </c>
      <c r="L377" s="1">
        <v>6</v>
      </c>
      <c r="V377" s="1">
        <v>1</v>
      </c>
      <c r="W377" s="1">
        <v>0.5</v>
      </c>
      <c r="X377" s="1">
        <v>0.34</v>
      </c>
      <c r="Y377" s="1">
        <v>0.34</v>
      </c>
      <c r="Z377" s="1" t="b">
        <f>FALSE</f>
        <v>0</v>
      </c>
      <c r="AA377" s="1" t="str">
        <f t="shared" si="329"/>
        <v/>
      </c>
      <c r="AB377" s="1" t="str">
        <f t="shared" si="330"/>
        <v/>
      </c>
      <c r="AC377" s="1">
        <f t="shared" si="327"/>
        <v>0</v>
      </c>
      <c r="AD377" s="1" t="str">
        <f t="shared" si="331"/>
        <v/>
      </c>
      <c r="AE377" s="1" t="str">
        <f t="shared" si="332"/>
        <v/>
      </c>
      <c r="AF377" s="1">
        <f t="shared" si="328"/>
        <v>0</v>
      </c>
      <c r="AG377" s="1">
        <f t="shared" si="333"/>
        <v>5</v>
      </c>
      <c r="AH377" s="1" t="str">
        <f t="shared" si="325"/>
        <v/>
      </c>
      <c r="AI377" s="1">
        <v>1</v>
      </c>
      <c r="AJ377" s="1">
        <f t="shared" si="361"/>
        <v>0</v>
      </c>
      <c r="AK377" s="1">
        <v>1</v>
      </c>
      <c r="AL377" s="1">
        <v>1</v>
      </c>
      <c r="AM377" s="1">
        <v>2</v>
      </c>
      <c r="AN377" s="1">
        <f t="shared" si="362"/>
        <v>0</v>
      </c>
      <c r="AO377" s="1">
        <v>2</v>
      </c>
      <c r="AP377" s="1">
        <v>1</v>
      </c>
      <c r="AQ377" s="1">
        <v>1</v>
      </c>
      <c r="AR377" s="1">
        <v>1</v>
      </c>
      <c r="AS377" s="1">
        <v>1</v>
      </c>
      <c r="AT377" s="1">
        <v>1</v>
      </c>
      <c r="AU377" s="1">
        <v>1</v>
      </c>
      <c r="AV377" s="1">
        <v>1</v>
      </c>
      <c r="AW377" s="1">
        <v>1</v>
      </c>
      <c r="AX377" s="1">
        <v>2</v>
      </c>
      <c r="AY377" s="1">
        <v>1</v>
      </c>
      <c r="AZ377" s="1">
        <v>1</v>
      </c>
      <c r="BA377" s="1">
        <v>1</v>
      </c>
      <c r="BB377" s="1">
        <v>1</v>
      </c>
      <c r="BC377" s="1">
        <v>1</v>
      </c>
      <c r="BD377" s="1">
        <v>2</v>
      </c>
      <c r="BE377" s="1">
        <v>1</v>
      </c>
      <c r="BF377" s="1">
        <v>1</v>
      </c>
      <c r="BG377" s="1">
        <f t="shared" si="363"/>
        <v>0</v>
      </c>
      <c r="BH377" s="1">
        <f t="shared" si="364"/>
        <v>0</v>
      </c>
      <c r="BI377" s="1">
        <v>2</v>
      </c>
      <c r="BJ377" s="1">
        <v>2</v>
      </c>
      <c r="BK377" s="1">
        <v>1</v>
      </c>
      <c r="BL377" s="1">
        <v>1</v>
      </c>
      <c r="BM377" s="1">
        <v>1</v>
      </c>
      <c r="BN377" s="1">
        <v>1</v>
      </c>
      <c r="BO377" s="1">
        <v>1</v>
      </c>
      <c r="BP377" s="1">
        <v>1</v>
      </c>
      <c r="BQ377" s="1">
        <f>IF(HRRVL,1,0)</f>
        <v>0</v>
      </c>
      <c r="BR377" s="1">
        <v>1</v>
      </c>
      <c r="BS377" s="1">
        <v>1</v>
      </c>
      <c r="BT377" s="1">
        <f>IF(HRXPH,1,0)</f>
        <v>0</v>
      </c>
      <c r="BU377" s="1">
        <f>IF(HRRVL,1,0)</f>
        <v>0</v>
      </c>
      <c r="BV377" s="1">
        <v>1</v>
      </c>
      <c r="BW377" s="1">
        <v>1</v>
      </c>
      <c r="BX377" s="1">
        <v>1</v>
      </c>
      <c r="BY377" s="1">
        <v>1</v>
      </c>
      <c r="BZ377" s="1">
        <v>1</v>
      </c>
      <c r="CA377" s="1">
        <v>1</v>
      </c>
      <c r="CB377" s="1">
        <v>1</v>
      </c>
      <c r="CC377" s="1">
        <v>1</v>
      </c>
      <c r="CD377" s="1">
        <v>1</v>
      </c>
      <c r="CE377" s="1">
        <v>1</v>
      </c>
      <c r="CF377" s="1">
        <v>1</v>
      </c>
      <c r="CG377" s="1">
        <v>2</v>
      </c>
      <c r="CH377" s="1">
        <v>1</v>
      </c>
      <c r="CI377" s="1">
        <v>1</v>
      </c>
      <c r="CJ377" s="1">
        <v>1</v>
      </c>
      <c r="CK377" s="1">
        <v>1</v>
      </c>
      <c r="CL377" s="1">
        <v>1</v>
      </c>
      <c r="CM377" s="1">
        <v>1</v>
      </c>
      <c r="CN377" s="1">
        <v>1</v>
      </c>
      <c r="CO377" s="1">
        <v>1</v>
      </c>
      <c r="CP377" s="1">
        <v>1</v>
      </c>
      <c r="CQ377" s="1">
        <v>1</v>
      </c>
      <c r="CR377" s="1">
        <v>1</v>
      </c>
      <c r="CS377" s="1">
        <v>1</v>
      </c>
      <c r="CT377" s="1">
        <v>1</v>
      </c>
      <c r="CU377" s="1">
        <v>1</v>
      </c>
      <c r="CV377" s="1">
        <f t="shared" si="365"/>
        <v>0</v>
      </c>
      <c r="CW377" s="1">
        <v>2</v>
      </c>
      <c r="CX377" s="1">
        <v>1</v>
      </c>
      <c r="CY377" s="1">
        <v>2</v>
      </c>
      <c r="CZ377" s="1">
        <f t="shared" si="366"/>
        <v>0</v>
      </c>
      <c r="DA377" s="1">
        <v>1</v>
      </c>
      <c r="DB377" s="1">
        <v>1</v>
      </c>
      <c r="DC377" s="1">
        <v>1</v>
      </c>
      <c r="DD377" s="1">
        <v>1</v>
      </c>
      <c r="DE377" s="1">
        <v>1</v>
      </c>
      <c r="DF377" s="1">
        <v>1</v>
      </c>
      <c r="DG377" s="1">
        <v>2</v>
      </c>
      <c r="DH377" s="1">
        <v>1</v>
      </c>
      <c r="DI377" s="1">
        <f t="shared" si="367"/>
        <v>0</v>
      </c>
      <c r="DJ377" s="1">
        <v>1</v>
      </c>
      <c r="DK377" s="1" t="s">
        <v>199</v>
      </c>
      <c r="DL377" s="1" t="s">
        <v>170</v>
      </c>
      <c r="DR377" s="1" t="b">
        <f>AlignmentNonEvil</f>
        <v>1</v>
      </c>
      <c r="DS377" s="1" t="b">
        <f>SkConcentrationRanks&gt;=9</f>
        <v>0</v>
      </c>
      <c r="DT377" s="1" t="b">
        <f>SkKnowledgeArcanaRanks&gt;=2</f>
        <v>0</v>
      </c>
      <c r="DU377" s="1" t="b">
        <f>SkKnowledgeHistoryRanks&gt;=2</f>
        <v>0</v>
      </c>
      <c r="DV377" s="1" t="b">
        <f>SkKnowledgeReligionRanks&gt;=2</f>
        <v>0</v>
      </c>
      <c r="DW377" s="1" t="b">
        <f>TotalManeuvers&gt;=2</f>
        <v>0</v>
      </c>
      <c r="DX377" s="1" t="b">
        <f ca="1">MaxArcaneSpellLevel&gt;=2</f>
        <v>0</v>
      </c>
      <c r="EA377" s="1" t="b">
        <f ca="1">AND(DM377:DZ377)</f>
        <v>0</v>
      </c>
      <c r="EB377" s="11" t="s">
        <v>338</v>
      </c>
      <c r="EC377" s="1" t="str">
        <f ca="1">IF(DR377,"","• Any non-evil.
")&amp;IF(DS377,"","• 8 ranks in Concentration.
")&amp;IF(DT377,"","• 2 ranks in Knowledge (arcana).
")&amp;IF(DU377,"","• 2 ranks in Knowledge (history).
")&amp;IF(DV377,"","• 2 ranks in Knowledge (religion).
")&amp;IF(DW377,"","• Must know at least 2 matial manuevers.
")&amp;"• Must know one strike (not verified).
"&amp;"• Must know one martial stance (not verified)
"&amp;IF(DX377,"","• Must be able to cast 2nd-level arcane spells .
")</f>
        <v xml:space="preserve">• 8 ranks in Concentration.
• 2 ranks in Knowledge (arcana).
• 2 ranks in Knowledge (history).
• 2 ranks in Knowledge (religion).
• Must know at least 2 matial manuevers.
• Must know one strike (not verified).
• Must know one martial stance (not verified)
• Must be able to cast 2nd-level arcane spells .
</v>
      </c>
      <c r="ED377" s="11" t="s">
        <v>335</v>
      </c>
      <c r="EE377"/>
      <c r="EF377"/>
      <c r="EG377"/>
      <c r="EH377"/>
      <c r="EI377"/>
      <c r="EJ377"/>
      <c r="EK377"/>
      <c r="EL377"/>
      <c r="EM377"/>
      <c r="EN377"/>
      <c r="EO377"/>
    </row>
    <row r="378" spans="1:145" ht="11.25" customHeight="1" x14ac:dyDescent="0.2">
      <c r="A378" s="1">
        <f t="shared" si="304"/>
        <v>375</v>
      </c>
      <c r="B378" s="1" t="s">
        <v>1013</v>
      </c>
      <c r="C378" s="1" t="s">
        <v>1014</v>
      </c>
      <c r="D378" s="1" t="s">
        <v>1014</v>
      </c>
      <c r="E378" s="1">
        <f t="shared" si="326"/>
        <v>0</v>
      </c>
      <c r="K378" s="1">
        <v>6</v>
      </c>
      <c r="L378" s="1">
        <v>8</v>
      </c>
      <c r="V378" s="1">
        <v>0.75</v>
      </c>
      <c r="W378" s="1">
        <v>0.34</v>
      </c>
      <c r="X378" s="1">
        <v>0.34</v>
      </c>
      <c r="Y378" s="1">
        <v>0.5</v>
      </c>
      <c r="Z378" s="1" t="b">
        <f>FALSE</f>
        <v>0</v>
      </c>
      <c r="AA378" s="1" t="str">
        <f t="shared" si="329"/>
        <v/>
      </c>
      <c r="AB378" s="1" t="str">
        <f t="shared" si="330"/>
        <v/>
      </c>
      <c r="AC378" s="1">
        <f t="shared" si="327"/>
        <v>0</v>
      </c>
      <c r="AD378" s="1" t="str">
        <f t="shared" si="331"/>
        <v/>
      </c>
      <c r="AE378" s="1" t="str">
        <f t="shared" si="332"/>
        <v/>
      </c>
      <c r="AF378" s="1">
        <f t="shared" si="328"/>
        <v>0</v>
      </c>
      <c r="AG378" s="1">
        <f t="shared" si="333"/>
        <v>5</v>
      </c>
      <c r="AH378" s="1" t="str">
        <f t="shared" si="325"/>
        <v/>
      </c>
      <c r="AI378" s="1">
        <v>1</v>
      </c>
      <c r="AJ378" s="1">
        <f t="shared" si="361"/>
        <v>0</v>
      </c>
      <c r="AK378" s="1">
        <v>2</v>
      </c>
      <c r="AL378" s="1">
        <v>1</v>
      </c>
      <c r="AM378" s="1">
        <v>2</v>
      </c>
      <c r="AN378" s="1">
        <f t="shared" si="362"/>
        <v>0</v>
      </c>
      <c r="AO378" s="1">
        <v>2</v>
      </c>
      <c r="AP378" s="1">
        <v>2</v>
      </c>
      <c r="AQ378" s="1">
        <v>2</v>
      </c>
      <c r="AR378" s="1">
        <v>2</v>
      </c>
      <c r="AS378" s="1">
        <v>2</v>
      </c>
      <c r="AT378" s="1">
        <v>2</v>
      </c>
      <c r="AU378" s="1">
        <v>2</v>
      </c>
      <c r="AV378" s="1">
        <v>2</v>
      </c>
      <c r="AW378" s="1">
        <v>1</v>
      </c>
      <c r="AX378" s="1">
        <v>2</v>
      </c>
      <c r="AY378" s="1">
        <v>1</v>
      </c>
      <c r="AZ378" s="1">
        <v>1</v>
      </c>
      <c r="BA378" s="1">
        <v>1</v>
      </c>
      <c r="BB378" s="1">
        <v>1</v>
      </c>
      <c r="BC378" s="1">
        <v>1</v>
      </c>
      <c r="BD378" s="1">
        <v>1</v>
      </c>
      <c r="BE378" s="1">
        <v>1</v>
      </c>
      <c r="BF378" s="1">
        <v>2</v>
      </c>
      <c r="BG378" s="1">
        <f t="shared" si="363"/>
        <v>0</v>
      </c>
      <c r="BH378" s="1">
        <f t="shared" si="364"/>
        <v>0</v>
      </c>
      <c r="BI378" s="1">
        <v>2</v>
      </c>
      <c r="BJ378" s="1">
        <v>2</v>
      </c>
      <c r="BK378" s="1">
        <v>1</v>
      </c>
      <c r="BL378" s="1">
        <v>1</v>
      </c>
      <c r="BM378" s="1">
        <v>1</v>
      </c>
      <c r="BN378" s="1">
        <v>1</v>
      </c>
      <c r="BO378" s="1">
        <v>2</v>
      </c>
      <c r="BP378" s="1">
        <v>2</v>
      </c>
      <c r="BQ378" s="1">
        <f>IF(HRRVL,1,0)</f>
        <v>0</v>
      </c>
      <c r="BR378" s="1">
        <v>1</v>
      </c>
      <c r="BS378" s="1">
        <v>1</v>
      </c>
      <c r="BT378" s="1">
        <f>IF(HRXPH,1,0)</f>
        <v>0</v>
      </c>
      <c r="BU378" s="1">
        <f>IF(HRRVL,1,0)</f>
        <v>0</v>
      </c>
      <c r="BV378" s="1">
        <v>1</v>
      </c>
      <c r="BW378" s="1">
        <v>1</v>
      </c>
      <c r="BX378" s="1">
        <v>1</v>
      </c>
      <c r="BY378" s="1">
        <v>1</v>
      </c>
      <c r="BZ378" s="1">
        <v>1</v>
      </c>
      <c r="CA378" s="1">
        <v>1</v>
      </c>
      <c r="CB378" s="1">
        <v>1</v>
      </c>
      <c r="CC378" s="1">
        <v>1</v>
      </c>
      <c r="CD378" s="1">
        <v>1</v>
      </c>
      <c r="CE378" s="1">
        <v>1</v>
      </c>
      <c r="CF378" s="1">
        <v>1</v>
      </c>
      <c r="CG378" s="1">
        <v>2</v>
      </c>
      <c r="CH378" s="1">
        <v>1</v>
      </c>
      <c r="CI378" s="1">
        <v>1</v>
      </c>
      <c r="CJ378" s="1">
        <v>1</v>
      </c>
      <c r="CK378" s="1">
        <v>1</v>
      </c>
      <c r="CL378" s="1">
        <v>1</v>
      </c>
      <c r="CM378" s="1">
        <v>1</v>
      </c>
      <c r="CN378" s="1">
        <v>1</v>
      </c>
      <c r="CO378" s="1">
        <v>1</v>
      </c>
      <c r="CP378" s="1">
        <v>1</v>
      </c>
      <c r="CQ378" s="1">
        <v>1</v>
      </c>
      <c r="CR378" s="1">
        <v>1</v>
      </c>
      <c r="CS378" s="1">
        <v>1</v>
      </c>
      <c r="CT378" s="1">
        <v>1</v>
      </c>
      <c r="CU378" s="1">
        <v>1</v>
      </c>
      <c r="CV378" s="1">
        <f t="shared" si="365"/>
        <v>0</v>
      </c>
      <c r="CW378" s="1">
        <v>1</v>
      </c>
      <c r="CX378" s="1">
        <v>1</v>
      </c>
      <c r="CY378" s="1">
        <v>2</v>
      </c>
      <c r="CZ378" s="1">
        <f t="shared" si="366"/>
        <v>0</v>
      </c>
      <c r="DA378" s="1">
        <v>1</v>
      </c>
      <c r="DB378" s="1">
        <v>1</v>
      </c>
      <c r="DC378" s="1">
        <v>1</v>
      </c>
      <c r="DD378" s="1">
        <v>1</v>
      </c>
      <c r="DE378" s="1">
        <v>1</v>
      </c>
      <c r="DF378" s="1">
        <v>2</v>
      </c>
      <c r="DG378" s="1">
        <v>2</v>
      </c>
      <c r="DH378" s="1">
        <v>1</v>
      </c>
      <c r="DI378" s="1">
        <f t="shared" si="367"/>
        <v>0</v>
      </c>
      <c r="DJ378" s="1">
        <v>1</v>
      </c>
      <c r="DK378" s="1" t="s">
        <v>199</v>
      </c>
      <c r="DL378" s="1" t="s">
        <v>170</v>
      </c>
      <c r="DT378" s="1" t="b">
        <f>((SkIntimidateRanks&gt;=10)+( SkConcentrationRanks&gt;=10)+( SkHideRanks&gt;=10)+( SkBalanceRanks&gt;=10)+( SkJumpRanks&gt;=10)+( SkDiplomacyRanks&gt;=10)+( SkSenseMotiveRanks&gt;=10)+( SkTumbleRanks&gt;=10))&gt;=4</f>
        <v>0</v>
      </c>
      <c r="DU378" s="1" t="b">
        <f>FtAdaptiveStyle</f>
        <v>0</v>
      </c>
      <c r="DV378" s="1" t="b">
        <f>FtDodgeEquiv</f>
        <v>0</v>
      </c>
      <c r="DW378" s="1" t="b">
        <f>FtBlindFight</f>
        <v>0</v>
      </c>
      <c r="DX378" s="1" t="b">
        <f>FtImprovedInitiative</f>
        <v>0</v>
      </c>
      <c r="DY378" s="1" t="b">
        <f>FtImprovedUnarmed</f>
        <v>0</v>
      </c>
      <c r="DZ378" s="1" t="b">
        <f>'[1]Maneuvers &amp; Stances'!$AE$6&gt;=6</f>
        <v>0</v>
      </c>
      <c r="EA378" s="1" t="b">
        <f t="shared" si="368"/>
        <v>0</v>
      </c>
      <c r="EB378" s="11" t="s">
        <v>334</v>
      </c>
      <c r="EC378" s="1" t="str">
        <f>IF(DT378,"","• 10 ranks in 4 key discipline skills.
")&amp;IF(DU378,"","• Adaptive Style.
")&amp;IF(DV378,"","• Dodge.
")&amp;IF(DW378,"","• Blind-Fight.
")&amp;IF(DX378,"","• Improved Initiative.
")&amp;IF(DY378,"","• Improved Unarmed Strike.
")&amp;IF(DZ378,"","• Must know 1 manuever from 6 different disciplines.
")</f>
        <v xml:space="preserve">• 10 ranks in 4 key discipline skills.
• Adaptive Style.
• Dodge.
• Blind-Fight.
• Improved Initiative.
• Improved Unarmed Strike.
• Must know 1 manuever from 6 different disciplines.
</v>
      </c>
      <c r="ED378" s="11" t="s">
        <v>335</v>
      </c>
    </row>
    <row r="379" spans="1:145" ht="11.25" customHeight="1" x14ac:dyDescent="0.2">
      <c r="A379" s="1">
        <f t="shared" si="304"/>
        <v>376</v>
      </c>
      <c r="B379" s="1" t="s">
        <v>1015</v>
      </c>
      <c r="C379" s="1" t="s">
        <v>1016</v>
      </c>
      <c r="D379" s="1" t="s">
        <v>1016</v>
      </c>
      <c r="E379" s="1">
        <f t="shared" si="326"/>
        <v>0</v>
      </c>
      <c r="G379" s="1">
        <f>INT(RKVLvl*4/5)</f>
        <v>0</v>
      </c>
      <c r="K379" s="1">
        <v>4</v>
      </c>
      <c r="L379" s="1">
        <v>8</v>
      </c>
      <c r="V379" s="1">
        <v>1</v>
      </c>
      <c r="W379" s="1">
        <v>0.34</v>
      </c>
      <c r="X379" s="1">
        <v>0.34</v>
      </c>
      <c r="Y379" s="1">
        <v>0.5</v>
      </c>
      <c r="Z379" s="1" t="b">
        <f>FALSE</f>
        <v>0</v>
      </c>
      <c r="AA379" s="1" t="str">
        <f t="shared" si="329"/>
        <v/>
      </c>
      <c r="AB379" s="1" t="str">
        <f t="shared" si="330"/>
        <v/>
      </c>
      <c r="AC379" s="1">
        <f t="shared" si="327"/>
        <v>0</v>
      </c>
      <c r="AD379" s="1" t="str">
        <f t="shared" si="331"/>
        <v/>
      </c>
      <c r="AE379" s="1" t="str">
        <f t="shared" si="332"/>
        <v/>
      </c>
      <c r="AF379" s="1">
        <f t="shared" si="328"/>
        <v>0</v>
      </c>
      <c r="AG379" s="1">
        <f t="shared" si="333"/>
        <v>5</v>
      </c>
      <c r="AH379" s="1" t="str">
        <f t="shared" si="325"/>
        <v/>
      </c>
      <c r="AI379" s="1">
        <v>1</v>
      </c>
      <c r="AJ379" s="1">
        <f t="shared" si="361"/>
        <v>0</v>
      </c>
      <c r="AK379" s="1">
        <v>2</v>
      </c>
      <c r="AL379" s="1">
        <v>1</v>
      </c>
      <c r="AM379" s="1">
        <v>1</v>
      </c>
      <c r="AN379" s="1">
        <f t="shared" si="362"/>
        <v>0</v>
      </c>
      <c r="AO379" s="1">
        <v>2</v>
      </c>
      <c r="AP379" s="1">
        <v>2</v>
      </c>
      <c r="AQ379" s="1">
        <v>2</v>
      </c>
      <c r="AR379" s="1">
        <v>2</v>
      </c>
      <c r="AS379" s="1">
        <v>2</v>
      </c>
      <c r="AT379" s="1">
        <v>2</v>
      </c>
      <c r="AU379" s="1">
        <v>2</v>
      </c>
      <c r="AV379" s="1">
        <v>2</v>
      </c>
      <c r="AW379" s="1">
        <v>1</v>
      </c>
      <c r="AX379" s="1">
        <v>2</v>
      </c>
      <c r="AY379" s="1">
        <v>1</v>
      </c>
      <c r="AZ379" s="1">
        <v>1</v>
      </c>
      <c r="BA379" s="1">
        <v>1</v>
      </c>
      <c r="BB379" s="1">
        <v>1</v>
      </c>
      <c r="BC379" s="1">
        <v>1</v>
      </c>
      <c r="BD379" s="1">
        <v>1</v>
      </c>
      <c r="BE379" s="1">
        <v>2</v>
      </c>
      <c r="BF379" s="1">
        <v>2</v>
      </c>
      <c r="BG379" s="1">
        <f t="shared" si="363"/>
        <v>0</v>
      </c>
      <c r="BH379" s="1">
        <f t="shared" si="364"/>
        <v>0</v>
      </c>
      <c r="BI379" s="1">
        <v>2</v>
      </c>
      <c r="BJ379" s="1">
        <v>2</v>
      </c>
      <c r="BK379" s="1">
        <v>1</v>
      </c>
      <c r="BL379" s="1">
        <v>1</v>
      </c>
      <c r="BM379" s="1">
        <v>1</v>
      </c>
      <c r="BN379" s="1">
        <v>1</v>
      </c>
      <c r="BO379" s="1">
        <v>2</v>
      </c>
      <c r="BP379" s="1">
        <v>2</v>
      </c>
      <c r="BQ379" s="1">
        <f>IF(HRRVL,1,0)</f>
        <v>0</v>
      </c>
      <c r="BR379" s="1">
        <v>1</v>
      </c>
      <c r="BS379" s="1">
        <v>1</v>
      </c>
      <c r="BT379" s="1">
        <f>IF(HRXPH,1,0)</f>
        <v>0</v>
      </c>
      <c r="BU379" s="1">
        <f>IF(HRRVL,1,0)</f>
        <v>0</v>
      </c>
      <c r="BV379" s="1">
        <v>2</v>
      </c>
      <c r="BW379" s="1">
        <v>1</v>
      </c>
      <c r="BX379" s="1">
        <v>1</v>
      </c>
      <c r="BY379" s="1">
        <v>1</v>
      </c>
      <c r="BZ379" s="1">
        <v>1</v>
      </c>
      <c r="CA379" s="1">
        <v>1</v>
      </c>
      <c r="CB379" s="1">
        <v>1</v>
      </c>
      <c r="CC379" s="1">
        <v>1</v>
      </c>
      <c r="CD379" s="1">
        <v>1</v>
      </c>
      <c r="CE379" s="1">
        <v>1</v>
      </c>
      <c r="CF379" s="1">
        <v>1</v>
      </c>
      <c r="CG379" s="1">
        <v>2</v>
      </c>
      <c r="CH379" s="1">
        <v>1</v>
      </c>
      <c r="CI379" s="1">
        <v>1</v>
      </c>
      <c r="CJ379" s="1">
        <v>1</v>
      </c>
      <c r="CK379" s="1">
        <v>1</v>
      </c>
      <c r="CL379" s="1">
        <v>1</v>
      </c>
      <c r="CM379" s="1">
        <v>1</v>
      </c>
      <c r="CN379" s="1">
        <v>1</v>
      </c>
      <c r="CO379" s="1">
        <v>1</v>
      </c>
      <c r="CP379" s="1">
        <v>2</v>
      </c>
      <c r="CQ379" s="1">
        <v>2</v>
      </c>
      <c r="CR379" s="1">
        <v>2</v>
      </c>
      <c r="CS379" s="1">
        <v>2</v>
      </c>
      <c r="CT379" s="1">
        <v>2</v>
      </c>
      <c r="CU379" s="1">
        <v>2</v>
      </c>
      <c r="CV379" s="1">
        <f t="shared" si="365"/>
        <v>0</v>
      </c>
      <c r="CW379" s="1">
        <v>2</v>
      </c>
      <c r="CX379" s="1">
        <v>1</v>
      </c>
      <c r="CY379" s="1">
        <v>2</v>
      </c>
      <c r="CZ379" s="1">
        <f t="shared" si="366"/>
        <v>0</v>
      </c>
      <c r="DA379" s="1">
        <v>1</v>
      </c>
      <c r="DB379" s="1">
        <v>1</v>
      </c>
      <c r="DC379" s="1">
        <v>2</v>
      </c>
      <c r="DD379" s="1">
        <v>1</v>
      </c>
      <c r="DE379" s="1">
        <v>1</v>
      </c>
      <c r="DF379" s="1">
        <v>1</v>
      </c>
      <c r="DG379" s="1">
        <v>1</v>
      </c>
      <c r="DH379" s="1">
        <v>1</v>
      </c>
      <c r="DI379" s="1">
        <f t="shared" si="367"/>
        <v>0</v>
      </c>
      <c r="DJ379" s="1">
        <v>1</v>
      </c>
      <c r="DK379" s="1" t="s">
        <v>199</v>
      </c>
      <c r="DL379" s="1" t="s">
        <v>170</v>
      </c>
      <c r="DR379" s="1" t="b">
        <f>SkHideRanks&gt;=4</f>
        <v>0</v>
      </c>
      <c r="DS379" s="1" t="b">
        <f>SkIntimidateRanks&gt;=4</f>
        <v>0</v>
      </c>
      <c r="DT379" s="1" t="b">
        <f>SkKnowledgeReligionRanks&gt;=8</f>
        <v>0</v>
      </c>
      <c r="DU379" s="1" t="b">
        <f>DevotedSpiritManeuvers&gt;=1</f>
        <v>0</v>
      </c>
      <c r="DV379" s="1" t="b">
        <f>Deity="Wee Jas"</f>
        <v>0</v>
      </c>
      <c r="DW379" s="1" t="b">
        <f>TurnLvl&gt;=1</f>
        <v>0</v>
      </c>
      <c r="EA379" s="1" t="b">
        <f t="shared" si="368"/>
        <v>0</v>
      </c>
      <c r="EB379" s="11" t="s">
        <v>338</v>
      </c>
      <c r="EC379" s="1" t="str">
        <f>IF(DR379,"","• 4 ranks in Hide.
")&amp;IF(DS379,"","• 4 ranks in Intimidate.
")&amp;IF(DT379,"","• 8 ranks in Knowledge (religion).
")&amp;IF(DU379,"","• Must know 1 Devoted Spirit maneuver.
")&amp;"• Must know one Devoted Spirit stance (not verified)
"&amp;IF(DV379,"","• Must worship Wee Jas.
")&amp;IF(DW379,"","• Ability to turn undead
")</f>
        <v xml:space="preserve">• 4 ranks in Hide.
• 4 ranks in Intimidate.
• 8 ranks in Knowledge (religion).
• Must know 1 Devoted Spirit maneuver.
• Must know one Devoted Spirit stance (not verified)
• Must worship Wee Jas.
• Ability to turn undead
</v>
      </c>
      <c r="ED379" s="11" t="s">
        <v>335</v>
      </c>
    </row>
    <row r="380" spans="1:145" ht="11.25" customHeight="1" x14ac:dyDescent="0.2">
      <c r="A380" s="1">
        <f t="shared" si="304"/>
        <v>377</v>
      </c>
      <c r="B380" s="1" t="s">
        <v>1017</v>
      </c>
      <c r="C380" s="1" t="s">
        <v>1018</v>
      </c>
      <c r="D380" s="1" t="s">
        <v>1018</v>
      </c>
      <c r="E380" s="1">
        <f t="shared" si="326"/>
        <v>0</v>
      </c>
      <c r="K380" s="1">
        <v>4</v>
      </c>
      <c r="L380" s="1">
        <v>8</v>
      </c>
      <c r="V380" s="1">
        <v>0.75</v>
      </c>
      <c r="W380" s="1">
        <v>0.5</v>
      </c>
      <c r="X380" s="1">
        <v>0.5</v>
      </c>
      <c r="Y380" s="1">
        <v>0.5</v>
      </c>
      <c r="Z380" s="1" t="b">
        <f>FALSE</f>
        <v>0</v>
      </c>
      <c r="AA380" s="1" t="str">
        <f t="shared" si="329"/>
        <v/>
      </c>
      <c r="AB380" s="1" t="str">
        <f t="shared" si="330"/>
        <v/>
      </c>
      <c r="AC380" s="1">
        <f t="shared" si="327"/>
        <v>0</v>
      </c>
      <c r="AD380" s="1" t="str">
        <f t="shared" si="331"/>
        <v/>
      </c>
      <c r="AE380" s="1" t="str">
        <f t="shared" si="332"/>
        <v/>
      </c>
      <c r="AF380" s="1">
        <f t="shared" si="328"/>
        <v>0</v>
      </c>
      <c r="AG380" s="1">
        <f t="shared" si="333"/>
        <v>5</v>
      </c>
      <c r="AH380" s="1" t="str">
        <f t="shared" si="325"/>
        <v/>
      </c>
      <c r="AI380" s="1">
        <v>1</v>
      </c>
      <c r="AJ380" s="1">
        <f t="shared" si="361"/>
        <v>0</v>
      </c>
      <c r="AK380" s="1">
        <v>2</v>
      </c>
      <c r="AL380" s="1">
        <v>1</v>
      </c>
      <c r="AM380" s="1">
        <v>2</v>
      </c>
      <c r="AN380" s="1">
        <f t="shared" si="362"/>
        <v>0</v>
      </c>
      <c r="AO380" s="1">
        <v>2</v>
      </c>
      <c r="AP380" s="1">
        <v>2</v>
      </c>
      <c r="AQ380" s="1">
        <v>2</v>
      </c>
      <c r="AR380" s="1">
        <v>2</v>
      </c>
      <c r="AS380" s="1">
        <v>2</v>
      </c>
      <c r="AT380" s="1">
        <v>2</v>
      </c>
      <c r="AU380" s="1">
        <v>2</v>
      </c>
      <c r="AV380" s="1">
        <v>2</v>
      </c>
      <c r="AW380" s="1">
        <v>1</v>
      </c>
      <c r="AX380" s="1">
        <v>2</v>
      </c>
      <c r="AY380" s="1">
        <v>1</v>
      </c>
      <c r="AZ380" s="1">
        <v>1</v>
      </c>
      <c r="BA380" s="1">
        <v>2</v>
      </c>
      <c r="BB380" s="1">
        <v>1</v>
      </c>
      <c r="BC380" s="1">
        <v>1</v>
      </c>
      <c r="BD380" s="1">
        <v>1</v>
      </c>
      <c r="BE380" s="1">
        <v>1</v>
      </c>
      <c r="BF380" s="1">
        <v>2</v>
      </c>
      <c r="BG380" s="1">
        <f t="shared" si="363"/>
        <v>0</v>
      </c>
      <c r="BH380" s="1">
        <f t="shared" si="364"/>
        <v>0</v>
      </c>
      <c r="BI380" s="1">
        <v>1</v>
      </c>
      <c r="BJ380" s="1">
        <v>2</v>
      </c>
      <c r="BK380" s="1">
        <v>2</v>
      </c>
      <c r="BL380" s="1">
        <v>1</v>
      </c>
      <c r="BM380" s="1">
        <v>1</v>
      </c>
      <c r="BN380" s="1">
        <v>1</v>
      </c>
      <c r="BO380" s="1">
        <v>1</v>
      </c>
      <c r="BP380" s="1">
        <v>1</v>
      </c>
      <c r="BQ380" s="1">
        <f>IF(HRRVL,1,0)</f>
        <v>0</v>
      </c>
      <c r="BR380" s="1">
        <v>1</v>
      </c>
      <c r="BS380" s="1">
        <v>1</v>
      </c>
      <c r="BT380" s="1">
        <f>IF(HRXPH,1,0)</f>
        <v>0</v>
      </c>
      <c r="BU380" s="1">
        <f>IF(HRRVL,1,0)</f>
        <v>0</v>
      </c>
      <c r="BV380" s="1">
        <v>2</v>
      </c>
      <c r="BW380" s="1">
        <v>2</v>
      </c>
      <c r="BX380" s="1">
        <v>1</v>
      </c>
      <c r="BY380" s="1">
        <v>1</v>
      </c>
      <c r="BZ380" s="1">
        <v>1</v>
      </c>
      <c r="CA380" s="1">
        <v>1</v>
      </c>
      <c r="CB380" s="1">
        <v>1</v>
      </c>
      <c r="CC380" s="1">
        <v>1</v>
      </c>
      <c r="CD380" s="1">
        <v>1</v>
      </c>
      <c r="CE380" s="1">
        <v>1</v>
      </c>
      <c r="CF380" s="1">
        <v>2</v>
      </c>
      <c r="CG380" s="1">
        <v>2</v>
      </c>
      <c r="CH380" s="1">
        <v>2</v>
      </c>
      <c r="CI380" s="1">
        <v>1</v>
      </c>
      <c r="CJ380" s="1">
        <v>2</v>
      </c>
      <c r="CK380" s="1">
        <v>2</v>
      </c>
      <c r="CL380" s="1">
        <v>2</v>
      </c>
      <c r="CM380" s="1">
        <v>2</v>
      </c>
      <c r="CN380" s="1">
        <v>2</v>
      </c>
      <c r="CO380" s="1">
        <v>2</v>
      </c>
      <c r="CP380" s="1">
        <v>2</v>
      </c>
      <c r="CQ380" s="1">
        <v>2</v>
      </c>
      <c r="CR380" s="1">
        <v>2</v>
      </c>
      <c r="CS380" s="1">
        <v>2</v>
      </c>
      <c r="CT380" s="1">
        <v>2</v>
      </c>
      <c r="CU380" s="1">
        <v>2</v>
      </c>
      <c r="CV380" s="1">
        <f t="shared" si="365"/>
        <v>0</v>
      </c>
      <c r="CW380" s="1">
        <v>1</v>
      </c>
      <c r="CX380" s="1">
        <v>1</v>
      </c>
      <c r="CY380" s="1">
        <v>2</v>
      </c>
      <c r="CZ380" s="1">
        <f t="shared" si="366"/>
        <v>0</v>
      </c>
      <c r="DA380" s="1">
        <v>1</v>
      </c>
      <c r="DB380" s="1">
        <v>1</v>
      </c>
      <c r="DC380" s="1">
        <v>1</v>
      </c>
      <c r="DD380" s="1">
        <v>2</v>
      </c>
      <c r="DE380" s="1">
        <v>1</v>
      </c>
      <c r="DF380" s="1">
        <v>2</v>
      </c>
      <c r="DG380" s="1">
        <v>2</v>
      </c>
      <c r="DH380" s="1">
        <v>1</v>
      </c>
      <c r="DI380" s="1">
        <f t="shared" si="367"/>
        <v>0</v>
      </c>
      <c r="DJ380" s="1">
        <v>1</v>
      </c>
      <c r="DK380" s="1" t="s">
        <v>199</v>
      </c>
      <c r="DL380" s="1" t="s">
        <v>170</v>
      </c>
      <c r="DR380" s="1" t="b">
        <f>AlignmentGood</f>
        <v>1</v>
      </c>
      <c r="DS380" s="1" t="b">
        <f>BaseAtk&gt;=3</f>
        <v>0</v>
      </c>
      <c r="DT380" s="1" t="b">
        <f>SkHideRanks&gt;=8</f>
        <v>0</v>
      </c>
      <c r="DU380" s="1" t="b">
        <f>FtImprovedUnarmed</f>
        <v>0</v>
      </c>
      <c r="DV380" s="1" t="b">
        <f>AND(SettingSunManeuvers&gt;=1,ShadowHandManeuvers&gt;=1)</f>
        <v>0</v>
      </c>
      <c r="EA380" s="1" t="b">
        <f t="shared" si="368"/>
        <v>0</v>
      </c>
      <c r="EB380" s="11" t="s">
        <v>338</v>
      </c>
      <c r="EC380" s="1" t="str">
        <f>IF(DR380,"","• Any good.
")&amp;IF(DS380,"","• Base attack bonus +3.
")&amp;IF(DT380,"","• 8 ranks in Hide.
")&amp;IF(DU380,"","• Improved Unarmed Strike.
")&amp;IF(DV380,"","• Must know one Setting Sun and 1 Shadow Hand maneuver of any level.
")&amp;"• Must know one 2nd level Setting Sun or Shadow Hand Maneuver (not verified)"</f>
        <v>• Base attack bonus +3.
• 8 ranks in Hide.
• Improved Unarmed Strike.
• Must know one Setting Sun and 1 Shadow Hand maneuver of any level.
• Must know one 2nd level Setting Sun or Shadow Hand Maneuver (not verified)</v>
      </c>
      <c r="ED380" s="11" t="s">
        <v>335</v>
      </c>
      <c r="EG380" s="30"/>
    </row>
    <row r="381" spans="1:145" ht="11.25" customHeight="1" x14ac:dyDescent="0.2">
      <c r="A381" s="1">
        <f t="shared" si="304"/>
        <v>378</v>
      </c>
      <c r="B381" s="1" t="s">
        <v>1019</v>
      </c>
      <c r="E381" s="1">
        <f t="shared" si="326"/>
        <v>0</v>
      </c>
      <c r="F381" s="1">
        <v>1</v>
      </c>
      <c r="Z381" s="1" t="b">
        <f>FALSE</f>
        <v>0</v>
      </c>
      <c r="AA381" s="1" t="str">
        <f t="shared" si="329"/>
        <v/>
      </c>
      <c r="AB381" s="1" t="str">
        <f t="shared" si="330"/>
        <v/>
      </c>
      <c r="AC381" s="1">
        <f t="shared" si="327"/>
        <v>0</v>
      </c>
      <c r="AD381" s="1" t="str">
        <f t="shared" si="331"/>
        <v/>
      </c>
      <c r="AE381" s="1" t="str">
        <f t="shared" si="332"/>
        <v/>
      </c>
      <c r="AF381" s="1">
        <f t="shared" si="328"/>
        <v>0</v>
      </c>
      <c r="AG381" s="1">
        <f t="shared" si="333"/>
        <v>5</v>
      </c>
      <c r="AH381" s="1" t="str">
        <f t="shared" si="325"/>
        <v/>
      </c>
      <c r="EB381" s="11"/>
      <c r="ED381" s="11" t="s">
        <v>335</v>
      </c>
    </row>
    <row r="382" spans="1:145" ht="11.25" customHeight="1" x14ac:dyDescent="0.2">
      <c r="A382" s="1">
        <f t="shared" si="304"/>
        <v>379</v>
      </c>
      <c r="B382" s="1" t="s">
        <v>1020</v>
      </c>
      <c r="C382" s="1" t="s">
        <v>1021</v>
      </c>
      <c r="D382" s="1" t="s">
        <v>1021</v>
      </c>
      <c r="E382" s="1">
        <f t="shared" si="326"/>
        <v>0</v>
      </c>
      <c r="G382" s="1">
        <f>AniMLvl</f>
        <v>0</v>
      </c>
      <c r="K382" s="1">
        <v>2</v>
      </c>
      <c r="L382" s="1">
        <v>4</v>
      </c>
      <c r="V382" s="1">
        <v>0.5</v>
      </c>
      <c r="W382" s="1">
        <v>0.34</v>
      </c>
      <c r="X382" s="1">
        <v>0.34</v>
      </c>
      <c r="Y382" s="1">
        <v>0.5</v>
      </c>
      <c r="Z382" s="1" t="b">
        <f>FALSE</f>
        <v>0</v>
      </c>
      <c r="AA382" s="1" t="str">
        <f t="shared" si="329"/>
        <v/>
      </c>
      <c r="AB382" s="1" t="str">
        <f t="shared" si="330"/>
        <v/>
      </c>
      <c r="AC382" s="1">
        <f t="shared" si="327"/>
        <v>0</v>
      </c>
      <c r="AD382" s="1" t="str">
        <f t="shared" si="331"/>
        <v/>
      </c>
      <c r="AE382" s="1" t="str">
        <f t="shared" si="332"/>
        <v/>
      </c>
      <c r="AF382" s="1">
        <f t="shared" si="328"/>
        <v>0</v>
      </c>
      <c r="AG382" s="1">
        <f t="shared" si="333"/>
        <v>5</v>
      </c>
      <c r="AH382" s="1" t="str">
        <f t="shared" si="325"/>
        <v/>
      </c>
      <c r="AI382" s="1">
        <v>1</v>
      </c>
      <c r="AJ382" s="1">
        <f t="shared" si="361"/>
        <v>0</v>
      </c>
      <c r="AK382" s="1">
        <v>1</v>
      </c>
      <c r="AL382" s="1">
        <v>2</v>
      </c>
      <c r="AM382" s="1">
        <v>1</v>
      </c>
      <c r="AN382" s="1">
        <f>IF(IsLycanthrope,2,0)</f>
        <v>0</v>
      </c>
      <c r="AO382" s="1">
        <v>2</v>
      </c>
      <c r="AP382" s="1">
        <v>2</v>
      </c>
      <c r="AQ382" s="1">
        <v>2</v>
      </c>
      <c r="AR382" s="1">
        <v>2</v>
      </c>
      <c r="AS382" s="1">
        <v>2</v>
      </c>
      <c r="AT382" s="1">
        <v>2</v>
      </c>
      <c r="AU382" s="1">
        <v>2</v>
      </c>
      <c r="AV382" s="1">
        <v>2</v>
      </c>
      <c r="AW382" s="1">
        <v>2</v>
      </c>
      <c r="AX382" s="1">
        <v>2</v>
      </c>
      <c r="AY382" s="1">
        <v>1</v>
      </c>
      <c r="AZ382" s="1">
        <v>1</v>
      </c>
      <c r="BA382" s="1">
        <v>1</v>
      </c>
      <c r="BB382" s="1">
        <v>1</v>
      </c>
      <c r="BC382" s="1">
        <v>1</v>
      </c>
      <c r="BD382" s="1">
        <v>1</v>
      </c>
      <c r="BE382" s="1">
        <v>1</v>
      </c>
      <c r="BF382" s="1">
        <v>1</v>
      </c>
      <c r="BG382" s="1">
        <f t="shared" si="363"/>
        <v>0</v>
      </c>
      <c r="BH382" s="1">
        <f>IF(HROA,1,0)</f>
        <v>0</v>
      </c>
      <c r="BI382" s="1">
        <v>2</v>
      </c>
      <c r="BJ382" s="1">
        <v>1</v>
      </c>
      <c r="BK382" s="1">
        <v>2</v>
      </c>
      <c r="BL382" s="1">
        <v>2</v>
      </c>
      <c r="BM382" s="1">
        <v>2</v>
      </c>
      <c r="BN382" s="1">
        <v>2</v>
      </c>
      <c r="BO382" s="1">
        <v>2</v>
      </c>
      <c r="BP382" s="1">
        <v>2</v>
      </c>
      <c r="BQ382" s="1">
        <f>IF(HRRVL,1,0)</f>
        <v>0</v>
      </c>
      <c r="BR382" s="1">
        <v>2</v>
      </c>
      <c r="BS382" s="1">
        <v>2</v>
      </c>
      <c r="BT382" s="1">
        <f>IF(HRXPH,2,0)</f>
        <v>0</v>
      </c>
      <c r="BU382" s="1">
        <f>IF(HRRVL,1,0)</f>
        <v>0</v>
      </c>
      <c r="BV382" s="1">
        <v>2</v>
      </c>
      <c r="BW382" s="1">
        <v>2</v>
      </c>
      <c r="BX382" s="1">
        <v>2</v>
      </c>
      <c r="BY382" s="1">
        <v>2</v>
      </c>
      <c r="BZ382" s="1">
        <v>2</v>
      </c>
      <c r="CA382" s="1">
        <v>2</v>
      </c>
      <c r="CB382" s="1">
        <v>2</v>
      </c>
      <c r="CC382" s="1">
        <v>2</v>
      </c>
      <c r="CD382" s="1">
        <v>2</v>
      </c>
      <c r="CE382" s="1">
        <v>2</v>
      </c>
      <c r="CF382" s="1">
        <v>1</v>
      </c>
      <c r="CG382" s="1">
        <f>IF(HRToB,1,0)</f>
        <v>0</v>
      </c>
      <c r="CH382" s="1">
        <v>1</v>
      </c>
      <c r="CI382" s="1">
        <v>1</v>
      </c>
      <c r="CJ382" s="1">
        <v>1</v>
      </c>
      <c r="CK382" s="1">
        <v>1</v>
      </c>
      <c r="CL382" s="1">
        <v>1</v>
      </c>
      <c r="CM382" s="1">
        <v>1</v>
      </c>
      <c r="CN382" s="1">
        <v>1</v>
      </c>
      <c r="CO382" s="1">
        <v>1</v>
      </c>
      <c r="CP382" s="1">
        <v>2</v>
      </c>
      <c r="CQ382" s="1">
        <v>2</v>
      </c>
      <c r="CR382" s="1">
        <v>2</v>
      </c>
      <c r="CS382" s="1">
        <v>2</v>
      </c>
      <c r="CT382" s="1">
        <v>2</v>
      </c>
      <c r="CU382" s="1">
        <v>2</v>
      </c>
      <c r="CV382" s="1">
        <f t="shared" si="365"/>
        <v>0</v>
      </c>
      <c r="CW382" s="1">
        <v>1</v>
      </c>
      <c r="CX382" s="1">
        <v>1</v>
      </c>
      <c r="CY382" s="1">
        <v>1</v>
      </c>
      <c r="CZ382" s="1">
        <f>IF(HRCS,1,0)</f>
        <v>0</v>
      </c>
      <c r="DA382" s="1">
        <v>1</v>
      </c>
      <c r="DB382" s="1">
        <v>1</v>
      </c>
      <c r="DC382" s="1">
        <v>2</v>
      </c>
      <c r="DD382" s="1">
        <v>1</v>
      </c>
      <c r="DE382" s="1">
        <v>1</v>
      </c>
      <c r="DF382" s="1">
        <v>1</v>
      </c>
      <c r="DG382" s="1">
        <v>1</v>
      </c>
      <c r="DH382" s="1">
        <v>1</v>
      </c>
      <c r="DI382" s="1">
        <f t="shared" si="367"/>
        <v>0</v>
      </c>
      <c r="DJ382" s="1">
        <v>1</v>
      </c>
      <c r="DK382" s="1" t="s">
        <v>1022</v>
      </c>
      <c r="DL382" s="1" t="s">
        <v>170</v>
      </c>
      <c r="DQ382" s="1" t="b">
        <f>HRToM</f>
        <v>0</v>
      </c>
      <c r="DR382" s="1" t="b">
        <f>NOT(AlignmentGood)</f>
        <v>0</v>
      </c>
      <c r="DS382" s="1" t="b">
        <f>SkIntimidateRanks&gt;=4</f>
        <v>0</v>
      </c>
      <c r="DT382" s="1" t="b">
        <f>SkKnowledgePlanesRanks&gt;=4</f>
        <v>0</v>
      </c>
      <c r="DU382" s="1" t="b">
        <f>MetamagicSelected&gt;=1</f>
        <v>0</v>
      </c>
      <c r="DV382" s="1" t="b">
        <f ca="1">MaxArcaneSpellLevel&gt;=2</f>
        <v>0</v>
      </c>
      <c r="DW382" s="1" t="b">
        <f>AND(VestigeMaxLevel&gt;=2,BinLvl&gt;=1)</f>
        <v>0</v>
      </c>
      <c r="EA382" s="1" t="b">
        <f ca="1">AND(DM382:DZ382)</f>
        <v>0</v>
      </c>
      <c r="EB382" s="11" t="s">
        <v>334</v>
      </c>
      <c r="EC382" s="1" t="str">
        <f ca="1">IF(DR382,"","• Any nongood.
")&amp;IF(DS382,"","• 4 ranks in Intimidate.
")&amp;IF(DT382,"","• 4 ranks in Knowledge (the planes).
")&amp;IF(DU382,"","• Any metamagic feat.
")&amp;IF(DV382,"","• Able to cast 2nd-level arcane spells.
")&amp;IF(DW382,"","• Able to bind a 2nd-level vestige.
")&amp;IF(DQ382,"","• Access to Tome of Magic")</f>
        <v>• Any nongood.
• 4 ranks in Intimidate.
• 4 ranks in Knowledge (the planes).
• Any metamagic feat.
• Able to cast 2nd-level arcane spells.
• Able to bind a 2nd-level vestige.
• Access to Tome of Magic</v>
      </c>
      <c r="ED382" s="11"/>
    </row>
    <row r="383" spans="1:145" ht="11.25" customHeight="1" x14ac:dyDescent="0.2">
      <c r="A383" s="1">
        <f t="shared" si="304"/>
        <v>380</v>
      </c>
      <c r="B383" s="1" t="s">
        <v>1023</v>
      </c>
      <c r="C383" s="1" t="s">
        <v>607</v>
      </c>
      <c r="D383" s="1" t="s">
        <v>607</v>
      </c>
      <c r="E383" s="1">
        <f t="shared" si="326"/>
        <v>0</v>
      </c>
      <c r="K383" s="1">
        <v>2</v>
      </c>
      <c r="L383" s="1">
        <v>10</v>
      </c>
      <c r="N383" s="1" t="b">
        <v>1</v>
      </c>
      <c r="O383" s="1" t="b">
        <v>1</v>
      </c>
      <c r="P383" s="1" t="b">
        <v>1</v>
      </c>
      <c r="Q383" s="1" t="b">
        <v>1</v>
      </c>
      <c r="R383" s="31"/>
      <c r="S383" s="1" t="b">
        <v>1</v>
      </c>
      <c r="T383" s="1" t="b">
        <v>1</v>
      </c>
      <c r="V383" s="1">
        <v>1</v>
      </c>
      <c r="W383" s="1">
        <v>0.5</v>
      </c>
      <c r="X383" s="1">
        <v>0.34</v>
      </c>
      <c r="Y383" s="1">
        <v>0.34</v>
      </c>
      <c r="Z383" s="1" t="b">
        <f>FALSE</f>
        <v>0</v>
      </c>
      <c r="AA383" s="1" t="str">
        <f t="shared" si="329"/>
        <v/>
      </c>
      <c r="AB383" s="1" t="str">
        <f t="shared" si="330"/>
        <v/>
      </c>
      <c r="AC383" s="1">
        <f t="shared" si="327"/>
        <v>0</v>
      </c>
      <c r="AD383" s="1" t="str">
        <f t="shared" si="331"/>
        <v/>
      </c>
      <c r="AE383" s="1" t="str">
        <f t="shared" si="332"/>
        <v/>
      </c>
      <c r="AF383" s="1">
        <f t="shared" si="328"/>
        <v>0</v>
      </c>
      <c r="AG383" s="1">
        <f t="shared" si="333"/>
        <v>5</v>
      </c>
      <c r="AH383" s="1" t="str">
        <f t="shared" si="325"/>
        <v/>
      </c>
      <c r="AI383" s="1">
        <v>1</v>
      </c>
      <c r="AJ383" s="1">
        <f t="shared" si="361"/>
        <v>0</v>
      </c>
      <c r="AK383" s="1">
        <v>1</v>
      </c>
      <c r="AL383" s="1">
        <v>2</v>
      </c>
      <c r="AM383" s="1">
        <v>2</v>
      </c>
      <c r="AN383" s="1">
        <f>IF(IsLycanthrope,2,0)</f>
        <v>0</v>
      </c>
      <c r="AO383" s="1">
        <v>2</v>
      </c>
      <c r="AP383" s="1">
        <v>2</v>
      </c>
      <c r="AQ383" s="1">
        <v>2</v>
      </c>
      <c r="AR383" s="1">
        <v>2</v>
      </c>
      <c r="AS383" s="1">
        <v>2</v>
      </c>
      <c r="AT383" s="1">
        <v>2</v>
      </c>
      <c r="AU383" s="1">
        <v>2</v>
      </c>
      <c r="AV383" s="1">
        <v>2</v>
      </c>
      <c r="AW383" s="1">
        <v>1</v>
      </c>
      <c r="AX383" s="1">
        <v>2</v>
      </c>
      <c r="AY383" s="1">
        <v>1</v>
      </c>
      <c r="AZ383" s="1">
        <v>1</v>
      </c>
      <c r="BA383" s="1">
        <v>1</v>
      </c>
      <c r="BB383" s="1">
        <v>1</v>
      </c>
      <c r="BC383" s="1">
        <v>1</v>
      </c>
      <c r="BD383" s="1">
        <v>1</v>
      </c>
      <c r="BE383" s="1">
        <v>1</v>
      </c>
      <c r="BF383" s="1">
        <v>1</v>
      </c>
      <c r="BG383" s="1">
        <f t="shared" si="363"/>
        <v>0</v>
      </c>
      <c r="BH383" s="1">
        <f>IF(HROA,1,0)</f>
        <v>0</v>
      </c>
      <c r="BI383" s="1">
        <v>2</v>
      </c>
      <c r="BJ383" s="1">
        <v>2</v>
      </c>
      <c r="BK383" s="1">
        <v>2</v>
      </c>
      <c r="BL383" s="1">
        <v>1</v>
      </c>
      <c r="BM383" s="1">
        <v>1</v>
      </c>
      <c r="BN383" s="1">
        <v>1</v>
      </c>
      <c r="BO383" s="1">
        <v>1</v>
      </c>
      <c r="BP383" s="1">
        <v>1</v>
      </c>
      <c r="BQ383" s="1">
        <f>IF(HRRVL,1,0)</f>
        <v>0</v>
      </c>
      <c r="BR383" s="1">
        <v>1</v>
      </c>
      <c r="BS383" s="1">
        <v>1</v>
      </c>
      <c r="BT383" s="1">
        <f>IF(HRXPH,1,0)</f>
        <v>0</v>
      </c>
      <c r="BU383" s="1">
        <f>IF(HRRVL,1,0)</f>
        <v>0</v>
      </c>
      <c r="BV383" s="1">
        <v>2</v>
      </c>
      <c r="BW383" s="1">
        <v>2</v>
      </c>
      <c r="BX383" s="1">
        <v>1</v>
      </c>
      <c r="BY383" s="1">
        <v>1</v>
      </c>
      <c r="BZ383" s="1">
        <v>1</v>
      </c>
      <c r="CA383" s="1">
        <v>1</v>
      </c>
      <c r="CB383" s="1">
        <v>1</v>
      </c>
      <c r="CC383" s="1">
        <v>1</v>
      </c>
      <c r="CD383" s="1">
        <v>1</v>
      </c>
      <c r="CE383" s="1">
        <v>1</v>
      </c>
      <c r="CF383" s="1">
        <v>1</v>
      </c>
      <c r="CG383" s="1">
        <f>IF(HRToB,1,0)</f>
        <v>0</v>
      </c>
      <c r="CH383" s="1">
        <v>1</v>
      </c>
      <c r="CI383" s="1">
        <v>1</v>
      </c>
      <c r="CJ383" s="1">
        <v>1</v>
      </c>
      <c r="CK383" s="1">
        <v>1</v>
      </c>
      <c r="CL383" s="1">
        <v>1</v>
      </c>
      <c r="CM383" s="1">
        <v>1</v>
      </c>
      <c r="CN383" s="1">
        <v>1</v>
      </c>
      <c r="CO383" s="1">
        <v>1</v>
      </c>
      <c r="CP383" s="1">
        <v>2</v>
      </c>
      <c r="CQ383" s="1">
        <v>2</v>
      </c>
      <c r="CR383" s="1">
        <v>2</v>
      </c>
      <c r="CS383" s="1">
        <v>2</v>
      </c>
      <c r="CT383" s="1">
        <v>2</v>
      </c>
      <c r="CU383" s="1">
        <v>2</v>
      </c>
      <c r="CV383" s="1">
        <f t="shared" si="365"/>
        <v>0</v>
      </c>
      <c r="CW383" s="1">
        <v>2</v>
      </c>
      <c r="CX383" s="1">
        <v>1</v>
      </c>
      <c r="CY383" s="1">
        <v>2</v>
      </c>
      <c r="CZ383" s="1">
        <f>IF(HRCS,1,0)</f>
        <v>0</v>
      </c>
      <c r="DA383" s="1">
        <v>1</v>
      </c>
      <c r="DB383" s="1">
        <v>1</v>
      </c>
      <c r="DC383" s="1">
        <v>1</v>
      </c>
      <c r="DD383" s="1">
        <v>1</v>
      </c>
      <c r="DE383" s="1">
        <v>1</v>
      </c>
      <c r="DF383" s="1">
        <v>2</v>
      </c>
      <c r="DG383" s="1">
        <v>1</v>
      </c>
      <c r="DH383" s="1">
        <v>1</v>
      </c>
      <c r="DI383" s="1">
        <f t="shared" si="367"/>
        <v>0</v>
      </c>
      <c r="DJ383" s="1">
        <v>1</v>
      </c>
      <c r="DK383" s="1" t="s">
        <v>1022</v>
      </c>
      <c r="DL383" s="1" t="s">
        <v>170</v>
      </c>
      <c r="DQ383" s="1" t="b">
        <f>HRToM</f>
        <v>0</v>
      </c>
      <c r="DR383" s="1" t="b">
        <f>NOT(AlignmentChaotic)</f>
        <v>1</v>
      </c>
      <c r="DS383" s="1" t="b">
        <f>BaseAtk&gt;=4</f>
        <v>0</v>
      </c>
      <c r="DT383" s="1" t="b">
        <f>OR(SkKnowledgeReligionRanks&gt;=5,SkKnowledgePlanesRanks&gt;=5,SkKnowledgeArcanaRanks&gt;=5)</f>
        <v>0</v>
      </c>
      <c r="DU383" s="1" t="b">
        <f>FtWeaponFocus</f>
        <v>0</v>
      </c>
      <c r="DV383" s="1" t="b">
        <f>BinLvl&gt;=1</f>
        <v>0</v>
      </c>
      <c r="EA383" s="1" t="b">
        <f t="shared" si="368"/>
        <v>0</v>
      </c>
      <c r="EB383" s="11" t="s">
        <v>334</v>
      </c>
      <c r="EC383" s="1" t="str">
        <f>IF(DR383,"","• Any nonchaotic.
")&amp;IF(DS383,"","• Base Attack Bonus +4.
")&amp;IF(DT383,"","• 5 ranks in Knowledge (the planes) OR arcana OR religion.
")&amp;IF(DU383,"","• Any Weapon Focus feat.
")&amp;IF(DV383,"","• Soul Binding class feature.
")&amp;IF(DQ383,"","• Access to Tome of Magic")</f>
        <v>• Base Attack Bonus +4.
• 5 ranks in Knowledge (the planes) OR arcana OR religion.
• Any Weapon Focus feat.
• Soul Binding class feature.
• Access to Tome of Magic</v>
      </c>
      <c r="ED383" s="11"/>
    </row>
    <row r="384" spans="1:145" ht="11.25" customHeight="1" x14ac:dyDescent="0.2">
      <c r="A384" s="1">
        <f t="shared" si="304"/>
        <v>381</v>
      </c>
      <c r="B384" s="1" t="s">
        <v>1024</v>
      </c>
      <c r="C384" s="1" t="s">
        <v>1025</v>
      </c>
      <c r="D384" s="1" t="s">
        <v>1025</v>
      </c>
      <c r="E384" s="1">
        <f t="shared" si="326"/>
        <v>0</v>
      </c>
      <c r="K384" s="1">
        <v>2</v>
      </c>
      <c r="L384" s="1">
        <v>8</v>
      </c>
      <c r="V384" s="1">
        <v>0.75</v>
      </c>
      <c r="W384" s="1">
        <v>0.5</v>
      </c>
      <c r="X384" s="1">
        <v>0.34</v>
      </c>
      <c r="Y384" s="1">
        <v>0.5</v>
      </c>
      <c r="Z384" s="1" t="b">
        <f>FALSE</f>
        <v>0</v>
      </c>
      <c r="AA384" s="1" t="str">
        <f t="shared" si="329"/>
        <v/>
      </c>
      <c r="AB384" s="1" t="str">
        <f t="shared" si="330"/>
        <v/>
      </c>
      <c r="AC384" s="1">
        <f t="shared" si="327"/>
        <v>0</v>
      </c>
      <c r="AD384" s="1" t="str">
        <f t="shared" si="331"/>
        <v/>
      </c>
      <c r="AE384" s="1" t="str">
        <f t="shared" si="332"/>
        <v/>
      </c>
      <c r="AF384" s="1">
        <f t="shared" si="328"/>
        <v>0</v>
      </c>
      <c r="AG384" s="1">
        <f t="shared" si="333"/>
        <v>5</v>
      </c>
      <c r="AH384" s="1" t="str">
        <f t="shared" si="325"/>
        <v/>
      </c>
      <c r="AI384" s="1">
        <v>1</v>
      </c>
      <c r="AJ384" s="1">
        <f t="shared" si="361"/>
        <v>0</v>
      </c>
      <c r="AK384" s="1">
        <v>1</v>
      </c>
      <c r="AL384" s="1">
        <v>2</v>
      </c>
      <c r="AM384" s="1">
        <v>1</v>
      </c>
      <c r="AN384" s="1">
        <f>IF(IsLycanthrope,2,0)</f>
        <v>0</v>
      </c>
      <c r="AO384" s="1">
        <v>2</v>
      </c>
      <c r="AP384" s="1">
        <v>2</v>
      </c>
      <c r="AQ384" s="1">
        <v>2</v>
      </c>
      <c r="AR384" s="1">
        <v>2</v>
      </c>
      <c r="AS384" s="1">
        <v>2</v>
      </c>
      <c r="AT384" s="1">
        <v>2</v>
      </c>
      <c r="AU384" s="1">
        <v>2</v>
      </c>
      <c r="AV384" s="1">
        <v>2</v>
      </c>
      <c r="AW384" s="1">
        <v>1</v>
      </c>
      <c r="AX384" s="1">
        <v>2</v>
      </c>
      <c r="AY384" s="1">
        <v>1</v>
      </c>
      <c r="AZ384" s="1">
        <v>1</v>
      </c>
      <c r="BA384" s="1">
        <v>1</v>
      </c>
      <c r="BB384" s="1">
        <v>1</v>
      </c>
      <c r="BC384" s="1">
        <v>2</v>
      </c>
      <c r="BD384" s="1">
        <v>1</v>
      </c>
      <c r="BE384" s="1">
        <v>1</v>
      </c>
      <c r="BF384" s="1">
        <v>1</v>
      </c>
      <c r="BG384" s="1">
        <f t="shared" si="363"/>
        <v>0</v>
      </c>
      <c r="BH384" s="1">
        <f>IF(HROA,1,0)</f>
        <v>0</v>
      </c>
      <c r="BI384" s="1">
        <v>2</v>
      </c>
      <c r="BJ384" s="1">
        <v>1</v>
      </c>
      <c r="BK384" s="1">
        <v>2</v>
      </c>
      <c r="BL384" s="1">
        <v>2</v>
      </c>
      <c r="BM384" s="1">
        <v>2</v>
      </c>
      <c r="BN384" s="1">
        <v>2</v>
      </c>
      <c r="BO384" s="1">
        <v>2</v>
      </c>
      <c r="BP384" s="1">
        <v>2</v>
      </c>
      <c r="BQ384" s="1">
        <f>IF(HRRVL,2,0)</f>
        <v>0</v>
      </c>
      <c r="BR384" s="1">
        <v>2</v>
      </c>
      <c r="BS384" s="1">
        <v>2</v>
      </c>
      <c r="BT384" s="1">
        <f>IF(HRXPH,2,0)</f>
        <v>0</v>
      </c>
      <c r="BU384" s="1">
        <f>IF(HRRVL,2,0)</f>
        <v>0</v>
      </c>
      <c r="BV384" s="1">
        <v>2</v>
      </c>
      <c r="BW384" s="1">
        <v>2</v>
      </c>
      <c r="BX384" s="1">
        <v>2</v>
      </c>
      <c r="BY384" s="1">
        <v>2</v>
      </c>
      <c r="BZ384" s="1">
        <v>2</v>
      </c>
      <c r="CA384" s="1">
        <v>2</v>
      </c>
      <c r="CB384" s="1">
        <v>2</v>
      </c>
      <c r="CC384" s="1">
        <v>2</v>
      </c>
      <c r="CD384" s="1">
        <v>2</v>
      </c>
      <c r="CE384" s="1">
        <v>2</v>
      </c>
      <c r="CF384" s="1">
        <v>1</v>
      </c>
      <c r="CG384" s="1">
        <f>IF(HRToB,1,0)</f>
        <v>0</v>
      </c>
      <c r="CH384" s="1">
        <v>1</v>
      </c>
      <c r="CI384" s="1">
        <v>1</v>
      </c>
      <c r="CJ384" s="1">
        <v>1</v>
      </c>
      <c r="CK384" s="1">
        <v>1</v>
      </c>
      <c r="CL384" s="1">
        <v>1</v>
      </c>
      <c r="CM384" s="1">
        <v>1</v>
      </c>
      <c r="CN384" s="1">
        <v>1</v>
      </c>
      <c r="CO384" s="1">
        <v>1</v>
      </c>
      <c r="CP384" s="1">
        <v>2</v>
      </c>
      <c r="CQ384" s="1">
        <v>2</v>
      </c>
      <c r="CR384" s="1">
        <v>2</v>
      </c>
      <c r="CS384" s="1">
        <v>2</v>
      </c>
      <c r="CT384" s="1">
        <v>2</v>
      </c>
      <c r="CU384" s="1">
        <v>2</v>
      </c>
      <c r="CV384" s="1">
        <f t="shared" si="365"/>
        <v>0</v>
      </c>
      <c r="CW384" s="1">
        <v>1</v>
      </c>
      <c r="CX384" s="1">
        <v>1</v>
      </c>
      <c r="CY384" s="1">
        <v>2</v>
      </c>
      <c r="CZ384" s="1">
        <f>IF(HRCS,1,0)</f>
        <v>0</v>
      </c>
      <c r="DA384" s="1">
        <v>1</v>
      </c>
      <c r="DB384" s="1">
        <v>2</v>
      </c>
      <c r="DC384" s="1">
        <v>1</v>
      </c>
      <c r="DD384" s="1">
        <v>1</v>
      </c>
      <c r="DE384" s="1">
        <v>1</v>
      </c>
      <c r="DF384" s="1">
        <v>1</v>
      </c>
      <c r="DG384" s="1">
        <v>1</v>
      </c>
      <c r="DH384" s="1">
        <v>1</v>
      </c>
      <c r="DI384" s="1">
        <f t="shared" si="367"/>
        <v>0</v>
      </c>
      <c r="DJ384" s="1">
        <v>1</v>
      </c>
      <c r="DK384" s="1" t="s">
        <v>1022</v>
      </c>
      <c r="DL384" s="1" t="s">
        <v>170</v>
      </c>
      <c r="DQ384" s="1" t="b">
        <f>HRToM</f>
        <v>0</v>
      </c>
      <c r="DR384" s="1" t="b">
        <f>OR(RaceCi="Half-Orc",RaceCi="Half-Elf",RaceCi="Human")</f>
        <v>0</v>
      </c>
      <c r="DT384" s="1" t="b">
        <f>SkKnowledgeNobilityRanks&gt;=2</f>
        <v>0</v>
      </c>
      <c r="DU384" s="1" t="b">
        <f>VestigeMaxLevel&gt;=5</f>
        <v>0</v>
      </c>
      <c r="EA384" s="1" t="b">
        <f t="shared" si="368"/>
        <v>0</v>
      </c>
      <c r="EB384" s="1" t="s">
        <v>334</v>
      </c>
      <c r="EC384" s="1" t="str">
        <f>IF(DR384,"","• Half-elf, half-orc, or human.
")&amp;IF(DT384,"","• 2 ranks in Knowledge (nobility and royalty).
")&amp;IF(DU384,"","• Ability to bind Dantalion.
")&amp;IF(DQ384,"","• Access to Tome of Magic")</f>
        <v>• Half-elf, half-orc, or human.
• 2 ranks in Knowledge (nobility and royalty).
• Ability to bind Dantalion.
• Access to Tome of Magic</v>
      </c>
      <c r="ED384" s="11"/>
    </row>
    <row r="385" spans="1:134" ht="11.25" customHeight="1" x14ac:dyDescent="0.2">
      <c r="A385" s="1">
        <f t="shared" si="304"/>
        <v>382</v>
      </c>
      <c r="B385" s="1" t="s">
        <v>1026</v>
      </c>
      <c r="C385" s="1" t="s">
        <v>1027</v>
      </c>
      <c r="D385" s="1" t="s">
        <v>1027</v>
      </c>
      <c r="E385" s="1">
        <f t="shared" si="326"/>
        <v>0</v>
      </c>
      <c r="G385" s="1">
        <f>IF(TenALvl&gt;0,TenALvl-1,0)</f>
        <v>0</v>
      </c>
      <c r="K385" s="1">
        <v>2</v>
      </c>
      <c r="L385" s="1">
        <v>8</v>
      </c>
      <c r="V385" s="1">
        <v>0.75</v>
      </c>
      <c r="W385" s="1">
        <v>0.5</v>
      </c>
      <c r="X385" s="1">
        <v>0.34</v>
      </c>
      <c r="Y385" s="1">
        <v>0.5</v>
      </c>
      <c r="Z385" s="1" t="b">
        <f>FALSE</f>
        <v>0</v>
      </c>
      <c r="AA385" s="1" t="str">
        <f t="shared" si="329"/>
        <v/>
      </c>
      <c r="AB385" s="1" t="str">
        <f t="shared" si="330"/>
        <v/>
      </c>
      <c r="AC385" s="1">
        <f t="shared" si="327"/>
        <v>0</v>
      </c>
      <c r="AD385" s="1" t="str">
        <f t="shared" si="331"/>
        <v/>
      </c>
      <c r="AE385" s="1" t="str">
        <f t="shared" si="332"/>
        <v/>
      </c>
      <c r="AF385" s="1">
        <f t="shared" si="328"/>
        <v>0</v>
      </c>
      <c r="AG385" s="1">
        <f t="shared" si="333"/>
        <v>5</v>
      </c>
      <c r="AH385" s="1" t="str">
        <f t="shared" si="325"/>
        <v/>
      </c>
      <c r="AI385" s="1">
        <v>1</v>
      </c>
      <c r="AJ385" s="1">
        <f t="shared" si="361"/>
        <v>0</v>
      </c>
      <c r="AK385" s="1">
        <v>1</v>
      </c>
      <c r="AL385" s="1">
        <v>2</v>
      </c>
      <c r="AM385" s="1">
        <v>1</v>
      </c>
      <c r="AN385" s="1">
        <f>IF(IsLycanthrope,2,0)</f>
        <v>0</v>
      </c>
      <c r="AO385" s="1">
        <v>2</v>
      </c>
      <c r="AP385" s="1">
        <v>2</v>
      </c>
      <c r="AQ385" s="1">
        <v>2</v>
      </c>
      <c r="AR385" s="1">
        <v>2</v>
      </c>
      <c r="AS385" s="1">
        <v>2</v>
      </c>
      <c r="AT385" s="1">
        <v>2</v>
      </c>
      <c r="AU385" s="1">
        <v>2</v>
      </c>
      <c r="AV385" s="1">
        <v>2</v>
      </c>
      <c r="AW385" s="1">
        <v>1</v>
      </c>
      <c r="AX385" s="1">
        <v>2</v>
      </c>
      <c r="AY385" s="1">
        <v>1</v>
      </c>
      <c r="AZ385" s="1">
        <v>1</v>
      </c>
      <c r="BA385" s="1">
        <v>1</v>
      </c>
      <c r="BB385" s="1">
        <v>1</v>
      </c>
      <c r="BC385" s="1">
        <v>2</v>
      </c>
      <c r="BD385" s="1">
        <v>1</v>
      </c>
      <c r="BE385" s="1">
        <v>1</v>
      </c>
      <c r="BF385" s="1">
        <v>1</v>
      </c>
      <c r="BG385" s="1">
        <f t="shared" si="363"/>
        <v>0</v>
      </c>
      <c r="BH385" s="1">
        <f>IF(HROA,1,0)</f>
        <v>0</v>
      </c>
      <c r="BI385" s="1">
        <v>2</v>
      </c>
      <c r="BJ385" s="1">
        <v>1</v>
      </c>
      <c r="BK385" s="1">
        <v>2</v>
      </c>
      <c r="BL385" s="1">
        <v>1</v>
      </c>
      <c r="BM385" s="1">
        <v>1</v>
      </c>
      <c r="BN385" s="1">
        <v>1</v>
      </c>
      <c r="BO385" s="1">
        <v>2</v>
      </c>
      <c r="BP385" s="1">
        <v>1</v>
      </c>
      <c r="BQ385" s="1">
        <f>IF(HRRVL,1,0)</f>
        <v>0</v>
      </c>
      <c r="BR385" s="1">
        <v>1</v>
      </c>
      <c r="BS385" s="1">
        <v>1</v>
      </c>
      <c r="BT385" s="1">
        <f>IF(HRXPH,1,0)</f>
        <v>0</v>
      </c>
      <c r="BU385" s="1">
        <f>IF(HRRVL,1,0)</f>
        <v>0</v>
      </c>
      <c r="BV385" s="1">
        <v>2</v>
      </c>
      <c r="BW385" s="1">
        <v>2</v>
      </c>
      <c r="BX385" s="1">
        <v>1</v>
      </c>
      <c r="BY385" s="1">
        <v>1</v>
      </c>
      <c r="BZ385" s="1">
        <v>1</v>
      </c>
      <c r="CA385" s="1">
        <v>1</v>
      </c>
      <c r="CB385" s="1">
        <v>1</v>
      </c>
      <c r="CC385" s="1">
        <v>1</v>
      </c>
      <c r="CD385" s="1">
        <v>1</v>
      </c>
      <c r="CE385" s="1">
        <v>1</v>
      </c>
      <c r="CF385" s="1">
        <v>1</v>
      </c>
      <c r="CG385" s="1">
        <f>IF(HRToB,1,0)</f>
        <v>0</v>
      </c>
      <c r="CH385" s="1">
        <v>1</v>
      </c>
      <c r="CI385" s="1">
        <v>1</v>
      </c>
      <c r="CJ385" s="1">
        <v>1</v>
      </c>
      <c r="CK385" s="1">
        <v>1</v>
      </c>
      <c r="CL385" s="1">
        <v>1</v>
      </c>
      <c r="CM385" s="1">
        <v>1</v>
      </c>
      <c r="CN385" s="1">
        <v>1</v>
      </c>
      <c r="CO385" s="1">
        <v>1</v>
      </c>
      <c r="CP385" s="1">
        <v>2</v>
      </c>
      <c r="CQ385" s="1">
        <v>2</v>
      </c>
      <c r="CR385" s="1">
        <v>2</v>
      </c>
      <c r="CS385" s="1">
        <v>2</v>
      </c>
      <c r="CT385" s="1">
        <v>2</v>
      </c>
      <c r="CU385" s="1">
        <v>2</v>
      </c>
      <c r="CV385" s="1">
        <f t="shared" si="365"/>
        <v>0</v>
      </c>
      <c r="CW385" s="1">
        <v>1</v>
      </c>
      <c r="CX385" s="1">
        <v>1</v>
      </c>
      <c r="CY385" s="1">
        <v>2</v>
      </c>
      <c r="CZ385" s="1">
        <f>IF(HRCS,1,0)</f>
        <v>0</v>
      </c>
      <c r="DA385" s="1">
        <v>1</v>
      </c>
      <c r="DB385" s="1">
        <v>1</v>
      </c>
      <c r="DC385" s="1">
        <v>1</v>
      </c>
      <c r="DD385" s="1">
        <v>1</v>
      </c>
      <c r="DE385" s="1">
        <v>1</v>
      </c>
      <c r="DF385" s="1">
        <v>1</v>
      </c>
      <c r="DG385" s="1">
        <v>1</v>
      </c>
      <c r="DH385" s="1">
        <v>1</v>
      </c>
      <c r="DI385" s="1">
        <f t="shared" si="367"/>
        <v>0</v>
      </c>
      <c r="DJ385" s="1">
        <v>1</v>
      </c>
      <c r="DK385" s="1" t="s">
        <v>1022</v>
      </c>
      <c r="DL385" s="1" t="s">
        <v>170</v>
      </c>
      <c r="DQ385" s="1" t="b">
        <f>HRToM</f>
        <v>0</v>
      </c>
      <c r="DR385" s="1" t="b">
        <f>NOT(AlignmentGood)</f>
        <v>0</v>
      </c>
      <c r="DS385" s="1" t="b">
        <f>SkKnowledgeReligionRanks&gt;=5</f>
        <v>0</v>
      </c>
      <c r="DT385" s="1" t="b">
        <f>SkKnowledgePlanesRanks&gt;=8</f>
        <v>0</v>
      </c>
      <c r="DU385" s="1" t="b">
        <f>VestigeMaxLevel&gt;=4</f>
        <v>0</v>
      </c>
      <c r="DV385" s="1" t="b">
        <f>TurnLvl&gt;=1</f>
        <v>0</v>
      </c>
      <c r="EA385" s="1" t="b">
        <f t="shared" si="368"/>
        <v>0</v>
      </c>
      <c r="EB385" s="1" t="s">
        <v>338</v>
      </c>
      <c r="EC385" s="1" t="str">
        <f>IF(DR385,"","• Any nongood.
")&amp;IF(DS385,"","• 5 ranks in Knowledge (religion).
")&amp;IF(DT385,"","• 8 ranks in Knowledge (the planes).
")&amp;IF(DU385,"","• Ability to bind Tenebrous.
")&amp;IF(DV385,"","• Ability to turn or rebuke undead.
")&amp;"• Worship Tenebrous as a god (unverified).
"&amp;IF(DQ385,"","• Access to Tome of Magic")</f>
        <v>• Any nongood.
• 5 ranks in Knowledge (religion).
• 8 ranks in Knowledge (the planes).
• Ability to bind Tenebrous.
• Ability to turn or rebuke undead.
• Worship Tenebrous as a god (unverified).
• Access to Tome of Magic</v>
      </c>
      <c r="ED385" s="11"/>
    </row>
    <row r="386" spans="1:134" ht="11.25" customHeight="1" x14ac:dyDescent="0.2">
      <c r="A386" s="1">
        <f t="shared" si="304"/>
        <v>383</v>
      </c>
      <c r="B386" s="1" t="s">
        <v>1028</v>
      </c>
      <c r="C386" s="1" t="s">
        <v>1029</v>
      </c>
      <c r="D386" s="1" t="s">
        <v>1029</v>
      </c>
      <c r="E386" s="1">
        <f t="shared" si="326"/>
        <v>0</v>
      </c>
      <c r="K386" s="1">
        <v>4</v>
      </c>
      <c r="L386" s="1">
        <v>8</v>
      </c>
      <c r="V386" s="1">
        <v>1</v>
      </c>
      <c r="W386" s="1">
        <v>0.5</v>
      </c>
      <c r="X386" s="1">
        <v>0.34</v>
      </c>
      <c r="Y386" s="1">
        <v>0.5</v>
      </c>
      <c r="Z386" s="1" t="b">
        <f>FALSE</f>
        <v>0</v>
      </c>
      <c r="AA386" s="1" t="str">
        <f t="shared" si="329"/>
        <v/>
      </c>
      <c r="AB386" s="1" t="str">
        <f t="shared" si="330"/>
        <v/>
      </c>
      <c r="AC386" s="1">
        <f t="shared" si="327"/>
        <v>0</v>
      </c>
      <c r="AD386" s="1" t="str">
        <f t="shared" si="331"/>
        <v/>
      </c>
      <c r="AE386" s="1" t="str">
        <f t="shared" si="332"/>
        <v/>
      </c>
      <c r="AF386" s="1">
        <f t="shared" si="328"/>
        <v>0</v>
      </c>
      <c r="AG386" s="1">
        <f t="shared" si="333"/>
        <v>5</v>
      </c>
      <c r="AH386" s="1" t="str">
        <f t="shared" si="325"/>
        <v/>
      </c>
      <c r="AI386" s="1">
        <v>1</v>
      </c>
      <c r="AJ386" s="1">
        <f t="shared" si="361"/>
        <v>0</v>
      </c>
      <c r="AK386" s="1">
        <v>1</v>
      </c>
      <c r="AL386" s="1">
        <v>2</v>
      </c>
      <c r="AM386" s="1">
        <v>1</v>
      </c>
      <c r="AN386" s="1">
        <f>IF(IsLycanthrope,2,0)</f>
        <v>0</v>
      </c>
      <c r="AO386" s="1">
        <v>2</v>
      </c>
      <c r="AP386" s="1">
        <v>2</v>
      </c>
      <c r="AQ386" s="1">
        <v>2</v>
      </c>
      <c r="AR386" s="1">
        <v>2</v>
      </c>
      <c r="AS386" s="1">
        <v>2</v>
      </c>
      <c r="AT386" s="1">
        <v>2</v>
      </c>
      <c r="AU386" s="1">
        <v>2</v>
      </c>
      <c r="AV386" s="1">
        <v>2</v>
      </c>
      <c r="AW386" s="1">
        <v>2</v>
      </c>
      <c r="AX386" s="1">
        <v>1</v>
      </c>
      <c r="AY386" s="1">
        <v>1</v>
      </c>
      <c r="AZ386" s="1">
        <v>1</v>
      </c>
      <c r="BA386" s="1">
        <v>1</v>
      </c>
      <c r="BB386" s="1">
        <v>1</v>
      </c>
      <c r="BC386" s="1">
        <v>2</v>
      </c>
      <c r="BD386" s="1">
        <v>1</v>
      </c>
      <c r="BE386" s="1">
        <v>1</v>
      </c>
      <c r="BF386" s="1">
        <v>1</v>
      </c>
      <c r="BG386" s="1">
        <f t="shared" si="363"/>
        <v>0</v>
      </c>
      <c r="BH386" s="1">
        <f>IF(HROA,1,0)</f>
        <v>0</v>
      </c>
      <c r="BI386" s="1">
        <v>1</v>
      </c>
      <c r="BJ386" s="1">
        <v>1</v>
      </c>
      <c r="BK386" s="1">
        <v>2</v>
      </c>
      <c r="BL386" s="1">
        <v>1</v>
      </c>
      <c r="BM386" s="1">
        <v>1</v>
      </c>
      <c r="BN386" s="1">
        <v>1</v>
      </c>
      <c r="BO386" s="1">
        <v>2</v>
      </c>
      <c r="BP386" s="1">
        <v>2</v>
      </c>
      <c r="BQ386" s="1">
        <f>IF(HRRVL,1,0)</f>
        <v>0</v>
      </c>
      <c r="BR386" s="1">
        <v>1</v>
      </c>
      <c r="BS386" s="1">
        <v>1</v>
      </c>
      <c r="BT386" s="1">
        <f>IF(HRXPH,1,0)</f>
        <v>0</v>
      </c>
      <c r="BU386" s="1">
        <f>IF(HRRVL,1,0)</f>
        <v>0</v>
      </c>
      <c r="BV386" s="1">
        <v>2</v>
      </c>
      <c r="BW386" s="1">
        <v>2</v>
      </c>
      <c r="BX386" s="1">
        <v>1</v>
      </c>
      <c r="BY386" s="1">
        <v>1</v>
      </c>
      <c r="BZ386" s="1">
        <v>1</v>
      </c>
      <c r="CA386" s="1">
        <v>1</v>
      </c>
      <c r="CB386" s="1">
        <v>1</v>
      </c>
      <c r="CC386" s="1">
        <v>1</v>
      </c>
      <c r="CD386" s="1">
        <v>1</v>
      </c>
      <c r="CE386" s="1">
        <v>1</v>
      </c>
      <c r="CF386" s="1">
        <v>2</v>
      </c>
      <c r="CG386" s="1">
        <f>IF(HRToB,1,0)</f>
        <v>0</v>
      </c>
      <c r="CH386" s="1">
        <v>1</v>
      </c>
      <c r="CI386" s="1">
        <v>1</v>
      </c>
      <c r="CJ386" s="1">
        <v>1</v>
      </c>
      <c r="CK386" s="1">
        <v>1</v>
      </c>
      <c r="CL386" s="1">
        <v>1</v>
      </c>
      <c r="CM386" s="1">
        <v>1</v>
      </c>
      <c r="CN386" s="1">
        <v>1</v>
      </c>
      <c r="CO386" s="1">
        <v>1</v>
      </c>
      <c r="CP386" s="1">
        <v>2</v>
      </c>
      <c r="CQ386" s="1">
        <v>2</v>
      </c>
      <c r="CR386" s="1">
        <v>2</v>
      </c>
      <c r="CS386" s="1">
        <v>2</v>
      </c>
      <c r="CT386" s="1">
        <v>2</v>
      </c>
      <c r="CU386" s="1">
        <v>2</v>
      </c>
      <c r="CV386" s="1">
        <f t="shared" si="365"/>
        <v>0</v>
      </c>
      <c r="CW386" s="1">
        <v>1</v>
      </c>
      <c r="CX386" s="1">
        <v>2</v>
      </c>
      <c r="CY386" s="1">
        <v>2</v>
      </c>
      <c r="CZ386" s="1">
        <f>IF(HRCS,1,0)</f>
        <v>0</v>
      </c>
      <c r="DA386" s="1">
        <v>1</v>
      </c>
      <c r="DB386" s="1">
        <v>1</v>
      </c>
      <c r="DC386" s="1">
        <v>2</v>
      </c>
      <c r="DD386" s="1">
        <v>2</v>
      </c>
      <c r="DE386" s="1">
        <v>2</v>
      </c>
      <c r="DF386" s="1">
        <v>1</v>
      </c>
      <c r="DG386" s="1">
        <v>1</v>
      </c>
      <c r="DH386" s="1">
        <v>1</v>
      </c>
      <c r="DI386" s="1">
        <f t="shared" si="367"/>
        <v>0</v>
      </c>
      <c r="DJ386" s="1">
        <v>1</v>
      </c>
      <c r="DK386" s="1" t="s">
        <v>1022</v>
      </c>
      <c r="DL386" s="1" t="s">
        <v>170</v>
      </c>
      <c r="DQ386" s="1" t="b">
        <f>HRToM</f>
        <v>0</v>
      </c>
      <c r="DS386" s="1" t="b">
        <f>BaseAtk&gt;=5</f>
        <v>0</v>
      </c>
      <c r="DT386" s="1" t="b">
        <f>SkKnowledgeReligionRanks&gt;=4</f>
        <v>0</v>
      </c>
      <c r="DU386" s="1" t="b">
        <f>SkSenseMotiveRanks&gt;=4</f>
        <v>0</v>
      </c>
      <c r="EA386" s="1" t="b">
        <f t="shared" si="368"/>
        <v>0</v>
      </c>
      <c r="EB386" s="1" t="s">
        <v>338</v>
      </c>
      <c r="EC386" s="1" t="str">
        <f>IF(DS386,"","• Base Attack Bonus +5.
")&amp;IF(DT386,"","• 4 ranks in Knowledge (religion).
")&amp;IF(DU386,"","• 4 ranks in Sense Motive.
")&amp;"• Have fought a binder or possessed creature (not verified).
"&amp;IF(DQ386,"","• Access to Tome of Magic")</f>
        <v>• Base Attack Bonus +5.
• 4 ranks in Knowledge (religion).
• 4 ranks in Sense Motive.
• Have fought a binder or possessed creature (not verified).
• Access to Tome of Magic</v>
      </c>
      <c r="ED386" s="11"/>
    </row>
    <row r="387" spans="1:134" ht="11.25" customHeight="1" x14ac:dyDescent="0.2">
      <c r="A387" s="1">
        <f t="shared" si="304"/>
        <v>384</v>
      </c>
      <c r="B387" s="1" t="s">
        <v>1030</v>
      </c>
      <c r="E387" s="1">
        <f t="shared" si="326"/>
        <v>0</v>
      </c>
      <c r="F387" s="1">
        <v>1</v>
      </c>
      <c r="AA387" s="1" t="str">
        <f t="shared" si="329"/>
        <v/>
      </c>
      <c r="AB387" s="1" t="str">
        <f t="shared" si="330"/>
        <v/>
      </c>
      <c r="AC387" s="1">
        <f t="shared" si="327"/>
        <v>0</v>
      </c>
      <c r="AD387" s="1" t="str">
        <f t="shared" si="331"/>
        <v/>
      </c>
      <c r="AE387" s="1" t="str">
        <f t="shared" si="332"/>
        <v/>
      </c>
      <c r="AF387" s="1">
        <f t="shared" si="328"/>
        <v>0</v>
      </c>
      <c r="AG387" s="1">
        <f t="shared" si="333"/>
        <v>5</v>
      </c>
      <c r="AH387" s="1" t="str">
        <f t="shared" si="325"/>
        <v/>
      </c>
      <c r="ED387" s="11"/>
    </row>
    <row r="388" spans="1:134" ht="11.25" customHeight="1" x14ac:dyDescent="0.2">
      <c r="A388" s="1">
        <f t="shared" si="304"/>
        <v>385</v>
      </c>
      <c r="B388" s="1" t="s">
        <v>1031</v>
      </c>
      <c r="C388" s="1" t="s">
        <v>614</v>
      </c>
      <c r="D388" s="1" t="s">
        <v>614</v>
      </c>
      <c r="E388" s="1">
        <f t="shared" si="326"/>
        <v>0</v>
      </c>
      <c r="K388" s="1">
        <v>2</v>
      </c>
      <c r="L388" s="1">
        <v>10</v>
      </c>
      <c r="V388" s="1">
        <v>0.75</v>
      </c>
      <c r="W388" s="1">
        <v>0.34</v>
      </c>
      <c r="X388" s="1">
        <v>0.34</v>
      </c>
      <c r="Y388" s="1">
        <v>0.5</v>
      </c>
      <c r="Z388" s="1" t="b">
        <v>0</v>
      </c>
      <c r="AA388" s="1" t="str">
        <f t="shared" si="329"/>
        <v/>
      </c>
      <c r="AB388" s="1" t="str">
        <f t="shared" si="330"/>
        <v/>
      </c>
      <c r="AC388" s="1">
        <f t="shared" si="327"/>
        <v>0</v>
      </c>
      <c r="AD388" s="1" t="str">
        <f t="shared" si="331"/>
        <v/>
      </c>
      <c r="AE388" s="1" t="str">
        <f t="shared" si="332"/>
        <v/>
      </c>
      <c r="AF388" s="1">
        <f t="shared" si="328"/>
        <v>0</v>
      </c>
      <c r="AG388" s="1">
        <f t="shared" si="333"/>
        <v>5</v>
      </c>
      <c r="AH388" s="1" t="str">
        <f t="shared" si="325"/>
        <v/>
      </c>
      <c r="AI388" s="1">
        <v>1</v>
      </c>
      <c r="AJ388" s="1">
        <f t="shared" ref="AJ388:AJ398" si="369">IF(HRXPH,1,0)</f>
        <v>0</v>
      </c>
      <c r="AK388" s="1">
        <v>1</v>
      </c>
      <c r="AL388" s="1">
        <v>1</v>
      </c>
      <c r="AM388" s="1">
        <v>1</v>
      </c>
      <c r="AN388" s="1">
        <f t="shared" ref="AN388:AN398" si="370">IF(IsLycanthrope,2,0)</f>
        <v>0</v>
      </c>
      <c r="AO388" s="1">
        <v>2</v>
      </c>
      <c r="AP388" s="1">
        <v>2</v>
      </c>
      <c r="AQ388" s="1">
        <v>2</v>
      </c>
      <c r="AR388" s="1">
        <v>2</v>
      </c>
      <c r="AS388" s="1">
        <v>2</v>
      </c>
      <c r="AT388" s="1">
        <v>2</v>
      </c>
      <c r="AU388" s="1">
        <v>2</v>
      </c>
      <c r="AV388" s="1">
        <v>2</v>
      </c>
      <c r="AW388" s="1">
        <v>1</v>
      </c>
      <c r="AX388" s="1">
        <v>1</v>
      </c>
      <c r="AY388" s="1">
        <v>1</v>
      </c>
      <c r="AZ388" s="1">
        <v>1</v>
      </c>
      <c r="BA388" s="1">
        <v>1</v>
      </c>
      <c r="BB388" s="1">
        <v>1</v>
      </c>
      <c r="BC388" s="1">
        <v>1</v>
      </c>
      <c r="BD388" s="1">
        <v>1</v>
      </c>
      <c r="BE388" s="1">
        <v>2</v>
      </c>
      <c r="BF388" s="1">
        <v>1</v>
      </c>
      <c r="BG388" s="1">
        <f t="shared" ref="BG388:BG398" si="371">IF(HRRVL,0,1)</f>
        <v>1</v>
      </c>
      <c r="BH388" s="1">
        <f t="shared" ref="BH388:BH398" si="372">IF(HROA,1,0)</f>
        <v>0</v>
      </c>
      <c r="BI388" s="1">
        <v>2</v>
      </c>
      <c r="BJ388" s="1">
        <v>1</v>
      </c>
      <c r="BK388" s="1">
        <v>2</v>
      </c>
      <c r="BL388" s="1">
        <v>1</v>
      </c>
      <c r="BM388" s="1">
        <v>1</v>
      </c>
      <c r="BN388" s="1">
        <v>1</v>
      </c>
      <c r="BO388" s="1">
        <v>1</v>
      </c>
      <c r="BP388" s="1">
        <v>1</v>
      </c>
      <c r="BQ388" s="1">
        <f t="shared" ref="BQ388:BQ398" si="373">IF(HRRVL,1,0)</f>
        <v>0</v>
      </c>
      <c r="BR388" s="1">
        <v>1</v>
      </c>
      <c r="BS388" s="1">
        <v>1</v>
      </c>
      <c r="BT388" s="1">
        <f t="shared" ref="BT388:BT398" si="374">IF(HRXPH,1,0)</f>
        <v>0</v>
      </c>
      <c r="BU388" s="1">
        <f t="shared" ref="BU388:BU398" si="375">IF(HRRVL,1,0)</f>
        <v>0</v>
      </c>
      <c r="BV388" s="1">
        <v>2</v>
      </c>
      <c r="BW388" s="1">
        <v>2</v>
      </c>
      <c r="BX388" s="1">
        <v>1</v>
      </c>
      <c r="BY388" s="1">
        <v>1</v>
      </c>
      <c r="BZ388" s="1">
        <v>1</v>
      </c>
      <c r="CA388" s="1">
        <v>1</v>
      </c>
      <c r="CB388" s="1">
        <v>1</v>
      </c>
      <c r="CC388" s="1">
        <v>1</v>
      </c>
      <c r="CD388" s="1">
        <v>1</v>
      </c>
      <c r="CE388" s="1">
        <v>1</v>
      </c>
      <c r="CF388" s="1">
        <v>1</v>
      </c>
      <c r="CG388" s="1">
        <f t="shared" ref="CG388:CG398" si="376">IF(HRToB,1,0)</f>
        <v>0</v>
      </c>
      <c r="CH388" s="1">
        <v>1</v>
      </c>
      <c r="CI388" s="1">
        <v>1</v>
      </c>
      <c r="CJ388" s="1">
        <v>1</v>
      </c>
      <c r="CK388" s="1">
        <v>1</v>
      </c>
      <c r="CL388" s="1">
        <v>1</v>
      </c>
      <c r="CM388" s="1">
        <v>1</v>
      </c>
      <c r="CN388" s="1">
        <v>1</v>
      </c>
      <c r="CO388" s="1">
        <v>1</v>
      </c>
      <c r="CP388" s="1">
        <v>2</v>
      </c>
      <c r="CQ388" s="1">
        <v>2</v>
      </c>
      <c r="CR388" s="1">
        <v>2</v>
      </c>
      <c r="CS388" s="1">
        <v>2</v>
      </c>
      <c r="CT388" s="1">
        <v>2</v>
      </c>
      <c r="CU388" s="1">
        <v>2</v>
      </c>
      <c r="CV388" s="1">
        <f t="shared" ref="CV388:CV398" si="377">IF(HRXPH,1,0)</f>
        <v>0</v>
      </c>
      <c r="CW388" s="1">
        <v>2</v>
      </c>
      <c r="CX388" s="1">
        <v>1</v>
      </c>
      <c r="CY388" s="1">
        <v>1</v>
      </c>
      <c r="CZ388" s="1">
        <f t="shared" ref="CZ388:CZ398" si="378">IF(HRCS,1,0)</f>
        <v>0</v>
      </c>
      <c r="DA388" s="1">
        <v>1</v>
      </c>
      <c r="DB388" s="1">
        <v>1</v>
      </c>
      <c r="DC388" s="1">
        <v>1</v>
      </c>
      <c r="DD388" s="1">
        <v>1</v>
      </c>
      <c r="DE388" s="1">
        <v>1</v>
      </c>
      <c r="DF388" s="1">
        <v>1</v>
      </c>
      <c r="DG388" s="1">
        <v>1</v>
      </c>
      <c r="DH388" s="1">
        <v>1</v>
      </c>
      <c r="DI388" s="1">
        <f t="shared" ref="DI388:DI398" si="379">IF(HRXPH,1,0)</f>
        <v>0</v>
      </c>
      <c r="DJ388" s="1">
        <v>1</v>
      </c>
      <c r="DK388" s="1" t="s">
        <v>218</v>
      </c>
      <c r="DL388" s="1" t="s">
        <v>170</v>
      </c>
      <c r="DV388" s="1" t="b">
        <f>Essentia&gt;=1</f>
        <v>0</v>
      </c>
      <c r="DW388" s="1" t="b">
        <f>SkConcentrationRanks&gt;=4</f>
        <v>0</v>
      </c>
      <c r="DX388" s="1" t="b">
        <f>BaseAtk&gt;=6</f>
        <v>0</v>
      </c>
      <c r="DY388" s="1" t="b">
        <f>AlignmentGood</f>
        <v>1</v>
      </c>
      <c r="DZ388" s="1" t="b">
        <f t="shared" ref="DZ388:DZ398" si="380">NOT(HRLivingGreyhawk)</f>
        <v>1</v>
      </c>
      <c r="EA388" s="1" t="b">
        <f t="shared" si="368"/>
        <v>0</v>
      </c>
      <c r="EB388" s="1" t="s">
        <v>334</v>
      </c>
      <c r="EC388" s="1" t="str">
        <f>IF(DY388,"","• Good alignment.
")&amp;IF(DX388,"","• Base Attack Bonus +6.
")&amp;IF(DW388,"","• 4 ranks in Concentration.
")&amp;IF(DV388,"","• Essentia pool of 1.
")&amp;IF(DZ388,"","• Not available in Living Greyhawk")</f>
        <v xml:space="preserve">• Base Attack Bonus +6.
• 4 ranks in Concentration.
• Essentia pool of 1.
</v>
      </c>
      <c r="ED388" s="11"/>
    </row>
    <row r="389" spans="1:134" ht="11.25" customHeight="1" x14ac:dyDescent="0.2">
      <c r="A389" s="1">
        <f t="shared" si="304"/>
        <v>386</v>
      </c>
      <c r="B389" s="1" t="s">
        <v>1032</v>
      </c>
      <c r="C389" s="1" t="s">
        <v>1033</v>
      </c>
      <c r="D389" s="1" t="s">
        <v>1033</v>
      </c>
      <c r="E389" s="1">
        <f t="shared" si="326"/>
        <v>0</v>
      </c>
      <c r="K389" s="1">
        <v>2</v>
      </c>
      <c r="L389" s="1">
        <v>10</v>
      </c>
      <c r="V389" s="1">
        <v>1</v>
      </c>
      <c r="W389" s="1">
        <v>0.5</v>
      </c>
      <c r="X389" s="1">
        <v>0.34</v>
      </c>
      <c r="Y389" s="1">
        <v>0.34</v>
      </c>
      <c r="Z389" s="1" t="b">
        <v>0</v>
      </c>
      <c r="AA389" s="1" t="str">
        <f t="shared" si="329"/>
        <v/>
      </c>
      <c r="AB389" s="1" t="str">
        <f t="shared" si="330"/>
        <v/>
      </c>
      <c r="AC389" s="1">
        <f t="shared" si="327"/>
        <v>0</v>
      </c>
      <c r="AD389" s="1" t="str">
        <f t="shared" si="331"/>
        <v/>
      </c>
      <c r="AE389" s="1" t="str">
        <f t="shared" si="332"/>
        <v/>
      </c>
      <c r="AF389" s="1">
        <f t="shared" si="328"/>
        <v>0</v>
      </c>
      <c r="AG389" s="1">
        <f t="shared" si="333"/>
        <v>5</v>
      </c>
      <c r="AH389" s="1" t="str">
        <f t="shared" si="325"/>
        <v/>
      </c>
      <c r="AI389" s="1">
        <v>1</v>
      </c>
      <c r="AJ389" s="1">
        <f t="shared" si="369"/>
        <v>0</v>
      </c>
      <c r="AK389" s="1">
        <v>1</v>
      </c>
      <c r="AL389" s="1">
        <v>1</v>
      </c>
      <c r="AM389" s="1">
        <v>2</v>
      </c>
      <c r="AN389" s="1">
        <f t="shared" si="370"/>
        <v>0</v>
      </c>
      <c r="AO389" s="1">
        <v>2</v>
      </c>
      <c r="AP389" s="1">
        <v>2</v>
      </c>
      <c r="AQ389" s="1">
        <v>2</v>
      </c>
      <c r="AR389" s="1">
        <v>2</v>
      </c>
      <c r="AS389" s="1">
        <v>2</v>
      </c>
      <c r="AT389" s="1">
        <v>2</v>
      </c>
      <c r="AU389" s="1">
        <v>2</v>
      </c>
      <c r="AV389" s="1">
        <v>2</v>
      </c>
      <c r="AW389" s="1">
        <v>1</v>
      </c>
      <c r="AX389" s="1">
        <v>1</v>
      </c>
      <c r="AY389" s="1">
        <v>1</v>
      </c>
      <c r="AZ389" s="1">
        <v>1</v>
      </c>
      <c r="BA389" s="1">
        <v>1</v>
      </c>
      <c r="BB389" s="1">
        <v>1</v>
      </c>
      <c r="BC389" s="1">
        <v>1</v>
      </c>
      <c r="BD389" s="1">
        <v>1</v>
      </c>
      <c r="BE389" s="1">
        <v>1</v>
      </c>
      <c r="BF389" s="1">
        <v>1</v>
      </c>
      <c r="BG389" s="1">
        <f t="shared" si="371"/>
        <v>1</v>
      </c>
      <c r="BH389" s="1">
        <f t="shared" si="372"/>
        <v>0</v>
      </c>
      <c r="BI389" s="1">
        <v>2</v>
      </c>
      <c r="BJ389" s="1">
        <v>2</v>
      </c>
      <c r="BK389" s="1">
        <v>2</v>
      </c>
      <c r="BL389" s="1">
        <v>1</v>
      </c>
      <c r="BM389" s="1">
        <v>1</v>
      </c>
      <c r="BN389" s="1">
        <v>1</v>
      </c>
      <c r="BO389" s="1">
        <v>1</v>
      </c>
      <c r="BP389" s="1">
        <v>1</v>
      </c>
      <c r="BQ389" s="1">
        <f t="shared" si="373"/>
        <v>0</v>
      </c>
      <c r="BR389" s="1">
        <v>1</v>
      </c>
      <c r="BS389" s="1">
        <v>1</v>
      </c>
      <c r="BT389" s="1">
        <f t="shared" si="374"/>
        <v>0</v>
      </c>
      <c r="BU389" s="1">
        <f t="shared" si="375"/>
        <v>0</v>
      </c>
      <c r="BV389" s="1">
        <v>1</v>
      </c>
      <c r="BW389" s="1">
        <v>1</v>
      </c>
      <c r="BX389" s="1">
        <v>1</v>
      </c>
      <c r="BY389" s="1">
        <v>1</v>
      </c>
      <c r="BZ389" s="1">
        <v>1</v>
      </c>
      <c r="CA389" s="1">
        <v>1</v>
      </c>
      <c r="CB389" s="1">
        <v>1</v>
      </c>
      <c r="CC389" s="1">
        <v>1</v>
      </c>
      <c r="CD389" s="1">
        <v>1</v>
      </c>
      <c r="CE389" s="1">
        <v>1</v>
      </c>
      <c r="CF389" s="1">
        <v>1</v>
      </c>
      <c r="CG389" s="1">
        <f t="shared" si="376"/>
        <v>0</v>
      </c>
      <c r="CH389" s="1">
        <v>1</v>
      </c>
      <c r="CI389" s="1">
        <v>1</v>
      </c>
      <c r="CJ389" s="1">
        <v>1</v>
      </c>
      <c r="CK389" s="1">
        <v>1</v>
      </c>
      <c r="CL389" s="1">
        <v>1</v>
      </c>
      <c r="CM389" s="1">
        <v>1</v>
      </c>
      <c r="CN389" s="1">
        <v>1</v>
      </c>
      <c r="CO389" s="1">
        <v>1</v>
      </c>
      <c r="CP389" s="1">
        <v>1</v>
      </c>
      <c r="CQ389" s="1">
        <v>1</v>
      </c>
      <c r="CR389" s="1">
        <v>1</v>
      </c>
      <c r="CS389" s="1">
        <v>1</v>
      </c>
      <c r="CT389" s="1">
        <v>1</v>
      </c>
      <c r="CU389" s="1">
        <v>1</v>
      </c>
      <c r="CV389" s="1">
        <f t="shared" si="377"/>
        <v>0</v>
      </c>
      <c r="CW389" s="1">
        <v>1</v>
      </c>
      <c r="CX389" s="1">
        <v>1</v>
      </c>
      <c r="CY389" s="1">
        <v>1</v>
      </c>
      <c r="CZ389" s="1">
        <f t="shared" si="378"/>
        <v>0</v>
      </c>
      <c r="DA389" s="1">
        <v>1</v>
      </c>
      <c r="DB389" s="1">
        <v>1</v>
      </c>
      <c r="DC389" s="1">
        <v>1</v>
      </c>
      <c r="DD389" s="1">
        <v>1</v>
      </c>
      <c r="DE389" s="1">
        <v>1</v>
      </c>
      <c r="DF389" s="1">
        <v>2</v>
      </c>
      <c r="DG389" s="1">
        <v>1</v>
      </c>
      <c r="DH389" s="1">
        <v>1</v>
      </c>
      <c r="DI389" s="1">
        <f t="shared" si="379"/>
        <v>0</v>
      </c>
      <c r="DJ389" s="1">
        <v>1</v>
      </c>
      <c r="DK389" s="1" t="s">
        <v>218</v>
      </c>
      <c r="DL389" s="1" t="s">
        <v>170</v>
      </c>
      <c r="DW389" s="1" t="b">
        <f>SkConcentrationRanks&gt;=2</f>
        <v>0</v>
      </c>
      <c r="DX389" s="1" t="b">
        <f>BaseAtk&gt;=5</f>
        <v>0</v>
      </c>
      <c r="DY389" s="1" t="b">
        <f>Alignment&lt;&gt;"N"</f>
        <v>1</v>
      </c>
      <c r="DZ389" s="1" t="b">
        <f t="shared" si="380"/>
        <v>1</v>
      </c>
      <c r="EA389" s="1" t="b">
        <f t="shared" si="368"/>
        <v>0</v>
      </c>
      <c r="EB389" s="1" t="s">
        <v>334</v>
      </c>
      <c r="EC389" s="1" t="str">
        <f>IF(DY389,"","• Non-neutral alignment.
")&amp;IF(DX389,"","• Base Attack Bonus +5.
")&amp;IF(DW389,"","• Concentration 2 ranks.
")&amp;IF(DZ389,"","• Not available in Living Greyhawk")</f>
        <v xml:space="preserve">• Base Attack Bonus +5.
• Concentration 2 ranks.
</v>
      </c>
      <c r="ED389" s="11"/>
    </row>
    <row r="390" spans="1:134" ht="11.25" customHeight="1" x14ac:dyDescent="0.2">
      <c r="A390" s="1">
        <f t="shared" ref="A390:A453" si="381">A389+1</f>
        <v>387</v>
      </c>
      <c r="B390" s="1" t="s">
        <v>1034</v>
      </c>
      <c r="C390" s="1" t="s">
        <v>1035</v>
      </c>
      <c r="D390" s="1" t="s">
        <v>1035</v>
      </c>
      <c r="E390" s="1">
        <f t="shared" si="326"/>
        <v>0</v>
      </c>
      <c r="J390" s="1">
        <f>IF(IrFmLvl&gt;0,IrFmLvl-1,0)</f>
        <v>0</v>
      </c>
      <c r="K390" s="1">
        <v>2</v>
      </c>
      <c r="L390" s="1">
        <v>8</v>
      </c>
      <c r="V390" s="1">
        <v>0.75</v>
      </c>
      <c r="W390" s="1">
        <v>0.5</v>
      </c>
      <c r="X390" s="1">
        <v>0.34</v>
      </c>
      <c r="Y390" s="1">
        <v>0.5</v>
      </c>
      <c r="Z390" s="1" t="b">
        <v>0</v>
      </c>
      <c r="AA390" s="1" t="str">
        <f t="shared" si="329"/>
        <v/>
      </c>
      <c r="AB390" s="1" t="str">
        <f t="shared" si="330"/>
        <v/>
      </c>
      <c r="AC390" s="1">
        <f t="shared" si="327"/>
        <v>0</v>
      </c>
      <c r="AD390" s="1" t="str">
        <f t="shared" si="331"/>
        <v/>
      </c>
      <c r="AE390" s="1" t="str">
        <f t="shared" si="332"/>
        <v/>
      </c>
      <c r="AF390" s="1">
        <f t="shared" si="328"/>
        <v>0</v>
      </c>
      <c r="AG390" s="1">
        <f t="shared" si="333"/>
        <v>5</v>
      </c>
      <c r="AH390" s="1" t="str">
        <f t="shared" si="325"/>
        <v/>
      </c>
      <c r="AI390" s="1">
        <v>1</v>
      </c>
      <c r="AJ390" s="1">
        <f t="shared" si="369"/>
        <v>0</v>
      </c>
      <c r="AK390" s="1">
        <v>1</v>
      </c>
      <c r="AL390" s="1">
        <v>1</v>
      </c>
      <c r="AM390" s="1">
        <v>1</v>
      </c>
      <c r="AN390" s="1">
        <f t="shared" si="370"/>
        <v>0</v>
      </c>
      <c r="AO390" s="1">
        <v>2</v>
      </c>
      <c r="AP390" s="1">
        <v>2</v>
      </c>
      <c r="AQ390" s="1">
        <v>2</v>
      </c>
      <c r="AR390" s="1">
        <v>2</v>
      </c>
      <c r="AS390" s="1">
        <v>2</v>
      </c>
      <c r="AT390" s="1">
        <v>2</v>
      </c>
      <c r="AU390" s="1">
        <v>2</v>
      </c>
      <c r="AV390" s="1">
        <v>2</v>
      </c>
      <c r="AW390" s="1">
        <v>1</v>
      </c>
      <c r="AX390" s="1">
        <v>2</v>
      </c>
      <c r="AY390" s="1">
        <v>1</v>
      </c>
      <c r="AZ390" s="1">
        <v>1</v>
      </c>
      <c r="BA390" s="1">
        <v>1</v>
      </c>
      <c r="BB390" s="1">
        <v>1</v>
      </c>
      <c r="BC390" s="1">
        <v>1</v>
      </c>
      <c r="BD390" s="1">
        <v>1</v>
      </c>
      <c r="BE390" s="1">
        <v>1</v>
      </c>
      <c r="BF390" s="1">
        <v>1</v>
      </c>
      <c r="BG390" s="1">
        <f t="shared" si="371"/>
        <v>1</v>
      </c>
      <c r="BH390" s="1">
        <f t="shared" si="372"/>
        <v>0</v>
      </c>
      <c r="BI390" s="1">
        <v>1</v>
      </c>
      <c r="BJ390" s="1">
        <v>1</v>
      </c>
      <c r="BK390" s="1">
        <v>2</v>
      </c>
      <c r="BL390" s="1">
        <v>1</v>
      </c>
      <c r="BM390" s="1">
        <v>1</v>
      </c>
      <c r="BN390" s="1">
        <v>1</v>
      </c>
      <c r="BO390" s="1">
        <v>1</v>
      </c>
      <c r="BP390" s="1">
        <v>1</v>
      </c>
      <c r="BQ390" s="1">
        <f t="shared" si="373"/>
        <v>0</v>
      </c>
      <c r="BR390" s="1">
        <v>1</v>
      </c>
      <c r="BS390" s="1">
        <v>1</v>
      </c>
      <c r="BT390" s="1">
        <f t="shared" si="374"/>
        <v>0</v>
      </c>
      <c r="BU390" s="1">
        <f t="shared" si="375"/>
        <v>0</v>
      </c>
      <c r="BV390" s="1">
        <v>2</v>
      </c>
      <c r="BW390" s="1">
        <v>1</v>
      </c>
      <c r="BX390" s="1">
        <v>1</v>
      </c>
      <c r="BY390" s="1">
        <v>1</v>
      </c>
      <c r="BZ390" s="1">
        <v>1</v>
      </c>
      <c r="CA390" s="1">
        <v>1</v>
      </c>
      <c r="CB390" s="1">
        <v>1</v>
      </c>
      <c r="CC390" s="1">
        <v>1</v>
      </c>
      <c r="CD390" s="1">
        <v>1</v>
      </c>
      <c r="CE390" s="1">
        <v>1</v>
      </c>
      <c r="CF390" s="1">
        <v>1</v>
      </c>
      <c r="CG390" s="1">
        <f t="shared" si="376"/>
        <v>0</v>
      </c>
      <c r="CH390" s="1">
        <v>1</v>
      </c>
      <c r="CI390" s="1">
        <v>1</v>
      </c>
      <c r="CJ390" s="1">
        <v>1</v>
      </c>
      <c r="CK390" s="1">
        <v>1</v>
      </c>
      <c r="CL390" s="1">
        <v>1</v>
      </c>
      <c r="CM390" s="1">
        <v>1</v>
      </c>
      <c r="CN390" s="1">
        <v>1</v>
      </c>
      <c r="CO390" s="1">
        <v>1</v>
      </c>
      <c r="CP390" s="1">
        <v>2</v>
      </c>
      <c r="CQ390" s="1">
        <v>2</v>
      </c>
      <c r="CR390" s="1">
        <v>2</v>
      </c>
      <c r="CS390" s="1">
        <v>2</v>
      </c>
      <c r="CT390" s="1">
        <v>2</v>
      </c>
      <c r="CU390" s="1">
        <v>2</v>
      </c>
      <c r="CV390" s="1">
        <f t="shared" si="377"/>
        <v>0</v>
      </c>
      <c r="CW390" s="1">
        <v>1</v>
      </c>
      <c r="CX390" s="1">
        <v>1</v>
      </c>
      <c r="CY390" s="1">
        <v>2</v>
      </c>
      <c r="CZ390" s="1">
        <f t="shared" si="378"/>
        <v>0</v>
      </c>
      <c r="DA390" s="1">
        <v>1</v>
      </c>
      <c r="DB390" s="1">
        <v>1</v>
      </c>
      <c r="DC390" s="1">
        <v>2</v>
      </c>
      <c r="DD390" s="1">
        <v>1</v>
      </c>
      <c r="DE390" s="1">
        <v>1</v>
      </c>
      <c r="DF390" s="1">
        <v>1</v>
      </c>
      <c r="DG390" s="1">
        <v>1</v>
      </c>
      <c r="DH390" s="1">
        <v>1</v>
      </c>
      <c r="DI390" s="1">
        <f t="shared" si="379"/>
        <v>0</v>
      </c>
      <c r="DJ390" s="1">
        <v>1</v>
      </c>
      <c r="DK390" s="1" t="s">
        <v>218</v>
      </c>
      <c r="DL390" s="1" t="s">
        <v>170</v>
      </c>
      <c r="DU390" s="1" t="b">
        <f>HasSoulmelds</f>
        <v>0</v>
      </c>
      <c r="DV390" s="1" t="b">
        <f>SkKnowledgeArcanaRanks&gt;=2</f>
        <v>0</v>
      </c>
      <c r="DW390" s="1" t="b">
        <f>IF(NOT(ISNA(MATCH("weaponsmithing",TblCraftSkills,0))),INDEX(TblCraftRanks,MATCH("weaponsmithing",TblCraftSkills,0),1)&gt;=8,IF(NOT(ISNA(MATCH("armorsmithing",TblCraftSkills,0))),INDEX(TblCraftRanks,MATCH("armorsmithing",TblCraftSkills,0),1)&gt;=8,IF(NOT(ISNA(MATCH("armoursmithing",TblCraftSkills,0))),INDEX(TblCraftRanks,MATCH("armoursmithing",TblCraftSkills,0),1)&gt;=8,FALSE)))</f>
        <v>0</v>
      </c>
      <c r="DX390" s="1" t="b">
        <f>AlignmentNonEvil</f>
        <v>1</v>
      </c>
      <c r="DY390" s="1" t="b">
        <f>RaceCi="Dwarf"</f>
        <v>1</v>
      </c>
      <c r="DZ390" s="1" t="b">
        <f t="shared" si="380"/>
        <v>1</v>
      </c>
      <c r="EA390" s="1" t="b">
        <f t="shared" si="368"/>
        <v>0</v>
      </c>
      <c r="EB390" s="1" t="s">
        <v>334</v>
      </c>
      <c r="EC390" s="1" t="str">
        <f>IF(DY390,"","• Must be a Dwarf.
")&amp;IF(DX390,"","• Must be nonevil.
")&amp;IF(DW390,"","• Craft (weaponsmithing) or Craft (armorsmithing) 8 ranks.
")&amp;IF(DV390,"","• Knowledge (arcana) 2 ranks.
")&amp;IF(DU390,"","• Ability to shape soulmelds.
")&amp;IF(DZ390,"","• Not available in Living Greyhawk")</f>
        <v xml:space="preserve">• Craft (weaponsmithing) or Craft (armorsmithing) 8 ranks.
• Knowledge (arcana) 2 ranks.
• Ability to shape soulmelds.
</v>
      </c>
      <c r="ED390" s="11"/>
    </row>
    <row r="391" spans="1:134" ht="11.25" customHeight="1" x14ac:dyDescent="0.2">
      <c r="A391" s="1">
        <f t="shared" si="381"/>
        <v>388</v>
      </c>
      <c r="B391" s="1" t="s">
        <v>1036</v>
      </c>
      <c r="C391" s="1" t="s">
        <v>1037</v>
      </c>
      <c r="D391" s="1" t="s">
        <v>1037</v>
      </c>
      <c r="E391" s="1">
        <f t="shared" si="326"/>
        <v>0</v>
      </c>
      <c r="K391" s="1">
        <v>2</v>
      </c>
      <c r="L391" s="1">
        <v>6</v>
      </c>
      <c r="V391" s="1">
        <v>0.5</v>
      </c>
      <c r="W391" s="1">
        <v>0.34</v>
      </c>
      <c r="X391" s="1">
        <v>0.34</v>
      </c>
      <c r="Y391" s="1">
        <v>0.5</v>
      </c>
      <c r="Z391" s="1" t="b">
        <v>0</v>
      </c>
      <c r="AA391" s="1" t="str">
        <f t="shared" si="329"/>
        <v/>
      </c>
      <c r="AB391" s="1" t="str">
        <f t="shared" si="330"/>
        <v/>
      </c>
      <c r="AC391" s="1">
        <f t="shared" si="327"/>
        <v>0</v>
      </c>
      <c r="AD391" s="1" t="str">
        <f t="shared" si="331"/>
        <v/>
      </c>
      <c r="AE391" s="1" t="str">
        <f t="shared" si="332"/>
        <v/>
      </c>
      <c r="AF391" s="1">
        <f t="shared" si="328"/>
        <v>0</v>
      </c>
      <c r="AG391" s="1">
        <f t="shared" si="333"/>
        <v>5</v>
      </c>
      <c r="AH391" s="1" t="str">
        <f t="shared" si="325"/>
        <v/>
      </c>
      <c r="AI391" s="1">
        <v>1</v>
      </c>
      <c r="AJ391" s="1">
        <f t="shared" si="369"/>
        <v>0</v>
      </c>
      <c r="AK391" s="1">
        <v>1</v>
      </c>
      <c r="AL391" s="1">
        <v>2</v>
      </c>
      <c r="AM391" s="1">
        <v>1</v>
      </c>
      <c r="AN391" s="1">
        <f t="shared" si="370"/>
        <v>0</v>
      </c>
      <c r="AO391" s="1">
        <v>2</v>
      </c>
      <c r="AP391" s="1">
        <v>2</v>
      </c>
      <c r="AQ391" s="1">
        <v>2</v>
      </c>
      <c r="AR391" s="1">
        <v>2</v>
      </c>
      <c r="AS391" s="1">
        <v>2</v>
      </c>
      <c r="AT391" s="1">
        <v>2</v>
      </c>
      <c r="AU391" s="1">
        <v>2</v>
      </c>
      <c r="AV391" s="1">
        <v>2</v>
      </c>
      <c r="AW391" s="1">
        <v>1</v>
      </c>
      <c r="AX391" s="1">
        <v>1</v>
      </c>
      <c r="AY391" s="1">
        <v>1</v>
      </c>
      <c r="AZ391" s="1">
        <v>1</v>
      </c>
      <c r="BA391" s="1">
        <v>1</v>
      </c>
      <c r="BB391" s="1">
        <v>1</v>
      </c>
      <c r="BC391" s="1">
        <v>1</v>
      </c>
      <c r="BD391" s="1">
        <v>1</v>
      </c>
      <c r="BE391" s="1">
        <v>1</v>
      </c>
      <c r="BF391" s="1">
        <v>1</v>
      </c>
      <c r="BG391" s="1">
        <f t="shared" si="371"/>
        <v>1</v>
      </c>
      <c r="BH391" s="1">
        <f t="shared" si="372"/>
        <v>0</v>
      </c>
      <c r="BI391" s="1">
        <v>2</v>
      </c>
      <c r="BJ391" s="1">
        <v>1</v>
      </c>
      <c r="BK391" s="1">
        <v>2</v>
      </c>
      <c r="BL391" s="1">
        <v>1</v>
      </c>
      <c r="BM391" s="1">
        <v>1</v>
      </c>
      <c r="BN391" s="1">
        <v>1</v>
      </c>
      <c r="BO391" s="1">
        <v>1</v>
      </c>
      <c r="BP391" s="1">
        <v>1</v>
      </c>
      <c r="BQ391" s="1">
        <f t="shared" si="373"/>
        <v>0</v>
      </c>
      <c r="BR391" s="1">
        <v>1</v>
      </c>
      <c r="BS391" s="1">
        <v>1</v>
      </c>
      <c r="BT391" s="1">
        <f t="shared" si="374"/>
        <v>0</v>
      </c>
      <c r="BU391" s="1">
        <f t="shared" si="375"/>
        <v>0</v>
      </c>
      <c r="BV391" s="1">
        <v>2</v>
      </c>
      <c r="BW391" s="1">
        <v>2</v>
      </c>
      <c r="BX391" s="1">
        <v>1</v>
      </c>
      <c r="BY391" s="1">
        <v>1</v>
      </c>
      <c r="BZ391" s="1">
        <v>1</v>
      </c>
      <c r="CA391" s="1">
        <v>1</v>
      </c>
      <c r="CB391" s="1">
        <v>1</v>
      </c>
      <c r="CC391" s="1">
        <v>1</v>
      </c>
      <c r="CD391" s="1">
        <v>1</v>
      </c>
      <c r="CE391" s="1">
        <v>1</v>
      </c>
      <c r="CF391" s="1">
        <v>1</v>
      </c>
      <c r="CG391" s="1">
        <f t="shared" si="376"/>
        <v>0</v>
      </c>
      <c r="CH391" s="1">
        <v>1</v>
      </c>
      <c r="CI391" s="1">
        <v>1</v>
      </c>
      <c r="CJ391" s="1">
        <v>1</v>
      </c>
      <c r="CK391" s="1">
        <v>1</v>
      </c>
      <c r="CL391" s="1">
        <v>1</v>
      </c>
      <c r="CM391" s="1">
        <v>1</v>
      </c>
      <c r="CN391" s="1">
        <v>1</v>
      </c>
      <c r="CO391" s="1">
        <v>1</v>
      </c>
      <c r="CP391" s="1">
        <v>2</v>
      </c>
      <c r="CQ391" s="1">
        <v>2</v>
      </c>
      <c r="CR391" s="1">
        <v>2</v>
      </c>
      <c r="CS391" s="1">
        <v>2</v>
      </c>
      <c r="CT391" s="1">
        <v>2</v>
      </c>
      <c r="CU391" s="1">
        <v>2</v>
      </c>
      <c r="CV391" s="1">
        <f t="shared" si="377"/>
        <v>0</v>
      </c>
      <c r="CW391" s="1">
        <v>1</v>
      </c>
      <c r="CX391" s="1">
        <v>1</v>
      </c>
      <c r="CY391" s="1">
        <v>1</v>
      </c>
      <c r="CZ391" s="1">
        <f t="shared" si="378"/>
        <v>0</v>
      </c>
      <c r="DA391" s="1">
        <v>1</v>
      </c>
      <c r="DB391" s="1">
        <v>1</v>
      </c>
      <c r="DC391" s="1">
        <v>2</v>
      </c>
      <c r="DD391" s="1">
        <v>1</v>
      </c>
      <c r="DE391" s="1">
        <v>1</v>
      </c>
      <c r="DF391" s="1">
        <v>1</v>
      </c>
      <c r="DG391" s="1">
        <v>1</v>
      </c>
      <c r="DH391" s="1">
        <v>1</v>
      </c>
      <c r="DI391" s="1">
        <f t="shared" si="379"/>
        <v>0</v>
      </c>
      <c r="DJ391" s="1">
        <v>1</v>
      </c>
      <c r="DK391" s="1" t="s">
        <v>218</v>
      </c>
      <c r="DL391" s="1" t="s">
        <v>170</v>
      </c>
      <c r="DQ391" s="1" t="b">
        <f>NOT(ISNA(VLOOKUP("Hands",TblBindableChakras,1,FALSE)))</f>
        <v>0</v>
      </c>
      <c r="DR391" s="1" t="b">
        <f>NOT(ISNA(VLOOKUP("Feet",TblBindableChakras,1,FALSE)))</f>
        <v>0</v>
      </c>
      <c r="DS391" s="1" t="b">
        <f>NOT(ISNA(VLOOKUP("Crown",TblBindableChakras,1,FALSE)))</f>
        <v>0</v>
      </c>
      <c r="DT391" s="1" t="b">
        <f>HasSoulmelds</f>
        <v>0</v>
      </c>
      <c r="DU391" s="1" t="b">
        <f>FtNecrocarnumAcolyte</f>
        <v>0</v>
      </c>
      <c r="DV391" s="1" t="b">
        <f>SkSpellcraftRanks&gt;=10</f>
        <v>0</v>
      </c>
      <c r="DW391" s="1" t="b">
        <f>SkKnowledgeReligionRanks&gt;=5</f>
        <v>0</v>
      </c>
      <c r="DX391" s="1" t="b">
        <f>SkKnowledgeArcanaRanks&gt;=5</f>
        <v>0</v>
      </c>
      <c r="DY391" s="1" t="b">
        <f>AlignmentEvil</f>
        <v>0</v>
      </c>
      <c r="DZ391" s="1" t="b">
        <f t="shared" si="380"/>
        <v>1</v>
      </c>
      <c r="EA391" s="1" t="b">
        <f t="shared" si="368"/>
        <v>0</v>
      </c>
      <c r="EB391" s="1" t="s">
        <v>334</v>
      </c>
      <c r="EC391" s="1" t="str">
        <f>IF(DY391,"","• Must be evil.
")&amp;IF(DX391,"","• Knowledge (arcana) 5 ranks.
")&amp;IF(DW391,"","• Knowledge (religion) 5 ranks.
")&amp;IF(DV391,"","• Spellcraft 10 ranks.
")&amp;IF(DU391,"","• Necrocarnum Acolyte feat.
")&amp;IF(DT391,"","• Ability to shape soulmelds.
")&amp;IF(DS391,"","• Ability to bind soulmelds to the Crown chakra.
")&amp;IF(DR391,"","• Ability to bind soulmelds to the Feet chakra.
")&amp;IF(DQ391,"","• Ability to bind soulmelds to the Hands chakra.
")&amp;IF(DZ391,"","• Not available in Living Greyhawk")</f>
        <v xml:space="preserve">• Must be evil.
• Knowledge (arcana) 5 ranks.
• Knowledge (religion) 5 ranks.
• Spellcraft 10 ranks.
• Necrocarnum Acolyte feat.
• Ability to shape soulmelds.
• Ability to bind soulmelds to the Crown chakra.
• Ability to bind soulmelds to the Feet chakra.
• Ability to bind soulmelds to the Hands chakra.
</v>
      </c>
      <c r="ED391" s="11"/>
    </row>
    <row r="392" spans="1:134" ht="11.25" customHeight="1" x14ac:dyDescent="0.2">
      <c r="A392" s="1">
        <f t="shared" si="381"/>
        <v>389</v>
      </c>
      <c r="B392" s="1" t="s">
        <v>1038</v>
      </c>
      <c r="C392" s="1" t="s">
        <v>952</v>
      </c>
      <c r="D392" s="1" t="s">
        <v>952</v>
      </c>
      <c r="E392" s="1">
        <f t="shared" si="326"/>
        <v>0</v>
      </c>
      <c r="G392" s="1">
        <f>SHrLvl</f>
        <v>0</v>
      </c>
      <c r="J392" s="1">
        <f>SHrLvl</f>
        <v>0</v>
      </c>
      <c r="K392" s="1">
        <v>2</v>
      </c>
      <c r="L392" s="1">
        <v>6</v>
      </c>
      <c r="V392" s="1">
        <v>0.5</v>
      </c>
      <c r="W392" s="1">
        <v>0.34</v>
      </c>
      <c r="X392" s="1">
        <v>0.34</v>
      </c>
      <c r="Y392" s="1">
        <v>0.5</v>
      </c>
      <c r="Z392" s="1" t="b">
        <v>0</v>
      </c>
      <c r="AA392" s="1" t="str">
        <f t="shared" si="329"/>
        <v/>
      </c>
      <c r="AB392" s="1" t="str">
        <f t="shared" si="330"/>
        <v/>
      </c>
      <c r="AC392" s="1">
        <f t="shared" si="327"/>
        <v>0</v>
      </c>
      <c r="AD392" s="1" t="str">
        <f t="shared" si="331"/>
        <v/>
      </c>
      <c r="AE392" s="1" t="str">
        <f t="shared" si="332"/>
        <v/>
      </c>
      <c r="AF392" s="1">
        <f t="shared" si="328"/>
        <v>0</v>
      </c>
      <c r="AG392" s="1">
        <f t="shared" si="333"/>
        <v>5</v>
      </c>
      <c r="AH392" s="1" t="str">
        <f t="shared" si="325"/>
        <v/>
      </c>
      <c r="AI392" s="1">
        <v>1</v>
      </c>
      <c r="AJ392" s="1">
        <f t="shared" si="369"/>
        <v>0</v>
      </c>
      <c r="AK392" s="1">
        <v>1</v>
      </c>
      <c r="AL392" s="1">
        <v>1</v>
      </c>
      <c r="AM392" s="1">
        <v>1</v>
      </c>
      <c r="AN392" s="1">
        <f t="shared" si="370"/>
        <v>0</v>
      </c>
      <c r="AO392" s="1">
        <v>2</v>
      </c>
      <c r="AP392" s="1">
        <v>2</v>
      </c>
      <c r="AQ392" s="1">
        <v>2</v>
      </c>
      <c r="AR392" s="1">
        <v>2</v>
      </c>
      <c r="AS392" s="1">
        <v>2</v>
      </c>
      <c r="AT392" s="1">
        <v>2</v>
      </c>
      <c r="AU392" s="1">
        <v>2</v>
      </c>
      <c r="AV392" s="1">
        <v>2</v>
      </c>
      <c r="AW392" s="1">
        <v>1</v>
      </c>
      <c r="AX392" s="1">
        <v>2</v>
      </c>
      <c r="AY392" s="1">
        <v>1</v>
      </c>
      <c r="AZ392" s="1">
        <v>1</v>
      </c>
      <c r="BA392" s="1">
        <v>1</v>
      </c>
      <c r="BB392" s="1">
        <v>1</v>
      </c>
      <c r="BC392" s="1">
        <v>1</v>
      </c>
      <c r="BD392" s="1">
        <v>1</v>
      </c>
      <c r="BE392" s="1">
        <v>1</v>
      </c>
      <c r="BF392" s="1">
        <v>1</v>
      </c>
      <c r="BG392" s="1">
        <f t="shared" si="371"/>
        <v>1</v>
      </c>
      <c r="BH392" s="1">
        <f t="shared" si="372"/>
        <v>0</v>
      </c>
      <c r="BI392" s="1">
        <v>1</v>
      </c>
      <c r="BJ392" s="1">
        <v>1</v>
      </c>
      <c r="BK392" s="1">
        <v>2</v>
      </c>
      <c r="BL392" s="1">
        <v>1</v>
      </c>
      <c r="BM392" s="1">
        <v>1</v>
      </c>
      <c r="BN392" s="1">
        <v>1</v>
      </c>
      <c r="BO392" s="1">
        <v>1</v>
      </c>
      <c r="BP392" s="1">
        <v>1</v>
      </c>
      <c r="BQ392" s="1">
        <f t="shared" si="373"/>
        <v>0</v>
      </c>
      <c r="BR392" s="1">
        <v>1</v>
      </c>
      <c r="BS392" s="1">
        <v>1</v>
      </c>
      <c r="BT392" s="1">
        <f t="shared" si="374"/>
        <v>0</v>
      </c>
      <c r="BU392" s="1">
        <f t="shared" si="375"/>
        <v>0</v>
      </c>
      <c r="BV392" s="1">
        <v>2</v>
      </c>
      <c r="BW392" s="1">
        <v>2</v>
      </c>
      <c r="BX392" s="1">
        <v>1</v>
      </c>
      <c r="BY392" s="1">
        <v>1</v>
      </c>
      <c r="BZ392" s="1">
        <v>1</v>
      </c>
      <c r="CA392" s="1">
        <v>1</v>
      </c>
      <c r="CB392" s="1">
        <v>1</v>
      </c>
      <c r="CC392" s="1">
        <v>1</v>
      </c>
      <c r="CD392" s="1">
        <v>1</v>
      </c>
      <c r="CE392" s="1">
        <v>1</v>
      </c>
      <c r="CF392" s="1">
        <v>1</v>
      </c>
      <c r="CG392" s="1">
        <f t="shared" si="376"/>
        <v>0</v>
      </c>
      <c r="CH392" s="1">
        <v>1</v>
      </c>
      <c r="CI392" s="1">
        <v>1</v>
      </c>
      <c r="CJ392" s="1">
        <v>1</v>
      </c>
      <c r="CK392" s="1">
        <v>1</v>
      </c>
      <c r="CL392" s="1">
        <v>1</v>
      </c>
      <c r="CM392" s="1">
        <v>1</v>
      </c>
      <c r="CN392" s="1">
        <v>1</v>
      </c>
      <c r="CO392" s="1">
        <v>1</v>
      </c>
      <c r="CP392" s="1">
        <v>2</v>
      </c>
      <c r="CQ392" s="1">
        <v>2</v>
      </c>
      <c r="CR392" s="1">
        <v>2</v>
      </c>
      <c r="CS392" s="1">
        <v>2</v>
      </c>
      <c r="CT392" s="1">
        <v>2</v>
      </c>
      <c r="CU392" s="1">
        <v>2</v>
      </c>
      <c r="CV392" s="1">
        <f t="shared" si="377"/>
        <v>0</v>
      </c>
      <c r="CW392" s="1">
        <v>1</v>
      </c>
      <c r="CX392" s="1">
        <v>1</v>
      </c>
      <c r="CY392" s="1">
        <v>2</v>
      </c>
      <c r="CZ392" s="1">
        <f t="shared" si="378"/>
        <v>0</v>
      </c>
      <c r="DA392" s="1">
        <v>1</v>
      </c>
      <c r="DB392" s="1">
        <v>1</v>
      </c>
      <c r="DC392" s="1">
        <v>2</v>
      </c>
      <c r="DD392" s="1">
        <v>1</v>
      </c>
      <c r="DE392" s="1">
        <v>1</v>
      </c>
      <c r="DF392" s="1">
        <v>1</v>
      </c>
      <c r="DG392" s="1">
        <v>1</v>
      </c>
      <c r="DH392" s="1">
        <v>1</v>
      </c>
      <c r="DI392" s="1">
        <f t="shared" si="379"/>
        <v>0</v>
      </c>
      <c r="DJ392" s="1">
        <v>1</v>
      </c>
      <c r="DK392" s="1" t="s">
        <v>218</v>
      </c>
      <c r="DL392" s="1" t="s">
        <v>170</v>
      </c>
      <c r="DS392" s="1" t="b">
        <f>NOT(ISNA(MATCH("Law",Domains,0)))</f>
        <v>0</v>
      </c>
      <c r="DT392" s="1" t="b">
        <f>Essentia&gt;=3</f>
        <v>0</v>
      </c>
      <c r="DU392" s="1" t="b">
        <f>SkKnowledgeReligionRanks&gt;=4</f>
        <v>0</v>
      </c>
      <c r="DV392" s="1" t="b">
        <f>SkKnowledgeArcanaRanks&gt;=4</f>
        <v>0</v>
      </c>
      <c r="DW392" s="1" t="b">
        <f ca="1">MaxDivineSpellLevel&gt;=2</f>
        <v>0</v>
      </c>
      <c r="DX392" s="1" t="b">
        <f>MeldSlots&gt;=3</f>
        <v>0</v>
      </c>
      <c r="DY392" s="1" t="b">
        <f>AlignmentLawful</f>
        <v>1</v>
      </c>
      <c r="DZ392" s="1" t="b">
        <f t="shared" si="380"/>
        <v>1</v>
      </c>
      <c r="EA392" s="1" t="b">
        <f ca="1">AND(DM392:DZ392)</f>
        <v>0</v>
      </c>
      <c r="EB392" s="1" t="s">
        <v>334</v>
      </c>
      <c r="EC392" s="1" t="str">
        <f ca="1">IF(DY392,"","• Lawful alignment.
")&amp;IF(DX392,"","• Ability to shape 3 soulmelds.
")&amp;IF(DW392,"","• Ability to cast 2nd level divine spells.
")&amp;IF(DV392,"","• Knowledge (arcana) 4 ranks.
")&amp;IF(DU392,"","• Knowledge (religion) 4 ranks.
")&amp;IF(DT392,"","• Essentia pool of 3.
")&amp;IF(DS392,"","• Access to the Law domain.
")&amp;IF(DZ392,"","• Not available in Living Greyhawk")</f>
        <v xml:space="preserve">• Ability to shape 3 soulmelds.
• Ability to cast 2nd level divine spells.
• Knowledge (arcana) 4 ranks.
• Knowledge (religion) 4 ranks.
• Essentia pool of 3.
• Access to the Law domain.
</v>
      </c>
      <c r="ED392" s="11"/>
    </row>
    <row r="393" spans="1:134" ht="11.25" customHeight="1" x14ac:dyDescent="0.2">
      <c r="A393" s="1">
        <f t="shared" si="381"/>
        <v>390</v>
      </c>
      <c r="B393" s="1" t="s">
        <v>1039</v>
      </c>
      <c r="C393" s="1" t="s">
        <v>1040</v>
      </c>
      <c r="D393" s="1" t="s">
        <v>1040</v>
      </c>
      <c r="E393" s="1">
        <f t="shared" si="326"/>
        <v>0</v>
      </c>
      <c r="G393" s="1">
        <f>ScrLvl</f>
        <v>0</v>
      </c>
      <c r="J393" s="1">
        <f>ScrLvl</f>
        <v>0</v>
      </c>
      <c r="K393" s="1">
        <v>2</v>
      </c>
      <c r="L393" s="1">
        <v>4</v>
      </c>
      <c r="V393" s="1">
        <v>0.5</v>
      </c>
      <c r="W393" s="1">
        <v>0.34</v>
      </c>
      <c r="X393" s="1">
        <v>0.34</v>
      </c>
      <c r="Y393" s="1">
        <v>0.5</v>
      </c>
      <c r="Z393" s="1" t="b">
        <v>0</v>
      </c>
      <c r="AA393" s="1" t="str">
        <f t="shared" si="329"/>
        <v/>
      </c>
      <c r="AB393" s="1" t="str">
        <f t="shared" si="330"/>
        <v/>
      </c>
      <c r="AC393" s="1">
        <f t="shared" si="327"/>
        <v>0</v>
      </c>
      <c r="AD393" s="1" t="str">
        <f t="shared" si="331"/>
        <v/>
      </c>
      <c r="AE393" s="1" t="str">
        <f t="shared" si="332"/>
        <v/>
      </c>
      <c r="AF393" s="1">
        <f t="shared" si="328"/>
        <v>0</v>
      </c>
      <c r="AG393" s="1">
        <f t="shared" si="333"/>
        <v>5</v>
      </c>
      <c r="AH393" s="1" t="str">
        <f t="shared" si="325"/>
        <v/>
      </c>
      <c r="AI393" s="1">
        <v>1</v>
      </c>
      <c r="AJ393" s="1">
        <f t="shared" si="369"/>
        <v>0</v>
      </c>
      <c r="AK393" s="1">
        <v>1</v>
      </c>
      <c r="AL393" s="1">
        <v>1</v>
      </c>
      <c r="AM393" s="1">
        <v>1</v>
      </c>
      <c r="AN393" s="1">
        <f t="shared" si="370"/>
        <v>0</v>
      </c>
      <c r="AO393" s="1">
        <v>2</v>
      </c>
      <c r="AP393" s="1">
        <v>2</v>
      </c>
      <c r="AQ393" s="1">
        <v>2</v>
      </c>
      <c r="AR393" s="1">
        <v>2</v>
      </c>
      <c r="AS393" s="1">
        <v>2</v>
      </c>
      <c r="AT393" s="1">
        <v>2</v>
      </c>
      <c r="AU393" s="1">
        <v>2</v>
      </c>
      <c r="AV393" s="1">
        <v>2</v>
      </c>
      <c r="AW393" s="1">
        <v>1</v>
      </c>
      <c r="AX393" s="1">
        <v>1</v>
      </c>
      <c r="AY393" s="1">
        <v>1</v>
      </c>
      <c r="AZ393" s="1">
        <v>1</v>
      </c>
      <c r="BA393" s="1">
        <v>1</v>
      </c>
      <c r="BB393" s="1">
        <v>1</v>
      </c>
      <c r="BC393" s="1">
        <v>1</v>
      </c>
      <c r="BD393" s="1">
        <v>1</v>
      </c>
      <c r="BE393" s="1">
        <v>1</v>
      </c>
      <c r="BF393" s="1">
        <v>1</v>
      </c>
      <c r="BG393" s="1">
        <f t="shared" si="371"/>
        <v>1</v>
      </c>
      <c r="BH393" s="1">
        <f t="shared" si="372"/>
        <v>0</v>
      </c>
      <c r="BI393" s="1">
        <v>1</v>
      </c>
      <c r="BJ393" s="1">
        <v>1</v>
      </c>
      <c r="BK393" s="1">
        <v>2</v>
      </c>
      <c r="BL393" s="1">
        <v>1</v>
      </c>
      <c r="BM393" s="1">
        <v>1</v>
      </c>
      <c r="BN393" s="1">
        <v>1</v>
      </c>
      <c r="BO393" s="1">
        <v>1</v>
      </c>
      <c r="BP393" s="1">
        <v>1</v>
      </c>
      <c r="BQ393" s="1">
        <f t="shared" si="373"/>
        <v>0</v>
      </c>
      <c r="BR393" s="1">
        <v>1</v>
      </c>
      <c r="BS393" s="1">
        <v>1</v>
      </c>
      <c r="BT393" s="1">
        <f t="shared" si="374"/>
        <v>0</v>
      </c>
      <c r="BU393" s="1">
        <f t="shared" si="375"/>
        <v>0</v>
      </c>
      <c r="BV393" s="1">
        <v>2</v>
      </c>
      <c r="BW393" s="1">
        <v>2</v>
      </c>
      <c r="BX393" s="1">
        <v>1</v>
      </c>
      <c r="BY393" s="1">
        <v>1</v>
      </c>
      <c r="BZ393" s="1">
        <v>1</v>
      </c>
      <c r="CA393" s="1">
        <v>1</v>
      </c>
      <c r="CB393" s="1">
        <v>1</v>
      </c>
      <c r="CC393" s="1">
        <v>1</v>
      </c>
      <c r="CD393" s="1">
        <v>1</v>
      </c>
      <c r="CE393" s="1">
        <v>1</v>
      </c>
      <c r="CF393" s="1">
        <v>1</v>
      </c>
      <c r="CG393" s="1">
        <f t="shared" si="376"/>
        <v>0</v>
      </c>
      <c r="CH393" s="1">
        <v>1</v>
      </c>
      <c r="CI393" s="1">
        <v>1</v>
      </c>
      <c r="CJ393" s="1">
        <v>1</v>
      </c>
      <c r="CK393" s="1">
        <v>1</v>
      </c>
      <c r="CL393" s="1">
        <v>1</v>
      </c>
      <c r="CM393" s="1">
        <v>1</v>
      </c>
      <c r="CN393" s="1">
        <v>1</v>
      </c>
      <c r="CO393" s="1">
        <v>1</v>
      </c>
      <c r="CP393" s="1">
        <v>2</v>
      </c>
      <c r="CQ393" s="1">
        <v>2</v>
      </c>
      <c r="CR393" s="1">
        <v>2</v>
      </c>
      <c r="CS393" s="1">
        <v>2</v>
      </c>
      <c r="CT393" s="1">
        <v>2</v>
      </c>
      <c r="CU393" s="1">
        <v>2</v>
      </c>
      <c r="CV393" s="1">
        <f t="shared" si="377"/>
        <v>0</v>
      </c>
      <c r="CW393" s="1">
        <v>1</v>
      </c>
      <c r="CX393" s="1">
        <v>1</v>
      </c>
      <c r="CY393" s="1">
        <v>1</v>
      </c>
      <c r="CZ393" s="1">
        <f t="shared" si="378"/>
        <v>0</v>
      </c>
      <c r="DA393" s="1">
        <v>1</v>
      </c>
      <c r="DB393" s="1">
        <v>1</v>
      </c>
      <c r="DC393" s="1">
        <v>2</v>
      </c>
      <c r="DD393" s="1">
        <v>1</v>
      </c>
      <c r="DE393" s="1">
        <v>1</v>
      </c>
      <c r="DF393" s="1">
        <v>1</v>
      </c>
      <c r="DG393" s="1">
        <v>1</v>
      </c>
      <c r="DH393" s="1">
        <v>1</v>
      </c>
      <c r="DI393" s="1">
        <f t="shared" si="379"/>
        <v>0</v>
      </c>
      <c r="DJ393" s="1">
        <v>2</v>
      </c>
      <c r="DK393" s="1" t="s">
        <v>218</v>
      </c>
      <c r="DL393" s="1" t="s">
        <v>170</v>
      </c>
      <c r="DU393" s="1" t="b">
        <f>SUMPRODUCT((TblBindableChakras&lt;&gt;"")*1)&gt;1</f>
        <v>0</v>
      </c>
      <c r="DV393" s="1" t="b">
        <f>MeldSlots&gt;=3</f>
        <v>0</v>
      </c>
      <c r="DW393" s="1" t="b">
        <f ca="1">MaxArcaneSpellLevel&gt;=2</f>
        <v>0</v>
      </c>
      <c r="DX393" s="1" t="b">
        <f>FtIncarnumSpellshaping</f>
        <v>0</v>
      </c>
      <c r="DY393" s="1" t="b">
        <f>SkKnowledgeArcanaRanks&gt;=8</f>
        <v>0</v>
      </c>
      <c r="DZ393" s="1" t="b">
        <f t="shared" si="380"/>
        <v>1</v>
      </c>
      <c r="EA393" s="1" t="b">
        <f ca="1">AND(DM393:DZ393)</f>
        <v>0</v>
      </c>
      <c r="EB393" s="1" t="s">
        <v>334</v>
      </c>
      <c r="EC393" s="1" t="str">
        <f ca="1">IF(DY393,"","• Knowledge (arcana) 8 ranks.
")&amp;IF(DX393,"","• Incarnum Spellshaping feat.
")&amp;IF(DW393,"","• Ability to cast 2nd level arcane spells.
")&amp;IF(DV393,"","• Ability to shape 3 soulmelds.
")&amp;IF(DU393,"","• Ability to bind a soulmeld to a chakra.
")&amp;IF(DZ393,"","• Not available in Living Greyhawk")</f>
        <v xml:space="preserve">• Knowledge (arcana) 8 ranks.
• Incarnum Spellshaping feat.
• Ability to cast 2nd level arcane spells.
• Ability to shape 3 soulmelds.
• Ability to bind a soulmeld to a chakra.
</v>
      </c>
      <c r="ED393" s="11"/>
    </row>
    <row r="394" spans="1:134" ht="11.25" customHeight="1" x14ac:dyDescent="0.2">
      <c r="A394" s="1">
        <f t="shared" si="381"/>
        <v>391</v>
      </c>
      <c r="B394" s="1" t="s">
        <v>1041</v>
      </c>
      <c r="C394" s="1" t="s">
        <v>1042</v>
      </c>
      <c r="D394" s="1" t="s">
        <v>1042</v>
      </c>
      <c r="E394" s="1">
        <f t="shared" si="326"/>
        <v>0</v>
      </c>
      <c r="I394" s="1">
        <f>SMaLvl</f>
        <v>0</v>
      </c>
      <c r="J394" s="1">
        <f>SMaLvl</f>
        <v>0</v>
      </c>
      <c r="K394" s="1">
        <v>2</v>
      </c>
      <c r="L394" s="1">
        <v>4</v>
      </c>
      <c r="V394" s="1">
        <v>0.5</v>
      </c>
      <c r="W394" s="1">
        <v>0.34</v>
      </c>
      <c r="X394" s="1">
        <v>0.34</v>
      </c>
      <c r="Y394" s="1">
        <v>0.5</v>
      </c>
      <c r="Z394" s="1" t="b">
        <v>0</v>
      </c>
      <c r="AA394" s="1" t="str">
        <f t="shared" si="329"/>
        <v/>
      </c>
      <c r="AB394" s="1" t="str">
        <f t="shared" si="330"/>
        <v/>
      </c>
      <c r="AC394" s="1">
        <f t="shared" si="327"/>
        <v>0</v>
      </c>
      <c r="AD394" s="1" t="str">
        <f t="shared" si="331"/>
        <v/>
      </c>
      <c r="AE394" s="1" t="str">
        <f t="shared" si="332"/>
        <v/>
      </c>
      <c r="AF394" s="1">
        <f t="shared" si="328"/>
        <v>0</v>
      </c>
      <c r="AG394" s="1">
        <f t="shared" si="333"/>
        <v>5</v>
      </c>
      <c r="AH394" s="1" t="str">
        <f t="shared" si="325"/>
        <v/>
      </c>
      <c r="AI394" s="1">
        <v>1</v>
      </c>
      <c r="AJ394" s="1">
        <v>2</v>
      </c>
      <c r="AK394" s="1">
        <v>1</v>
      </c>
      <c r="AL394" s="1">
        <v>1</v>
      </c>
      <c r="AM394" s="1">
        <v>1</v>
      </c>
      <c r="AN394" s="1">
        <f t="shared" si="370"/>
        <v>0</v>
      </c>
      <c r="AO394" s="1">
        <v>2</v>
      </c>
      <c r="AP394" s="1">
        <v>2</v>
      </c>
      <c r="AQ394" s="1">
        <v>2</v>
      </c>
      <c r="AR394" s="1">
        <v>2</v>
      </c>
      <c r="AS394" s="1">
        <v>2</v>
      </c>
      <c r="AT394" s="1">
        <v>2</v>
      </c>
      <c r="AU394" s="1">
        <v>2</v>
      </c>
      <c r="AV394" s="1">
        <v>2</v>
      </c>
      <c r="AW394" s="1">
        <v>1</v>
      </c>
      <c r="AX394" s="1">
        <v>1</v>
      </c>
      <c r="AY394" s="1">
        <v>1</v>
      </c>
      <c r="AZ394" s="1">
        <v>1</v>
      </c>
      <c r="BA394" s="1">
        <v>1</v>
      </c>
      <c r="BB394" s="1">
        <v>1</v>
      </c>
      <c r="BC394" s="1">
        <v>1</v>
      </c>
      <c r="BD394" s="1">
        <v>1</v>
      </c>
      <c r="BE394" s="1">
        <v>1</v>
      </c>
      <c r="BF394" s="1">
        <v>1</v>
      </c>
      <c r="BG394" s="1">
        <f>IF(HRRVL,1,0)</f>
        <v>0</v>
      </c>
      <c r="BH394" s="1">
        <f t="shared" si="372"/>
        <v>0</v>
      </c>
      <c r="BI394" s="1">
        <v>1</v>
      </c>
      <c r="BJ394" s="1">
        <v>1</v>
      </c>
      <c r="BK394" s="1">
        <v>1</v>
      </c>
      <c r="BL394" s="1">
        <v>1</v>
      </c>
      <c r="BM394" s="1">
        <v>1</v>
      </c>
      <c r="BN394" s="1">
        <v>1</v>
      </c>
      <c r="BO394" s="1">
        <v>1</v>
      </c>
      <c r="BP394" s="1">
        <v>1</v>
      </c>
      <c r="BQ394" s="1">
        <f>IF(HRRVL,1,0)</f>
        <v>0</v>
      </c>
      <c r="BR394" s="1">
        <v>1</v>
      </c>
      <c r="BS394" s="1">
        <v>1</v>
      </c>
      <c r="BT394" s="1">
        <v>2</v>
      </c>
      <c r="BU394" s="1">
        <f>IF(HRRVL,1,0)</f>
        <v>0</v>
      </c>
      <c r="BV394" s="1">
        <v>2</v>
      </c>
      <c r="BW394" s="1">
        <v>2</v>
      </c>
      <c r="BX394" s="1">
        <v>1</v>
      </c>
      <c r="BY394" s="1">
        <v>1</v>
      </c>
      <c r="BZ394" s="1">
        <v>1</v>
      </c>
      <c r="CA394" s="1">
        <v>1</v>
      </c>
      <c r="CB394" s="1">
        <v>1</v>
      </c>
      <c r="CC394" s="1">
        <v>1</v>
      </c>
      <c r="CD394" s="1">
        <v>1</v>
      </c>
      <c r="CE394" s="1">
        <v>1</v>
      </c>
      <c r="CF394" s="1">
        <v>1</v>
      </c>
      <c r="CG394" s="1">
        <f>IF(HRToB,1,0)</f>
        <v>0</v>
      </c>
      <c r="CH394" s="1">
        <v>1</v>
      </c>
      <c r="CI394" s="1">
        <v>1</v>
      </c>
      <c r="CJ394" s="1">
        <v>1</v>
      </c>
      <c r="CK394" s="1">
        <v>1</v>
      </c>
      <c r="CL394" s="1">
        <v>1</v>
      </c>
      <c r="CM394" s="1">
        <v>1</v>
      </c>
      <c r="CN394" s="1">
        <v>1</v>
      </c>
      <c r="CO394" s="1">
        <v>1</v>
      </c>
      <c r="CP394" s="1">
        <v>2</v>
      </c>
      <c r="CQ394" s="1">
        <v>2</v>
      </c>
      <c r="CR394" s="1">
        <v>2</v>
      </c>
      <c r="CS394" s="1">
        <v>2</v>
      </c>
      <c r="CT394" s="1">
        <v>2</v>
      </c>
      <c r="CU394" s="1">
        <v>2</v>
      </c>
      <c r="CV394" s="1">
        <v>2</v>
      </c>
      <c r="CW394" s="1">
        <v>1</v>
      </c>
      <c r="CX394" s="1">
        <v>1</v>
      </c>
      <c r="CY394" s="1">
        <v>1</v>
      </c>
      <c r="CZ394" s="1">
        <f>IF(HRCS,1,0)</f>
        <v>0</v>
      </c>
      <c r="DA394" s="1">
        <v>1</v>
      </c>
      <c r="DB394" s="1">
        <v>1</v>
      </c>
      <c r="DD394" s="1">
        <v>1</v>
      </c>
      <c r="DE394" s="1">
        <v>1</v>
      </c>
      <c r="DF394" s="1">
        <v>1</v>
      </c>
      <c r="DG394" s="1">
        <v>1</v>
      </c>
      <c r="DH394" s="1">
        <v>1</v>
      </c>
      <c r="DI394" s="1">
        <v>1</v>
      </c>
      <c r="DJ394" s="1">
        <v>1</v>
      </c>
      <c r="DK394" s="1" t="s">
        <v>218</v>
      </c>
      <c r="DL394" s="1" t="s">
        <v>170</v>
      </c>
      <c r="DU394" s="1" t="b">
        <f>SUMPRODUCT((TblBindableChakras&lt;&gt;"")*1)&gt;1</f>
        <v>0</v>
      </c>
      <c r="DV394" s="1" t="b">
        <f>MeldSlots&gt;=3</f>
        <v>0</v>
      </c>
      <c r="DW394" s="1" t="b">
        <f>MaxPowerLevel&gt;=2</f>
        <v>0</v>
      </c>
      <c r="DX394" s="1" t="b">
        <f>FtAzureTalent</f>
        <v>0</v>
      </c>
      <c r="DY394" s="1" t="b">
        <f>SkKnowledgePsionicsRanks&gt;=8</f>
        <v>0</v>
      </c>
      <c r="DZ394" s="1" t="b">
        <f t="shared" si="380"/>
        <v>1</v>
      </c>
      <c r="EA394" s="1" t="b">
        <f>AND(DM394:DZ394)</f>
        <v>0</v>
      </c>
      <c r="EB394" s="1" t="s">
        <v>334</v>
      </c>
      <c r="EC394" s="1" t="str">
        <f>IF(DY394,"","• Knowledge (psionics) 8 ranks.
")&amp;IF(DX394,"","• Azure Talent feat.
")&amp;IF(DW394,"","• Ability to manifest 2nd level powers.
")&amp;IF(DV394,"","• Ability to shape 3 soulmelds.
")&amp;IF(DU394,"","• Ability to bind a soulmeld to a chakra.
")&amp;IF(DZ394,"","• Not available in Living Greyhawk")</f>
        <v xml:space="preserve">• Knowledge (psionics) 8 ranks.
• Azure Talent feat.
• Ability to manifest 2nd level powers.
• Ability to shape 3 soulmelds.
• Ability to bind a soulmeld to a chakra.
</v>
      </c>
      <c r="ED394" s="11"/>
    </row>
    <row r="395" spans="1:134" ht="11.25" customHeight="1" x14ac:dyDescent="0.2">
      <c r="A395" s="1">
        <f t="shared" si="381"/>
        <v>392</v>
      </c>
      <c r="B395" s="1" t="s">
        <v>1043</v>
      </c>
      <c r="C395" s="1" t="s">
        <v>1044</v>
      </c>
      <c r="D395" s="1" t="s">
        <v>1044</v>
      </c>
      <c r="E395" s="1">
        <f t="shared" si="326"/>
        <v>0</v>
      </c>
      <c r="K395" s="1">
        <v>2</v>
      </c>
      <c r="L395" s="1">
        <v>10</v>
      </c>
      <c r="V395" s="1">
        <v>1</v>
      </c>
      <c r="W395" s="1">
        <v>0.5</v>
      </c>
      <c r="X395" s="1">
        <v>0.34</v>
      </c>
      <c r="Y395" s="1">
        <v>0.34</v>
      </c>
      <c r="Z395" s="1" t="b">
        <v>0</v>
      </c>
      <c r="AA395" s="1" t="str">
        <f t="shared" si="329"/>
        <v/>
      </c>
      <c r="AB395" s="1" t="str">
        <f t="shared" si="330"/>
        <v/>
      </c>
      <c r="AC395" s="1">
        <f t="shared" si="327"/>
        <v>0</v>
      </c>
      <c r="AD395" s="1" t="str">
        <f t="shared" si="331"/>
        <v/>
      </c>
      <c r="AE395" s="1" t="str">
        <f t="shared" si="332"/>
        <v/>
      </c>
      <c r="AF395" s="1">
        <f t="shared" si="328"/>
        <v>0</v>
      </c>
      <c r="AG395" s="1">
        <f>IF($AC395&gt;0,$AG393+1,$AG393)</f>
        <v>5</v>
      </c>
      <c r="AH395" s="1" t="str">
        <f t="shared" si="325"/>
        <v/>
      </c>
      <c r="AI395" s="1">
        <v>1</v>
      </c>
      <c r="AJ395" s="1">
        <f t="shared" si="369"/>
        <v>0</v>
      </c>
      <c r="AK395" s="1">
        <v>1</v>
      </c>
      <c r="AL395" s="1">
        <v>1</v>
      </c>
      <c r="AM395" s="1">
        <v>2</v>
      </c>
      <c r="AN395" s="1">
        <f t="shared" si="370"/>
        <v>0</v>
      </c>
      <c r="AO395" s="1">
        <v>1</v>
      </c>
      <c r="AP395" s="1">
        <v>2</v>
      </c>
      <c r="AQ395" s="1">
        <v>2</v>
      </c>
      <c r="AR395" s="1">
        <v>2</v>
      </c>
      <c r="AS395" s="1">
        <v>2</v>
      </c>
      <c r="AT395" s="1">
        <v>2</v>
      </c>
      <c r="AU395" s="1">
        <v>2</v>
      </c>
      <c r="AV395" s="1">
        <v>2</v>
      </c>
      <c r="AW395" s="1">
        <v>1</v>
      </c>
      <c r="AX395" s="1">
        <v>2</v>
      </c>
      <c r="AY395" s="1">
        <v>1</v>
      </c>
      <c r="AZ395" s="1">
        <v>1</v>
      </c>
      <c r="BA395" s="1">
        <v>1</v>
      </c>
      <c r="BB395" s="1">
        <v>1</v>
      </c>
      <c r="BC395" s="1">
        <v>1</v>
      </c>
      <c r="BD395" s="1">
        <v>2</v>
      </c>
      <c r="BE395" s="1">
        <v>1</v>
      </c>
      <c r="BF395" s="1">
        <v>1</v>
      </c>
      <c r="BG395" s="1">
        <f t="shared" si="371"/>
        <v>1</v>
      </c>
      <c r="BH395" s="1">
        <f t="shared" si="372"/>
        <v>0</v>
      </c>
      <c r="BI395" s="1">
        <v>2</v>
      </c>
      <c r="BJ395" s="1">
        <v>2</v>
      </c>
      <c r="BK395" s="1">
        <v>1</v>
      </c>
      <c r="BL395" s="1">
        <v>1</v>
      </c>
      <c r="BM395" s="1">
        <v>1</v>
      </c>
      <c r="BN395" s="1">
        <v>1</v>
      </c>
      <c r="BO395" s="1">
        <v>1</v>
      </c>
      <c r="BP395" s="1">
        <v>1</v>
      </c>
      <c r="BQ395" s="1">
        <f t="shared" si="373"/>
        <v>0</v>
      </c>
      <c r="BR395" s="1">
        <v>1</v>
      </c>
      <c r="BS395" s="1">
        <v>2</v>
      </c>
      <c r="BT395" s="1">
        <f t="shared" si="374"/>
        <v>0</v>
      </c>
      <c r="BU395" s="1">
        <f t="shared" si="375"/>
        <v>0</v>
      </c>
      <c r="BV395" s="1">
        <v>1</v>
      </c>
      <c r="BW395" s="1">
        <v>1</v>
      </c>
      <c r="BX395" s="1">
        <v>1</v>
      </c>
      <c r="BY395" s="1">
        <v>1</v>
      </c>
      <c r="BZ395" s="1">
        <v>1</v>
      </c>
      <c r="CA395" s="1">
        <v>1</v>
      </c>
      <c r="CB395" s="1">
        <v>1</v>
      </c>
      <c r="CC395" s="1">
        <v>1</v>
      </c>
      <c r="CD395" s="1">
        <v>1</v>
      </c>
      <c r="CE395" s="1">
        <v>1</v>
      </c>
      <c r="CF395" s="1">
        <v>1</v>
      </c>
      <c r="CG395" s="1">
        <f t="shared" si="376"/>
        <v>0</v>
      </c>
      <c r="CH395" s="1">
        <v>1</v>
      </c>
      <c r="CI395" s="1">
        <v>1</v>
      </c>
      <c r="CJ395" s="1">
        <v>1</v>
      </c>
      <c r="CK395" s="1">
        <v>1</v>
      </c>
      <c r="CL395" s="1">
        <v>1</v>
      </c>
      <c r="CM395" s="1">
        <v>1</v>
      </c>
      <c r="CN395" s="1">
        <v>1</v>
      </c>
      <c r="CO395" s="1">
        <v>1</v>
      </c>
      <c r="CP395" s="1">
        <v>2</v>
      </c>
      <c r="CQ395" s="1">
        <v>2</v>
      </c>
      <c r="CR395" s="1">
        <v>2</v>
      </c>
      <c r="CS395" s="1">
        <v>2</v>
      </c>
      <c r="CT395" s="1">
        <v>2</v>
      </c>
      <c r="CU395" s="1">
        <v>2</v>
      </c>
      <c r="CV395" s="1">
        <f t="shared" si="377"/>
        <v>0</v>
      </c>
      <c r="CW395" s="1">
        <v>2</v>
      </c>
      <c r="CX395" s="1">
        <v>1</v>
      </c>
      <c r="CY395" s="1">
        <v>1</v>
      </c>
      <c r="CZ395" s="1">
        <f t="shared" si="378"/>
        <v>0</v>
      </c>
      <c r="DA395" s="1">
        <v>1</v>
      </c>
      <c r="DB395" s="1">
        <v>1</v>
      </c>
      <c r="DC395" s="1">
        <v>1</v>
      </c>
      <c r="DD395" s="1">
        <v>1</v>
      </c>
      <c r="DE395" s="1">
        <v>1</v>
      </c>
      <c r="DF395" s="1">
        <v>2</v>
      </c>
      <c r="DG395" s="1">
        <v>1</v>
      </c>
      <c r="DH395" s="1">
        <v>1</v>
      </c>
      <c r="DI395" s="1">
        <f t="shared" si="379"/>
        <v>0</v>
      </c>
      <c r="DJ395" s="1">
        <v>1</v>
      </c>
      <c r="DK395" s="1" t="s">
        <v>218</v>
      </c>
      <c r="DL395" s="1" t="s">
        <v>170</v>
      </c>
      <c r="DV395" s="1" t="b">
        <f>Essentia&gt;=1</f>
        <v>0</v>
      </c>
      <c r="DW395" s="1" t="b">
        <f>BaseAtk&gt;=5</f>
        <v>0</v>
      </c>
      <c r="DX395" s="1" t="b">
        <f>AlignmentLawful</f>
        <v>1</v>
      </c>
      <c r="DY395" s="1" t="b">
        <f>RaceCi="Skarn"</f>
        <v>0</v>
      </c>
      <c r="DZ395" s="1" t="b">
        <f t="shared" si="380"/>
        <v>1</v>
      </c>
      <c r="EA395" s="1" t="b">
        <f t="shared" si="368"/>
        <v>0</v>
      </c>
      <c r="EB395" s="1" t="s">
        <v>334</v>
      </c>
      <c r="EC395" s="1" t="str">
        <f>IF(DY395,"","• Must be a Skarn.
")&amp;IF(DX395,"","• Must be Lawful.
")&amp;IF(DW395,"","• Base Attack Bonus +5.
")&amp;IF(DV395,"","• Essentia pool of 1.
")&amp;IF(DZ395,"","• Not available in Living Greyhawk")</f>
        <v xml:space="preserve">• Must be a Skarn.
• Base Attack Bonus +5.
• Essentia pool of 1.
</v>
      </c>
      <c r="ED395" s="11"/>
    </row>
    <row r="396" spans="1:134" ht="11.25" customHeight="1" x14ac:dyDescent="0.2">
      <c r="A396" s="1">
        <f t="shared" si="381"/>
        <v>393</v>
      </c>
      <c r="B396" s="1" t="s">
        <v>1045</v>
      </c>
      <c r="C396" s="1" t="s">
        <v>954</v>
      </c>
      <c r="D396" s="1" t="s">
        <v>954</v>
      </c>
      <c r="E396" s="1">
        <f t="shared" si="326"/>
        <v>0</v>
      </c>
      <c r="J396" s="1">
        <f>IF(TRgLvl&gt;0,TRgLvl-1,0)-(TRgLvl&gt;=6)*1</f>
        <v>0</v>
      </c>
      <c r="K396" s="1">
        <v>4</v>
      </c>
      <c r="L396" s="1">
        <v>10</v>
      </c>
      <c r="V396" s="1">
        <v>0.75</v>
      </c>
      <c r="W396" s="1">
        <v>0.5</v>
      </c>
      <c r="X396" s="1">
        <v>0.5</v>
      </c>
      <c r="Y396" s="1">
        <v>0.34</v>
      </c>
      <c r="Z396" s="1" t="b">
        <v>0</v>
      </c>
      <c r="AA396" s="1" t="str">
        <f t="shared" si="329"/>
        <v/>
      </c>
      <c r="AB396" s="1" t="str">
        <f t="shared" si="330"/>
        <v/>
      </c>
      <c r="AC396" s="1">
        <f t="shared" si="327"/>
        <v>0</v>
      </c>
      <c r="AD396" s="1" t="str">
        <f t="shared" si="331"/>
        <v/>
      </c>
      <c r="AE396" s="1" t="str">
        <f t="shared" si="332"/>
        <v/>
      </c>
      <c r="AF396" s="1">
        <f t="shared" si="328"/>
        <v>0</v>
      </c>
      <c r="AG396" s="1">
        <f t="shared" si="333"/>
        <v>5</v>
      </c>
      <c r="AH396" s="1" t="str">
        <f t="shared" si="325"/>
        <v/>
      </c>
      <c r="AI396" s="1">
        <v>1</v>
      </c>
      <c r="AJ396" s="1">
        <f t="shared" si="369"/>
        <v>0</v>
      </c>
      <c r="AK396" s="1">
        <v>1</v>
      </c>
      <c r="AL396" s="1">
        <v>1</v>
      </c>
      <c r="AM396" s="1">
        <v>2</v>
      </c>
      <c r="AN396" s="1">
        <f t="shared" si="370"/>
        <v>0</v>
      </c>
      <c r="AO396" s="1">
        <v>2</v>
      </c>
      <c r="AP396" s="1">
        <v>2</v>
      </c>
      <c r="AQ396" s="1">
        <v>2</v>
      </c>
      <c r="AR396" s="1">
        <v>2</v>
      </c>
      <c r="AS396" s="1">
        <v>2</v>
      </c>
      <c r="AT396" s="1">
        <v>2</v>
      </c>
      <c r="AU396" s="1">
        <v>2</v>
      </c>
      <c r="AV396" s="1">
        <v>2</v>
      </c>
      <c r="AW396" s="1">
        <v>1</v>
      </c>
      <c r="AX396" s="1">
        <v>1</v>
      </c>
      <c r="AY396" s="1">
        <v>1</v>
      </c>
      <c r="AZ396" s="1">
        <v>1</v>
      </c>
      <c r="BA396" s="1">
        <v>1</v>
      </c>
      <c r="BB396" s="1">
        <v>1</v>
      </c>
      <c r="BC396" s="1">
        <v>1</v>
      </c>
      <c r="BD396" s="1">
        <v>2</v>
      </c>
      <c r="BE396" s="1">
        <v>1</v>
      </c>
      <c r="BF396" s="1">
        <v>1</v>
      </c>
      <c r="BG396" s="1">
        <f t="shared" si="371"/>
        <v>1</v>
      </c>
      <c r="BH396" s="1">
        <f t="shared" si="372"/>
        <v>0</v>
      </c>
      <c r="BI396" s="1">
        <v>2</v>
      </c>
      <c r="BJ396" s="1">
        <v>2</v>
      </c>
      <c r="BK396" s="1">
        <v>2</v>
      </c>
      <c r="BL396" s="1">
        <v>1</v>
      </c>
      <c r="BM396" s="1">
        <v>1</v>
      </c>
      <c r="BN396" s="1">
        <v>1</v>
      </c>
      <c r="BO396" s="1">
        <v>1</v>
      </c>
      <c r="BP396" s="1">
        <v>1</v>
      </c>
      <c r="BQ396" s="1">
        <f t="shared" si="373"/>
        <v>0</v>
      </c>
      <c r="BR396" s="1">
        <v>2</v>
      </c>
      <c r="BS396" s="1">
        <v>1</v>
      </c>
      <c r="BT396" s="1">
        <f t="shared" si="374"/>
        <v>0</v>
      </c>
      <c r="BU396" s="1">
        <f t="shared" si="375"/>
        <v>0</v>
      </c>
      <c r="BV396" s="1">
        <v>1</v>
      </c>
      <c r="BW396" s="1">
        <v>1</v>
      </c>
      <c r="BX396" s="1">
        <v>1</v>
      </c>
      <c r="BY396" s="1">
        <v>1</v>
      </c>
      <c r="BZ396" s="1">
        <v>1</v>
      </c>
      <c r="CA396" s="1">
        <v>1</v>
      </c>
      <c r="CB396" s="1">
        <v>1</v>
      </c>
      <c r="CC396" s="1">
        <v>1</v>
      </c>
      <c r="CD396" s="1">
        <v>1</v>
      </c>
      <c r="CE396" s="1">
        <v>1</v>
      </c>
      <c r="CF396" s="1">
        <v>2</v>
      </c>
      <c r="CG396" s="1">
        <f t="shared" si="376"/>
        <v>0</v>
      </c>
      <c r="CH396" s="1">
        <v>1</v>
      </c>
      <c r="CI396" s="1">
        <v>1</v>
      </c>
      <c r="CJ396" s="1">
        <v>1</v>
      </c>
      <c r="CK396" s="1">
        <v>1</v>
      </c>
      <c r="CL396" s="1">
        <v>1</v>
      </c>
      <c r="CM396" s="1">
        <v>1</v>
      </c>
      <c r="CN396" s="1">
        <v>1</v>
      </c>
      <c r="CO396" s="1">
        <v>1</v>
      </c>
      <c r="CP396" s="1">
        <v>2</v>
      </c>
      <c r="CQ396" s="1">
        <v>2</v>
      </c>
      <c r="CR396" s="1">
        <v>2</v>
      </c>
      <c r="CS396" s="1">
        <v>2</v>
      </c>
      <c r="CT396" s="1">
        <v>2</v>
      </c>
      <c r="CU396" s="1">
        <v>2</v>
      </c>
      <c r="CV396" s="1">
        <f t="shared" si="377"/>
        <v>0</v>
      </c>
      <c r="CW396" s="1">
        <v>2</v>
      </c>
      <c r="CX396" s="1">
        <v>1</v>
      </c>
      <c r="CY396" s="1">
        <v>1</v>
      </c>
      <c r="CZ396" s="1">
        <f t="shared" si="378"/>
        <v>0</v>
      </c>
      <c r="DA396" s="1">
        <v>1</v>
      </c>
      <c r="DB396" s="1">
        <v>1</v>
      </c>
      <c r="DC396" s="1">
        <v>1</v>
      </c>
      <c r="DD396" s="1">
        <v>2</v>
      </c>
      <c r="DE396" s="1">
        <v>2</v>
      </c>
      <c r="DF396" s="1">
        <v>2</v>
      </c>
      <c r="DG396" s="1">
        <v>1</v>
      </c>
      <c r="DH396" s="1">
        <v>1</v>
      </c>
      <c r="DI396" s="1">
        <f t="shared" si="379"/>
        <v>0</v>
      </c>
      <c r="DJ396" s="1">
        <v>1</v>
      </c>
      <c r="DK396" s="1" t="s">
        <v>218</v>
      </c>
      <c r="DL396" s="1" t="s">
        <v>170</v>
      </c>
      <c r="DT396" s="1" t="b">
        <f>RageAmount&gt;0</f>
        <v>0</v>
      </c>
      <c r="DU396" s="1" t="b">
        <f>NOT(ISNA(VLOOKUP("Totem",TblBindableChakras,1,FALSE)))</f>
        <v>0</v>
      </c>
      <c r="DV396" s="1" t="b">
        <f>FtCobaltRage</f>
        <v>0</v>
      </c>
      <c r="DW396" s="1" t="b">
        <f>SkSurvivalRanks&gt;=9</f>
        <v>0</v>
      </c>
      <c r="DX396" s="1" t="b">
        <f>SkIntimidateRanks&gt;=5</f>
        <v>0</v>
      </c>
      <c r="DY396" s="1" t="b">
        <f>BaseAtk&gt;=5</f>
        <v>0</v>
      </c>
      <c r="DZ396" s="1" t="b">
        <f t="shared" si="380"/>
        <v>1</v>
      </c>
      <c r="EA396" s="1" t="b">
        <f t="shared" si="368"/>
        <v>0</v>
      </c>
      <c r="EB396" s="1" t="s">
        <v>334</v>
      </c>
      <c r="EC396" s="1" t="str">
        <f>IF(DY396,"","• Base Attack Bonus +5.
")&amp;IF(DX396,"","• Intimidate 5 ranks.
")&amp;IF(DW396,"","• Survival 9 ranks.
")&amp;IF(DV396,"","• Cobalt Rage feat.
")&amp;IF(DU396,"","• Ability to bind soulmelds to your Totem chakra.
")&amp;IF(DT396,"","• Rage ability.
")&amp;IF(DZ396,"","• Not available in Living Greyhawk")</f>
        <v xml:space="preserve">• Base Attack Bonus +5.
• Intimidate 5 ranks.
• Survival 9 ranks.
• Cobalt Rage feat.
• Ability to bind soulmelds to your Totem chakra.
• Rage ability.
</v>
      </c>
      <c r="ED396" s="11"/>
    </row>
    <row r="397" spans="1:134" ht="11.25" customHeight="1" x14ac:dyDescent="0.2">
      <c r="A397" s="1">
        <f t="shared" si="381"/>
        <v>394</v>
      </c>
      <c r="B397" s="1" t="s">
        <v>1046</v>
      </c>
      <c r="C397" s="1" t="s">
        <v>1047</v>
      </c>
      <c r="D397" s="1" t="s">
        <v>1047</v>
      </c>
      <c r="E397" s="1">
        <f t="shared" si="326"/>
        <v>0</v>
      </c>
      <c r="K397" s="1">
        <v>6</v>
      </c>
      <c r="L397" s="1">
        <v>6</v>
      </c>
      <c r="V397" s="1">
        <v>0.75</v>
      </c>
      <c r="W397" s="1">
        <v>0.34</v>
      </c>
      <c r="X397" s="1">
        <v>0.5</v>
      </c>
      <c r="Y397" s="1">
        <v>0.5</v>
      </c>
      <c r="Z397" s="1" t="b">
        <v>0</v>
      </c>
      <c r="AA397" s="1" t="str">
        <f t="shared" si="329"/>
        <v/>
      </c>
      <c r="AB397" s="1" t="str">
        <f t="shared" si="330"/>
        <v/>
      </c>
      <c r="AC397" s="1">
        <f t="shared" si="327"/>
        <v>0</v>
      </c>
      <c r="AD397" s="1" t="str">
        <f t="shared" si="331"/>
        <v/>
      </c>
      <c r="AE397" s="1" t="str">
        <f t="shared" si="332"/>
        <v/>
      </c>
      <c r="AF397" s="1">
        <f t="shared" si="328"/>
        <v>0</v>
      </c>
      <c r="AG397" s="1">
        <f t="shared" si="333"/>
        <v>5</v>
      </c>
      <c r="AH397" s="1" t="str">
        <f t="shared" si="325"/>
        <v/>
      </c>
      <c r="AI397" s="1">
        <v>1</v>
      </c>
      <c r="AJ397" s="1">
        <f t="shared" si="369"/>
        <v>0</v>
      </c>
      <c r="AK397" s="1">
        <v>2</v>
      </c>
      <c r="AL397" s="1">
        <v>1</v>
      </c>
      <c r="AM397" s="1">
        <v>2</v>
      </c>
      <c r="AN397" s="1">
        <f t="shared" si="370"/>
        <v>0</v>
      </c>
      <c r="AO397" s="1">
        <v>2</v>
      </c>
      <c r="AP397" s="1">
        <v>2</v>
      </c>
      <c r="AQ397" s="1">
        <v>2</v>
      </c>
      <c r="AR397" s="1">
        <v>2</v>
      </c>
      <c r="AS397" s="1">
        <v>2</v>
      </c>
      <c r="AT397" s="1">
        <v>2</v>
      </c>
      <c r="AU397" s="1">
        <v>2</v>
      </c>
      <c r="AV397" s="1">
        <v>2</v>
      </c>
      <c r="AW397" s="1">
        <v>1</v>
      </c>
      <c r="AX397" s="1">
        <v>2</v>
      </c>
      <c r="AY397" s="1">
        <v>1</v>
      </c>
      <c r="AZ397" s="1">
        <v>1</v>
      </c>
      <c r="BA397" s="1">
        <v>1</v>
      </c>
      <c r="BB397" s="1">
        <v>1</v>
      </c>
      <c r="BC397" s="1">
        <v>1</v>
      </c>
      <c r="BD397" s="1">
        <v>1</v>
      </c>
      <c r="BE397" s="1">
        <v>1</v>
      </c>
      <c r="BF397" s="1">
        <v>2</v>
      </c>
      <c r="BG397" s="1">
        <f t="shared" si="371"/>
        <v>1</v>
      </c>
      <c r="BH397" s="1">
        <f t="shared" si="372"/>
        <v>0</v>
      </c>
      <c r="BI397" s="1">
        <v>1</v>
      </c>
      <c r="BJ397" s="1">
        <v>2</v>
      </c>
      <c r="BK397" s="1">
        <v>2</v>
      </c>
      <c r="BL397" s="1">
        <v>1</v>
      </c>
      <c r="BM397" s="1">
        <v>1</v>
      </c>
      <c r="BN397" s="1">
        <v>1</v>
      </c>
      <c r="BO397" s="1">
        <v>1</v>
      </c>
      <c r="BP397" s="1">
        <v>1</v>
      </c>
      <c r="BQ397" s="1">
        <f t="shared" si="373"/>
        <v>0</v>
      </c>
      <c r="BR397" s="1">
        <v>1</v>
      </c>
      <c r="BS397" s="1">
        <v>1</v>
      </c>
      <c r="BT397" s="1">
        <f t="shared" si="374"/>
        <v>0</v>
      </c>
      <c r="BU397" s="1">
        <f t="shared" si="375"/>
        <v>0</v>
      </c>
      <c r="BV397" s="1">
        <v>1</v>
      </c>
      <c r="BW397" s="1">
        <v>1</v>
      </c>
      <c r="BX397" s="1">
        <v>1</v>
      </c>
      <c r="BY397" s="1">
        <v>1</v>
      </c>
      <c r="BZ397" s="1">
        <v>1</v>
      </c>
      <c r="CA397" s="1">
        <v>1</v>
      </c>
      <c r="CB397" s="1">
        <v>1</v>
      </c>
      <c r="CC397" s="1">
        <v>1</v>
      </c>
      <c r="CD397" s="1">
        <v>1</v>
      </c>
      <c r="CE397" s="1">
        <v>1</v>
      </c>
      <c r="CF397" s="1">
        <v>2</v>
      </c>
      <c r="CG397" s="1">
        <f t="shared" si="376"/>
        <v>0</v>
      </c>
      <c r="CH397" s="1">
        <v>2</v>
      </c>
      <c r="CI397" s="1">
        <v>1</v>
      </c>
      <c r="CJ397" s="1">
        <v>1</v>
      </c>
      <c r="CK397" s="1">
        <v>1</v>
      </c>
      <c r="CL397" s="1">
        <v>1</v>
      </c>
      <c r="CM397" s="1">
        <v>1</v>
      </c>
      <c r="CN397" s="1">
        <v>1</v>
      </c>
      <c r="CO397" s="1">
        <v>1</v>
      </c>
      <c r="CP397" s="1">
        <v>2</v>
      </c>
      <c r="CQ397" s="1">
        <v>2</v>
      </c>
      <c r="CR397" s="1">
        <v>2</v>
      </c>
      <c r="CS397" s="1">
        <v>2</v>
      </c>
      <c r="CT397" s="1">
        <v>2</v>
      </c>
      <c r="CU397" s="1">
        <v>2</v>
      </c>
      <c r="CV397" s="1">
        <f t="shared" si="377"/>
        <v>0</v>
      </c>
      <c r="CW397" s="1">
        <v>1</v>
      </c>
      <c r="CX397" s="1">
        <v>1</v>
      </c>
      <c r="CY397" s="1">
        <v>2</v>
      </c>
      <c r="CZ397" s="1">
        <f t="shared" si="378"/>
        <v>0</v>
      </c>
      <c r="DA397" s="1">
        <v>1</v>
      </c>
      <c r="DB397" s="1">
        <v>1</v>
      </c>
      <c r="DC397" s="1">
        <v>1</v>
      </c>
      <c r="DD397" s="1">
        <v>2</v>
      </c>
      <c r="DE397" s="1">
        <v>1</v>
      </c>
      <c r="DF397" s="1">
        <v>1</v>
      </c>
      <c r="DG397" s="1">
        <v>2</v>
      </c>
      <c r="DH397" s="1">
        <v>1</v>
      </c>
      <c r="DI397" s="1">
        <f t="shared" si="379"/>
        <v>0</v>
      </c>
      <c r="DJ397" s="1">
        <v>1</v>
      </c>
      <c r="DK397" s="1" t="s">
        <v>218</v>
      </c>
      <c r="DL397" s="1" t="s">
        <v>170</v>
      </c>
      <c r="DU397" s="1" t="b">
        <f>Essentia&gt;=1</f>
        <v>0</v>
      </c>
      <c r="DV397" s="1" t="b">
        <f>SkListenRanks&gt;=8</f>
        <v>0</v>
      </c>
      <c r="DW397" s="1" t="b">
        <f>SkKnowledgeArcanaRanks&gt;=2</f>
        <v>0</v>
      </c>
      <c r="DX397" s="1" t="b">
        <f>SkHideRanks&gt;=8</f>
        <v>0</v>
      </c>
      <c r="DY397" s="1" t="b">
        <f>SkConcentrationRanks&gt;=4</f>
        <v>0</v>
      </c>
      <c r="DZ397" s="1" t="b">
        <f t="shared" si="380"/>
        <v>1</v>
      </c>
      <c r="EA397" s="1" t="b">
        <f t="shared" si="368"/>
        <v>0</v>
      </c>
      <c r="EB397" s="1" t="s">
        <v>334</v>
      </c>
      <c r="EC397" s="1" t="str">
        <f>IF(DY397,"","• Concentration 4 ranks.
")&amp;IF(DX397,"","• Hide 8 ranks.
")&amp;IF(DW397,"","• Knowledge (arcana) 2 ranks.
")&amp;IF(DV397,"","• Listen 8 ranks.
")&amp;IF(DU397,"","• Essentia pool 1.
")&amp;IF(DZ397,"","• Not available in Living Greyhawk")</f>
        <v xml:space="preserve">• Concentration 4 ranks.
• Hide 8 ranks.
• Knowledge (arcana) 2 ranks.
• Listen 8 ranks.
• Essentia pool 1.
</v>
      </c>
      <c r="ED397" s="11"/>
    </row>
    <row r="398" spans="1:134" ht="11.25" customHeight="1" x14ac:dyDescent="0.2">
      <c r="A398" s="1">
        <f t="shared" si="381"/>
        <v>395</v>
      </c>
      <c r="B398" s="1" t="s">
        <v>1048</v>
      </c>
      <c r="C398" s="1" t="s">
        <v>1049</v>
      </c>
      <c r="D398" s="1" t="s">
        <v>1049</v>
      </c>
      <c r="E398" s="1">
        <f t="shared" si="326"/>
        <v>0</v>
      </c>
      <c r="J398" s="1">
        <f>INT((WBrLvl+1)/2)+(WBrLvl&gt;=10)*1</f>
        <v>0</v>
      </c>
      <c r="K398" s="1">
        <v>4</v>
      </c>
      <c r="L398" s="1">
        <v>6</v>
      </c>
      <c r="V398" s="1">
        <v>0.75</v>
      </c>
      <c r="W398" s="1">
        <v>0.34</v>
      </c>
      <c r="X398" s="1">
        <v>0.34</v>
      </c>
      <c r="Y398" s="1">
        <v>0.5</v>
      </c>
      <c r="Z398" s="1" t="b">
        <v>0</v>
      </c>
      <c r="AA398" s="1" t="str">
        <f t="shared" si="329"/>
        <v/>
      </c>
      <c r="AB398" s="1" t="str">
        <f t="shared" si="330"/>
        <v/>
      </c>
      <c r="AC398" s="1">
        <f t="shared" si="327"/>
        <v>0</v>
      </c>
      <c r="AD398" s="1" t="str">
        <f t="shared" si="331"/>
        <v/>
      </c>
      <c r="AE398" s="1" t="str">
        <f t="shared" si="332"/>
        <v/>
      </c>
      <c r="AF398" s="1">
        <f t="shared" si="328"/>
        <v>0</v>
      </c>
      <c r="AG398" s="1">
        <f t="shared" si="333"/>
        <v>5</v>
      </c>
      <c r="AH398" s="1" t="str">
        <f t="shared" si="325"/>
        <v/>
      </c>
      <c r="AI398" s="1">
        <v>1</v>
      </c>
      <c r="AJ398" s="1">
        <f t="shared" si="369"/>
        <v>0</v>
      </c>
      <c r="AK398" s="1">
        <v>1</v>
      </c>
      <c r="AL398" s="1">
        <v>1</v>
      </c>
      <c r="AM398" s="1">
        <v>1</v>
      </c>
      <c r="AN398" s="1">
        <f t="shared" si="370"/>
        <v>0</v>
      </c>
      <c r="AO398" s="1">
        <v>2</v>
      </c>
      <c r="AP398" s="1">
        <v>2</v>
      </c>
      <c r="AQ398" s="1">
        <v>2</v>
      </c>
      <c r="AR398" s="1">
        <v>2</v>
      </c>
      <c r="AS398" s="1">
        <v>2</v>
      </c>
      <c r="AT398" s="1">
        <v>2</v>
      </c>
      <c r="AU398" s="1">
        <v>2</v>
      </c>
      <c r="AV398" s="1">
        <v>2</v>
      </c>
      <c r="AW398" s="1">
        <v>1</v>
      </c>
      <c r="AX398" s="1">
        <v>1</v>
      </c>
      <c r="AY398" s="1">
        <v>1</v>
      </c>
      <c r="AZ398" s="1">
        <v>1</v>
      </c>
      <c r="BA398" s="1">
        <v>2</v>
      </c>
      <c r="BB398" s="1">
        <v>1</v>
      </c>
      <c r="BC398" s="1">
        <v>1</v>
      </c>
      <c r="BD398" s="1">
        <v>1</v>
      </c>
      <c r="BE398" s="1">
        <v>1</v>
      </c>
      <c r="BF398" s="1">
        <v>1</v>
      </c>
      <c r="BG398" s="1">
        <f t="shared" si="371"/>
        <v>1</v>
      </c>
      <c r="BH398" s="1">
        <f t="shared" si="372"/>
        <v>0</v>
      </c>
      <c r="BI398" s="1">
        <v>1</v>
      </c>
      <c r="BJ398" s="1">
        <v>1</v>
      </c>
      <c r="BK398" s="1">
        <v>2</v>
      </c>
      <c r="BL398" s="1">
        <v>1</v>
      </c>
      <c r="BM398" s="1">
        <v>1</v>
      </c>
      <c r="BN398" s="1">
        <v>1</v>
      </c>
      <c r="BO398" s="1">
        <v>1</v>
      </c>
      <c r="BP398" s="1">
        <v>1</v>
      </c>
      <c r="BQ398" s="1">
        <f t="shared" si="373"/>
        <v>0</v>
      </c>
      <c r="BR398" s="1">
        <v>1</v>
      </c>
      <c r="BS398" s="1">
        <v>1</v>
      </c>
      <c r="BT398" s="1">
        <f t="shared" si="374"/>
        <v>0</v>
      </c>
      <c r="BU398" s="1">
        <f t="shared" si="375"/>
        <v>0</v>
      </c>
      <c r="BV398" s="1">
        <v>2</v>
      </c>
      <c r="BW398" s="1">
        <v>1</v>
      </c>
      <c r="BX398" s="1">
        <v>1</v>
      </c>
      <c r="BY398" s="1">
        <v>1</v>
      </c>
      <c r="BZ398" s="1">
        <v>1</v>
      </c>
      <c r="CA398" s="1">
        <v>1</v>
      </c>
      <c r="CB398" s="1">
        <v>1</v>
      </c>
      <c r="CC398" s="1">
        <v>1</v>
      </c>
      <c r="CD398" s="1">
        <v>1</v>
      </c>
      <c r="CE398" s="1">
        <v>1</v>
      </c>
      <c r="CF398" s="1">
        <v>2</v>
      </c>
      <c r="CG398" s="1">
        <f t="shared" si="376"/>
        <v>0</v>
      </c>
      <c r="CH398" s="1">
        <v>1</v>
      </c>
      <c r="CI398" s="1">
        <v>1</v>
      </c>
      <c r="CJ398" s="1">
        <v>1</v>
      </c>
      <c r="CK398" s="1">
        <v>1</v>
      </c>
      <c r="CL398" s="1">
        <v>1</v>
      </c>
      <c r="CM398" s="1">
        <v>1</v>
      </c>
      <c r="CN398" s="1">
        <v>1</v>
      </c>
      <c r="CO398" s="1">
        <v>1</v>
      </c>
      <c r="CP398" s="1">
        <v>2</v>
      </c>
      <c r="CQ398" s="1">
        <v>2</v>
      </c>
      <c r="CR398" s="1">
        <v>2</v>
      </c>
      <c r="CS398" s="1">
        <v>2</v>
      </c>
      <c r="CT398" s="1">
        <v>2</v>
      </c>
      <c r="CU398" s="1">
        <v>2</v>
      </c>
      <c r="CV398" s="1">
        <f t="shared" si="377"/>
        <v>0</v>
      </c>
      <c r="CW398" s="1">
        <v>2</v>
      </c>
      <c r="CX398" s="1">
        <v>2</v>
      </c>
      <c r="CY398" s="1">
        <v>2</v>
      </c>
      <c r="CZ398" s="1">
        <f t="shared" si="378"/>
        <v>0</v>
      </c>
      <c r="DA398" s="1">
        <v>1</v>
      </c>
      <c r="DB398" s="1">
        <v>1</v>
      </c>
      <c r="DC398" s="1">
        <v>2</v>
      </c>
      <c r="DD398" s="1">
        <v>2</v>
      </c>
      <c r="DE398" s="1">
        <v>2</v>
      </c>
      <c r="DF398" s="1">
        <v>1</v>
      </c>
      <c r="DG398" s="1">
        <v>1</v>
      </c>
      <c r="DH398" s="1">
        <v>1</v>
      </c>
      <c r="DI398" s="1">
        <f t="shared" si="379"/>
        <v>0</v>
      </c>
      <c r="DJ398" s="1">
        <v>2</v>
      </c>
      <c r="DK398" s="1" t="s">
        <v>218</v>
      </c>
      <c r="DL398" s="1" t="s">
        <v>170</v>
      </c>
      <c r="DQ398" s="1" t="b">
        <f>MaxArcaneLevel=0</f>
        <v>0</v>
      </c>
      <c r="DR398" s="1" t="b">
        <f>SkUseRopeRanks&gt;=2</f>
        <v>0</v>
      </c>
      <c r="DS398" s="1" t="b">
        <f>SkSurvivalRanks&gt;=2</f>
        <v>0</v>
      </c>
      <c r="DT398" s="1" t="b">
        <f>SkSenseMotiveRanks&gt;=2</f>
        <v>0</v>
      </c>
      <c r="DU398" s="1" t="b">
        <f>SkSearchRanks&gt;=4</f>
        <v>0</v>
      </c>
      <c r="DV398" s="1" t="b">
        <f>SkKnowledgeReligionRanks&gt;=4</f>
        <v>0</v>
      </c>
      <c r="DW398" s="1" t="b">
        <f>FtTrack</f>
        <v>0</v>
      </c>
      <c r="DX398" s="1" t="b">
        <f>FtAlertness</f>
        <v>0</v>
      </c>
      <c r="DY398" s="1" t="b">
        <f>MeldLvlMax&gt;=6</f>
        <v>0</v>
      </c>
      <c r="DZ398" s="1" t="b">
        <f t="shared" si="380"/>
        <v>1</v>
      </c>
      <c r="EA398" s="1" t="b">
        <f t="shared" si="368"/>
        <v>0</v>
      </c>
      <c r="EB398" s="1" t="s">
        <v>334</v>
      </c>
      <c r="EC398" s="1" t="str">
        <f>IF(DY398,"","• Meldshaper level 6th.
")&amp;IF(DX398,"","• Alertness feat.
")&amp;IF(DW398,"","• Track feat.
")&amp;IF(DV398,"","• Knowledge (religion) 4 ranks.
")&amp;IF(DU398,"","• Search 4 ranks.
")&amp;IF(DT398,"","• Sense Motive 2 ranks.
")&amp;IF(DS398,"","• Survival 2 ranks.
")&amp;IF(DR398,"","• Use Rope 2 ranks.
")&amp;IF(DQ398,"","• May not possess any arcane spellcasting class levels.
")&amp;IF(DZ398,"","• Not available in Living Greyhawk")</f>
        <v xml:space="preserve">• Meldshaper level 6th.
• Alertness feat.
• Track feat.
• Knowledge (religion) 4 ranks.
• Search 4 ranks.
• Sense Motive 2 ranks.
• Survival 2 ranks.
• Use Rope 2 ranks.
• May not possess any arcane spellcasting class levels.
</v>
      </c>
      <c r="ED398" s="11"/>
    </row>
    <row r="399" spans="1:134" ht="11.25" customHeight="1" x14ac:dyDescent="0.2">
      <c r="A399" s="1">
        <f t="shared" si="381"/>
        <v>396</v>
      </c>
      <c r="B399" s="1" t="s">
        <v>1050</v>
      </c>
      <c r="E399" s="1">
        <f t="shared" si="326"/>
        <v>0</v>
      </c>
      <c r="F399" s="1">
        <v>1</v>
      </c>
      <c r="AA399" s="1" t="str">
        <f t="shared" si="329"/>
        <v/>
      </c>
      <c r="AB399" s="1" t="str">
        <f t="shared" si="330"/>
        <v/>
      </c>
      <c r="AC399" s="1">
        <f t="shared" si="327"/>
        <v>0</v>
      </c>
      <c r="AD399" s="1" t="str">
        <f t="shared" si="331"/>
        <v/>
      </c>
      <c r="AE399" s="1" t="str">
        <f t="shared" si="332"/>
        <v/>
      </c>
      <c r="AF399" s="1">
        <f t="shared" si="328"/>
        <v>0</v>
      </c>
      <c r="AG399" s="1">
        <f t="shared" si="333"/>
        <v>5</v>
      </c>
      <c r="AH399" s="1" t="str">
        <f t="shared" si="325"/>
        <v/>
      </c>
      <c r="EB399" s="11"/>
      <c r="ED399" s="11" t="s">
        <v>335</v>
      </c>
    </row>
    <row r="400" spans="1:134" ht="11.25" customHeight="1" x14ac:dyDescent="0.2">
      <c r="A400" s="1">
        <f t="shared" si="381"/>
        <v>397</v>
      </c>
      <c r="B400" s="1" t="s">
        <v>1051</v>
      </c>
      <c r="C400" s="1" t="s">
        <v>1052</v>
      </c>
      <c r="D400" s="1" t="s">
        <v>580</v>
      </c>
      <c r="E400" s="1">
        <f t="shared" si="326"/>
        <v>0</v>
      </c>
      <c r="G400" s="1">
        <f>INT(BndLvl/2)</f>
        <v>0</v>
      </c>
      <c r="K400" s="1">
        <v>2</v>
      </c>
      <c r="L400" s="1">
        <v>4</v>
      </c>
      <c r="V400" s="1">
        <v>0.5</v>
      </c>
      <c r="W400" s="1">
        <v>0.34</v>
      </c>
      <c r="X400" s="1">
        <v>0.34</v>
      </c>
      <c r="Y400" s="1">
        <v>0.5</v>
      </c>
      <c r="Z400" s="1" t="b">
        <f>FALSE</f>
        <v>0</v>
      </c>
      <c r="AA400" s="1" t="str">
        <f t="shared" si="329"/>
        <v/>
      </c>
      <c r="AB400" s="1" t="str">
        <f t="shared" si="330"/>
        <v/>
      </c>
      <c r="AC400" s="1">
        <f t="shared" si="327"/>
        <v>0</v>
      </c>
      <c r="AD400" s="1" t="str">
        <f t="shared" si="331"/>
        <v/>
      </c>
      <c r="AE400" s="1" t="str">
        <f t="shared" si="332"/>
        <v/>
      </c>
      <c r="AF400" s="1">
        <f t="shared" si="328"/>
        <v>0</v>
      </c>
      <c r="AG400" s="1">
        <f t="shared" si="333"/>
        <v>5</v>
      </c>
      <c r="AH400" s="1" t="str">
        <f t="shared" si="325"/>
        <v/>
      </c>
      <c r="AI400" s="1">
        <v>1</v>
      </c>
      <c r="AJ400" s="1">
        <f t="shared" ref="AJ400:AJ406" si="382">IF(HRXPH,1,0)</f>
        <v>0</v>
      </c>
      <c r="AK400" s="1">
        <v>1</v>
      </c>
      <c r="AL400" s="1">
        <v>1</v>
      </c>
      <c r="AM400" s="1">
        <v>1</v>
      </c>
      <c r="AN400" s="1">
        <f t="shared" ref="AN400:AN406" si="383">IF(IsLycanthrope,2,0)</f>
        <v>0</v>
      </c>
      <c r="AO400" s="1">
        <v>2</v>
      </c>
      <c r="AP400" s="1">
        <v>2</v>
      </c>
      <c r="AQ400" s="1">
        <v>2</v>
      </c>
      <c r="AR400" s="1">
        <v>2</v>
      </c>
      <c r="AS400" s="1">
        <v>2</v>
      </c>
      <c r="AT400" s="1">
        <v>2</v>
      </c>
      <c r="AU400" s="1">
        <v>2</v>
      </c>
      <c r="AV400" s="1">
        <v>2</v>
      </c>
      <c r="AW400" s="1">
        <v>2</v>
      </c>
      <c r="AX400" s="1">
        <v>1</v>
      </c>
      <c r="AY400" s="1">
        <v>1</v>
      </c>
      <c r="AZ400" s="1">
        <v>1</v>
      </c>
      <c r="BA400" s="1">
        <v>1</v>
      </c>
      <c r="BB400" s="1">
        <v>1</v>
      </c>
      <c r="BC400" s="1">
        <v>1</v>
      </c>
      <c r="BD400" s="1">
        <v>1</v>
      </c>
      <c r="BE400" s="1">
        <v>1</v>
      </c>
      <c r="BF400" s="1">
        <v>1</v>
      </c>
      <c r="BG400" s="1">
        <f t="shared" ref="BG400:BG406" si="384">IF(HRRVL,1,0)</f>
        <v>0</v>
      </c>
      <c r="BH400" s="1">
        <f t="shared" ref="BH400:BH406" si="385">IF(HROA,1,0)</f>
        <v>0</v>
      </c>
      <c r="BI400" s="1">
        <v>1</v>
      </c>
      <c r="BJ400" s="1">
        <v>1</v>
      </c>
      <c r="BK400" s="1">
        <v>2</v>
      </c>
      <c r="BL400" s="1">
        <v>2</v>
      </c>
      <c r="BM400" s="1">
        <v>2</v>
      </c>
      <c r="BN400" s="1">
        <v>2</v>
      </c>
      <c r="BO400" s="1">
        <v>2</v>
      </c>
      <c r="BP400" s="1">
        <f>1+NOT(HRLivingGreyhawk)</f>
        <v>2</v>
      </c>
      <c r="BQ400" s="1">
        <f>IF(HRRVL,2,0)</f>
        <v>0</v>
      </c>
      <c r="BR400" s="1">
        <v>2</v>
      </c>
      <c r="BS400" s="1">
        <v>2</v>
      </c>
      <c r="BT400" s="1">
        <f>IF(HRXPH,2,0)</f>
        <v>0</v>
      </c>
      <c r="BU400" s="1">
        <f>IF(HRRVL,2,0)</f>
        <v>0</v>
      </c>
      <c r="BV400" s="1">
        <v>2</v>
      </c>
      <c r="BW400" s="1">
        <v>2</v>
      </c>
      <c r="BX400" s="1">
        <v>2</v>
      </c>
      <c r="BY400" s="1">
        <v>2</v>
      </c>
      <c r="BZ400" s="1">
        <v>2</v>
      </c>
      <c r="CA400" s="1">
        <v>2</v>
      </c>
      <c r="CB400" s="1">
        <v>2</v>
      </c>
      <c r="CC400" s="1">
        <v>2</v>
      </c>
      <c r="CD400" s="1">
        <v>2</v>
      </c>
      <c r="CE400" s="1">
        <v>2</v>
      </c>
      <c r="CF400" s="1">
        <v>1</v>
      </c>
      <c r="CG400" s="1">
        <f t="shared" ref="CG400:CG406" si="386">IF(HRToB,1,0)</f>
        <v>0</v>
      </c>
      <c r="CH400" s="1">
        <v>1</v>
      </c>
      <c r="CI400" s="1">
        <v>1</v>
      </c>
      <c r="CJ400" s="1">
        <v>1</v>
      </c>
      <c r="CK400" s="1">
        <v>1</v>
      </c>
      <c r="CL400" s="1">
        <v>1</v>
      </c>
      <c r="CM400" s="1">
        <v>1</v>
      </c>
      <c r="CN400" s="1">
        <v>1</v>
      </c>
      <c r="CO400" s="1">
        <v>1</v>
      </c>
      <c r="CP400" s="1">
        <v>2</v>
      </c>
      <c r="CQ400" s="1">
        <v>2</v>
      </c>
      <c r="CR400" s="1">
        <v>2</v>
      </c>
      <c r="CS400" s="1">
        <v>2</v>
      </c>
      <c r="CT400" s="1">
        <v>2</v>
      </c>
      <c r="CU400" s="1">
        <v>2</v>
      </c>
      <c r="CV400" s="1">
        <f t="shared" ref="CV400:CV406" si="387">IF(HRXPH,1,0)</f>
        <v>0</v>
      </c>
      <c r="CW400" s="1">
        <v>1</v>
      </c>
      <c r="CX400" s="1">
        <v>1</v>
      </c>
      <c r="CY400" s="1">
        <v>1</v>
      </c>
      <c r="CZ400" s="1">
        <f t="shared" ref="CZ400:CZ406" si="388">IF(HRCS,1,0)</f>
        <v>0</v>
      </c>
      <c r="DA400" s="1">
        <v>1</v>
      </c>
      <c r="DB400" s="1">
        <v>1</v>
      </c>
      <c r="DC400" s="1">
        <v>2</v>
      </c>
      <c r="DD400" s="1">
        <v>1</v>
      </c>
      <c r="DE400" s="1">
        <v>1</v>
      </c>
      <c r="DF400" s="1">
        <v>1</v>
      </c>
      <c r="DG400" s="1">
        <v>1</v>
      </c>
      <c r="DH400" s="1">
        <v>1</v>
      </c>
      <c r="DI400" s="1">
        <f t="shared" ref="DI400:DI406" si="389">IF(HRXPH,1,0)</f>
        <v>0</v>
      </c>
      <c r="DJ400" s="1">
        <v>1</v>
      </c>
      <c r="DK400" s="1" t="s">
        <v>231</v>
      </c>
      <c r="DL400" s="1" t="s">
        <v>101</v>
      </c>
      <c r="DR400" s="1" t="b">
        <f>SkKnowledgePlanesRanks&gt;=8</f>
        <v>0</v>
      </c>
      <c r="DS400" s="1" t="b">
        <f>OR(NOT(ISNA(MATCH("Auran",TblLangKnown,0))),NOT(ISNA(MATCH("Aquan",TblLangKnown,0))),NOT(ISNA(MATCH("Ignan",TblLangKnown,0))),NOT(ISNA(MATCH("Terran",TblLangKnown,0))))</f>
        <v>0</v>
      </c>
      <c r="DT400" s="1" t="b">
        <f ca="1">MaxArcaneSpellLevel&gt;=2</f>
        <v>0</v>
      </c>
      <c r="DU400" s="1" t="b">
        <f>FamiliarCell&gt;1</f>
        <v>0</v>
      </c>
      <c r="EA400" s="1" t="b">
        <f ca="1">AND(DM400:DZ400)</f>
        <v>0</v>
      </c>
      <c r="EB400" s="11" t="s">
        <v>334</v>
      </c>
      <c r="EC400" s="1" t="str">
        <f ca="1">IF(DR400,"","• 8 ranks in Knowledge(the planes).
")&amp;IF(DS400,"","• Ability to speak Aquan, Auran, Ignan, or Terran.
")&amp;IF(DT400,"","• Ability to cast 2nd level arcane spells.
")&amp;IF(DU400,"","• You must have a familiar.")</f>
        <v>• 8 ranks in Knowledge(the planes).
• Ability to speak Aquan, Auran, Ignan, or Terran.
• Ability to cast 2nd level arcane spells.
• You must have a familiar.</v>
      </c>
      <c r="ED400" s="11" t="s">
        <v>335</v>
      </c>
    </row>
    <row r="401" spans="1:134" ht="11.25" customHeight="1" x14ac:dyDescent="0.2">
      <c r="A401" s="1">
        <f t="shared" si="381"/>
        <v>398</v>
      </c>
      <c r="B401" s="1" t="s">
        <v>1053</v>
      </c>
      <c r="C401" s="1" t="s">
        <v>1054</v>
      </c>
      <c r="D401" s="1" t="s">
        <v>1055</v>
      </c>
      <c r="E401" s="1">
        <f t="shared" si="326"/>
        <v>0</v>
      </c>
      <c r="K401" s="1">
        <v>2</v>
      </c>
      <c r="L401" s="1">
        <v>10</v>
      </c>
      <c r="V401" s="1">
        <v>0.75</v>
      </c>
      <c r="W401" s="1">
        <v>0.5</v>
      </c>
      <c r="X401" s="1">
        <v>0.34</v>
      </c>
      <c r="Y401" s="1">
        <v>0.5</v>
      </c>
      <c r="Z401" s="1" t="b">
        <f>FALSE</f>
        <v>0</v>
      </c>
      <c r="AA401" s="1" t="str">
        <f t="shared" si="329"/>
        <v/>
      </c>
      <c r="AB401" s="1" t="str">
        <f t="shared" si="330"/>
        <v/>
      </c>
      <c r="AC401" s="1">
        <f t="shared" si="327"/>
        <v>0</v>
      </c>
      <c r="AD401" s="1" t="str">
        <f t="shared" si="331"/>
        <v/>
      </c>
      <c r="AE401" s="1" t="str">
        <f t="shared" si="332"/>
        <v/>
      </c>
      <c r="AF401" s="1">
        <f t="shared" si="328"/>
        <v>0</v>
      </c>
      <c r="AG401" s="1">
        <f t="shared" si="333"/>
        <v>5</v>
      </c>
      <c r="AH401" s="1" t="str">
        <f t="shared" si="325"/>
        <v/>
      </c>
      <c r="AI401" s="1">
        <v>1</v>
      </c>
      <c r="AJ401" s="1">
        <f t="shared" si="382"/>
        <v>0</v>
      </c>
      <c r="AK401" s="1">
        <v>1</v>
      </c>
      <c r="AL401" s="1">
        <v>1</v>
      </c>
      <c r="AM401" s="1">
        <v>2</v>
      </c>
      <c r="AN401" s="1">
        <f t="shared" si="383"/>
        <v>0</v>
      </c>
      <c r="AO401" s="1">
        <v>2</v>
      </c>
      <c r="AP401" s="1">
        <v>2</v>
      </c>
      <c r="AQ401" s="1">
        <v>2</v>
      </c>
      <c r="AR401" s="1">
        <v>2</v>
      </c>
      <c r="AS401" s="1">
        <v>2</v>
      </c>
      <c r="AT401" s="1">
        <v>2</v>
      </c>
      <c r="AU401" s="1">
        <v>2</v>
      </c>
      <c r="AV401" s="1">
        <v>2</v>
      </c>
      <c r="AW401" s="1">
        <v>1</v>
      </c>
      <c r="AX401" s="1">
        <v>2</v>
      </c>
      <c r="AY401" s="1">
        <v>1</v>
      </c>
      <c r="AZ401" s="1">
        <v>1</v>
      </c>
      <c r="BA401" s="1">
        <v>1</v>
      </c>
      <c r="BB401" s="1">
        <v>1</v>
      </c>
      <c r="BC401" s="1">
        <v>1</v>
      </c>
      <c r="BD401" s="1">
        <v>1</v>
      </c>
      <c r="BE401" s="1">
        <v>1</v>
      </c>
      <c r="BF401" s="1">
        <v>1</v>
      </c>
      <c r="BG401" s="1">
        <f t="shared" si="384"/>
        <v>0</v>
      </c>
      <c r="BH401" s="1">
        <f t="shared" si="385"/>
        <v>0</v>
      </c>
      <c r="BI401" s="1">
        <v>2</v>
      </c>
      <c r="BJ401" s="1">
        <v>2</v>
      </c>
      <c r="BK401" s="1">
        <v>1</v>
      </c>
      <c r="BL401" s="1">
        <v>1</v>
      </c>
      <c r="BM401" s="1">
        <v>1</v>
      </c>
      <c r="BN401" s="1">
        <v>1</v>
      </c>
      <c r="BO401" s="1">
        <v>1</v>
      </c>
      <c r="BP401" s="1">
        <v>1</v>
      </c>
      <c r="BQ401" s="1">
        <f t="shared" ref="BQ401:BQ406" si="390">IF(HRRVL,1,0)</f>
        <v>0</v>
      </c>
      <c r="BR401" s="1">
        <v>1</v>
      </c>
      <c r="BS401" s="1">
        <v>1</v>
      </c>
      <c r="BT401" s="1">
        <f t="shared" ref="BT401:BT406" si="391">IF(HRXPH,1,0)</f>
        <v>0</v>
      </c>
      <c r="BU401" s="1">
        <f>IF(HRRVL,1,0)</f>
        <v>0</v>
      </c>
      <c r="BV401" s="1">
        <v>1</v>
      </c>
      <c r="BW401" s="1">
        <v>1</v>
      </c>
      <c r="BX401" s="1">
        <v>1</v>
      </c>
      <c r="BY401" s="1">
        <v>1</v>
      </c>
      <c r="BZ401" s="1">
        <v>1</v>
      </c>
      <c r="CA401" s="1">
        <v>1</v>
      </c>
      <c r="CB401" s="1">
        <v>1</v>
      </c>
      <c r="CC401" s="1">
        <v>1</v>
      </c>
      <c r="CD401" s="1">
        <v>1</v>
      </c>
      <c r="CE401" s="1">
        <v>1</v>
      </c>
      <c r="CF401" s="1">
        <v>1</v>
      </c>
      <c r="CG401" s="1">
        <f t="shared" si="386"/>
        <v>0</v>
      </c>
      <c r="CH401" s="1">
        <v>1</v>
      </c>
      <c r="CI401" s="1">
        <v>1</v>
      </c>
      <c r="CJ401" s="1">
        <v>1</v>
      </c>
      <c r="CK401" s="1">
        <v>1</v>
      </c>
      <c r="CL401" s="1">
        <v>1</v>
      </c>
      <c r="CM401" s="1">
        <v>1</v>
      </c>
      <c r="CN401" s="1">
        <v>1</v>
      </c>
      <c r="CO401" s="1">
        <v>1</v>
      </c>
      <c r="CP401" s="1">
        <v>2</v>
      </c>
      <c r="CQ401" s="1">
        <v>2</v>
      </c>
      <c r="CR401" s="1">
        <v>2</v>
      </c>
      <c r="CS401" s="1">
        <v>2</v>
      </c>
      <c r="CT401" s="1">
        <v>2</v>
      </c>
      <c r="CU401" s="1">
        <v>2</v>
      </c>
      <c r="CV401" s="1">
        <f t="shared" si="387"/>
        <v>0</v>
      </c>
      <c r="CW401" s="1">
        <v>2</v>
      </c>
      <c r="CX401" s="1">
        <v>1</v>
      </c>
      <c r="CY401" s="1">
        <v>2</v>
      </c>
      <c r="CZ401" s="1">
        <f t="shared" si="388"/>
        <v>0</v>
      </c>
      <c r="DA401" s="1">
        <v>1</v>
      </c>
      <c r="DB401" s="1">
        <v>1</v>
      </c>
      <c r="DC401" s="1">
        <v>1</v>
      </c>
      <c r="DD401" s="1">
        <v>1</v>
      </c>
      <c r="DE401" s="1">
        <v>1</v>
      </c>
      <c r="DF401" s="1">
        <v>2</v>
      </c>
      <c r="DG401" s="1">
        <v>1</v>
      </c>
      <c r="DH401" s="1">
        <v>1</v>
      </c>
      <c r="DI401" s="1">
        <f t="shared" si="389"/>
        <v>0</v>
      </c>
      <c r="DJ401" s="1">
        <v>1</v>
      </c>
      <c r="DK401" s="1" t="s">
        <v>231</v>
      </c>
      <c r="DL401" s="1" t="s">
        <v>101</v>
      </c>
      <c r="DR401" s="1" t="b">
        <f>BaseAtk&gt;=5</f>
        <v>0</v>
      </c>
      <c r="DS401" s="1" t="b">
        <f>SkKnowledgeArcanaRanks&gt;=2</f>
        <v>0</v>
      </c>
      <c r="EA401" s="1" t="b">
        <f t="shared" ref="EA401:EA406" si="392">AND(DM401:DZ401)</f>
        <v>0</v>
      </c>
      <c r="EB401" s="11" t="s">
        <v>334</v>
      </c>
      <c r="EC401" s="1" t="str">
        <f>IF(DR401,"","• A base attack bonus of +5 or higher.
")&amp;IF(DS401,"","• 2 ranks in Knowledge(arcana).")</f>
        <v>• A base attack bonus of +5 or higher.
• 2 ranks in Knowledge(arcana).</v>
      </c>
      <c r="ED401" s="11" t="s">
        <v>335</v>
      </c>
    </row>
    <row r="402" spans="1:134" ht="11.25" customHeight="1" x14ac:dyDescent="0.2">
      <c r="A402" s="1">
        <f t="shared" si="381"/>
        <v>399</v>
      </c>
      <c r="B402" s="1" t="s">
        <v>1056</v>
      </c>
      <c r="C402" s="1" t="s">
        <v>1057</v>
      </c>
      <c r="D402" s="1" t="s">
        <v>1057</v>
      </c>
      <c r="E402" s="1">
        <f t="shared" si="326"/>
        <v>0</v>
      </c>
      <c r="G402" s="1">
        <f>INT(HvMLvl/2)+(HvMLvl&gt;=5)</f>
        <v>0</v>
      </c>
      <c r="K402" s="1">
        <v>2</v>
      </c>
      <c r="L402" s="1">
        <v>8</v>
      </c>
      <c r="V402" s="1">
        <v>0.75</v>
      </c>
      <c r="W402" s="1">
        <v>0.5</v>
      </c>
      <c r="X402" s="1">
        <v>0.34</v>
      </c>
      <c r="Y402" s="1">
        <v>0.5</v>
      </c>
      <c r="Z402" s="1" t="b">
        <f>FALSE</f>
        <v>0</v>
      </c>
      <c r="AA402" s="1" t="str">
        <f t="shared" si="329"/>
        <v/>
      </c>
      <c r="AB402" s="1" t="str">
        <f t="shared" si="330"/>
        <v/>
      </c>
      <c r="AC402" s="1">
        <f t="shared" si="327"/>
        <v>0</v>
      </c>
      <c r="AD402" s="1" t="str">
        <f t="shared" si="331"/>
        <v/>
      </c>
      <c r="AE402" s="1" t="str">
        <f t="shared" si="332"/>
        <v/>
      </c>
      <c r="AF402" s="1">
        <f t="shared" si="328"/>
        <v>0</v>
      </c>
      <c r="AG402" s="1">
        <f t="shared" si="333"/>
        <v>5</v>
      </c>
      <c r="AH402" s="1" t="str">
        <f t="shared" si="325"/>
        <v/>
      </c>
      <c r="AI402" s="1">
        <v>1</v>
      </c>
      <c r="AJ402" s="1">
        <f t="shared" si="382"/>
        <v>0</v>
      </c>
      <c r="AK402" s="1">
        <v>1</v>
      </c>
      <c r="AL402" s="1">
        <v>1</v>
      </c>
      <c r="AM402" s="1">
        <v>2</v>
      </c>
      <c r="AN402" s="1">
        <f t="shared" si="383"/>
        <v>0</v>
      </c>
      <c r="AO402" s="1">
        <v>2</v>
      </c>
      <c r="AP402" s="1">
        <v>2</v>
      </c>
      <c r="AQ402" s="1">
        <v>2</v>
      </c>
      <c r="AR402" s="1">
        <v>2</v>
      </c>
      <c r="AS402" s="1">
        <v>2</v>
      </c>
      <c r="AT402" s="1">
        <v>2</v>
      </c>
      <c r="AU402" s="1">
        <v>2</v>
      </c>
      <c r="AV402" s="1">
        <v>2</v>
      </c>
      <c r="AW402" s="1">
        <v>1</v>
      </c>
      <c r="AX402" s="1">
        <v>1</v>
      </c>
      <c r="AY402" s="1">
        <v>1</v>
      </c>
      <c r="AZ402" s="1">
        <v>1</v>
      </c>
      <c r="BA402" s="1">
        <v>1</v>
      </c>
      <c r="BB402" s="1">
        <v>1</v>
      </c>
      <c r="BC402" s="1">
        <v>1</v>
      </c>
      <c r="BD402" s="1">
        <v>2</v>
      </c>
      <c r="BE402" s="1">
        <v>1</v>
      </c>
      <c r="BF402" s="1">
        <v>1</v>
      </c>
      <c r="BG402" s="1">
        <f t="shared" si="384"/>
        <v>0</v>
      </c>
      <c r="BH402" s="1">
        <f t="shared" si="385"/>
        <v>0</v>
      </c>
      <c r="BI402" s="1">
        <v>2</v>
      </c>
      <c r="BJ402" s="1">
        <v>2</v>
      </c>
      <c r="BK402" s="1">
        <v>2</v>
      </c>
      <c r="BL402" s="1">
        <v>1</v>
      </c>
      <c r="BM402" s="1">
        <v>1</v>
      </c>
      <c r="BN402" s="1">
        <v>1</v>
      </c>
      <c r="BO402" s="1">
        <v>1</v>
      </c>
      <c r="BP402" s="1">
        <v>1</v>
      </c>
      <c r="BQ402" s="1">
        <f t="shared" si="390"/>
        <v>0</v>
      </c>
      <c r="BR402" s="1">
        <v>1</v>
      </c>
      <c r="BS402" s="1">
        <v>1</v>
      </c>
      <c r="BT402" s="1">
        <f t="shared" si="391"/>
        <v>0</v>
      </c>
      <c r="BU402" s="1">
        <f>IF(HRRVL,1,0)</f>
        <v>0</v>
      </c>
      <c r="BV402" s="1">
        <v>1</v>
      </c>
      <c r="BW402" s="1">
        <v>1</v>
      </c>
      <c r="BX402" s="1">
        <v>1</v>
      </c>
      <c r="BY402" s="1">
        <v>1</v>
      </c>
      <c r="BZ402" s="1">
        <v>1</v>
      </c>
      <c r="CA402" s="1">
        <v>1</v>
      </c>
      <c r="CB402" s="1">
        <v>1</v>
      </c>
      <c r="CC402" s="1">
        <v>1</v>
      </c>
      <c r="CD402" s="1">
        <v>1</v>
      </c>
      <c r="CE402" s="1">
        <v>1</v>
      </c>
      <c r="CF402" s="1">
        <v>1</v>
      </c>
      <c r="CG402" s="1">
        <f t="shared" si="386"/>
        <v>0</v>
      </c>
      <c r="CH402" s="1">
        <v>1</v>
      </c>
      <c r="CI402" s="1">
        <v>1</v>
      </c>
      <c r="CJ402" s="1">
        <v>1</v>
      </c>
      <c r="CK402" s="1">
        <v>1</v>
      </c>
      <c r="CL402" s="1">
        <v>1</v>
      </c>
      <c r="CM402" s="1">
        <v>1</v>
      </c>
      <c r="CN402" s="1">
        <v>1</v>
      </c>
      <c r="CO402" s="1">
        <v>1</v>
      </c>
      <c r="CP402" s="1">
        <v>1</v>
      </c>
      <c r="CQ402" s="1">
        <v>1</v>
      </c>
      <c r="CR402" s="1">
        <v>1</v>
      </c>
      <c r="CS402" s="1">
        <v>1</v>
      </c>
      <c r="CT402" s="1">
        <v>1</v>
      </c>
      <c r="CU402" s="1">
        <v>1</v>
      </c>
      <c r="CV402" s="1">
        <f t="shared" si="387"/>
        <v>0</v>
      </c>
      <c r="CW402" s="1">
        <v>2</v>
      </c>
      <c r="CX402" s="1">
        <v>1</v>
      </c>
      <c r="CY402" s="1">
        <v>1</v>
      </c>
      <c r="CZ402" s="1">
        <f t="shared" si="388"/>
        <v>0</v>
      </c>
      <c r="DA402" s="1">
        <v>1</v>
      </c>
      <c r="DB402" s="1">
        <v>1</v>
      </c>
      <c r="DC402" s="1">
        <v>2</v>
      </c>
      <c r="DD402" s="1">
        <v>1</v>
      </c>
      <c r="DE402" s="1">
        <v>1</v>
      </c>
      <c r="DF402" s="1">
        <v>2</v>
      </c>
      <c r="DG402" s="1">
        <v>1</v>
      </c>
      <c r="DH402" s="1">
        <v>1</v>
      </c>
      <c r="DI402" s="1">
        <f t="shared" si="389"/>
        <v>0</v>
      </c>
      <c r="DJ402" s="1">
        <v>1</v>
      </c>
      <c r="DK402" s="1" t="s">
        <v>231</v>
      </c>
      <c r="DL402" s="1" t="s">
        <v>101</v>
      </c>
      <c r="DR402" s="1" t="b">
        <f>BaseAtk&gt;=4</f>
        <v>0</v>
      </c>
      <c r="DS402" s="1" t="b">
        <f>SkKnowledgeArcanaRanks&gt;=5</f>
        <v>0</v>
      </c>
      <c r="DT402" s="1" t="b">
        <f ca="1">MaxArcaneSpellLevel&gt;=2</f>
        <v>0</v>
      </c>
      <c r="EA402" s="1" t="b">
        <f ca="1">AND(DM402:DZ402)</f>
        <v>0</v>
      </c>
      <c r="EB402" s="11" t="s">
        <v>334</v>
      </c>
      <c r="EC402" s="1" t="str">
        <f ca="1">IF(DR402,"","• A base attack bonus of +4 or higher.
")&amp;IF(DS402,"","• 5 ranks in Knowledge(arcana).
")&amp;IF(DT402,"","• Ability to cast 2nd level arcane spells.")</f>
        <v>• A base attack bonus of +4 or higher.
• 5 ranks in Knowledge(arcana).
• Ability to cast 2nd level arcane spells.</v>
      </c>
      <c r="ED402" s="11" t="s">
        <v>335</v>
      </c>
    </row>
    <row r="403" spans="1:134" ht="11.25" customHeight="1" x14ac:dyDescent="0.2">
      <c r="A403" s="1">
        <f t="shared" si="381"/>
        <v>400</v>
      </c>
      <c r="B403" s="1" t="s">
        <v>1058</v>
      </c>
      <c r="C403" s="1" t="s">
        <v>1059</v>
      </c>
      <c r="D403" s="1" t="s">
        <v>1060</v>
      </c>
      <c r="E403" s="1">
        <f t="shared" si="326"/>
        <v>0</v>
      </c>
      <c r="K403" s="1">
        <v>6</v>
      </c>
      <c r="L403" s="1">
        <v>6</v>
      </c>
      <c r="V403" s="1">
        <v>0.75</v>
      </c>
      <c r="W403" s="1">
        <v>0.34</v>
      </c>
      <c r="X403" s="1">
        <v>0.5</v>
      </c>
      <c r="Y403" s="1">
        <v>0.5</v>
      </c>
      <c r="Z403" s="1" t="b">
        <f>FALSE</f>
        <v>0</v>
      </c>
      <c r="AA403" s="1" t="str">
        <f t="shared" si="329"/>
        <v/>
      </c>
      <c r="AB403" s="1" t="str">
        <f t="shared" si="330"/>
        <v/>
      </c>
      <c r="AC403" s="1">
        <f t="shared" si="327"/>
        <v>0</v>
      </c>
      <c r="AD403" s="1" t="str">
        <f t="shared" si="331"/>
        <v/>
      </c>
      <c r="AE403" s="1" t="str">
        <f t="shared" si="332"/>
        <v/>
      </c>
      <c r="AF403" s="1">
        <f t="shared" si="328"/>
        <v>0</v>
      </c>
      <c r="AG403" s="1">
        <f t="shared" si="333"/>
        <v>5</v>
      </c>
      <c r="AH403" s="1" t="str">
        <f t="shared" ref="AH403:AH466" si="393">IF(ROW()&gt;$AG$2,"",INDEX($B$5:$B$794,MATCH(ROW(),$AG$5:$AG$794,0)))</f>
        <v/>
      </c>
      <c r="AI403" s="1">
        <v>1</v>
      </c>
      <c r="AJ403" s="1">
        <f t="shared" si="382"/>
        <v>0</v>
      </c>
      <c r="AK403" s="1">
        <v>2</v>
      </c>
      <c r="AL403" s="1">
        <v>2</v>
      </c>
      <c r="AM403" s="1">
        <v>2</v>
      </c>
      <c r="AN403" s="1">
        <f t="shared" si="383"/>
        <v>0</v>
      </c>
      <c r="AO403" s="1">
        <v>1</v>
      </c>
      <c r="AP403" s="1">
        <v>2</v>
      </c>
      <c r="AQ403" s="1">
        <v>2</v>
      </c>
      <c r="AR403" s="1">
        <v>2</v>
      </c>
      <c r="AS403" s="1">
        <v>2</v>
      </c>
      <c r="AT403" s="1">
        <v>2</v>
      </c>
      <c r="AU403" s="1">
        <v>2</v>
      </c>
      <c r="AV403" s="1">
        <v>2</v>
      </c>
      <c r="AW403" s="1">
        <v>2</v>
      </c>
      <c r="AX403" s="1">
        <v>2</v>
      </c>
      <c r="AY403" s="1">
        <v>2</v>
      </c>
      <c r="AZ403" s="1">
        <v>2</v>
      </c>
      <c r="BA403" s="1">
        <v>2</v>
      </c>
      <c r="BB403" s="1">
        <v>2</v>
      </c>
      <c r="BC403" s="1">
        <v>2</v>
      </c>
      <c r="BD403" s="1">
        <v>1</v>
      </c>
      <c r="BE403" s="1">
        <v>1</v>
      </c>
      <c r="BF403" s="1">
        <v>2</v>
      </c>
      <c r="BG403" s="1">
        <f t="shared" si="384"/>
        <v>0</v>
      </c>
      <c r="BH403" s="1">
        <f t="shared" si="385"/>
        <v>0</v>
      </c>
      <c r="BI403" s="1">
        <v>2</v>
      </c>
      <c r="BJ403" s="1">
        <v>2</v>
      </c>
      <c r="BK403" s="1">
        <v>2</v>
      </c>
      <c r="BL403" s="1">
        <v>1</v>
      </c>
      <c r="BM403" s="1">
        <v>1</v>
      </c>
      <c r="BN403" s="1">
        <v>1</v>
      </c>
      <c r="BO403" s="1">
        <v>1</v>
      </c>
      <c r="BP403" s="1">
        <v>1</v>
      </c>
      <c r="BQ403" s="1">
        <f t="shared" si="390"/>
        <v>0</v>
      </c>
      <c r="BR403" s="1">
        <v>1</v>
      </c>
      <c r="BS403" s="1">
        <v>1</v>
      </c>
      <c r="BT403" s="1">
        <f t="shared" si="391"/>
        <v>0</v>
      </c>
      <c r="BU403" s="1">
        <f>IF(HRRVL,2,0)</f>
        <v>0</v>
      </c>
      <c r="BV403" s="1">
        <v>2</v>
      </c>
      <c r="BW403" s="1">
        <v>1</v>
      </c>
      <c r="BX403" s="1">
        <v>1</v>
      </c>
      <c r="BY403" s="1">
        <v>1</v>
      </c>
      <c r="BZ403" s="1">
        <v>1</v>
      </c>
      <c r="CA403" s="1">
        <v>1</v>
      </c>
      <c r="CB403" s="1">
        <v>1</v>
      </c>
      <c r="CC403" s="1">
        <v>1</v>
      </c>
      <c r="CD403" s="1">
        <v>1</v>
      </c>
      <c r="CE403" s="1">
        <v>1</v>
      </c>
      <c r="CF403" s="1">
        <v>2</v>
      </c>
      <c r="CG403" s="1">
        <f t="shared" si="386"/>
        <v>0</v>
      </c>
      <c r="CH403" s="1">
        <v>2</v>
      </c>
      <c r="CI403" s="1">
        <v>2</v>
      </c>
      <c r="CJ403" s="1">
        <v>1</v>
      </c>
      <c r="CK403" s="1">
        <v>1</v>
      </c>
      <c r="CL403" s="1">
        <v>1</v>
      </c>
      <c r="CM403" s="1">
        <v>1</v>
      </c>
      <c r="CN403" s="1">
        <v>1</v>
      </c>
      <c r="CO403" s="1">
        <v>1</v>
      </c>
      <c r="CP403" s="1">
        <v>1</v>
      </c>
      <c r="CQ403" s="1">
        <v>1</v>
      </c>
      <c r="CR403" s="1">
        <v>1</v>
      </c>
      <c r="CS403" s="1">
        <v>1</v>
      </c>
      <c r="CT403" s="1">
        <v>1</v>
      </c>
      <c r="CU403" s="1">
        <v>1</v>
      </c>
      <c r="CV403" s="1">
        <f t="shared" si="387"/>
        <v>0</v>
      </c>
      <c r="CW403" s="1">
        <v>1</v>
      </c>
      <c r="CX403" s="1">
        <v>2</v>
      </c>
      <c r="CY403" s="1">
        <v>2</v>
      </c>
      <c r="CZ403" s="1">
        <f t="shared" si="388"/>
        <v>0</v>
      </c>
      <c r="DA403" s="1">
        <v>1</v>
      </c>
      <c r="DB403" s="1">
        <v>1</v>
      </c>
      <c r="DC403" s="1">
        <v>1</v>
      </c>
      <c r="DD403" s="1">
        <v>2</v>
      </c>
      <c r="DE403" s="1">
        <v>1</v>
      </c>
      <c r="DF403" s="1">
        <v>2</v>
      </c>
      <c r="DG403" s="1">
        <v>2</v>
      </c>
      <c r="DH403" s="1">
        <v>1</v>
      </c>
      <c r="DI403" s="1">
        <f t="shared" si="389"/>
        <v>0</v>
      </c>
      <c r="DJ403" s="1">
        <v>1</v>
      </c>
      <c r="DK403" s="1" t="s">
        <v>231</v>
      </c>
      <c r="DL403" s="1" t="s">
        <v>101</v>
      </c>
      <c r="DR403" s="1" t="b">
        <f>AlignmentGood</f>
        <v>1</v>
      </c>
      <c r="DS403" s="1" t="b">
        <f>SkKnowledgeReligionRanks&gt;=8</f>
        <v>0</v>
      </c>
      <c r="DT403" s="1" t="b">
        <f>AND(TurnLvl&gt;=1,TurnRebuke="Turn")</f>
        <v>0</v>
      </c>
      <c r="DU403" s="1" t="b">
        <f>(SneakAttack+SuddenStrike+PsionicSneakAttack)&gt;=2</f>
        <v>0</v>
      </c>
      <c r="EA403" s="1" t="b">
        <f>AND(DM403:DZ403)</f>
        <v>0</v>
      </c>
      <c r="EB403" s="11" t="s">
        <v>334</v>
      </c>
      <c r="EC403" s="1" t="str">
        <f>IF(DR403,"","• Any Good alignment.
")&amp;IF(DS403,"","• 8 ranks in Knowledge(religion).
")&amp;IF(DT403,"","• Ability to Turn Undead.
")&amp;IF(DU403,"","• Sneak Attack +2d6.")</f>
        <v>• 8 ranks in Knowledge(religion).
• Ability to Turn Undead.
• Sneak Attack +2d6.</v>
      </c>
      <c r="ED403" s="11" t="s">
        <v>335</v>
      </c>
    </row>
    <row r="404" spans="1:134" ht="11.25" customHeight="1" x14ac:dyDescent="0.2">
      <c r="A404" s="1">
        <f t="shared" si="381"/>
        <v>401</v>
      </c>
      <c r="B404" s="1" t="s">
        <v>1061</v>
      </c>
      <c r="C404" s="1" t="s">
        <v>1062</v>
      </c>
      <c r="D404" s="1" t="s">
        <v>1062</v>
      </c>
      <c r="E404" s="1">
        <f t="shared" si="326"/>
        <v>0</v>
      </c>
      <c r="K404" s="1">
        <v>2</v>
      </c>
      <c r="L404" s="1">
        <v>10</v>
      </c>
      <c r="N404" s="1" t="b">
        <v>1</v>
      </c>
      <c r="O404" s="1" t="b">
        <v>1</v>
      </c>
      <c r="P404" s="1" t="b">
        <v>1</v>
      </c>
      <c r="Q404" s="1" t="b">
        <v>1</v>
      </c>
      <c r="S404" s="1" t="b">
        <v>1</v>
      </c>
      <c r="T404" s="1" t="b">
        <v>1</v>
      </c>
      <c r="V404" s="1">
        <v>1</v>
      </c>
      <c r="W404" s="1">
        <v>0.5</v>
      </c>
      <c r="X404" s="1">
        <v>0.34</v>
      </c>
      <c r="Y404" s="1">
        <v>0.34</v>
      </c>
      <c r="Z404" s="1" t="b">
        <f>FALSE</f>
        <v>0</v>
      </c>
      <c r="AA404" s="1" t="str">
        <f t="shared" si="329"/>
        <v/>
      </c>
      <c r="AB404" s="1" t="str">
        <f t="shared" si="330"/>
        <v/>
      </c>
      <c r="AC404" s="1">
        <f t="shared" si="327"/>
        <v>0</v>
      </c>
      <c r="AD404" s="1" t="str">
        <f t="shared" si="331"/>
        <v/>
      </c>
      <c r="AE404" s="1" t="str">
        <f t="shared" si="332"/>
        <v/>
      </c>
      <c r="AF404" s="1">
        <f t="shared" si="328"/>
        <v>0</v>
      </c>
      <c r="AG404" s="1">
        <f t="shared" si="333"/>
        <v>5</v>
      </c>
      <c r="AH404" s="1" t="str">
        <f t="shared" si="393"/>
        <v/>
      </c>
      <c r="AI404" s="1">
        <v>1</v>
      </c>
      <c r="AJ404" s="1">
        <f t="shared" si="382"/>
        <v>0</v>
      </c>
      <c r="AK404" s="1">
        <v>1</v>
      </c>
      <c r="AL404" s="1">
        <v>1</v>
      </c>
      <c r="AM404" s="1">
        <v>2</v>
      </c>
      <c r="AN404" s="1">
        <f t="shared" si="383"/>
        <v>0</v>
      </c>
      <c r="AO404" s="1">
        <v>1</v>
      </c>
      <c r="AP404" s="1">
        <v>2</v>
      </c>
      <c r="AQ404" s="1">
        <v>2</v>
      </c>
      <c r="AR404" s="1">
        <v>2</v>
      </c>
      <c r="AS404" s="1">
        <v>2</v>
      </c>
      <c r="AT404" s="1">
        <v>2</v>
      </c>
      <c r="AU404" s="1">
        <v>2</v>
      </c>
      <c r="AV404" s="1">
        <v>2</v>
      </c>
      <c r="AW404" s="1">
        <v>1</v>
      </c>
      <c r="AX404" s="1">
        <v>1</v>
      </c>
      <c r="AY404" s="1">
        <v>1</v>
      </c>
      <c r="AZ404" s="1">
        <v>1</v>
      </c>
      <c r="BA404" s="1">
        <v>1</v>
      </c>
      <c r="BB404" s="1">
        <v>1</v>
      </c>
      <c r="BC404" s="1">
        <v>1</v>
      </c>
      <c r="BD404" s="1">
        <v>2</v>
      </c>
      <c r="BE404" s="1">
        <v>1</v>
      </c>
      <c r="BF404" s="1">
        <v>1</v>
      </c>
      <c r="BG404" s="1">
        <f t="shared" si="384"/>
        <v>0</v>
      </c>
      <c r="BH404" s="1">
        <f t="shared" si="385"/>
        <v>0</v>
      </c>
      <c r="BI404" s="1">
        <v>2</v>
      </c>
      <c r="BJ404" s="1">
        <v>2</v>
      </c>
      <c r="BK404" s="1">
        <v>1</v>
      </c>
      <c r="BL404" s="1">
        <v>1</v>
      </c>
      <c r="BM404" s="1">
        <v>1</v>
      </c>
      <c r="BN404" s="1">
        <v>1</v>
      </c>
      <c r="BO404" s="1">
        <v>1</v>
      </c>
      <c r="BP404" s="1">
        <v>1</v>
      </c>
      <c r="BQ404" s="1">
        <f t="shared" si="390"/>
        <v>0</v>
      </c>
      <c r="BR404" s="1">
        <v>1</v>
      </c>
      <c r="BS404" s="1">
        <v>1</v>
      </c>
      <c r="BT404" s="1">
        <f t="shared" si="391"/>
        <v>0</v>
      </c>
      <c r="BU404" s="1">
        <f>IF(HRRVL,1,0)</f>
        <v>0</v>
      </c>
      <c r="BV404" s="1">
        <v>1</v>
      </c>
      <c r="BW404" s="1">
        <v>1</v>
      </c>
      <c r="BX404" s="1">
        <v>1</v>
      </c>
      <c r="BY404" s="1">
        <v>1</v>
      </c>
      <c r="BZ404" s="1">
        <v>1</v>
      </c>
      <c r="CA404" s="1">
        <v>1</v>
      </c>
      <c r="CB404" s="1">
        <v>1</v>
      </c>
      <c r="CC404" s="1">
        <v>1</v>
      </c>
      <c r="CD404" s="1">
        <v>1</v>
      </c>
      <c r="CE404" s="1">
        <v>1</v>
      </c>
      <c r="CF404" s="1">
        <v>1</v>
      </c>
      <c r="CG404" s="1">
        <f t="shared" si="386"/>
        <v>0</v>
      </c>
      <c r="CH404" s="1">
        <v>1</v>
      </c>
      <c r="CI404" s="1">
        <v>1</v>
      </c>
      <c r="CJ404" s="1">
        <v>1</v>
      </c>
      <c r="CK404" s="1">
        <v>1</v>
      </c>
      <c r="CL404" s="1">
        <v>1</v>
      </c>
      <c r="CM404" s="1">
        <v>1</v>
      </c>
      <c r="CN404" s="1">
        <v>1</v>
      </c>
      <c r="CO404" s="1">
        <v>1</v>
      </c>
      <c r="CP404" s="1">
        <v>1</v>
      </c>
      <c r="CQ404" s="1">
        <v>1</v>
      </c>
      <c r="CR404" s="1">
        <v>1</v>
      </c>
      <c r="CS404" s="1">
        <v>1</v>
      </c>
      <c r="CT404" s="1">
        <v>1</v>
      </c>
      <c r="CU404" s="1">
        <v>1</v>
      </c>
      <c r="CV404" s="1">
        <f t="shared" si="387"/>
        <v>0</v>
      </c>
      <c r="CW404" s="1">
        <v>2</v>
      </c>
      <c r="CX404" s="1">
        <v>1</v>
      </c>
      <c r="CY404" s="1">
        <v>2</v>
      </c>
      <c r="CZ404" s="1">
        <f t="shared" si="388"/>
        <v>0</v>
      </c>
      <c r="DA404" s="1">
        <v>1</v>
      </c>
      <c r="DB404" s="1">
        <v>1</v>
      </c>
      <c r="DC404" s="1">
        <v>1</v>
      </c>
      <c r="DD404" s="1">
        <v>1</v>
      </c>
      <c r="DE404" s="1">
        <v>1</v>
      </c>
      <c r="DF404" s="1">
        <v>2</v>
      </c>
      <c r="DG404" s="1">
        <v>1</v>
      </c>
      <c r="DH404" s="1">
        <v>1</v>
      </c>
      <c r="DI404" s="1">
        <f t="shared" si="389"/>
        <v>0</v>
      </c>
      <c r="DJ404" s="1">
        <v>1</v>
      </c>
      <c r="DK404" s="1" t="s">
        <v>231</v>
      </c>
      <c r="DL404" s="1" t="s">
        <v>101</v>
      </c>
      <c r="DR404" s="1" t="b">
        <f>BaseAtk&gt;=5</f>
        <v>0</v>
      </c>
      <c r="DS404" s="1" t="b">
        <f>SkSenseMotiveRanks&gt;=2</f>
        <v>0</v>
      </c>
      <c r="DT404" s="1" t="b">
        <f>FtCleave</f>
        <v>0</v>
      </c>
      <c r="DU404" s="1" t="b">
        <f>OR(FtCombatReflexes,FtEvasiveReflexes)</f>
        <v>0</v>
      </c>
      <c r="EA404" s="1" t="b">
        <f t="shared" si="392"/>
        <v>0</v>
      </c>
      <c r="EB404" s="11" t="s">
        <v>334</v>
      </c>
      <c r="EC404" s="1" t="str">
        <f>IF(DR404,"","• A base attack bonus of +5 or higher.
")&amp;IF(DS404,"","• 2 ranks in Sense Motive.
")&amp;IF(DT404,"","• Cleave Feat.
")&amp;IF(DU404,"","• Combat Reflexes Feat.")</f>
        <v>• A base attack bonus of +5 or higher.
• 2 ranks in Sense Motive.
• Cleave Feat.
• Combat Reflexes Feat.</v>
      </c>
      <c r="ED404" s="11" t="s">
        <v>335</v>
      </c>
    </row>
    <row r="405" spans="1:134" ht="11.25" customHeight="1" x14ac:dyDescent="0.2">
      <c r="A405" s="1">
        <f t="shared" si="381"/>
        <v>402</v>
      </c>
      <c r="B405" s="1" t="s">
        <v>1063</v>
      </c>
      <c r="C405" s="1" t="s">
        <v>1064</v>
      </c>
      <c r="D405" s="1" t="s">
        <v>379</v>
      </c>
      <c r="E405" s="1">
        <f t="shared" si="326"/>
        <v>0</v>
      </c>
      <c r="K405" s="1">
        <v>2</v>
      </c>
      <c r="L405" s="1">
        <v>12</v>
      </c>
      <c r="V405" s="1">
        <v>0</v>
      </c>
      <c r="W405" s="1">
        <v>0.5</v>
      </c>
      <c r="X405" s="1">
        <v>0.34</v>
      </c>
      <c r="Y405" s="1">
        <v>0.34</v>
      </c>
      <c r="Z405" s="1" t="b">
        <f>FALSE</f>
        <v>0</v>
      </c>
      <c r="AA405" s="1" t="str">
        <f t="shared" si="329"/>
        <v/>
      </c>
      <c r="AB405" s="1" t="str">
        <f t="shared" si="330"/>
        <v/>
      </c>
      <c r="AC405" s="1">
        <f t="shared" si="327"/>
        <v>0</v>
      </c>
      <c r="AD405" s="1" t="str">
        <f t="shared" si="331"/>
        <v/>
      </c>
      <c r="AE405" s="1" t="str">
        <f t="shared" si="332"/>
        <v/>
      </c>
      <c r="AF405" s="1">
        <f t="shared" si="328"/>
        <v>0</v>
      </c>
      <c r="AG405" s="1">
        <f t="shared" ref="AG405:AG468" si="394">IF($AC405&gt;0,$AG404+1,$AG404)</f>
        <v>5</v>
      </c>
      <c r="AH405" s="1" t="str">
        <f t="shared" si="393"/>
        <v/>
      </c>
      <c r="AI405" s="1">
        <v>1</v>
      </c>
      <c r="AJ405" s="1">
        <f t="shared" si="382"/>
        <v>0</v>
      </c>
      <c r="AK405" s="1">
        <v>1</v>
      </c>
      <c r="AL405" s="1">
        <v>1</v>
      </c>
      <c r="AM405" s="1">
        <v>2</v>
      </c>
      <c r="AN405" s="1">
        <f t="shared" si="383"/>
        <v>0</v>
      </c>
      <c r="AO405" s="1">
        <v>1</v>
      </c>
      <c r="AP405" s="1">
        <v>1</v>
      </c>
      <c r="AQ405" s="1">
        <v>1</v>
      </c>
      <c r="AR405" s="1">
        <v>1</v>
      </c>
      <c r="AS405" s="1">
        <v>1</v>
      </c>
      <c r="AT405" s="1">
        <v>1</v>
      </c>
      <c r="AU405" s="1">
        <v>1</v>
      </c>
      <c r="AV405" s="1">
        <v>1</v>
      </c>
      <c r="AW405" s="1">
        <v>1</v>
      </c>
      <c r="AX405" s="1">
        <v>1</v>
      </c>
      <c r="AY405" s="1">
        <v>1</v>
      </c>
      <c r="AZ405" s="1">
        <v>1</v>
      </c>
      <c r="BA405" s="1">
        <v>1</v>
      </c>
      <c r="BB405" s="1">
        <v>1</v>
      </c>
      <c r="BC405" s="1">
        <v>1</v>
      </c>
      <c r="BD405" s="1">
        <v>1</v>
      </c>
      <c r="BE405" s="1">
        <v>1</v>
      </c>
      <c r="BF405" s="1">
        <v>1</v>
      </c>
      <c r="BG405" s="1">
        <f t="shared" si="384"/>
        <v>0</v>
      </c>
      <c r="BH405" s="1">
        <f t="shared" si="385"/>
        <v>0</v>
      </c>
      <c r="BI405" s="1">
        <v>2</v>
      </c>
      <c r="BJ405" s="1">
        <v>2</v>
      </c>
      <c r="BK405" s="1">
        <v>1</v>
      </c>
      <c r="BL405" s="1">
        <v>1</v>
      </c>
      <c r="BM405" s="1">
        <v>1</v>
      </c>
      <c r="BN405" s="1">
        <v>1</v>
      </c>
      <c r="BO405" s="1">
        <v>1</v>
      </c>
      <c r="BP405" s="1">
        <v>1</v>
      </c>
      <c r="BQ405" s="1">
        <f t="shared" si="390"/>
        <v>0</v>
      </c>
      <c r="BR405" s="1">
        <v>1</v>
      </c>
      <c r="BS405" s="1">
        <v>1</v>
      </c>
      <c r="BT405" s="1">
        <f t="shared" si="391"/>
        <v>0</v>
      </c>
      <c r="BU405" s="1">
        <f>IF(HRRVL,1,0)</f>
        <v>0</v>
      </c>
      <c r="BV405" s="1">
        <v>1</v>
      </c>
      <c r="BW405" s="1">
        <v>1</v>
      </c>
      <c r="BX405" s="1">
        <v>1</v>
      </c>
      <c r="BY405" s="1">
        <v>1</v>
      </c>
      <c r="BZ405" s="1">
        <v>1</v>
      </c>
      <c r="CA405" s="1">
        <v>1</v>
      </c>
      <c r="CB405" s="1">
        <v>1</v>
      </c>
      <c r="CC405" s="1">
        <v>1</v>
      </c>
      <c r="CD405" s="1">
        <v>1</v>
      </c>
      <c r="CE405" s="1">
        <v>1</v>
      </c>
      <c r="CF405" s="1">
        <v>1</v>
      </c>
      <c r="CG405" s="1">
        <f t="shared" si="386"/>
        <v>0</v>
      </c>
      <c r="CH405" s="1">
        <v>1</v>
      </c>
      <c r="CI405" s="1">
        <v>1</v>
      </c>
      <c r="CJ405" s="1">
        <v>1</v>
      </c>
      <c r="CK405" s="1">
        <v>1</v>
      </c>
      <c r="CL405" s="1">
        <v>1</v>
      </c>
      <c r="CM405" s="1">
        <v>1</v>
      </c>
      <c r="CN405" s="1">
        <v>1</v>
      </c>
      <c r="CO405" s="1">
        <v>1</v>
      </c>
      <c r="CP405" s="1">
        <v>1</v>
      </c>
      <c r="CQ405" s="1">
        <v>1</v>
      </c>
      <c r="CR405" s="1">
        <v>1</v>
      </c>
      <c r="CS405" s="1">
        <v>1</v>
      </c>
      <c r="CT405" s="1">
        <v>1</v>
      </c>
      <c r="CU405" s="1">
        <v>1</v>
      </c>
      <c r="CV405" s="1">
        <f t="shared" si="387"/>
        <v>0</v>
      </c>
      <c r="CW405" s="1">
        <v>1</v>
      </c>
      <c r="CX405" s="1">
        <v>1</v>
      </c>
      <c r="CY405" s="1">
        <v>1</v>
      </c>
      <c r="CZ405" s="1">
        <f t="shared" si="388"/>
        <v>0</v>
      </c>
      <c r="DA405" s="1">
        <v>1</v>
      </c>
      <c r="DB405" s="1">
        <v>1</v>
      </c>
      <c r="DC405" s="1">
        <v>1</v>
      </c>
      <c r="DD405" s="1">
        <v>1</v>
      </c>
      <c r="DE405" s="1">
        <v>1</v>
      </c>
      <c r="DF405" s="1">
        <v>1</v>
      </c>
      <c r="DG405" s="1">
        <v>1</v>
      </c>
      <c r="DH405" s="1">
        <v>1</v>
      </c>
      <c r="DI405" s="1">
        <f t="shared" si="389"/>
        <v>0</v>
      </c>
      <c r="DJ405" s="1">
        <v>1</v>
      </c>
      <c r="DK405" s="1" t="s">
        <v>231</v>
      </c>
      <c r="DL405" s="1" t="s">
        <v>170</v>
      </c>
      <c r="DR405" s="1" t="b">
        <f>BaseAtk&gt;=5</f>
        <v>0</v>
      </c>
      <c r="DS405" s="1" t="b">
        <f>FtCleave</f>
        <v>0</v>
      </c>
      <c r="DT405" s="1" t="b">
        <f>SizeNumber&gt;=6</f>
        <v>0</v>
      </c>
      <c r="EA405" s="1" t="b">
        <f>AND(DM405:DZ405)</f>
        <v>0</v>
      </c>
      <c r="EB405" s="11" t="s">
        <v>334</v>
      </c>
      <c r="EC405" s="1" t="str">
        <f>IF(DR405,"","• A base attack bonus of +5 or higher.
")&amp;IF(DS405,"","• Cleave feat.
")&amp;IF(DT405,"","• Size Large or larger.")</f>
        <v>• A base attack bonus of +5 or higher.
• Cleave feat.
• Size Large or larger.</v>
      </c>
      <c r="ED405" s="11" t="s">
        <v>335</v>
      </c>
    </row>
    <row r="406" spans="1:134" ht="11.25" customHeight="1" x14ac:dyDescent="0.2">
      <c r="A406" s="1">
        <f t="shared" si="381"/>
        <v>403</v>
      </c>
      <c r="B406" s="1" t="s">
        <v>1065</v>
      </c>
      <c r="C406" s="1" t="s">
        <v>373</v>
      </c>
      <c r="D406" s="1" t="s">
        <v>373</v>
      </c>
      <c r="E406" s="1">
        <f t="shared" si="326"/>
        <v>0</v>
      </c>
      <c r="K406" s="1">
        <v>2</v>
      </c>
      <c r="L406" s="1">
        <v>10</v>
      </c>
      <c r="V406" s="1">
        <v>0.75</v>
      </c>
      <c r="W406" s="1">
        <v>0.5</v>
      </c>
      <c r="X406" s="1">
        <v>0.34</v>
      </c>
      <c r="Y406" s="1">
        <v>0.5</v>
      </c>
      <c r="Z406" s="1" t="b">
        <f>FALSE</f>
        <v>0</v>
      </c>
      <c r="AA406" s="1" t="str">
        <f t="shared" si="329"/>
        <v/>
      </c>
      <c r="AB406" s="1" t="str">
        <f t="shared" si="330"/>
        <v/>
      </c>
      <c r="AC406" s="1">
        <f t="shared" si="327"/>
        <v>0</v>
      </c>
      <c r="AD406" s="1" t="str">
        <f t="shared" si="331"/>
        <v/>
      </c>
      <c r="AE406" s="1" t="str">
        <f t="shared" si="332"/>
        <v/>
      </c>
      <c r="AF406" s="1">
        <f t="shared" si="328"/>
        <v>0</v>
      </c>
      <c r="AG406" s="1">
        <f t="shared" si="394"/>
        <v>5</v>
      </c>
      <c r="AH406" s="1" t="str">
        <f t="shared" si="393"/>
        <v/>
      </c>
      <c r="AI406" s="1">
        <v>1</v>
      </c>
      <c r="AJ406" s="1">
        <f t="shared" si="382"/>
        <v>0</v>
      </c>
      <c r="AK406" s="1">
        <v>1</v>
      </c>
      <c r="AL406" s="1">
        <v>2</v>
      </c>
      <c r="AM406" s="1">
        <v>2</v>
      </c>
      <c r="AN406" s="1">
        <f t="shared" si="383"/>
        <v>0</v>
      </c>
      <c r="AO406" s="1">
        <v>1</v>
      </c>
      <c r="AP406" s="1">
        <v>2</v>
      </c>
      <c r="AQ406" s="1">
        <v>2</v>
      </c>
      <c r="AR406" s="1">
        <v>2</v>
      </c>
      <c r="AS406" s="1">
        <v>2</v>
      </c>
      <c r="AT406" s="1">
        <v>2</v>
      </c>
      <c r="AU406" s="1">
        <v>2</v>
      </c>
      <c r="AV406" s="1">
        <v>2</v>
      </c>
      <c r="AW406" s="1">
        <v>1</v>
      </c>
      <c r="AX406" s="1">
        <v>2</v>
      </c>
      <c r="AY406" s="1">
        <v>1</v>
      </c>
      <c r="AZ406" s="1">
        <v>1</v>
      </c>
      <c r="BA406" s="1">
        <v>1</v>
      </c>
      <c r="BB406" s="1">
        <v>1</v>
      </c>
      <c r="BC406" s="1">
        <v>1</v>
      </c>
      <c r="BD406" s="1">
        <v>2</v>
      </c>
      <c r="BE406" s="1">
        <v>1</v>
      </c>
      <c r="BF406" s="1">
        <v>1</v>
      </c>
      <c r="BG406" s="1">
        <f t="shared" si="384"/>
        <v>0</v>
      </c>
      <c r="BH406" s="1">
        <f t="shared" si="385"/>
        <v>0</v>
      </c>
      <c r="BI406" s="1">
        <v>2</v>
      </c>
      <c r="BJ406" s="1">
        <v>2</v>
      </c>
      <c r="BK406" s="1">
        <v>1</v>
      </c>
      <c r="BL406" s="1">
        <v>1</v>
      </c>
      <c r="BM406" s="1">
        <v>1</v>
      </c>
      <c r="BN406" s="1">
        <v>1</v>
      </c>
      <c r="BO406" s="1">
        <v>1</v>
      </c>
      <c r="BP406" s="1">
        <v>1</v>
      </c>
      <c r="BQ406" s="1">
        <f t="shared" si="390"/>
        <v>0</v>
      </c>
      <c r="BR406" s="1">
        <v>1</v>
      </c>
      <c r="BS406" s="1">
        <v>1</v>
      </c>
      <c r="BT406" s="1">
        <f t="shared" si="391"/>
        <v>0</v>
      </c>
      <c r="BU406" s="1">
        <f>IF(HRRVL,1,0)</f>
        <v>0</v>
      </c>
      <c r="BV406" s="1">
        <v>1</v>
      </c>
      <c r="BW406" s="1">
        <v>1</v>
      </c>
      <c r="BX406" s="1">
        <v>1</v>
      </c>
      <c r="BY406" s="1">
        <v>1</v>
      </c>
      <c r="BZ406" s="1">
        <v>1</v>
      </c>
      <c r="CA406" s="1">
        <v>1</v>
      </c>
      <c r="CB406" s="1">
        <v>1</v>
      </c>
      <c r="CC406" s="1">
        <v>1</v>
      </c>
      <c r="CD406" s="1">
        <v>1</v>
      </c>
      <c r="CE406" s="1">
        <v>1</v>
      </c>
      <c r="CF406" s="1">
        <v>1</v>
      </c>
      <c r="CG406" s="1">
        <f t="shared" si="386"/>
        <v>0</v>
      </c>
      <c r="CH406" s="1">
        <v>1</v>
      </c>
      <c r="CI406" s="1">
        <v>1</v>
      </c>
      <c r="CJ406" s="1">
        <v>1</v>
      </c>
      <c r="CK406" s="1">
        <v>1</v>
      </c>
      <c r="CL406" s="1">
        <v>1</v>
      </c>
      <c r="CM406" s="1">
        <v>1</v>
      </c>
      <c r="CN406" s="1">
        <v>1</v>
      </c>
      <c r="CO406" s="1">
        <v>1</v>
      </c>
      <c r="CP406" s="1">
        <v>1</v>
      </c>
      <c r="CQ406" s="1">
        <v>1</v>
      </c>
      <c r="CR406" s="1">
        <v>1</v>
      </c>
      <c r="CS406" s="1">
        <v>1</v>
      </c>
      <c r="CT406" s="1">
        <v>1</v>
      </c>
      <c r="CU406" s="1">
        <v>1</v>
      </c>
      <c r="CV406" s="1">
        <f t="shared" si="387"/>
        <v>0</v>
      </c>
      <c r="CW406" s="1">
        <v>2</v>
      </c>
      <c r="CX406" s="1">
        <v>1</v>
      </c>
      <c r="CY406" s="1">
        <v>2</v>
      </c>
      <c r="CZ406" s="1">
        <f t="shared" si="388"/>
        <v>0</v>
      </c>
      <c r="DA406" s="1">
        <v>1</v>
      </c>
      <c r="DB406" s="1">
        <v>1</v>
      </c>
      <c r="DC406" s="1">
        <v>1</v>
      </c>
      <c r="DD406" s="1">
        <v>1</v>
      </c>
      <c r="DE406" s="1">
        <v>1</v>
      </c>
      <c r="DF406" s="1">
        <v>2</v>
      </c>
      <c r="DG406" s="1">
        <v>1</v>
      </c>
      <c r="DH406" s="1">
        <v>1</v>
      </c>
      <c r="DI406" s="1">
        <f t="shared" si="389"/>
        <v>0</v>
      </c>
      <c r="DJ406" s="1">
        <v>1</v>
      </c>
      <c r="DK406" s="1" t="s">
        <v>231</v>
      </c>
      <c r="DL406" s="1" t="s">
        <v>170</v>
      </c>
      <c r="DR406" s="1" t="b">
        <f>BaseAtk&gt;=3</f>
        <v>0</v>
      </c>
      <c r="EA406" s="1" t="b">
        <f t="shared" si="392"/>
        <v>0</v>
      </c>
      <c r="EB406" s="11" t="s">
        <v>338</v>
      </c>
      <c r="EC406" s="1" t="str">
        <f>IF(DR406,"","• A base attack bonus of +3 or higher.
")&amp;"• You must have led a tribe (not verified)."</f>
        <v>• A base attack bonus of +3 or higher.
• You must have led a tribe (not verified).</v>
      </c>
      <c r="ED406" s="11" t="s">
        <v>335</v>
      </c>
    </row>
    <row r="407" spans="1:134" ht="11.25" customHeight="1" x14ac:dyDescent="0.2">
      <c r="A407" s="1">
        <f t="shared" si="381"/>
        <v>404</v>
      </c>
      <c r="B407" s="1" t="s">
        <v>1066</v>
      </c>
      <c r="E407" s="1">
        <f t="shared" si="326"/>
        <v>0</v>
      </c>
      <c r="F407" s="1">
        <v>1</v>
      </c>
      <c r="Z407" s="1" t="b">
        <f>FALSE</f>
        <v>0</v>
      </c>
      <c r="AA407" s="1" t="str">
        <f t="shared" si="329"/>
        <v/>
      </c>
      <c r="AB407" s="1" t="str">
        <f t="shared" si="330"/>
        <v/>
      </c>
      <c r="AC407" s="1">
        <f t="shared" si="327"/>
        <v>0</v>
      </c>
      <c r="AD407" s="1" t="str">
        <f t="shared" si="331"/>
        <v/>
      </c>
      <c r="AE407" s="1" t="str">
        <f t="shared" si="332"/>
        <v/>
      </c>
      <c r="AF407" s="1">
        <f t="shared" si="328"/>
        <v>0</v>
      </c>
      <c r="AG407" s="1">
        <f t="shared" si="394"/>
        <v>5</v>
      </c>
      <c r="AH407" s="1" t="str">
        <f t="shared" si="393"/>
        <v/>
      </c>
      <c r="EB407" s="11"/>
      <c r="ED407" s="11" t="s">
        <v>335</v>
      </c>
    </row>
    <row r="408" spans="1:134" ht="11.25" customHeight="1" x14ac:dyDescent="0.2">
      <c r="A408" s="1">
        <f t="shared" si="381"/>
        <v>405</v>
      </c>
      <c r="B408" s="1" t="s">
        <v>1067</v>
      </c>
      <c r="C408" s="1" t="s">
        <v>1068</v>
      </c>
      <c r="D408" s="1" t="s">
        <v>1068</v>
      </c>
      <c r="E408" s="1">
        <f t="shared" si="326"/>
        <v>0</v>
      </c>
      <c r="G408" s="1">
        <f>CebLvl</f>
        <v>0</v>
      </c>
      <c r="I408" s="1">
        <f>E408</f>
        <v>0</v>
      </c>
      <c r="K408" s="1">
        <v>2</v>
      </c>
      <c r="L408" s="1">
        <v>4</v>
      </c>
      <c r="V408" s="1">
        <v>0.5</v>
      </c>
      <c r="W408" s="1">
        <v>0.34</v>
      </c>
      <c r="X408" s="1">
        <v>0.34</v>
      </c>
      <c r="Y408" s="1">
        <v>0.5</v>
      </c>
      <c r="Z408" s="1" t="b">
        <f>FALSE</f>
        <v>0</v>
      </c>
      <c r="AA408" s="1" t="str">
        <f t="shared" si="329"/>
        <v/>
      </c>
      <c r="AB408" s="1" t="str">
        <f t="shared" si="330"/>
        <v/>
      </c>
      <c r="AC408" s="1">
        <f t="shared" si="327"/>
        <v>0</v>
      </c>
      <c r="AD408" s="1" t="str">
        <f t="shared" si="331"/>
        <v/>
      </c>
      <c r="AE408" s="1" t="str">
        <f t="shared" si="332"/>
        <v/>
      </c>
      <c r="AF408" s="1">
        <f t="shared" si="328"/>
        <v>0</v>
      </c>
      <c r="AG408" s="1">
        <f t="shared" si="394"/>
        <v>5</v>
      </c>
      <c r="AH408" s="1" t="str">
        <f t="shared" si="393"/>
        <v/>
      </c>
      <c r="AI408" s="1">
        <v>1</v>
      </c>
      <c r="AJ408" s="1">
        <v>1</v>
      </c>
      <c r="AK408" s="1">
        <v>1</v>
      </c>
      <c r="AL408" s="1">
        <v>1</v>
      </c>
      <c r="AM408" s="1">
        <v>1</v>
      </c>
      <c r="AN408" s="1">
        <f t="shared" ref="AN408:AN416" si="395">IF(IsLycanthrope,2,0)</f>
        <v>0</v>
      </c>
      <c r="AO408" s="1">
        <v>2</v>
      </c>
      <c r="AP408" s="1">
        <v>2</v>
      </c>
      <c r="AQ408" s="1">
        <v>2</v>
      </c>
      <c r="AR408" s="1">
        <v>2</v>
      </c>
      <c r="AS408" s="1">
        <v>2</v>
      </c>
      <c r="AT408" s="1">
        <v>2</v>
      </c>
      <c r="AU408" s="1">
        <v>2</v>
      </c>
      <c r="AV408" s="1">
        <v>2</v>
      </c>
      <c r="AW408" s="1">
        <v>2</v>
      </c>
      <c r="AX408" s="1">
        <v>1</v>
      </c>
      <c r="AY408" s="1">
        <v>1</v>
      </c>
      <c r="AZ408" s="1">
        <v>1</v>
      </c>
      <c r="BA408" s="1">
        <v>1</v>
      </c>
      <c r="BB408" s="1">
        <v>1</v>
      </c>
      <c r="BC408" s="1">
        <v>1</v>
      </c>
      <c r="BD408" s="1">
        <v>1</v>
      </c>
      <c r="BE408" s="1">
        <v>1</v>
      </c>
      <c r="BF408" s="1">
        <v>1</v>
      </c>
      <c r="BG408" s="1">
        <f t="shared" ref="BG408:BG416" si="396">IF(HRRVL,1,0)</f>
        <v>0</v>
      </c>
      <c r="BH408" s="1">
        <f t="shared" ref="BH408:BH416" si="397">IF(HROA,1,0)</f>
        <v>0</v>
      </c>
      <c r="BI408" s="1">
        <v>1</v>
      </c>
      <c r="BJ408" s="1">
        <v>1</v>
      </c>
      <c r="BK408" s="1">
        <v>2</v>
      </c>
      <c r="BL408" s="1">
        <v>1</v>
      </c>
      <c r="BM408" s="1">
        <v>1</v>
      </c>
      <c r="BN408" s="1">
        <v>1</v>
      </c>
      <c r="BO408" s="1">
        <v>1</v>
      </c>
      <c r="BP408" s="1">
        <v>1</v>
      </c>
      <c r="BQ408" s="1">
        <f t="shared" ref="BQ408:BQ416" si="398">IF(HRRVL,1,0)</f>
        <v>0</v>
      </c>
      <c r="BR408" s="1">
        <v>1</v>
      </c>
      <c r="BS408" s="1">
        <v>1</v>
      </c>
      <c r="BT408" s="1">
        <v>2</v>
      </c>
      <c r="BU408" s="1">
        <f>IF(HRRVL,1,0)</f>
        <v>0</v>
      </c>
      <c r="BV408" s="1">
        <v>1</v>
      </c>
      <c r="BW408" s="1">
        <v>1</v>
      </c>
      <c r="BX408" s="1">
        <v>1</v>
      </c>
      <c r="BY408" s="1">
        <v>1</v>
      </c>
      <c r="BZ408" s="1">
        <v>1</v>
      </c>
      <c r="CA408" s="1">
        <v>1</v>
      </c>
      <c r="CB408" s="1">
        <v>1</v>
      </c>
      <c r="CC408" s="1">
        <v>1</v>
      </c>
      <c r="CD408" s="1">
        <v>1</v>
      </c>
      <c r="CE408" s="1">
        <v>1</v>
      </c>
      <c r="CF408" s="1">
        <v>1</v>
      </c>
      <c r="CG408" s="1">
        <f t="shared" ref="CG408:CG416" si="399">IF(HRToB,1,0)</f>
        <v>0</v>
      </c>
      <c r="CH408" s="1">
        <v>1</v>
      </c>
      <c r="CI408" s="1">
        <v>1</v>
      </c>
      <c r="CJ408" s="1">
        <v>1</v>
      </c>
      <c r="CK408" s="1">
        <v>1</v>
      </c>
      <c r="CL408" s="1">
        <v>1</v>
      </c>
      <c r="CM408" s="1">
        <v>1</v>
      </c>
      <c r="CN408" s="1">
        <v>1</v>
      </c>
      <c r="CO408" s="1">
        <v>1</v>
      </c>
      <c r="CP408" s="1">
        <v>2</v>
      </c>
      <c r="CQ408" s="1">
        <v>2</v>
      </c>
      <c r="CR408" s="1">
        <v>2</v>
      </c>
      <c r="CS408" s="1">
        <v>2</v>
      </c>
      <c r="CT408" s="1">
        <v>2</v>
      </c>
      <c r="CU408" s="1">
        <v>2</v>
      </c>
      <c r="CV408" s="1">
        <v>2</v>
      </c>
      <c r="CW408" s="1">
        <v>1</v>
      </c>
      <c r="CX408" s="1">
        <v>1</v>
      </c>
      <c r="CY408" s="1">
        <v>1</v>
      </c>
      <c r="CZ408" s="1">
        <f t="shared" ref="CZ408:CZ416" si="400">IF(HRCS,1,0)</f>
        <v>0</v>
      </c>
      <c r="DA408" s="1">
        <v>1</v>
      </c>
      <c r="DB408" s="1">
        <v>1</v>
      </c>
      <c r="DC408" s="1">
        <v>2</v>
      </c>
      <c r="DD408" s="1">
        <v>1</v>
      </c>
      <c r="DE408" s="1">
        <v>1</v>
      </c>
      <c r="DF408" s="1">
        <v>1</v>
      </c>
      <c r="DG408" s="1">
        <v>1</v>
      </c>
      <c r="DH408" s="1">
        <v>1</v>
      </c>
      <c r="DI408" s="1">
        <v>1</v>
      </c>
      <c r="DJ408" s="1">
        <v>1</v>
      </c>
      <c r="DK408" s="1" t="s">
        <v>238</v>
      </c>
      <c r="DL408" s="1" t="s">
        <v>170</v>
      </c>
      <c r="DR408" s="1" t="b">
        <f>SkKnowledgeArcanaRanks&gt;=6</f>
        <v>0</v>
      </c>
      <c r="DS408" s="1" t="b">
        <f>SkKnowledgePsionicsRanks&gt;=6</f>
        <v>0</v>
      </c>
      <c r="DT408" s="1" t="b">
        <f ca="1">MaxArcaneSpellLevel&gt;=2</f>
        <v>0</v>
      </c>
      <c r="DU408" s="1" t="b">
        <f>MaxPowerLevel&gt;=2</f>
        <v>0</v>
      </c>
      <c r="EA408" s="1" t="b">
        <f ca="1">AND(DM408:DZ408)</f>
        <v>0</v>
      </c>
      <c r="EB408" s="11" t="s">
        <v>334</v>
      </c>
      <c r="EC408" s="1" t="str">
        <f ca="1">IF(DR408,"","• 6 ranks in Knowledge (arcana).
")&amp;IF(DS408,"","• 6 ranks in Knowledge (psionics).
")&amp;IF(DT408,"","• Able to cast 2nd-level arcane spells.
")&amp;IF(DU408,"","• Able to manifest 2nd-level powers.")</f>
        <v>• 6 ranks in Knowledge (arcana).
• 6 ranks in Knowledge (psionics).
• Able to cast 2nd-level arcane spells.
• Able to manifest 2nd-level powers.</v>
      </c>
      <c r="ED408" s="11" t="s">
        <v>335</v>
      </c>
    </row>
    <row r="409" spans="1:134" ht="11.25" customHeight="1" x14ac:dyDescent="0.2">
      <c r="A409" s="1">
        <f t="shared" si="381"/>
        <v>406</v>
      </c>
      <c r="B409" s="1" t="s">
        <v>1069</v>
      </c>
      <c r="C409" s="1" t="s">
        <v>1070</v>
      </c>
      <c r="D409" s="1" t="s">
        <v>1070</v>
      </c>
      <c r="E409" s="1">
        <f t="shared" si="326"/>
        <v>0</v>
      </c>
      <c r="I409" s="1">
        <f>E409-INT((E409+1)/3)</f>
        <v>0</v>
      </c>
      <c r="K409" s="1">
        <v>6</v>
      </c>
      <c r="L409" s="1">
        <v>6</v>
      </c>
      <c r="N409" s="1" t="b">
        <v>1</v>
      </c>
      <c r="S409" s="1" t="b">
        <v>1</v>
      </c>
      <c r="T409" s="1" t="b">
        <v>1</v>
      </c>
      <c r="V409" s="1">
        <v>0.75</v>
      </c>
      <c r="W409" s="1">
        <v>0.34</v>
      </c>
      <c r="X409" s="1">
        <v>0.5</v>
      </c>
      <c r="Y409" s="1">
        <v>0.5</v>
      </c>
      <c r="Z409" s="1" t="b">
        <f>FALSE</f>
        <v>0</v>
      </c>
      <c r="AA409" s="1" t="str">
        <f t="shared" si="329"/>
        <v/>
      </c>
      <c r="AB409" s="1" t="str">
        <f t="shared" si="330"/>
        <v/>
      </c>
      <c r="AC409" s="1">
        <f t="shared" si="327"/>
        <v>0</v>
      </c>
      <c r="AD409" s="1" t="str">
        <f t="shared" si="331"/>
        <v/>
      </c>
      <c r="AE409" s="1" t="str">
        <f t="shared" si="332"/>
        <v/>
      </c>
      <c r="AF409" s="1">
        <f t="shared" si="328"/>
        <v>0</v>
      </c>
      <c r="AG409" s="1">
        <f t="shared" si="394"/>
        <v>5</v>
      </c>
      <c r="AH409" s="1" t="str">
        <f t="shared" si="393"/>
        <v/>
      </c>
      <c r="AI409" s="1">
        <v>1</v>
      </c>
      <c r="AJ409" s="1">
        <v>2</v>
      </c>
      <c r="AK409" s="1">
        <v>2</v>
      </c>
      <c r="AL409" s="1">
        <v>1</v>
      </c>
      <c r="AM409" s="1">
        <v>2</v>
      </c>
      <c r="AN409" s="1">
        <f t="shared" si="395"/>
        <v>0</v>
      </c>
      <c r="AO409" s="1">
        <v>2</v>
      </c>
      <c r="AP409" s="1">
        <v>2</v>
      </c>
      <c r="AQ409" s="1">
        <v>2</v>
      </c>
      <c r="AR409" s="1">
        <v>2</v>
      </c>
      <c r="AS409" s="1">
        <v>2</v>
      </c>
      <c r="AT409" s="1">
        <v>2</v>
      </c>
      <c r="AU409" s="1">
        <v>2</v>
      </c>
      <c r="AV409" s="1">
        <v>2</v>
      </c>
      <c r="AW409" s="1">
        <v>1</v>
      </c>
      <c r="AX409" s="1">
        <v>1</v>
      </c>
      <c r="AY409" s="1">
        <v>2</v>
      </c>
      <c r="AZ409" s="1">
        <v>1</v>
      </c>
      <c r="BA409" s="1">
        <v>2</v>
      </c>
      <c r="BB409" s="1">
        <v>1</v>
      </c>
      <c r="BC409" s="1">
        <v>2</v>
      </c>
      <c r="BD409" s="1">
        <v>1</v>
      </c>
      <c r="BE409" s="1">
        <v>1</v>
      </c>
      <c r="BF409" s="1">
        <v>2</v>
      </c>
      <c r="BG409" s="1">
        <f t="shared" si="396"/>
        <v>0</v>
      </c>
      <c r="BH409" s="1">
        <f t="shared" si="397"/>
        <v>0</v>
      </c>
      <c r="BI409" s="1">
        <v>1</v>
      </c>
      <c r="BJ409" s="1">
        <v>2</v>
      </c>
      <c r="BK409" s="1">
        <v>1</v>
      </c>
      <c r="BL409" s="1">
        <v>1</v>
      </c>
      <c r="BM409" s="1">
        <v>1</v>
      </c>
      <c r="BN409" s="1">
        <v>1</v>
      </c>
      <c r="BO409" s="1">
        <v>1</v>
      </c>
      <c r="BP409" s="1">
        <f>1+NOT(HRLivingGreyhawk)</f>
        <v>2</v>
      </c>
      <c r="BQ409" s="1">
        <f t="shared" si="398"/>
        <v>0</v>
      </c>
      <c r="BR409" s="1">
        <v>1</v>
      </c>
      <c r="BS409" s="1">
        <v>1</v>
      </c>
      <c r="BT409" s="1">
        <v>2</v>
      </c>
      <c r="BU409" s="1">
        <f>IF(HRRVL,1,0)</f>
        <v>0</v>
      </c>
      <c r="BV409" s="1">
        <v>1</v>
      </c>
      <c r="BW409" s="1">
        <v>1</v>
      </c>
      <c r="BX409" s="1">
        <v>1</v>
      </c>
      <c r="BY409" s="1">
        <v>1</v>
      </c>
      <c r="BZ409" s="1">
        <v>1</v>
      </c>
      <c r="CA409" s="1">
        <v>1</v>
      </c>
      <c r="CB409" s="1">
        <v>1</v>
      </c>
      <c r="CC409" s="1">
        <v>1</v>
      </c>
      <c r="CD409" s="1">
        <v>1</v>
      </c>
      <c r="CE409" s="1">
        <v>1</v>
      </c>
      <c r="CF409" s="1">
        <v>2</v>
      </c>
      <c r="CG409" s="1">
        <f t="shared" si="399"/>
        <v>0</v>
      </c>
      <c r="CH409" s="1">
        <v>2</v>
      </c>
      <c r="CI409" s="1">
        <v>2</v>
      </c>
      <c r="CJ409" s="1">
        <v>2</v>
      </c>
      <c r="CK409" s="1">
        <v>2</v>
      </c>
      <c r="CL409" s="1">
        <v>2</v>
      </c>
      <c r="CM409" s="1">
        <v>2</v>
      </c>
      <c r="CN409" s="1">
        <v>2</v>
      </c>
      <c r="CO409" s="1">
        <v>2</v>
      </c>
      <c r="CP409" s="1">
        <v>2</v>
      </c>
      <c r="CQ409" s="1">
        <v>2</v>
      </c>
      <c r="CR409" s="1">
        <v>2</v>
      </c>
      <c r="CS409" s="1">
        <v>2</v>
      </c>
      <c r="CT409" s="1">
        <v>2</v>
      </c>
      <c r="CU409" s="1">
        <v>2</v>
      </c>
      <c r="CV409" s="1">
        <v>2</v>
      </c>
      <c r="CW409" s="1">
        <v>1</v>
      </c>
      <c r="CX409" s="1">
        <v>2</v>
      </c>
      <c r="CY409" s="1">
        <v>2</v>
      </c>
      <c r="CZ409" s="1">
        <f t="shared" si="400"/>
        <v>0</v>
      </c>
      <c r="DA409" s="1">
        <v>2</v>
      </c>
      <c r="DB409" s="1">
        <v>1</v>
      </c>
      <c r="DC409" s="1">
        <v>1</v>
      </c>
      <c r="DD409" s="1">
        <v>2</v>
      </c>
      <c r="DE409" s="1">
        <v>1</v>
      </c>
      <c r="DF409" s="1">
        <v>2</v>
      </c>
      <c r="DG409" s="1">
        <v>2</v>
      </c>
      <c r="DH409" s="1">
        <v>1</v>
      </c>
      <c r="DI409" s="1">
        <v>2</v>
      </c>
      <c r="DJ409" s="1">
        <v>2</v>
      </c>
      <c r="DK409" s="1" t="s">
        <v>238</v>
      </c>
      <c r="DL409" s="1" t="s">
        <v>170</v>
      </c>
      <c r="DR409" s="1" t="b">
        <f>BaseAtk&gt;=3</f>
        <v>0</v>
      </c>
      <c r="DS409" s="1" t="b">
        <f>SkConcentrationRanks&gt;=8</f>
        <v>0</v>
      </c>
      <c r="DT409" s="1" t="b">
        <f>FtMobility</f>
        <v>0</v>
      </c>
      <c r="DU409" s="1" t="b">
        <f>FtSpringAttack</f>
        <v>0</v>
      </c>
      <c r="DV409" s="1" t="b">
        <f>MaxPowerLevel&gt;=1</f>
        <v>0</v>
      </c>
      <c r="EA409" s="1" t="b">
        <f t="shared" ref="EA409:EA416" si="401">AND(DM409:DZ409)</f>
        <v>0</v>
      </c>
      <c r="EB409" s="11" t="s">
        <v>334</v>
      </c>
      <c r="EC409" s="1" t="str">
        <f>IF(DR409,"","• A base attack bonus of +3 or higher.
")&amp;IF(DS409,"","• 8 ranks in Concentration.
")&amp;IF(DT409,"","• Mobility feat.
")&amp;IF(DU409,"","• Spring Attack feat.
")&amp;IF(DV409,"","• Able to manifest 1st-level powers.")</f>
        <v>• A base attack bonus of +3 or higher.
• 8 ranks in Concentration.
• Mobility feat.
• Spring Attack feat.
• Able to manifest 1st-level powers.</v>
      </c>
      <c r="ED409" s="11" t="s">
        <v>335</v>
      </c>
    </row>
    <row r="410" spans="1:134" ht="11.25" customHeight="1" x14ac:dyDescent="0.2">
      <c r="A410" s="1">
        <f t="shared" si="381"/>
        <v>407</v>
      </c>
      <c r="B410" s="1" t="s">
        <v>1071</v>
      </c>
      <c r="C410" s="1" t="s">
        <v>1072</v>
      </c>
      <c r="D410" s="1" t="s">
        <v>1072</v>
      </c>
      <c r="E410" s="1">
        <f t="shared" si="326"/>
        <v>0</v>
      </c>
      <c r="K410" s="1">
        <v>4</v>
      </c>
      <c r="L410" s="1">
        <v>6</v>
      </c>
      <c r="V410" s="1">
        <v>0.75</v>
      </c>
      <c r="W410" s="1">
        <v>0.34</v>
      </c>
      <c r="X410" s="1">
        <v>0.5</v>
      </c>
      <c r="Y410" s="1">
        <v>0.5</v>
      </c>
      <c r="Z410" s="1" t="b">
        <f>FALSE</f>
        <v>0</v>
      </c>
      <c r="AA410" s="1" t="str">
        <f t="shared" si="329"/>
        <v/>
      </c>
      <c r="AB410" s="1" t="str">
        <f t="shared" si="330"/>
        <v/>
      </c>
      <c r="AC410" s="1">
        <f t="shared" si="327"/>
        <v>0</v>
      </c>
      <c r="AD410" s="1" t="str">
        <f t="shared" si="331"/>
        <v/>
      </c>
      <c r="AE410" s="1" t="str">
        <f t="shared" si="332"/>
        <v/>
      </c>
      <c r="AF410" s="1">
        <f t="shared" si="328"/>
        <v>0</v>
      </c>
      <c r="AG410" s="1">
        <f t="shared" si="394"/>
        <v>5</v>
      </c>
      <c r="AH410" s="1" t="str">
        <f t="shared" si="393"/>
        <v/>
      </c>
      <c r="AI410" s="1">
        <v>1</v>
      </c>
      <c r="AJ410" s="1">
        <v>2</v>
      </c>
      <c r="AK410" s="1">
        <v>1</v>
      </c>
      <c r="AL410" s="1">
        <v>1</v>
      </c>
      <c r="AM410" s="1">
        <v>1</v>
      </c>
      <c r="AN410" s="1">
        <f t="shared" si="395"/>
        <v>0</v>
      </c>
      <c r="AO410" s="1">
        <v>2</v>
      </c>
      <c r="AP410" s="1">
        <v>2</v>
      </c>
      <c r="AQ410" s="1">
        <v>2</v>
      </c>
      <c r="AR410" s="1">
        <v>2</v>
      </c>
      <c r="AS410" s="1">
        <v>2</v>
      </c>
      <c r="AT410" s="1">
        <v>2</v>
      </c>
      <c r="AU410" s="1">
        <v>2</v>
      </c>
      <c r="AV410" s="1">
        <v>2</v>
      </c>
      <c r="AW410" s="1">
        <v>1</v>
      </c>
      <c r="AX410" s="1">
        <v>1</v>
      </c>
      <c r="AY410" s="1">
        <v>1</v>
      </c>
      <c r="AZ410" s="1">
        <v>1</v>
      </c>
      <c r="BA410" s="1">
        <v>2</v>
      </c>
      <c r="BB410" s="1">
        <v>1</v>
      </c>
      <c r="BC410" s="1">
        <v>1</v>
      </c>
      <c r="BD410" s="1">
        <v>1</v>
      </c>
      <c r="BE410" s="1">
        <v>1</v>
      </c>
      <c r="BF410" s="1">
        <v>2</v>
      </c>
      <c r="BG410" s="1">
        <f t="shared" si="396"/>
        <v>0</v>
      </c>
      <c r="BH410" s="1">
        <f t="shared" si="397"/>
        <v>0</v>
      </c>
      <c r="BI410" s="1">
        <v>1</v>
      </c>
      <c r="BJ410" s="1">
        <v>2</v>
      </c>
      <c r="BK410" s="1">
        <v>1</v>
      </c>
      <c r="BL410" s="1">
        <v>1</v>
      </c>
      <c r="BM410" s="1">
        <v>1</v>
      </c>
      <c r="BN410" s="1">
        <v>1</v>
      </c>
      <c r="BO410" s="1">
        <v>1</v>
      </c>
      <c r="BP410" s="1">
        <v>1</v>
      </c>
      <c r="BQ410" s="1">
        <f t="shared" si="398"/>
        <v>0</v>
      </c>
      <c r="BR410" s="1">
        <v>1</v>
      </c>
      <c r="BS410" s="1">
        <v>1</v>
      </c>
      <c r="BT410" s="1">
        <v>2</v>
      </c>
      <c r="BU410" s="1">
        <f>IF(HRRVL,2,0)</f>
        <v>0</v>
      </c>
      <c r="BV410" s="1">
        <v>2</v>
      </c>
      <c r="BW410" s="1">
        <v>1</v>
      </c>
      <c r="BX410" s="1">
        <v>1</v>
      </c>
      <c r="BY410" s="1">
        <v>1</v>
      </c>
      <c r="BZ410" s="1">
        <v>1</v>
      </c>
      <c r="CA410" s="1">
        <v>1</v>
      </c>
      <c r="CB410" s="1">
        <v>1</v>
      </c>
      <c r="CC410" s="1">
        <v>1</v>
      </c>
      <c r="CD410" s="1">
        <v>1</v>
      </c>
      <c r="CE410" s="1">
        <v>1</v>
      </c>
      <c r="CF410" s="1">
        <v>2</v>
      </c>
      <c r="CG410" s="1">
        <f t="shared" si="399"/>
        <v>0</v>
      </c>
      <c r="CH410" s="1">
        <v>2</v>
      </c>
      <c r="CI410" s="1">
        <v>1</v>
      </c>
      <c r="CJ410" s="1">
        <v>1</v>
      </c>
      <c r="CK410" s="1">
        <v>1</v>
      </c>
      <c r="CL410" s="1">
        <v>1</v>
      </c>
      <c r="CM410" s="1">
        <v>1</v>
      </c>
      <c r="CN410" s="1">
        <v>1</v>
      </c>
      <c r="CO410" s="1">
        <v>1</v>
      </c>
      <c r="CP410" s="1">
        <v>1</v>
      </c>
      <c r="CQ410" s="1">
        <v>1</v>
      </c>
      <c r="CR410" s="1">
        <v>1</v>
      </c>
      <c r="CS410" s="1">
        <v>1</v>
      </c>
      <c r="CT410" s="1">
        <v>1</v>
      </c>
      <c r="CU410" s="1">
        <v>1</v>
      </c>
      <c r="CV410" s="1">
        <v>2</v>
      </c>
      <c r="CW410" s="1">
        <v>1</v>
      </c>
      <c r="CX410" s="1">
        <v>1</v>
      </c>
      <c r="CY410" s="1">
        <v>2</v>
      </c>
      <c r="CZ410" s="1">
        <f t="shared" si="400"/>
        <v>0</v>
      </c>
      <c r="DA410" s="1">
        <v>1</v>
      </c>
      <c r="DB410" s="1">
        <v>1</v>
      </c>
      <c r="DC410" s="1">
        <v>1</v>
      </c>
      <c r="DD410" s="1">
        <v>2</v>
      </c>
      <c r="DE410" s="1">
        <v>1</v>
      </c>
      <c r="DF410" s="1">
        <v>1</v>
      </c>
      <c r="DG410" s="1">
        <v>2</v>
      </c>
      <c r="DH410" s="1">
        <v>1</v>
      </c>
      <c r="DI410" s="1">
        <v>1</v>
      </c>
      <c r="DJ410" s="1">
        <v>1</v>
      </c>
      <c r="DK410" s="1" t="s">
        <v>238</v>
      </c>
      <c r="DL410" s="1" t="s">
        <v>170</v>
      </c>
      <c r="DR410" s="1" t="b">
        <f>BaseAtk&gt;=4</f>
        <v>0</v>
      </c>
      <c r="DS410" s="1" t="b">
        <f>SkConcentrationRanks&gt;=9</f>
        <v>0</v>
      </c>
      <c r="DT410" s="1" t="b">
        <f>FtWildTalent</f>
        <v>0</v>
      </c>
      <c r="DU410" s="1" t="b">
        <f>OR(MnkLvl&gt;=3,HCDLvl&gt;=4)</f>
        <v>0</v>
      </c>
      <c r="EA410" s="1" t="b">
        <f t="shared" si="401"/>
        <v>0</v>
      </c>
      <c r="EB410" s="11" t="s">
        <v>334</v>
      </c>
      <c r="EC410" s="1" t="str">
        <f>IF(DR410,"","• A base attack bonus of +4 or higher.
")&amp;IF(DS410,"","• 9 ranks in Concentration.
")&amp;IF(DT410,"","• Wild Talent feat.
")&amp;IF(DU410,"","• Still mind class feature.")</f>
        <v>• A base attack bonus of +4 or higher.
• 9 ranks in Concentration.
• Wild Talent feat.
• Still mind class feature.</v>
      </c>
      <c r="ED410" s="11" t="s">
        <v>335</v>
      </c>
    </row>
    <row r="411" spans="1:134" ht="11.25" customHeight="1" x14ac:dyDescent="0.2">
      <c r="A411" s="1">
        <f t="shared" si="381"/>
        <v>408</v>
      </c>
      <c r="B411" s="1" t="s">
        <v>1073</v>
      </c>
      <c r="C411" s="1" t="s">
        <v>1074</v>
      </c>
      <c r="D411" s="1" t="s">
        <v>1074</v>
      </c>
      <c r="E411" s="1">
        <f t="shared" si="326"/>
        <v>0</v>
      </c>
      <c r="I411" s="1">
        <f>(E411&gt;=2)*(E411-1)</f>
        <v>0</v>
      </c>
      <c r="K411" s="1">
        <v>4</v>
      </c>
      <c r="L411" s="1">
        <v>8</v>
      </c>
      <c r="N411" s="1" t="b">
        <v>1</v>
      </c>
      <c r="O411" s="1" t="b">
        <v>1</v>
      </c>
      <c r="P411" s="1" t="b">
        <v>1</v>
      </c>
      <c r="S411" s="1" t="b">
        <v>1</v>
      </c>
      <c r="T411" s="1" t="b">
        <v>1</v>
      </c>
      <c r="V411" s="1">
        <v>1</v>
      </c>
      <c r="W411" s="1">
        <v>0.34</v>
      </c>
      <c r="X411" s="1">
        <v>0.34</v>
      </c>
      <c r="Y411" s="1">
        <v>0.5</v>
      </c>
      <c r="Z411" s="1" t="b">
        <f>FALSE</f>
        <v>0</v>
      </c>
      <c r="AA411" s="1" t="str">
        <f t="shared" si="329"/>
        <v/>
      </c>
      <c r="AB411" s="1" t="str">
        <f t="shared" si="330"/>
        <v/>
      </c>
      <c r="AC411" s="1">
        <f t="shared" si="327"/>
        <v>0</v>
      </c>
      <c r="AD411" s="1" t="str">
        <f t="shared" si="331"/>
        <v/>
      </c>
      <c r="AE411" s="1" t="str">
        <f t="shared" si="332"/>
        <v/>
      </c>
      <c r="AF411" s="1">
        <f t="shared" si="328"/>
        <v>0</v>
      </c>
      <c r="AG411" s="1">
        <f t="shared" si="394"/>
        <v>5</v>
      </c>
      <c r="AH411" s="1" t="str">
        <f t="shared" si="393"/>
        <v/>
      </c>
      <c r="AI411" s="1">
        <v>1</v>
      </c>
      <c r="AJ411" s="1">
        <v>1</v>
      </c>
      <c r="AK411" s="1">
        <v>1</v>
      </c>
      <c r="AL411" s="1">
        <v>2</v>
      </c>
      <c r="AM411" s="1">
        <v>1</v>
      </c>
      <c r="AN411" s="1">
        <f t="shared" si="395"/>
        <v>0</v>
      </c>
      <c r="AO411" s="1">
        <v>2</v>
      </c>
      <c r="AP411" s="1">
        <v>1</v>
      </c>
      <c r="AQ411" s="1">
        <v>1</v>
      </c>
      <c r="AR411" s="1">
        <v>1</v>
      </c>
      <c r="AS411" s="1">
        <v>1</v>
      </c>
      <c r="AT411" s="1">
        <v>1</v>
      </c>
      <c r="AU411" s="1">
        <v>1</v>
      </c>
      <c r="AV411" s="1">
        <v>1</v>
      </c>
      <c r="AW411" s="1">
        <v>1</v>
      </c>
      <c r="AX411" s="1">
        <v>1</v>
      </c>
      <c r="AY411" s="1">
        <v>1</v>
      </c>
      <c r="AZ411" s="1">
        <v>1</v>
      </c>
      <c r="BA411" s="1">
        <v>1</v>
      </c>
      <c r="BB411" s="1">
        <v>1</v>
      </c>
      <c r="BC411" s="1">
        <v>1</v>
      </c>
      <c r="BD411" s="1">
        <v>1</v>
      </c>
      <c r="BE411" s="1">
        <v>1</v>
      </c>
      <c r="BF411" s="1">
        <v>1</v>
      </c>
      <c r="BG411" s="1">
        <f t="shared" si="396"/>
        <v>0</v>
      </c>
      <c r="BH411" s="1">
        <f t="shared" si="397"/>
        <v>0</v>
      </c>
      <c r="BI411" s="1">
        <v>1</v>
      </c>
      <c r="BJ411" s="1">
        <v>1</v>
      </c>
      <c r="BK411" s="1">
        <v>1</v>
      </c>
      <c r="BL411" s="1">
        <v>1</v>
      </c>
      <c r="BM411" s="1">
        <v>2</v>
      </c>
      <c r="BN411" s="1">
        <v>1</v>
      </c>
      <c r="BO411" s="1">
        <v>1</v>
      </c>
      <c r="BP411" s="1">
        <v>1</v>
      </c>
      <c r="BQ411" s="1">
        <f t="shared" si="398"/>
        <v>0</v>
      </c>
      <c r="BR411" s="1">
        <v>1</v>
      </c>
      <c r="BS411" s="1">
        <v>1</v>
      </c>
      <c r="BT411" s="1">
        <v>1</v>
      </c>
      <c r="BU411" s="1">
        <f t="shared" ref="BU411:BU416" si="402">IF(HRRVL,1,0)</f>
        <v>0</v>
      </c>
      <c r="BV411" s="1">
        <v>1</v>
      </c>
      <c r="BW411" s="1">
        <v>1</v>
      </c>
      <c r="BX411" s="1">
        <v>1</v>
      </c>
      <c r="BY411" s="1">
        <v>1</v>
      </c>
      <c r="BZ411" s="1">
        <v>1</v>
      </c>
      <c r="CA411" s="1">
        <v>1</v>
      </c>
      <c r="CB411" s="1">
        <v>1</v>
      </c>
      <c r="CC411" s="1">
        <v>1</v>
      </c>
      <c r="CD411" s="1">
        <v>1</v>
      </c>
      <c r="CE411" s="1">
        <v>1</v>
      </c>
      <c r="CF411" s="1">
        <v>2</v>
      </c>
      <c r="CG411" s="1">
        <f t="shared" si="399"/>
        <v>0</v>
      </c>
      <c r="CH411" s="1">
        <v>1</v>
      </c>
      <c r="CI411" s="1">
        <v>1</v>
      </c>
      <c r="CJ411" s="1">
        <v>1</v>
      </c>
      <c r="CK411" s="1">
        <v>1</v>
      </c>
      <c r="CL411" s="1">
        <v>1</v>
      </c>
      <c r="CM411" s="1">
        <v>1</v>
      </c>
      <c r="CN411" s="1">
        <v>1</v>
      </c>
      <c r="CO411" s="1">
        <v>1</v>
      </c>
      <c r="CP411" s="1">
        <v>1</v>
      </c>
      <c r="CQ411" s="1">
        <v>1</v>
      </c>
      <c r="CR411" s="1">
        <v>1</v>
      </c>
      <c r="CS411" s="1">
        <v>1</v>
      </c>
      <c r="CT411" s="1">
        <v>1</v>
      </c>
      <c r="CU411" s="1">
        <v>1</v>
      </c>
      <c r="CV411" s="1">
        <v>2</v>
      </c>
      <c r="CW411" s="1">
        <v>1</v>
      </c>
      <c r="CX411" s="1">
        <v>1</v>
      </c>
      <c r="CY411" s="1">
        <v>2</v>
      </c>
      <c r="CZ411" s="1">
        <f t="shared" si="400"/>
        <v>0</v>
      </c>
      <c r="DA411" s="1">
        <v>1</v>
      </c>
      <c r="DB411" s="1">
        <v>1</v>
      </c>
      <c r="DC411" s="1">
        <v>1</v>
      </c>
      <c r="DD411" s="1">
        <v>2</v>
      </c>
      <c r="DE411" s="1">
        <v>2</v>
      </c>
      <c r="DF411" s="1">
        <v>1</v>
      </c>
      <c r="DG411" s="1">
        <v>1</v>
      </c>
      <c r="DH411" s="1">
        <v>1</v>
      </c>
      <c r="DI411" s="1">
        <v>1</v>
      </c>
      <c r="DJ411" s="1">
        <v>1</v>
      </c>
      <c r="DK411" s="1" t="s">
        <v>238</v>
      </c>
      <c r="DL411" s="1" t="s">
        <v>170</v>
      </c>
      <c r="DR411" s="1" t="b">
        <f>BaseAtk&gt;=4</f>
        <v>0</v>
      </c>
      <c r="DS411" s="1" t="b">
        <f>SkKnowledgeDungeoneeringRanks&gt;=4</f>
        <v>0</v>
      </c>
      <c r="DT411" s="1" t="b">
        <f>FtTrack</f>
        <v>0</v>
      </c>
      <c r="DU411" s="1" t="b">
        <f>PowerPointReserve&gt;=1</f>
        <v>0</v>
      </c>
      <c r="EA411" s="1" t="b">
        <f t="shared" si="401"/>
        <v>0</v>
      </c>
      <c r="EB411" s="11" t="s">
        <v>338</v>
      </c>
      <c r="EC411" s="1" t="str">
        <f>IF(DR411,"","• A base attack bonus of +4 or higher.
")&amp;IF(DS411,"","• 4 ranks in Knowledge (dungeoneering).
")&amp;IF(DT411,"","• Track feat.
")&amp;IF(DU411,"","• Power point reserve of at least 1 power point.
")&amp;"• Must have killed an Illithid (not verified)."</f>
        <v>• A base attack bonus of +4 or higher.
• 4 ranks in Knowledge (dungeoneering).
• Track feat.
• Power point reserve of at least 1 power point.
• Must have killed an Illithid (not verified).</v>
      </c>
      <c r="ED411" s="11" t="s">
        <v>335</v>
      </c>
    </row>
    <row r="412" spans="1:134" ht="11.25" customHeight="1" x14ac:dyDescent="0.2">
      <c r="A412" s="1">
        <f t="shared" si="381"/>
        <v>409</v>
      </c>
      <c r="B412" s="1" t="s">
        <v>1075</v>
      </c>
      <c r="C412" s="1" t="s">
        <v>1076</v>
      </c>
      <c r="D412" s="1" t="s">
        <v>1076</v>
      </c>
      <c r="E412" s="1">
        <f t="shared" si="326"/>
        <v>0</v>
      </c>
      <c r="I412" s="1">
        <f>INT(E412/2)</f>
        <v>0</v>
      </c>
      <c r="K412" s="1">
        <v>2</v>
      </c>
      <c r="L412" s="1">
        <v>4</v>
      </c>
      <c r="V412" s="1">
        <v>0.5</v>
      </c>
      <c r="W412" s="1">
        <v>0.34</v>
      </c>
      <c r="X412" s="1">
        <v>0.34</v>
      </c>
      <c r="Y412" s="1">
        <v>0.5</v>
      </c>
      <c r="Z412" s="1" t="b">
        <f>FALSE</f>
        <v>0</v>
      </c>
      <c r="AA412" s="1" t="str">
        <f t="shared" si="329"/>
        <v/>
      </c>
      <c r="AB412" s="1" t="str">
        <f t="shared" si="330"/>
        <v/>
      </c>
      <c r="AC412" s="1">
        <f t="shared" si="327"/>
        <v>0</v>
      </c>
      <c r="AD412" s="1" t="str">
        <f t="shared" si="331"/>
        <v/>
      </c>
      <c r="AE412" s="1" t="str">
        <f t="shared" si="332"/>
        <v/>
      </c>
      <c r="AF412" s="1">
        <f t="shared" si="328"/>
        <v>0</v>
      </c>
      <c r="AG412" s="1">
        <f t="shared" si="394"/>
        <v>5</v>
      </c>
      <c r="AH412" s="1" t="str">
        <f t="shared" si="393"/>
        <v/>
      </c>
      <c r="AI412" s="1">
        <v>1</v>
      </c>
      <c r="AJ412" s="1">
        <v>2</v>
      </c>
      <c r="AK412" s="1">
        <v>1</v>
      </c>
      <c r="AL412" s="1">
        <v>1</v>
      </c>
      <c r="AM412" s="1">
        <v>1</v>
      </c>
      <c r="AN412" s="1">
        <f t="shared" si="395"/>
        <v>0</v>
      </c>
      <c r="AO412" s="1">
        <v>2</v>
      </c>
      <c r="AP412" s="1">
        <v>2</v>
      </c>
      <c r="AQ412" s="1">
        <v>2</v>
      </c>
      <c r="AR412" s="1">
        <v>2</v>
      </c>
      <c r="AS412" s="1">
        <v>2</v>
      </c>
      <c r="AT412" s="1">
        <v>2</v>
      </c>
      <c r="AU412" s="1">
        <v>2</v>
      </c>
      <c r="AV412" s="1">
        <v>2</v>
      </c>
      <c r="AW412" s="1">
        <v>1</v>
      </c>
      <c r="AX412" s="1">
        <v>1</v>
      </c>
      <c r="AY412" s="1">
        <v>1</v>
      </c>
      <c r="AZ412" s="1">
        <v>1</v>
      </c>
      <c r="BA412" s="1">
        <v>1</v>
      </c>
      <c r="BB412" s="1">
        <v>1</v>
      </c>
      <c r="BC412" s="1">
        <v>1</v>
      </c>
      <c r="BD412" s="1">
        <v>1</v>
      </c>
      <c r="BE412" s="1">
        <v>1</v>
      </c>
      <c r="BF412" s="1">
        <v>1</v>
      </c>
      <c r="BG412" s="1">
        <f t="shared" si="396"/>
        <v>0</v>
      </c>
      <c r="BH412" s="1">
        <f t="shared" si="397"/>
        <v>0</v>
      </c>
      <c r="BI412" s="1">
        <v>1</v>
      </c>
      <c r="BJ412" s="1">
        <v>1</v>
      </c>
      <c r="BK412" s="1">
        <v>1</v>
      </c>
      <c r="BL412" s="1">
        <v>1</v>
      </c>
      <c r="BM412" s="1">
        <v>1</v>
      </c>
      <c r="BN412" s="1">
        <v>1</v>
      </c>
      <c r="BO412" s="1">
        <v>1</v>
      </c>
      <c r="BP412" s="1">
        <v>1</v>
      </c>
      <c r="BQ412" s="1">
        <f t="shared" si="398"/>
        <v>0</v>
      </c>
      <c r="BR412" s="1">
        <v>1</v>
      </c>
      <c r="BS412" s="1">
        <v>1</v>
      </c>
      <c r="BT412" s="1">
        <v>2</v>
      </c>
      <c r="BU412" s="1">
        <f t="shared" si="402"/>
        <v>0</v>
      </c>
      <c r="BV412" s="1">
        <v>1</v>
      </c>
      <c r="BW412" s="1">
        <v>1</v>
      </c>
      <c r="BX412" s="1">
        <v>1</v>
      </c>
      <c r="BY412" s="1">
        <v>1</v>
      </c>
      <c r="BZ412" s="1">
        <v>1</v>
      </c>
      <c r="CA412" s="1">
        <v>1</v>
      </c>
      <c r="CB412" s="1">
        <v>1</v>
      </c>
      <c r="CC412" s="1">
        <v>1</v>
      </c>
      <c r="CD412" s="1">
        <v>1</v>
      </c>
      <c r="CE412" s="1">
        <v>1</v>
      </c>
      <c r="CF412" s="1">
        <v>1</v>
      </c>
      <c r="CG412" s="1">
        <f t="shared" si="399"/>
        <v>0</v>
      </c>
      <c r="CH412" s="1">
        <v>1</v>
      </c>
      <c r="CI412" s="1">
        <v>1</v>
      </c>
      <c r="CJ412" s="1">
        <v>1</v>
      </c>
      <c r="CK412" s="1">
        <v>1</v>
      </c>
      <c r="CL412" s="1">
        <v>1</v>
      </c>
      <c r="CM412" s="1">
        <v>1</v>
      </c>
      <c r="CN412" s="1">
        <v>1</v>
      </c>
      <c r="CO412" s="1">
        <v>1</v>
      </c>
      <c r="CP412" s="1">
        <v>1</v>
      </c>
      <c r="CQ412" s="1">
        <v>1</v>
      </c>
      <c r="CR412" s="1">
        <v>1</v>
      </c>
      <c r="CS412" s="1">
        <v>1</v>
      </c>
      <c r="CT412" s="1">
        <v>1</v>
      </c>
      <c r="CU412" s="1">
        <v>1</v>
      </c>
      <c r="CV412" s="1">
        <v>2</v>
      </c>
      <c r="CW412" s="1">
        <v>1</v>
      </c>
      <c r="CX412" s="1">
        <v>1</v>
      </c>
      <c r="CY412" s="1">
        <v>1</v>
      </c>
      <c r="CZ412" s="1">
        <f t="shared" si="400"/>
        <v>0</v>
      </c>
      <c r="DA412" s="1">
        <v>1</v>
      </c>
      <c r="DB412" s="1">
        <v>1</v>
      </c>
      <c r="DC412" s="1">
        <v>1</v>
      </c>
      <c r="DD412" s="1">
        <v>1</v>
      </c>
      <c r="DE412" s="1">
        <v>1</v>
      </c>
      <c r="DF412" s="1">
        <v>1</v>
      </c>
      <c r="DG412" s="1">
        <v>1</v>
      </c>
      <c r="DH412" s="1">
        <v>1</v>
      </c>
      <c r="DI412" s="1">
        <v>1</v>
      </c>
      <c r="DJ412" s="1">
        <v>1</v>
      </c>
      <c r="DK412" s="1" t="s">
        <v>238</v>
      </c>
      <c r="DL412" s="1" t="s">
        <v>170</v>
      </c>
      <c r="DR412" s="1" t="b">
        <f>SkKnowledgePsionicsRanks&gt;=8</f>
        <v>0</v>
      </c>
      <c r="DS412" s="1" t="b">
        <f>SkPsicraftRanks&gt;=4</f>
        <v>0</v>
      </c>
      <c r="DT412" s="1" t="b">
        <f>FtPsicrystalAffinity</f>
        <v>0</v>
      </c>
      <c r="DU412" s="1" t="b">
        <f>MaxManifesterLevel&gt;=4</f>
        <v>0</v>
      </c>
      <c r="EA412" s="1" t="b">
        <f t="shared" si="401"/>
        <v>0</v>
      </c>
      <c r="EB412" s="11" t="s">
        <v>334</v>
      </c>
      <c r="EC412" s="1" t="str">
        <f>IF(DR412,"","• 8 ranks in Knowledge (psionics).
")&amp;IF(DS412,"","• 4 ranks in Psicraft.
")&amp;IF(DT412,"","• Psicrystal Affinity feat.
")&amp;IF(DU412,"","• Manifester level 4th.")</f>
        <v>• 8 ranks in Knowledge (psionics).
• 4 ranks in Psicraft.
• Psicrystal Affinity feat.
• Manifester level 4th.</v>
      </c>
      <c r="ED412" s="11" t="s">
        <v>335</v>
      </c>
    </row>
    <row r="413" spans="1:134" ht="11.25" customHeight="1" x14ac:dyDescent="0.2">
      <c r="A413" s="1">
        <f t="shared" si="381"/>
        <v>410</v>
      </c>
      <c r="B413" s="1" t="s">
        <v>1077</v>
      </c>
      <c r="C413" s="1" t="s">
        <v>668</v>
      </c>
      <c r="D413" s="1" t="s">
        <v>668</v>
      </c>
      <c r="E413" s="1">
        <f t="shared" si="326"/>
        <v>0</v>
      </c>
      <c r="I413" s="1">
        <f>E413-INT((E413+2)/3)</f>
        <v>0</v>
      </c>
      <c r="K413" s="1">
        <v>2</v>
      </c>
      <c r="L413" s="1">
        <v>4</v>
      </c>
      <c r="V413" s="1">
        <v>0.5</v>
      </c>
      <c r="W413" s="1">
        <v>0.34</v>
      </c>
      <c r="X413" s="1">
        <v>0.34</v>
      </c>
      <c r="Y413" s="1">
        <v>0.5</v>
      </c>
      <c r="Z413" s="1" t="b">
        <f>FALSE</f>
        <v>0</v>
      </c>
      <c r="AA413" s="1" t="str">
        <f t="shared" si="329"/>
        <v/>
      </c>
      <c r="AB413" s="1" t="str">
        <f t="shared" si="330"/>
        <v/>
      </c>
      <c r="AC413" s="1">
        <f t="shared" si="327"/>
        <v>0</v>
      </c>
      <c r="AD413" s="1" t="str">
        <f t="shared" si="331"/>
        <v/>
      </c>
      <c r="AE413" s="1" t="str">
        <f t="shared" si="332"/>
        <v/>
      </c>
      <c r="AF413" s="1">
        <f t="shared" si="328"/>
        <v>0</v>
      </c>
      <c r="AG413" s="1">
        <f t="shared" si="394"/>
        <v>5</v>
      </c>
      <c r="AH413" s="1" t="str">
        <f t="shared" si="393"/>
        <v/>
      </c>
      <c r="AI413" s="1">
        <v>1</v>
      </c>
      <c r="AJ413" s="1">
        <v>2</v>
      </c>
      <c r="AK413" s="1">
        <v>1</v>
      </c>
      <c r="AL413" s="1">
        <v>2</v>
      </c>
      <c r="AM413" s="1">
        <v>1</v>
      </c>
      <c r="AN413" s="1">
        <f t="shared" si="395"/>
        <v>0</v>
      </c>
      <c r="AO413" s="1">
        <v>2</v>
      </c>
      <c r="AP413" s="1">
        <v>2</v>
      </c>
      <c r="AQ413" s="1">
        <v>2</v>
      </c>
      <c r="AR413" s="1">
        <v>2</v>
      </c>
      <c r="AS413" s="1">
        <v>2</v>
      </c>
      <c r="AT413" s="1">
        <v>2</v>
      </c>
      <c r="AU413" s="1">
        <v>2</v>
      </c>
      <c r="AV413" s="1">
        <v>2</v>
      </c>
      <c r="AW413" s="1">
        <v>1</v>
      </c>
      <c r="AX413" s="1">
        <v>1</v>
      </c>
      <c r="AY413" s="1">
        <v>1</v>
      </c>
      <c r="AZ413" s="1">
        <v>2</v>
      </c>
      <c r="BA413" s="1">
        <v>1</v>
      </c>
      <c r="BB413" s="1">
        <v>1</v>
      </c>
      <c r="BC413" s="1">
        <v>1</v>
      </c>
      <c r="BD413" s="1">
        <v>1</v>
      </c>
      <c r="BE413" s="1">
        <v>1</v>
      </c>
      <c r="BF413" s="1">
        <v>1</v>
      </c>
      <c r="BG413" s="1">
        <f t="shared" si="396"/>
        <v>0</v>
      </c>
      <c r="BH413" s="1">
        <f t="shared" si="397"/>
        <v>0</v>
      </c>
      <c r="BI413" s="1">
        <v>1</v>
      </c>
      <c r="BJ413" s="1">
        <v>1</v>
      </c>
      <c r="BK413" s="1">
        <v>1</v>
      </c>
      <c r="BL413" s="1">
        <v>1</v>
      </c>
      <c r="BM413" s="1">
        <v>1</v>
      </c>
      <c r="BN413" s="1">
        <v>1</v>
      </c>
      <c r="BO413" s="1">
        <v>1</v>
      </c>
      <c r="BP413" s="1">
        <v>1</v>
      </c>
      <c r="BQ413" s="1">
        <f t="shared" si="398"/>
        <v>0</v>
      </c>
      <c r="BR413" s="1">
        <v>1</v>
      </c>
      <c r="BS413" s="1">
        <v>1</v>
      </c>
      <c r="BT413" s="1">
        <v>2</v>
      </c>
      <c r="BU413" s="1">
        <f t="shared" si="402"/>
        <v>0</v>
      </c>
      <c r="BV413" s="1">
        <v>1</v>
      </c>
      <c r="BW413" s="1">
        <v>2</v>
      </c>
      <c r="BX413" s="1">
        <v>1</v>
      </c>
      <c r="BY413" s="1">
        <v>1</v>
      </c>
      <c r="BZ413" s="1">
        <v>1</v>
      </c>
      <c r="CA413" s="1">
        <v>1</v>
      </c>
      <c r="CB413" s="1">
        <v>1</v>
      </c>
      <c r="CC413" s="1">
        <v>1</v>
      </c>
      <c r="CD413" s="1">
        <v>1</v>
      </c>
      <c r="CE413" s="1">
        <v>1</v>
      </c>
      <c r="CF413" s="1">
        <v>1</v>
      </c>
      <c r="CG413" s="1">
        <f t="shared" si="399"/>
        <v>0</v>
      </c>
      <c r="CH413" s="1">
        <v>1</v>
      </c>
      <c r="CI413" s="1">
        <v>1</v>
      </c>
      <c r="CJ413" s="1">
        <v>1</v>
      </c>
      <c r="CK413" s="1">
        <v>1</v>
      </c>
      <c r="CL413" s="1">
        <v>1</v>
      </c>
      <c r="CM413" s="1">
        <v>1</v>
      </c>
      <c r="CN413" s="1">
        <v>1</v>
      </c>
      <c r="CO413" s="1">
        <v>1</v>
      </c>
      <c r="CP413" s="1">
        <v>1</v>
      </c>
      <c r="CQ413" s="1">
        <v>1</v>
      </c>
      <c r="CR413" s="1">
        <v>1</v>
      </c>
      <c r="CS413" s="1">
        <v>1</v>
      </c>
      <c r="CT413" s="1">
        <v>1</v>
      </c>
      <c r="CU413" s="1">
        <v>1</v>
      </c>
      <c r="CV413" s="1">
        <v>2</v>
      </c>
      <c r="CW413" s="1">
        <v>1</v>
      </c>
      <c r="CX413" s="1">
        <v>1</v>
      </c>
      <c r="CY413" s="1">
        <v>2</v>
      </c>
      <c r="CZ413" s="1">
        <f t="shared" si="400"/>
        <v>0</v>
      </c>
      <c r="DA413" s="1">
        <v>1</v>
      </c>
      <c r="DB413" s="1">
        <v>1</v>
      </c>
      <c r="DC413" s="1">
        <v>1</v>
      </c>
      <c r="DD413" s="1">
        <v>1</v>
      </c>
      <c r="DE413" s="1">
        <v>1</v>
      </c>
      <c r="DF413" s="1">
        <v>1</v>
      </c>
      <c r="DG413" s="1">
        <v>1</v>
      </c>
      <c r="DH413" s="1">
        <v>1</v>
      </c>
      <c r="DI413" s="1">
        <v>1</v>
      </c>
      <c r="DJ413" s="1">
        <v>1</v>
      </c>
      <c r="DK413" s="1" t="s">
        <v>238</v>
      </c>
      <c r="DL413" s="1" t="s">
        <v>170</v>
      </c>
      <c r="DR413" s="1" t="b">
        <f>SkKnowledgePsionicsRanks&gt;=8</f>
        <v>0</v>
      </c>
      <c r="DS413" s="1" t="b">
        <f>FtPsionicBody</f>
        <v>0</v>
      </c>
      <c r="DT413" s="1" t="b">
        <f>MaxPowerLevel&gt;=3</f>
        <v>0</v>
      </c>
      <c r="EA413" s="1" t="b">
        <f t="shared" si="401"/>
        <v>0</v>
      </c>
      <c r="EB413" s="11" t="s">
        <v>338</v>
      </c>
      <c r="EC413" s="1" t="str">
        <f>IF(DR413,"","• 8 ranks in Knowledge (psionics).
")&amp;IF(DS413,"","• Psionic Body feat.
")&amp;IF(DT413,"","• Able to manifest 3rd level powers.
")&amp;"• Special (not verified)."</f>
        <v>• 8 ranks in Knowledge (psionics).
• Psionic Body feat.
• Able to manifest 3rd level powers.
• Special (not verified).</v>
      </c>
      <c r="ED413" s="11" t="s">
        <v>335</v>
      </c>
    </row>
    <row r="414" spans="1:134" ht="11.25" customHeight="1" x14ac:dyDescent="0.2">
      <c r="A414" s="1">
        <f t="shared" si="381"/>
        <v>411</v>
      </c>
      <c r="B414" s="1" t="s">
        <v>1078</v>
      </c>
      <c r="C414" s="1" t="s">
        <v>1079</v>
      </c>
      <c r="D414" s="1" t="s">
        <v>1079</v>
      </c>
      <c r="E414" s="1">
        <f t="shared" si="326"/>
        <v>0</v>
      </c>
      <c r="K414" s="1">
        <v>2</v>
      </c>
      <c r="L414" s="1">
        <v>8</v>
      </c>
      <c r="V414" s="1">
        <v>0.75</v>
      </c>
      <c r="W414" s="1">
        <v>0.5</v>
      </c>
      <c r="X414" s="1">
        <v>0.5</v>
      </c>
      <c r="Y414" s="1">
        <v>0.34</v>
      </c>
      <c r="Z414" s="1" t="b">
        <f>FALSE</f>
        <v>0</v>
      </c>
      <c r="AA414" s="1" t="str">
        <f t="shared" si="329"/>
        <v/>
      </c>
      <c r="AB414" s="1" t="str">
        <f t="shared" si="330"/>
        <v/>
      </c>
      <c r="AC414" s="1">
        <f t="shared" si="327"/>
        <v>0</v>
      </c>
      <c r="AD414" s="1" t="str">
        <f t="shared" si="331"/>
        <v/>
      </c>
      <c r="AE414" s="1" t="str">
        <f t="shared" si="332"/>
        <v/>
      </c>
      <c r="AF414" s="1">
        <f t="shared" si="328"/>
        <v>0</v>
      </c>
      <c r="AG414" s="1">
        <f t="shared" si="394"/>
        <v>5</v>
      </c>
      <c r="AH414" s="1" t="str">
        <f t="shared" si="393"/>
        <v/>
      </c>
      <c r="AI414" s="1">
        <v>1</v>
      </c>
      <c r="AJ414" s="1">
        <v>1</v>
      </c>
      <c r="AK414" s="1">
        <v>1</v>
      </c>
      <c r="AL414" s="1">
        <v>1</v>
      </c>
      <c r="AM414" s="1">
        <v>2</v>
      </c>
      <c r="AN414" s="1">
        <f t="shared" si="395"/>
        <v>0</v>
      </c>
      <c r="AO414" s="1">
        <v>2</v>
      </c>
      <c r="AP414" s="1">
        <v>2</v>
      </c>
      <c r="AQ414" s="1">
        <v>2</v>
      </c>
      <c r="AR414" s="1">
        <v>2</v>
      </c>
      <c r="AS414" s="1">
        <v>2</v>
      </c>
      <c r="AT414" s="1">
        <v>2</v>
      </c>
      <c r="AU414" s="1">
        <v>2</v>
      </c>
      <c r="AV414" s="1">
        <v>2</v>
      </c>
      <c r="AW414" s="1">
        <v>1</v>
      </c>
      <c r="AX414" s="1">
        <v>1</v>
      </c>
      <c r="AY414" s="1">
        <v>1</v>
      </c>
      <c r="AZ414" s="1">
        <v>1</v>
      </c>
      <c r="BA414" s="1">
        <v>1</v>
      </c>
      <c r="BB414" s="1">
        <v>1</v>
      </c>
      <c r="BC414" s="1">
        <v>1</v>
      </c>
      <c r="BD414" s="1">
        <v>1</v>
      </c>
      <c r="BE414" s="1">
        <v>1</v>
      </c>
      <c r="BF414" s="1">
        <v>1</v>
      </c>
      <c r="BG414" s="1">
        <f t="shared" si="396"/>
        <v>0</v>
      </c>
      <c r="BH414" s="1">
        <f t="shared" si="397"/>
        <v>0</v>
      </c>
      <c r="BI414" s="1">
        <v>2</v>
      </c>
      <c r="BJ414" s="1">
        <v>2</v>
      </c>
      <c r="BK414" s="1">
        <v>1</v>
      </c>
      <c r="BL414" s="1">
        <v>1</v>
      </c>
      <c r="BM414" s="1">
        <v>1</v>
      </c>
      <c r="BN414" s="1">
        <v>1</v>
      </c>
      <c r="BO414" s="1">
        <v>1</v>
      </c>
      <c r="BP414" s="1">
        <v>1</v>
      </c>
      <c r="BQ414" s="1">
        <f t="shared" si="398"/>
        <v>0</v>
      </c>
      <c r="BR414" s="1">
        <v>1</v>
      </c>
      <c r="BS414" s="1">
        <v>1</v>
      </c>
      <c r="BT414" s="1">
        <v>1</v>
      </c>
      <c r="BU414" s="1">
        <f t="shared" si="402"/>
        <v>0</v>
      </c>
      <c r="BV414" s="1">
        <v>1</v>
      </c>
      <c r="BW414" s="1">
        <v>1</v>
      </c>
      <c r="BX414" s="1">
        <v>1</v>
      </c>
      <c r="BY414" s="1">
        <v>1</v>
      </c>
      <c r="BZ414" s="1">
        <v>1</v>
      </c>
      <c r="CA414" s="1">
        <v>1</v>
      </c>
      <c r="CB414" s="1">
        <v>1</v>
      </c>
      <c r="CC414" s="1">
        <v>1</v>
      </c>
      <c r="CD414" s="1">
        <v>1</v>
      </c>
      <c r="CE414" s="1">
        <v>1</v>
      </c>
      <c r="CF414" s="1">
        <v>1</v>
      </c>
      <c r="CG414" s="1">
        <f t="shared" si="399"/>
        <v>0</v>
      </c>
      <c r="CH414" s="1">
        <v>1</v>
      </c>
      <c r="CI414" s="1">
        <v>1</v>
      </c>
      <c r="CJ414" s="1">
        <v>1</v>
      </c>
      <c r="CK414" s="1">
        <v>1</v>
      </c>
      <c r="CL414" s="1">
        <v>1</v>
      </c>
      <c r="CM414" s="1">
        <v>1</v>
      </c>
      <c r="CN414" s="1">
        <v>1</v>
      </c>
      <c r="CO414" s="1">
        <v>1</v>
      </c>
      <c r="CP414" s="1">
        <v>1</v>
      </c>
      <c r="CQ414" s="1">
        <v>1</v>
      </c>
      <c r="CR414" s="1">
        <v>1</v>
      </c>
      <c r="CS414" s="1">
        <v>1</v>
      </c>
      <c r="CT414" s="1">
        <v>1</v>
      </c>
      <c r="CU414" s="1">
        <v>1</v>
      </c>
      <c r="CV414" s="1">
        <v>2</v>
      </c>
      <c r="CW414" s="1">
        <v>1</v>
      </c>
      <c r="CX414" s="1">
        <v>1</v>
      </c>
      <c r="CY414" s="1">
        <v>1</v>
      </c>
      <c r="CZ414" s="1">
        <f t="shared" si="400"/>
        <v>0</v>
      </c>
      <c r="DA414" s="1">
        <v>1</v>
      </c>
      <c r="DB414" s="1">
        <v>1</v>
      </c>
      <c r="DC414" s="1">
        <v>1</v>
      </c>
      <c r="DD414" s="1">
        <v>1</v>
      </c>
      <c r="DE414" s="1">
        <v>1</v>
      </c>
      <c r="DF414" s="1">
        <v>1</v>
      </c>
      <c r="DG414" s="1">
        <v>1</v>
      </c>
      <c r="DH414" s="1">
        <v>1</v>
      </c>
      <c r="DI414" s="1">
        <v>1</v>
      </c>
      <c r="DJ414" s="1">
        <v>1</v>
      </c>
      <c r="DK414" s="1" t="s">
        <v>238</v>
      </c>
      <c r="DL414" s="1" t="s">
        <v>170</v>
      </c>
      <c r="DR414" s="1" t="b">
        <f>AlignmentChaotic</f>
        <v>0</v>
      </c>
      <c r="DS414" s="1" t="b">
        <f>SkConcentrationRanks&gt;=8</f>
        <v>0</v>
      </c>
      <c r="DT414" s="1" t="b">
        <f>IF(NOT(ISNA(MATCH("alchemy",TblCraftSkills,0))),INDEX(TblCraftRanks,MATCH("alchemy",TblCraftSkills,0),1)&gt;=1,FALSE)</f>
        <v>0</v>
      </c>
      <c r="DU414" s="1" t="b">
        <f>SkKnowledgePsionicsRanks&gt;=2</f>
        <v>0</v>
      </c>
      <c r="DV414" s="1" t="b">
        <f>PowerPointReserve&gt;=1</f>
        <v>0</v>
      </c>
      <c r="EA414" s="1" t="b">
        <f t="shared" si="401"/>
        <v>0</v>
      </c>
      <c r="EB414" s="11" t="s">
        <v>338</v>
      </c>
      <c r="EC414" s="1" t="str">
        <f>IF(DR414,"","• Must be of Any Chaotic Alignment.
")&amp;IF(DS414,"","• 8 ranks in Concentration.
")&amp;IF(DT414,"","• 1 rank in Craft (alchemy).
")&amp;IF(DU414,"","• 2 ranks in Knowledge (psionics).
")&amp;IF(DV414,"","• Power point reserve of at least 1 power point.
")&amp;"• Special (not verified)."</f>
        <v>• Must be of Any Chaotic Alignment.
• 8 ranks in Concentration.
• 1 rank in Craft (alchemy).
• 2 ranks in Knowledge (psionics).
• Power point reserve of at least 1 power point.
• Special (not verified).</v>
      </c>
      <c r="ED414" s="11" t="s">
        <v>335</v>
      </c>
    </row>
    <row r="415" spans="1:134" ht="11.25" customHeight="1" x14ac:dyDescent="0.2">
      <c r="A415" s="1">
        <f t="shared" si="381"/>
        <v>412</v>
      </c>
      <c r="B415" s="1" t="s">
        <v>1080</v>
      </c>
      <c r="C415" s="1" t="s">
        <v>1081</v>
      </c>
      <c r="D415" s="1" t="s">
        <v>1081</v>
      </c>
      <c r="E415" s="1">
        <f t="shared" si="326"/>
        <v>0</v>
      </c>
      <c r="I415" s="1">
        <f>(E415&gt;=2)*(E415-1)-INT(E415/10)</f>
        <v>0</v>
      </c>
      <c r="K415" s="1">
        <v>2</v>
      </c>
      <c r="L415" s="1">
        <v>4</v>
      </c>
      <c r="V415" s="1">
        <v>0.5</v>
      </c>
      <c r="W415" s="1">
        <v>0.34</v>
      </c>
      <c r="X415" s="1">
        <v>0.34</v>
      </c>
      <c r="Y415" s="1">
        <v>0.5</v>
      </c>
      <c r="Z415" s="1" t="b">
        <f>FALSE</f>
        <v>0</v>
      </c>
      <c r="AA415" s="1" t="str">
        <f t="shared" si="329"/>
        <v/>
      </c>
      <c r="AB415" s="1" t="str">
        <f t="shared" si="330"/>
        <v/>
      </c>
      <c r="AC415" s="1">
        <f t="shared" si="327"/>
        <v>0</v>
      </c>
      <c r="AD415" s="1" t="str">
        <f t="shared" si="331"/>
        <v/>
      </c>
      <c r="AE415" s="1" t="str">
        <f t="shared" si="332"/>
        <v/>
      </c>
      <c r="AF415" s="1">
        <f t="shared" si="328"/>
        <v>0</v>
      </c>
      <c r="AG415" s="1">
        <f t="shared" si="394"/>
        <v>5</v>
      </c>
      <c r="AH415" s="1" t="str">
        <f t="shared" si="393"/>
        <v/>
      </c>
      <c r="AI415" s="1">
        <v>1</v>
      </c>
      <c r="AJ415" s="1">
        <v>2</v>
      </c>
      <c r="AK415" s="1">
        <v>1</v>
      </c>
      <c r="AL415" s="1">
        <v>2</v>
      </c>
      <c r="AM415" s="1">
        <v>1</v>
      </c>
      <c r="AN415" s="1">
        <f t="shared" si="395"/>
        <v>0</v>
      </c>
      <c r="AO415" s="1">
        <v>2</v>
      </c>
      <c r="AP415" s="1">
        <v>2</v>
      </c>
      <c r="AQ415" s="1">
        <v>2</v>
      </c>
      <c r="AR415" s="1">
        <v>2</v>
      </c>
      <c r="AS415" s="1">
        <v>2</v>
      </c>
      <c r="AT415" s="1">
        <v>2</v>
      </c>
      <c r="AU415" s="1">
        <v>2</v>
      </c>
      <c r="AV415" s="1">
        <v>2</v>
      </c>
      <c r="AW415" s="1">
        <v>1</v>
      </c>
      <c r="AX415" s="1">
        <v>2</v>
      </c>
      <c r="AY415" s="1">
        <v>1</v>
      </c>
      <c r="AZ415" s="1">
        <v>1</v>
      </c>
      <c r="BA415" s="1">
        <v>1</v>
      </c>
      <c r="BB415" s="1">
        <v>1</v>
      </c>
      <c r="BC415" s="1">
        <v>1</v>
      </c>
      <c r="BD415" s="1">
        <v>1</v>
      </c>
      <c r="BE415" s="1">
        <v>1</v>
      </c>
      <c r="BF415" s="1">
        <v>1</v>
      </c>
      <c r="BG415" s="1">
        <f t="shared" si="396"/>
        <v>0</v>
      </c>
      <c r="BH415" s="1">
        <f t="shared" si="397"/>
        <v>0</v>
      </c>
      <c r="BI415" s="1">
        <v>1</v>
      </c>
      <c r="BJ415" s="1">
        <v>1</v>
      </c>
      <c r="BK415" s="1">
        <v>1</v>
      </c>
      <c r="BL415" s="1">
        <v>1</v>
      </c>
      <c r="BM415" s="1">
        <v>1</v>
      </c>
      <c r="BN415" s="1">
        <v>1</v>
      </c>
      <c r="BO415" s="1">
        <v>1</v>
      </c>
      <c r="BP415" s="1">
        <v>1</v>
      </c>
      <c r="BQ415" s="1">
        <f t="shared" si="398"/>
        <v>0</v>
      </c>
      <c r="BR415" s="1">
        <v>1</v>
      </c>
      <c r="BS415" s="1">
        <v>1</v>
      </c>
      <c r="BT415" s="1">
        <v>2</v>
      </c>
      <c r="BU415" s="1">
        <f t="shared" si="402"/>
        <v>0</v>
      </c>
      <c r="BV415" s="1">
        <v>1</v>
      </c>
      <c r="BW415" s="1">
        <v>1</v>
      </c>
      <c r="BX415" s="1">
        <v>1</v>
      </c>
      <c r="BY415" s="1">
        <v>1</v>
      </c>
      <c r="BZ415" s="1">
        <v>1</v>
      </c>
      <c r="CA415" s="1">
        <v>1</v>
      </c>
      <c r="CB415" s="1">
        <v>1</v>
      </c>
      <c r="CC415" s="1">
        <v>1</v>
      </c>
      <c r="CD415" s="1">
        <v>1</v>
      </c>
      <c r="CE415" s="1">
        <v>1</v>
      </c>
      <c r="CF415" s="1">
        <v>1</v>
      </c>
      <c r="CG415" s="1">
        <f t="shared" si="399"/>
        <v>0</v>
      </c>
      <c r="CH415" s="1">
        <v>1</v>
      </c>
      <c r="CI415" s="1">
        <v>1</v>
      </c>
      <c r="CJ415" s="1">
        <v>1</v>
      </c>
      <c r="CK415" s="1">
        <v>1</v>
      </c>
      <c r="CL415" s="1">
        <v>1</v>
      </c>
      <c r="CM415" s="1">
        <v>1</v>
      </c>
      <c r="CN415" s="1">
        <v>1</v>
      </c>
      <c r="CO415" s="1">
        <v>1</v>
      </c>
      <c r="CP415" s="1">
        <v>1</v>
      </c>
      <c r="CQ415" s="1">
        <v>1</v>
      </c>
      <c r="CR415" s="1">
        <v>1</v>
      </c>
      <c r="CS415" s="1">
        <v>1</v>
      </c>
      <c r="CT415" s="1">
        <v>1</v>
      </c>
      <c r="CU415" s="1">
        <v>1</v>
      </c>
      <c r="CV415" s="1">
        <v>2</v>
      </c>
      <c r="CW415" s="1">
        <v>1</v>
      </c>
      <c r="CX415" s="1">
        <v>1</v>
      </c>
      <c r="CY415" s="1">
        <v>2</v>
      </c>
      <c r="CZ415" s="1">
        <f t="shared" si="400"/>
        <v>0</v>
      </c>
      <c r="DA415" s="1">
        <v>1</v>
      </c>
      <c r="DB415" s="1">
        <v>1</v>
      </c>
      <c r="DC415" s="1">
        <v>1</v>
      </c>
      <c r="DD415" s="1">
        <v>1</v>
      </c>
      <c r="DE415" s="1">
        <v>1</v>
      </c>
      <c r="DF415" s="1">
        <v>1</v>
      </c>
      <c r="DG415" s="1">
        <v>1</v>
      </c>
      <c r="DH415" s="1">
        <v>1</v>
      </c>
      <c r="DI415" s="1">
        <v>1</v>
      </c>
      <c r="DJ415" s="1">
        <v>1</v>
      </c>
      <c r="DK415" s="1" t="s">
        <v>238</v>
      </c>
      <c r="DL415" s="1" t="s">
        <v>170</v>
      </c>
      <c r="DR415" s="1" t="b">
        <f>SkDiplomacyRanks&gt;=4</f>
        <v>0</v>
      </c>
      <c r="DS415" s="1" t="b">
        <f>SkKnowledgePsionicsRanks&gt;=8</f>
        <v>0</v>
      </c>
      <c r="DT415" s="1" t="b">
        <f>FtInquisitor</f>
        <v>0</v>
      </c>
      <c r="DU415" s="1" t="b">
        <f>MaxPowerLevel&gt;=5</f>
        <v>0</v>
      </c>
      <c r="EA415" s="1" t="b">
        <f t="shared" si="401"/>
        <v>0</v>
      </c>
      <c r="EB415" s="11" t="s">
        <v>338</v>
      </c>
      <c r="EC415" s="1" t="str">
        <f>IF(DR415,"","• 4 ranks in Diplomacy.
")&amp;IF(DS415,"","• 8 ranks in Knowledge (psionics).
")&amp;IF(DT415,"","• Inquisitor feat.
")&amp;IF(DU415,"","• Manifester level 5th.
")&amp;"• Able to manifest 'mindlink' (not verified)."</f>
        <v>• 4 ranks in Diplomacy.
• 8 ranks in Knowledge (psionics).
• Inquisitor feat.
• Manifester level 5th.
• Able to manifest 'mindlink' (not verified).</v>
      </c>
      <c r="ED415" s="11" t="s">
        <v>335</v>
      </c>
    </row>
    <row r="416" spans="1:134" ht="11.25" customHeight="1" x14ac:dyDescent="0.2">
      <c r="A416" s="1">
        <f t="shared" si="381"/>
        <v>413</v>
      </c>
      <c r="B416" s="1" t="s">
        <v>1082</v>
      </c>
      <c r="C416" s="1" t="s">
        <v>859</v>
      </c>
      <c r="D416" s="1" t="s">
        <v>859</v>
      </c>
      <c r="E416" s="1">
        <f t="shared" si="326"/>
        <v>0</v>
      </c>
      <c r="K416" s="1">
        <v>2</v>
      </c>
      <c r="L416" s="1">
        <v>10</v>
      </c>
      <c r="V416" s="1">
        <v>1</v>
      </c>
      <c r="W416" s="1">
        <v>0.5</v>
      </c>
      <c r="X416" s="1">
        <v>0.5</v>
      </c>
      <c r="Y416" s="1">
        <v>0.34</v>
      </c>
      <c r="Z416" s="1" t="b">
        <f>FALSE</f>
        <v>0</v>
      </c>
      <c r="AA416" s="1" t="str">
        <f t="shared" si="329"/>
        <v/>
      </c>
      <c r="AB416" s="1" t="str">
        <f t="shared" si="330"/>
        <v/>
      </c>
      <c r="AC416" s="1">
        <f t="shared" si="327"/>
        <v>0</v>
      </c>
      <c r="AD416" s="1" t="str">
        <f t="shared" si="331"/>
        <v/>
      </c>
      <c r="AE416" s="1" t="str">
        <f t="shared" si="332"/>
        <v/>
      </c>
      <c r="AF416" s="1">
        <f t="shared" si="328"/>
        <v>0</v>
      </c>
      <c r="AG416" s="1">
        <f t="shared" si="394"/>
        <v>5</v>
      </c>
      <c r="AH416" s="1" t="str">
        <f t="shared" si="393"/>
        <v/>
      </c>
      <c r="AI416" s="1">
        <v>1</v>
      </c>
      <c r="AJ416" s="1">
        <v>2</v>
      </c>
      <c r="AK416" s="1">
        <v>1</v>
      </c>
      <c r="AL416" s="1">
        <v>1</v>
      </c>
      <c r="AM416" s="1">
        <v>1</v>
      </c>
      <c r="AN416" s="1">
        <f t="shared" si="395"/>
        <v>0</v>
      </c>
      <c r="AO416" s="1">
        <v>2</v>
      </c>
      <c r="AP416" s="1">
        <v>1</v>
      </c>
      <c r="AQ416" s="1">
        <v>1</v>
      </c>
      <c r="AR416" s="1">
        <v>1</v>
      </c>
      <c r="AS416" s="1">
        <v>1</v>
      </c>
      <c r="AT416" s="1">
        <v>1</v>
      </c>
      <c r="AU416" s="1">
        <v>1</v>
      </c>
      <c r="AV416" s="1">
        <v>1</v>
      </c>
      <c r="AW416" s="1">
        <v>1</v>
      </c>
      <c r="AX416" s="1">
        <v>1</v>
      </c>
      <c r="AY416" s="1">
        <v>1</v>
      </c>
      <c r="AZ416" s="1">
        <v>1</v>
      </c>
      <c r="BA416" s="1">
        <v>1</v>
      </c>
      <c r="BB416" s="1">
        <v>1</v>
      </c>
      <c r="BC416" s="1">
        <v>1</v>
      </c>
      <c r="BD416" s="1">
        <v>1</v>
      </c>
      <c r="BE416" s="1">
        <v>1</v>
      </c>
      <c r="BF416" s="1">
        <v>1</v>
      </c>
      <c r="BG416" s="1">
        <f t="shared" si="396"/>
        <v>0</v>
      </c>
      <c r="BH416" s="1">
        <f t="shared" si="397"/>
        <v>0</v>
      </c>
      <c r="BI416" s="1">
        <v>2</v>
      </c>
      <c r="BJ416" s="1">
        <v>1</v>
      </c>
      <c r="BK416" s="1">
        <v>1</v>
      </c>
      <c r="BL416" s="1">
        <v>1</v>
      </c>
      <c r="BM416" s="1">
        <v>1</v>
      </c>
      <c r="BN416" s="1">
        <v>1</v>
      </c>
      <c r="BO416" s="1">
        <v>2</v>
      </c>
      <c r="BP416" s="1">
        <v>1</v>
      </c>
      <c r="BQ416" s="1">
        <f t="shared" si="398"/>
        <v>0</v>
      </c>
      <c r="BR416" s="1">
        <v>1</v>
      </c>
      <c r="BS416" s="1">
        <v>1</v>
      </c>
      <c r="BT416" s="1">
        <v>2</v>
      </c>
      <c r="BU416" s="1">
        <f t="shared" si="402"/>
        <v>0</v>
      </c>
      <c r="BV416" s="1">
        <v>1</v>
      </c>
      <c r="BW416" s="1">
        <v>1</v>
      </c>
      <c r="BX416" s="1">
        <v>1</v>
      </c>
      <c r="BY416" s="1">
        <v>1</v>
      </c>
      <c r="BZ416" s="1">
        <v>1</v>
      </c>
      <c r="CA416" s="1">
        <v>1</v>
      </c>
      <c r="CB416" s="1">
        <v>1</v>
      </c>
      <c r="CC416" s="1">
        <v>1</v>
      </c>
      <c r="CD416" s="1">
        <v>1</v>
      </c>
      <c r="CE416" s="1">
        <v>1</v>
      </c>
      <c r="CF416" s="1">
        <v>1</v>
      </c>
      <c r="CG416" s="1">
        <f t="shared" si="399"/>
        <v>0</v>
      </c>
      <c r="CH416" s="1">
        <v>1</v>
      </c>
      <c r="CI416" s="1">
        <v>1</v>
      </c>
      <c r="CJ416" s="1">
        <v>1</v>
      </c>
      <c r="CK416" s="1">
        <v>1</v>
      </c>
      <c r="CL416" s="1">
        <v>1</v>
      </c>
      <c r="CM416" s="1">
        <v>1</v>
      </c>
      <c r="CN416" s="1">
        <v>1</v>
      </c>
      <c r="CO416" s="1">
        <v>1</v>
      </c>
      <c r="CP416" s="1">
        <v>1</v>
      </c>
      <c r="CQ416" s="1">
        <v>1</v>
      </c>
      <c r="CR416" s="1">
        <v>1</v>
      </c>
      <c r="CS416" s="1">
        <v>1</v>
      </c>
      <c r="CT416" s="1">
        <v>1</v>
      </c>
      <c r="CU416" s="1">
        <v>1</v>
      </c>
      <c r="CV416" s="1">
        <v>2</v>
      </c>
      <c r="CW416" s="1">
        <v>1</v>
      </c>
      <c r="CX416" s="1">
        <v>1</v>
      </c>
      <c r="CY416" s="1">
        <v>1</v>
      </c>
      <c r="CZ416" s="1">
        <f t="shared" si="400"/>
        <v>0</v>
      </c>
      <c r="DA416" s="1">
        <v>1</v>
      </c>
      <c r="DB416" s="1">
        <v>1</v>
      </c>
      <c r="DC416" s="1">
        <v>1</v>
      </c>
      <c r="DD416" s="1">
        <v>1</v>
      </c>
      <c r="DE416" s="1">
        <v>1</v>
      </c>
      <c r="DF416" s="1">
        <v>1</v>
      </c>
      <c r="DG416" s="1">
        <v>1</v>
      </c>
      <c r="DH416" s="1">
        <v>1</v>
      </c>
      <c r="DI416" s="1">
        <v>1</v>
      </c>
      <c r="DJ416" s="1">
        <v>1</v>
      </c>
      <c r="DK416" s="1" t="s">
        <v>238</v>
      </c>
      <c r="DL416" s="1" t="s">
        <v>170</v>
      </c>
      <c r="DR416" s="1" t="b">
        <f>AlignmentNonChaotic</f>
        <v>1</v>
      </c>
      <c r="DS416" s="1" t="b">
        <f>BaseAtk&gt;=3</f>
        <v>0</v>
      </c>
      <c r="DT416" s="1" t="b">
        <f>SkKnowledgeHistoryRanks&gt;=2</f>
        <v>0</v>
      </c>
      <c r="DU416" s="1" t="b">
        <f>SkKnowledgePsionicsRanks&gt;=8</f>
        <v>0</v>
      </c>
      <c r="DV416" s="1" t="b">
        <f>PowerPointReserve&gt;=1</f>
        <v>0</v>
      </c>
      <c r="EA416" s="1" t="b">
        <f t="shared" si="401"/>
        <v>0</v>
      </c>
      <c r="EB416" s="11" t="s">
        <v>338</v>
      </c>
      <c r="EC416" s="1" t="str">
        <f>IF(DR416,"","• Must be of Any Non-Chaotic Alignment.
")&amp;IF(DS416,"","• A base attack bonus of +3 or higher.
")&amp;IF(DT416,"","• 2 rank in Knowledge (history).
")&amp;IF(DU416,"","• 8 ranks in Knowledge (psionics).
")&amp;IF(DV416,"","• Power point reserve of at least 1 power point.
")&amp;"• Special (not verified)."</f>
        <v>• A base attack bonus of +3 or higher.
• 2 rank in Knowledge (history).
• 8 ranks in Knowledge (psionics).
• Power point reserve of at least 1 power point.
• Special (not verified).</v>
      </c>
      <c r="ED416" s="11" t="s">
        <v>335</v>
      </c>
    </row>
    <row r="417" spans="1:134" ht="11.25" customHeight="1" x14ac:dyDescent="0.2">
      <c r="A417" s="1">
        <f t="shared" si="381"/>
        <v>414</v>
      </c>
      <c r="B417" s="1" t="s">
        <v>1083</v>
      </c>
      <c r="E417" s="1">
        <f t="shared" si="326"/>
        <v>0</v>
      </c>
      <c r="F417" s="1">
        <v>1</v>
      </c>
      <c r="Z417" s="1" t="b">
        <f>FALSE</f>
        <v>0</v>
      </c>
      <c r="AA417" s="1" t="str">
        <f t="shared" si="329"/>
        <v/>
      </c>
      <c r="AB417" s="1" t="str">
        <f t="shared" si="330"/>
        <v/>
      </c>
      <c r="AC417" s="1">
        <f t="shared" si="327"/>
        <v>0</v>
      </c>
      <c r="AD417" s="1" t="str">
        <f t="shared" si="331"/>
        <v/>
      </c>
      <c r="AE417" s="1" t="str">
        <f t="shared" si="332"/>
        <v/>
      </c>
      <c r="AF417" s="1">
        <f t="shared" si="328"/>
        <v>0</v>
      </c>
      <c r="AG417" s="1">
        <f t="shared" si="394"/>
        <v>5</v>
      </c>
      <c r="AH417" s="1" t="str">
        <f t="shared" si="393"/>
        <v/>
      </c>
      <c r="EB417" s="11"/>
      <c r="ED417" s="11" t="s">
        <v>335</v>
      </c>
    </row>
    <row r="418" spans="1:134" ht="11.25" customHeight="1" x14ac:dyDescent="0.2">
      <c r="A418" s="1">
        <f t="shared" si="381"/>
        <v>415</v>
      </c>
      <c r="B418" s="1" t="s">
        <v>1084</v>
      </c>
      <c r="C418" s="1" t="s">
        <v>352</v>
      </c>
      <c r="D418" s="1" t="s">
        <v>352</v>
      </c>
      <c r="E418" s="1">
        <f t="shared" si="326"/>
        <v>0</v>
      </c>
      <c r="K418" s="1">
        <v>2</v>
      </c>
      <c r="L418" s="1">
        <v>8</v>
      </c>
      <c r="V418" s="1">
        <v>0.75</v>
      </c>
      <c r="W418" s="1">
        <v>0.5</v>
      </c>
      <c r="X418" s="1">
        <v>0.34</v>
      </c>
      <c r="Y418" s="1">
        <v>0.5</v>
      </c>
      <c r="Z418" s="1" t="b">
        <f>FALSE</f>
        <v>0</v>
      </c>
      <c r="AA418" s="1" t="str">
        <f t="shared" si="329"/>
        <v/>
      </c>
      <c r="AB418" s="1" t="str">
        <f t="shared" si="330"/>
        <v/>
      </c>
      <c r="AC418" s="1">
        <f t="shared" si="327"/>
        <v>0</v>
      </c>
      <c r="AD418" s="1" t="str">
        <f t="shared" si="331"/>
        <v/>
      </c>
      <c r="AE418" s="1" t="str">
        <f t="shared" si="332"/>
        <v/>
      </c>
      <c r="AF418" s="1">
        <f t="shared" si="328"/>
        <v>0</v>
      </c>
      <c r="AG418" s="1">
        <f t="shared" si="394"/>
        <v>5</v>
      </c>
      <c r="AH418" s="1" t="str">
        <f t="shared" si="393"/>
        <v/>
      </c>
      <c r="AI418" s="1">
        <v>1</v>
      </c>
      <c r="AJ418" s="1">
        <f>IF(HRXPH,1,0)</f>
        <v>0</v>
      </c>
      <c r="AK418" s="1">
        <v>1</v>
      </c>
      <c r="AL418" s="1">
        <v>1</v>
      </c>
      <c r="AM418" s="1">
        <v>1</v>
      </c>
      <c r="AN418" s="1">
        <f t="shared" ref="AN418:AN426" si="403">IF(IsLycanthrope,2,0)</f>
        <v>0</v>
      </c>
      <c r="AO418" s="1">
        <v>2</v>
      </c>
      <c r="AP418" s="1">
        <v>2</v>
      </c>
      <c r="AQ418" s="1">
        <v>2</v>
      </c>
      <c r="AR418" s="1">
        <v>2</v>
      </c>
      <c r="AS418" s="1">
        <v>2</v>
      </c>
      <c r="AT418" s="1">
        <v>2</v>
      </c>
      <c r="AU418" s="1">
        <v>2</v>
      </c>
      <c r="AV418" s="1">
        <v>2</v>
      </c>
      <c r="AW418" s="1">
        <v>1</v>
      </c>
      <c r="AX418" s="1">
        <v>1</v>
      </c>
      <c r="AY418" s="1">
        <v>1</v>
      </c>
      <c r="AZ418" s="1">
        <v>1</v>
      </c>
      <c r="BA418" s="1">
        <v>1</v>
      </c>
      <c r="BB418" s="1">
        <v>1</v>
      </c>
      <c r="BC418" s="1">
        <v>2</v>
      </c>
      <c r="BD418" s="1">
        <v>1</v>
      </c>
      <c r="BE418" s="1">
        <v>1</v>
      </c>
      <c r="BF418" s="1">
        <v>1</v>
      </c>
      <c r="BG418" s="1">
        <f t="shared" ref="BG418:BG426" si="404">IF(HRRVL,1,0)</f>
        <v>0</v>
      </c>
      <c r="BH418" s="1">
        <f>IF(HROA,1,0)</f>
        <v>0</v>
      </c>
      <c r="BI418" s="1">
        <v>2</v>
      </c>
      <c r="BJ418" s="1">
        <v>1</v>
      </c>
      <c r="BK418" s="1">
        <v>1</v>
      </c>
      <c r="BL418" s="1">
        <v>1</v>
      </c>
      <c r="BM418" s="1">
        <v>1</v>
      </c>
      <c r="BN418" s="1">
        <v>1</v>
      </c>
      <c r="BO418" s="1">
        <v>1</v>
      </c>
      <c r="BP418" s="1">
        <v>1</v>
      </c>
      <c r="BQ418" s="1">
        <f>IF(HRRVL,1,0)</f>
        <v>0</v>
      </c>
      <c r="BR418" s="1">
        <v>1</v>
      </c>
      <c r="BS418" s="1">
        <v>1</v>
      </c>
      <c r="BT418" s="1">
        <f>IF(HRXPH,1,0)</f>
        <v>0</v>
      </c>
      <c r="BU418" s="1">
        <f>IF(HRRVL,2,0)</f>
        <v>0</v>
      </c>
      <c r="BV418" s="1">
        <v>2</v>
      </c>
      <c r="BW418" s="1">
        <v>2</v>
      </c>
      <c r="BX418" s="1">
        <v>1</v>
      </c>
      <c r="BY418" s="1">
        <v>1</v>
      </c>
      <c r="BZ418" s="1">
        <v>1</v>
      </c>
      <c r="CA418" s="1">
        <v>1</v>
      </c>
      <c r="CB418" s="1">
        <v>1</v>
      </c>
      <c r="CC418" s="1">
        <v>1</v>
      </c>
      <c r="CD418" s="1">
        <v>1</v>
      </c>
      <c r="CE418" s="1">
        <v>1</v>
      </c>
      <c r="CF418" s="1">
        <v>2</v>
      </c>
      <c r="CG418" s="1">
        <f t="shared" ref="CG418:CG426" si="405">IF(HRToB,1,0)</f>
        <v>0</v>
      </c>
      <c r="CH418" s="1">
        <v>1</v>
      </c>
      <c r="CI418" s="1">
        <v>1</v>
      </c>
      <c r="CJ418" s="1">
        <v>1</v>
      </c>
      <c r="CK418" s="1">
        <v>1</v>
      </c>
      <c r="CL418" s="1">
        <v>1</v>
      </c>
      <c r="CM418" s="1">
        <v>1</v>
      </c>
      <c r="CN418" s="1">
        <v>1</v>
      </c>
      <c r="CO418" s="1">
        <v>1</v>
      </c>
      <c r="CP418" s="1">
        <v>2</v>
      </c>
      <c r="CQ418" s="1">
        <v>2</v>
      </c>
      <c r="CR418" s="1">
        <v>2</v>
      </c>
      <c r="CS418" s="1">
        <v>2</v>
      </c>
      <c r="CT418" s="1">
        <v>2</v>
      </c>
      <c r="CU418" s="1">
        <v>2</v>
      </c>
      <c r="CV418" s="1">
        <f>IF(HRXPH,1,0)</f>
        <v>0</v>
      </c>
      <c r="CW418" s="1">
        <v>1</v>
      </c>
      <c r="CX418" s="1">
        <v>1</v>
      </c>
      <c r="CY418" s="1">
        <v>1</v>
      </c>
      <c r="CZ418" s="1">
        <f t="shared" ref="CZ418:CZ426" si="406">IF(HRCS,1,0)</f>
        <v>0</v>
      </c>
      <c r="DA418" s="1">
        <v>1</v>
      </c>
      <c r="DB418" s="1">
        <v>1</v>
      </c>
      <c r="DC418" s="1">
        <v>2</v>
      </c>
      <c r="DD418" s="1">
        <v>1</v>
      </c>
      <c r="DE418" s="1">
        <v>1</v>
      </c>
      <c r="DF418" s="1">
        <v>1</v>
      </c>
      <c r="DG418" s="1">
        <v>1</v>
      </c>
      <c r="DH418" s="1">
        <v>1</v>
      </c>
      <c r="DI418" s="1">
        <f>IF(HRXPH,1,0)</f>
        <v>0</v>
      </c>
      <c r="DJ418" s="1">
        <v>1</v>
      </c>
      <c r="DK418" s="1" t="s">
        <v>1085</v>
      </c>
      <c r="DL418" s="1" t="s">
        <v>170</v>
      </c>
      <c r="DR418" s="1" t="b">
        <f>BaseWill&gt;=5</f>
        <v>0</v>
      </c>
      <c r="DS418" s="1" t="b">
        <f>SkKnowledgePlanesRanks&gt;=4</f>
        <v>0</v>
      </c>
      <c r="DT418" s="1" t="b">
        <f>SkKnowledgeReligionRanks&gt;=8</f>
        <v>0</v>
      </c>
      <c r="DU418" s="1" t="b">
        <f>Deity="Select a Deity"</f>
        <v>1</v>
      </c>
      <c r="EA418" s="1" t="b">
        <f>AND(DM418:DZ418)</f>
        <v>0</v>
      </c>
      <c r="EB418" s="11" t="s">
        <v>334</v>
      </c>
      <c r="EC418" s="1" t="str">
        <f>IF(DR418,"","• Base Will Save Bonus +5.
")&amp;IF(DS418,"","• 4 ranks in Knowledge (the planes).
")&amp;IF(DT418,"","• 8 ranks in Knowledge (religion).
")&amp;IF(DU418,"","• You cannot worship any deity or have one as a patron.")</f>
        <v xml:space="preserve">• Base Will Save Bonus +5.
• 4 ranks in Knowledge (the planes).
• 8 ranks in Knowledge (religion).
</v>
      </c>
      <c r="ED418" s="11" t="s">
        <v>335</v>
      </c>
    </row>
    <row r="419" spans="1:134" ht="11.25" customHeight="1" x14ac:dyDescent="0.2">
      <c r="A419" s="1">
        <f t="shared" si="381"/>
        <v>416</v>
      </c>
      <c r="B419" s="1" t="s">
        <v>1086</v>
      </c>
      <c r="C419" s="1" t="s">
        <v>211</v>
      </c>
      <c r="D419" s="1" t="s">
        <v>211</v>
      </c>
      <c r="E419" s="1">
        <f t="shared" si="326"/>
        <v>0</v>
      </c>
      <c r="G419" s="1">
        <f>INT(DLdLvl/2)</f>
        <v>0</v>
      </c>
      <c r="K419" s="1">
        <v>2</v>
      </c>
      <c r="L419" s="1">
        <v>12</v>
      </c>
      <c r="T419" s="1" t="b">
        <v>1</v>
      </c>
      <c r="V419" s="1">
        <v>1</v>
      </c>
      <c r="W419" s="1">
        <v>0.5</v>
      </c>
      <c r="X419" s="1">
        <v>0.34</v>
      </c>
      <c r="Y419" s="1">
        <v>0.34</v>
      </c>
      <c r="Z419" s="1" t="b">
        <f>FALSE</f>
        <v>0</v>
      </c>
      <c r="AA419" s="1" t="str">
        <f t="shared" si="329"/>
        <v/>
      </c>
      <c r="AB419" s="1" t="str">
        <f t="shared" si="330"/>
        <v/>
      </c>
      <c r="AC419" s="1">
        <f t="shared" si="327"/>
        <v>0</v>
      </c>
      <c r="AD419" s="1" t="str">
        <f t="shared" si="331"/>
        <v/>
      </c>
      <c r="AE419" s="1" t="str">
        <f t="shared" si="332"/>
        <v/>
      </c>
      <c r="AF419" s="1">
        <f t="shared" si="328"/>
        <v>0</v>
      </c>
      <c r="AG419" s="1">
        <f t="shared" si="394"/>
        <v>5</v>
      </c>
      <c r="AH419" s="1" t="str">
        <f t="shared" si="393"/>
        <v/>
      </c>
      <c r="AI419" s="1">
        <v>1</v>
      </c>
      <c r="AJ419" s="1">
        <f>IF(HRXPH,1,0)</f>
        <v>0</v>
      </c>
      <c r="AK419" s="1">
        <v>1</v>
      </c>
      <c r="AL419" s="1">
        <v>1</v>
      </c>
      <c r="AM419" s="1">
        <v>2</v>
      </c>
      <c r="AN419" s="1">
        <f t="shared" si="403"/>
        <v>0</v>
      </c>
      <c r="AO419" s="1">
        <v>2</v>
      </c>
      <c r="AP419" s="1">
        <v>1</v>
      </c>
      <c r="AQ419" s="1">
        <v>1</v>
      </c>
      <c r="AR419" s="1">
        <v>1</v>
      </c>
      <c r="AS419" s="1">
        <v>1</v>
      </c>
      <c r="AT419" s="1">
        <v>1</v>
      </c>
      <c r="AU419" s="1">
        <v>1</v>
      </c>
      <c r="AV419" s="1">
        <v>1</v>
      </c>
      <c r="AW419" s="1">
        <v>1</v>
      </c>
      <c r="AX419" s="1">
        <v>1</v>
      </c>
      <c r="AY419" s="1">
        <v>2</v>
      </c>
      <c r="AZ419" s="1">
        <v>1</v>
      </c>
      <c r="BA419" s="1">
        <v>1</v>
      </c>
      <c r="BB419" s="1">
        <v>1</v>
      </c>
      <c r="BC419" s="1">
        <v>1</v>
      </c>
      <c r="BD419" s="1">
        <v>1</v>
      </c>
      <c r="BE419" s="1">
        <v>1</v>
      </c>
      <c r="BF419" s="1">
        <v>1</v>
      </c>
      <c r="BG419" s="1">
        <f t="shared" si="404"/>
        <v>0</v>
      </c>
      <c r="BH419" s="1">
        <f>IF(HROA,1,0)</f>
        <v>0</v>
      </c>
      <c r="BI419" s="1">
        <v>1</v>
      </c>
      <c r="BJ419" s="1">
        <v>2</v>
      </c>
      <c r="BK419" s="1">
        <v>1</v>
      </c>
      <c r="BL419" s="1">
        <v>2</v>
      </c>
      <c r="BM419" s="1">
        <v>1</v>
      </c>
      <c r="BN419" s="1">
        <v>1</v>
      </c>
      <c r="BO419" s="1">
        <v>1</v>
      </c>
      <c r="BP419" s="1">
        <v>1</v>
      </c>
      <c r="BQ419" s="1">
        <f>IF(HRRVL,1,0)</f>
        <v>0</v>
      </c>
      <c r="BR419" s="1">
        <v>1</v>
      </c>
      <c r="BS419" s="1">
        <v>1</v>
      </c>
      <c r="BT419" s="1">
        <f>IF(HRXPH,1,0)</f>
        <v>0</v>
      </c>
      <c r="BU419" s="1">
        <f>IF(HRRVL,1,0)</f>
        <v>0</v>
      </c>
      <c r="BV419" s="1">
        <v>1</v>
      </c>
      <c r="BW419" s="1">
        <v>1</v>
      </c>
      <c r="BX419" s="1">
        <v>1</v>
      </c>
      <c r="BY419" s="1">
        <v>1</v>
      </c>
      <c r="BZ419" s="1">
        <v>1</v>
      </c>
      <c r="CA419" s="1">
        <v>1</v>
      </c>
      <c r="CB419" s="1">
        <v>1</v>
      </c>
      <c r="CC419" s="1">
        <v>1</v>
      </c>
      <c r="CD419" s="1">
        <v>1</v>
      </c>
      <c r="CE419" s="1">
        <v>1</v>
      </c>
      <c r="CF419" s="1">
        <v>2</v>
      </c>
      <c r="CG419" s="1">
        <f t="shared" si="405"/>
        <v>0</v>
      </c>
      <c r="CH419" s="1">
        <v>1</v>
      </c>
      <c r="CI419" s="1">
        <v>1</v>
      </c>
      <c r="CJ419" s="1">
        <v>1</v>
      </c>
      <c r="CK419" s="1">
        <v>1</v>
      </c>
      <c r="CL419" s="1">
        <v>1</v>
      </c>
      <c r="CM419" s="1">
        <v>1</v>
      </c>
      <c r="CN419" s="1">
        <v>1</v>
      </c>
      <c r="CO419" s="1">
        <v>1</v>
      </c>
      <c r="CP419" s="1">
        <v>1</v>
      </c>
      <c r="CQ419" s="1">
        <v>1</v>
      </c>
      <c r="CR419" s="1">
        <v>1</v>
      </c>
      <c r="CS419" s="1">
        <v>1</v>
      </c>
      <c r="CT419" s="1">
        <v>1</v>
      </c>
      <c r="CU419" s="1">
        <v>1</v>
      </c>
      <c r="CV419" s="1">
        <f>IF(HRXPH,1,0)</f>
        <v>0</v>
      </c>
      <c r="CW419" s="1">
        <v>1</v>
      </c>
      <c r="CX419" s="1">
        <v>1</v>
      </c>
      <c r="CY419" s="1">
        <v>1</v>
      </c>
      <c r="CZ419" s="1">
        <f t="shared" si="406"/>
        <v>0</v>
      </c>
      <c r="DA419" s="1">
        <v>1</v>
      </c>
      <c r="DB419" s="1">
        <v>1</v>
      </c>
      <c r="DC419" s="1">
        <v>2</v>
      </c>
      <c r="DD419" s="1">
        <v>2</v>
      </c>
      <c r="DE419" s="1">
        <v>2</v>
      </c>
      <c r="DF419" s="1">
        <v>2</v>
      </c>
      <c r="DG419" s="1">
        <v>1</v>
      </c>
      <c r="DH419" s="1">
        <v>1</v>
      </c>
      <c r="DI419" s="1">
        <f>IF(HRXPH,1,0)</f>
        <v>0</v>
      </c>
      <c r="DJ419" s="1">
        <v>1</v>
      </c>
      <c r="DK419" s="1" t="s">
        <v>1085</v>
      </c>
      <c r="DL419" s="1" t="s">
        <v>170</v>
      </c>
      <c r="DR419" s="1" t="b">
        <f>BaseAtk&gt;=7</f>
        <v>0</v>
      </c>
      <c r="DS419" s="1" t="b">
        <f>FtImprovedSunder</f>
        <v>0</v>
      </c>
      <c r="DT419" s="1" t="b">
        <f>OR(NOT(ISERROR(FIND("sword",LOWER(WeaponFocusFree1),1))),
        NOT(ISERROR(FIND("sword",LOWER(WeaponFocusFree2),1))),
        NOT(ISERROR(FIND("sword",LOWER(WeaponFocus1),1))),
        NOT(ISERROR(FIND("sword",LOWER(WeaponFocus2),1))),
        NOT(ISERROR(FIND("sword",LOWER(WeaponFocus3),1))))</f>
        <v>0</v>
      </c>
      <c r="EA419" s="1" t="b">
        <f>AND(DM419:DZ419)</f>
        <v>0</v>
      </c>
      <c r="EB419" s="11" t="s">
        <v>338</v>
      </c>
      <c r="EC419" s="1" t="str">
        <f>IF(DR419,"","• Base Attack Bonus +7.
")&amp;IF(DS419,"","• Improved Sunder feat.
")&amp;IF(DT419,"","• Weapon Focus (any sword) feat.
")&amp;"• You must sunder a weapon, scatter 500 gp into a crowd, and destroy
  a building (not verified)."</f>
        <v>• Base Attack Bonus +7.
• Improved Sunder feat.
• Weapon Focus (any sword) feat.
• You must sunder a weapon, scatter 500 gp into a crowd, and destroy
  a building (not verified).</v>
      </c>
      <c r="ED419" s="11" t="s">
        <v>335</v>
      </c>
    </row>
    <row r="420" spans="1:134" ht="11.25" customHeight="1" x14ac:dyDescent="0.2">
      <c r="A420" s="1">
        <f t="shared" si="381"/>
        <v>417</v>
      </c>
      <c r="B420" s="1" t="s">
        <v>1087</v>
      </c>
      <c r="C420" s="1" t="s">
        <v>248</v>
      </c>
      <c r="D420" s="1" t="s">
        <v>248</v>
      </c>
      <c r="E420" s="1">
        <f t="shared" si="326"/>
        <v>0</v>
      </c>
      <c r="K420" s="1">
        <v>6</v>
      </c>
      <c r="L420" s="1">
        <v>6</v>
      </c>
      <c r="N420" s="1" t="b">
        <v>1</v>
      </c>
      <c r="Q420" s="1" t="b">
        <v>1</v>
      </c>
      <c r="S420" s="1" t="b">
        <v>1</v>
      </c>
      <c r="V420" s="1">
        <v>0.75</v>
      </c>
      <c r="W420" s="1">
        <v>0.34</v>
      </c>
      <c r="X420" s="1">
        <v>0.5</v>
      </c>
      <c r="Y420" s="1">
        <v>0.5</v>
      </c>
      <c r="Z420" s="1" t="b">
        <f>FALSE</f>
        <v>0</v>
      </c>
      <c r="AA420" s="1" t="str">
        <f t="shared" si="329"/>
        <v/>
      </c>
      <c r="AB420" s="1" t="str">
        <f t="shared" si="330"/>
        <v/>
      </c>
      <c r="AC420" s="1">
        <f t="shared" si="327"/>
        <v>0</v>
      </c>
      <c r="AD420" s="1" t="str">
        <f t="shared" si="331"/>
        <v/>
      </c>
      <c r="AE420" s="1" t="str">
        <f t="shared" si="332"/>
        <v/>
      </c>
      <c r="AF420" s="1">
        <f t="shared" si="328"/>
        <v>0</v>
      </c>
      <c r="AG420" s="1">
        <f t="shared" si="394"/>
        <v>5</v>
      </c>
      <c r="AH420" s="1" t="str">
        <f t="shared" si="393"/>
        <v/>
      </c>
      <c r="AI420" s="1">
        <v>2</v>
      </c>
      <c r="AJ420" s="1">
        <f>IF(HRXPH,1,0)</f>
        <v>0</v>
      </c>
      <c r="AK420" s="1">
        <v>2</v>
      </c>
      <c r="AL420" s="1">
        <v>2</v>
      </c>
      <c r="AM420" s="1">
        <v>2</v>
      </c>
      <c r="AN420" s="1">
        <f t="shared" si="403"/>
        <v>0</v>
      </c>
      <c r="AO420" s="1">
        <v>2</v>
      </c>
      <c r="AP420" s="1">
        <v>2</v>
      </c>
      <c r="AQ420" s="1">
        <v>2</v>
      </c>
      <c r="AR420" s="1">
        <v>2</v>
      </c>
      <c r="AS420" s="1">
        <v>2</v>
      </c>
      <c r="AT420" s="1">
        <v>2</v>
      </c>
      <c r="AU420" s="1">
        <v>2</v>
      </c>
      <c r="AV420" s="1">
        <v>2</v>
      </c>
      <c r="AW420" s="1">
        <v>2</v>
      </c>
      <c r="AX420" s="1">
        <v>2</v>
      </c>
      <c r="AY420" s="1">
        <v>1</v>
      </c>
      <c r="AZ420" s="1">
        <v>2</v>
      </c>
      <c r="BA420" s="1">
        <v>2</v>
      </c>
      <c r="BB420" s="1">
        <v>2</v>
      </c>
      <c r="BC420" s="1">
        <v>2</v>
      </c>
      <c r="BD420" s="1">
        <v>1</v>
      </c>
      <c r="BE420" s="1">
        <v>1</v>
      </c>
      <c r="BF420" s="1">
        <v>2</v>
      </c>
      <c r="BG420" s="1">
        <f t="shared" si="404"/>
        <v>0</v>
      </c>
      <c r="BH420" s="1">
        <f>IF(HROA,1,0)</f>
        <v>0</v>
      </c>
      <c r="BI420" s="1">
        <v>1</v>
      </c>
      <c r="BJ420" s="1">
        <v>2</v>
      </c>
      <c r="BK420" s="1">
        <v>2</v>
      </c>
      <c r="BL420" s="1">
        <v>2</v>
      </c>
      <c r="BM420" s="1">
        <v>2</v>
      </c>
      <c r="BN420" s="1">
        <v>2</v>
      </c>
      <c r="BO420" s="1">
        <v>2</v>
      </c>
      <c r="BP420" s="1">
        <f>1+NOT(HRLivingGreyhawk)</f>
        <v>2</v>
      </c>
      <c r="BQ420" s="1">
        <f>IF(HRRVL,2,0)</f>
        <v>0</v>
      </c>
      <c r="BR420" s="1">
        <v>2</v>
      </c>
      <c r="BS420" s="1">
        <v>2</v>
      </c>
      <c r="BT420" s="1">
        <f>IF(HRXPH,2,0)</f>
        <v>0</v>
      </c>
      <c r="BU420" s="1">
        <f>IF(HRRVL,2,0)</f>
        <v>0</v>
      </c>
      <c r="BV420" s="1">
        <v>2</v>
      </c>
      <c r="BW420" s="1">
        <v>2</v>
      </c>
      <c r="BX420" s="1">
        <v>2</v>
      </c>
      <c r="BY420" s="1">
        <v>2</v>
      </c>
      <c r="BZ420" s="1">
        <v>2</v>
      </c>
      <c r="CA420" s="1">
        <v>2</v>
      </c>
      <c r="CB420" s="1">
        <v>2</v>
      </c>
      <c r="CC420" s="1">
        <v>2</v>
      </c>
      <c r="CD420" s="1">
        <v>2</v>
      </c>
      <c r="CE420" s="1">
        <v>2</v>
      </c>
      <c r="CF420" s="1">
        <v>2</v>
      </c>
      <c r="CG420" s="1">
        <f t="shared" si="405"/>
        <v>0</v>
      </c>
      <c r="CH420" s="1">
        <v>2</v>
      </c>
      <c r="CI420" s="1">
        <v>1</v>
      </c>
      <c r="CJ420" s="1">
        <v>2</v>
      </c>
      <c r="CK420" s="1">
        <v>2</v>
      </c>
      <c r="CL420" s="1">
        <v>2</v>
      </c>
      <c r="CM420" s="1">
        <v>2</v>
      </c>
      <c r="CN420" s="1">
        <v>2</v>
      </c>
      <c r="CO420" s="1">
        <v>2</v>
      </c>
      <c r="CP420" s="1">
        <v>2</v>
      </c>
      <c r="CQ420" s="1">
        <v>2</v>
      </c>
      <c r="CR420" s="1">
        <v>2</v>
      </c>
      <c r="CS420" s="1">
        <v>2</v>
      </c>
      <c r="CT420" s="1">
        <v>2</v>
      </c>
      <c r="CU420" s="1">
        <v>2</v>
      </c>
      <c r="CV420" s="1">
        <f>IF(HRXPH,1,0)</f>
        <v>0</v>
      </c>
      <c r="CW420" s="1">
        <v>1</v>
      </c>
      <c r="CX420" s="1">
        <v>2</v>
      </c>
      <c r="CY420" s="1">
        <v>2</v>
      </c>
      <c r="CZ420" s="1">
        <f t="shared" si="406"/>
        <v>0</v>
      </c>
      <c r="DA420" s="1">
        <v>2</v>
      </c>
      <c r="DB420" s="1">
        <v>2</v>
      </c>
      <c r="DC420" s="1">
        <v>2</v>
      </c>
      <c r="DD420" s="1">
        <v>2</v>
      </c>
      <c r="DE420" s="1">
        <v>1</v>
      </c>
      <c r="DF420" s="1">
        <v>2</v>
      </c>
      <c r="DG420" s="1">
        <v>2</v>
      </c>
      <c r="DH420" s="1">
        <v>2</v>
      </c>
      <c r="DI420" s="1">
        <f>IF(HRXPH,1,0)</f>
        <v>0</v>
      </c>
      <c r="DJ420" s="1">
        <v>1</v>
      </c>
      <c r="DK420" s="1" t="s">
        <v>1085</v>
      </c>
      <c r="DL420" s="1" t="s">
        <v>170</v>
      </c>
      <c r="DR420" s="1" t="b">
        <f>BaseAtk&gt;=4</f>
        <v>0</v>
      </c>
      <c r="DS420" s="1" t="b">
        <f>AND(SkBluffRanks&gt;=5,SkDiplomacyRanks&gt;=5,SkIntimidateRanks&gt;=5,OR(SkBluffRanks&gt;=8,SkDiplomacyRanks&gt;=8,SkIntimidateRanks&gt;=8))</f>
        <v>0</v>
      </c>
      <c r="DT420" s="1" t="b">
        <f>OR(NOT(ISNA(MATCH("Bluff¹",TblSkillFocus,0))),NOT(ISNA(MATCH("Diplomacy¹",TblSkillFocus,0))),NOT(ISNA(MATCH("Intimidate¹",TblSkillFocus,0))))</f>
        <v>0</v>
      </c>
      <c r="DU420" s="1" t="b">
        <f>AlignmentNonLawful</f>
        <v>0</v>
      </c>
      <c r="EA420" s="1" t="b">
        <f t="shared" ref="EA420:EA426" si="407">AND(DM420:DZ420)</f>
        <v>0</v>
      </c>
      <c r="EB420" s="11" t="s">
        <v>334</v>
      </c>
      <c r="EC420" s="1" t="str">
        <f>IF(DR420,"","• Base Attack Bonus +4.
")&amp;IF(DS420,"","• 8 ranks in Bluff, Diplomacy, or Intimidate; 5 ranks each in the other
  two skills.
")&amp;IF(DT420,"","• Skill Focus (Bluff), Skill Focus (Diplomacy), or Skill Focus (Intimidate)
  feat.
")&amp;IF(DU420,"","• Any Nonlawful alignment.")</f>
        <v>• Base Attack Bonus +4.
• 8 ranks in Bluff, Diplomacy, or Intimidate; 5 ranks each in the other
  two skills.
• Skill Focus (Bluff), Skill Focus (Diplomacy), or Skill Focus (Intimidate)
  feat.
• Any Nonlawful alignment.</v>
      </c>
      <c r="ED420" s="11" t="s">
        <v>335</v>
      </c>
    </row>
    <row r="421" spans="1:134" ht="11.25" customHeight="1" x14ac:dyDescent="0.2">
      <c r="A421" s="1">
        <f t="shared" si="381"/>
        <v>418</v>
      </c>
      <c r="B421" s="1" t="s">
        <v>1088</v>
      </c>
      <c r="C421" s="1" t="s">
        <v>1089</v>
      </c>
      <c r="D421" s="1" t="s">
        <v>1089</v>
      </c>
      <c r="E421" s="1">
        <f t="shared" si="326"/>
        <v>0</v>
      </c>
      <c r="G421" s="1">
        <f>INT((VSkLvl+1)/2)</f>
        <v>0</v>
      </c>
      <c r="K421" s="1">
        <v>4</v>
      </c>
      <c r="L421" s="1">
        <v>6</v>
      </c>
      <c r="V421" s="1">
        <v>0.75</v>
      </c>
      <c r="W421" s="1">
        <v>0.34</v>
      </c>
      <c r="X421" s="1">
        <v>0.5</v>
      </c>
      <c r="Y421" s="1">
        <v>0.34</v>
      </c>
      <c r="Z421" s="1" t="b">
        <f>FALSE</f>
        <v>0</v>
      </c>
      <c r="AA421" s="1" t="str">
        <f t="shared" si="329"/>
        <v/>
      </c>
      <c r="AB421" s="1" t="str">
        <f t="shared" si="330"/>
        <v/>
      </c>
      <c r="AC421" s="1">
        <f t="shared" si="327"/>
        <v>0</v>
      </c>
      <c r="AD421" s="1" t="str">
        <f t="shared" si="331"/>
        <v/>
      </c>
      <c r="AE421" s="1" t="str">
        <f t="shared" si="332"/>
        <v/>
      </c>
      <c r="AF421" s="1">
        <f t="shared" si="328"/>
        <v>0</v>
      </c>
      <c r="AG421" s="1">
        <f t="shared" si="394"/>
        <v>5</v>
      </c>
      <c r="AH421" s="1" t="str">
        <f t="shared" si="393"/>
        <v/>
      </c>
      <c r="AI421" s="1">
        <v>1</v>
      </c>
      <c r="AJ421" s="1">
        <f>IF(HRXPH,1,0)</f>
        <v>0</v>
      </c>
      <c r="AK421" s="1">
        <v>1</v>
      </c>
      <c r="AL421" s="1">
        <v>1</v>
      </c>
      <c r="AM421" s="1">
        <v>1</v>
      </c>
      <c r="AN421" s="1">
        <f t="shared" si="403"/>
        <v>0</v>
      </c>
      <c r="AO421" s="1">
        <v>2</v>
      </c>
      <c r="AP421" s="1">
        <v>2</v>
      </c>
      <c r="AQ421" s="1">
        <v>2</v>
      </c>
      <c r="AR421" s="1">
        <v>2</v>
      </c>
      <c r="AS421" s="1">
        <v>2</v>
      </c>
      <c r="AT421" s="1">
        <v>2</v>
      </c>
      <c r="AU421" s="1">
        <v>2</v>
      </c>
      <c r="AV421" s="1">
        <v>2</v>
      </c>
      <c r="AW421" s="1">
        <v>1</v>
      </c>
      <c r="AX421" s="1">
        <v>1</v>
      </c>
      <c r="AY421" s="1">
        <v>1</v>
      </c>
      <c r="AZ421" s="1">
        <v>1</v>
      </c>
      <c r="BA421" s="1">
        <v>1</v>
      </c>
      <c r="BB421" s="1">
        <v>1</v>
      </c>
      <c r="BC421" s="1">
        <v>1</v>
      </c>
      <c r="BD421" s="1">
        <v>1</v>
      </c>
      <c r="BE421" s="1">
        <v>1</v>
      </c>
      <c r="BF421" s="1">
        <v>1</v>
      </c>
      <c r="BG421" s="1">
        <f t="shared" si="404"/>
        <v>0</v>
      </c>
      <c r="BH421" s="1">
        <f>IF(HROA,1,0)</f>
        <v>0</v>
      </c>
      <c r="BI421" s="1">
        <v>1</v>
      </c>
      <c r="BJ421" s="1">
        <v>1</v>
      </c>
      <c r="BK421" s="1">
        <v>2</v>
      </c>
      <c r="BL421" s="1">
        <v>2</v>
      </c>
      <c r="BM421" s="1">
        <v>2</v>
      </c>
      <c r="BN421" s="1">
        <v>2</v>
      </c>
      <c r="BO421" s="1">
        <v>2</v>
      </c>
      <c r="BP421" s="1">
        <f>1+NOT(HRLivingGreyhawk)</f>
        <v>2</v>
      </c>
      <c r="BQ421" s="1">
        <f>IF(HRRVL,2,0)</f>
        <v>0</v>
      </c>
      <c r="BR421" s="1">
        <v>2</v>
      </c>
      <c r="BS421" s="1">
        <v>2</v>
      </c>
      <c r="BT421" s="1">
        <f>IF(HRXPH,2,0)</f>
        <v>0</v>
      </c>
      <c r="BU421" s="1">
        <f>IF(HRRVL,2,0)</f>
        <v>0</v>
      </c>
      <c r="BV421" s="1">
        <v>2</v>
      </c>
      <c r="BW421" s="1">
        <v>2</v>
      </c>
      <c r="BX421" s="1">
        <v>2</v>
      </c>
      <c r="BY421" s="1">
        <v>2</v>
      </c>
      <c r="BZ421" s="1">
        <v>2</v>
      </c>
      <c r="CA421" s="1">
        <v>2</v>
      </c>
      <c r="CB421" s="1">
        <v>2</v>
      </c>
      <c r="CC421" s="1">
        <v>2</v>
      </c>
      <c r="CD421" s="1">
        <v>2</v>
      </c>
      <c r="CE421" s="1">
        <v>2</v>
      </c>
      <c r="CF421" s="1">
        <v>1</v>
      </c>
      <c r="CG421" s="1">
        <f t="shared" si="405"/>
        <v>0</v>
      </c>
      <c r="CH421" s="1">
        <v>1</v>
      </c>
      <c r="CI421" s="1">
        <v>1</v>
      </c>
      <c r="CJ421" s="1">
        <v>1</v>
      </c>
      <c r="CK421" s="1">
        <v>1</v>
      </c>
      <c r="CL421" s="1">
        <v>1</v>
      </c>
      <c r="CM421" s="1">
        <v>1</v>
      </c>
      <c r="CN421" s="1">
        <v>1</v>
      </c>
      <c r="CO421" s="1">
        <v>1</v>
      </c>
      <c r="CP421" s="1">
        <v>2</v>
      </c>
      <c r="CQ421" s="1">
        <v>2</v>
      </c>
      <c r="CR421" s="1">
        <v>2</v>
      </c>
      <c r="CS421" s="1">
        <v>2</v>
      </c>
      <c r="CT421" s="1">
        <v>2</v>
      </c>
      <c r="CU421" s="1">
        <v>2</v>
      </c>
      <c r="CV421" s="1">
        <f>IF(HRXPH,1,0)</f>
        <v>0</v>
      </c>
      <c r="CW421" s="1">
        <v>1</v>
      </c>
      <c r="CX421" s="1">
        <v>1</v>
      </c>
      <c r="CY421" s="1">
        <v>2</v>
      </c>
      <c r="CZ421" s="1">
        <f t="shared" si="406"/>
        <v>0</v>
      </c>
      <c r="DA421" s="1">
        <v>1</v>
      </c>
      <c r="DB421" s="1">
        <v>1</v>
      </c>
      <c r="DC421" s="1">
        <v>2</v>
      </c>
      <c r="DD421" s="1">
        <v>2</v>
      </c>
      <c r="DE421" s="1">
        <v>2</v>
      </c>
      <c r="DF421" s="1">
        <v>1</v>
      </c>
      <c r="DG421" s="1">
        <v>1</v>
      </c>
      <c r="DH421" s="1">
        <v>1</v>
      </c>
      <c r="DI421" s="1">
        <f>IF(HRXPH,1,0)</f>
        <v>0</v>
      </c>
      <c r="DJ421" s="1">
        <v>1</v>
      </c>
      <c r="DK421" s="1" t="s">
        <v>1085</v>
      </c>
      <c r="DL421" s="1" t="s">
        <v>170</v>
      </c>
      <c r="DR421" s="1" t="b">
        <f>OR(SkKnowledgeRanks&gt;=8,SkSurvivalRanks&gt;=8)</f>
        <v>0</v>
      </c>
      <c r="EA421" s="1" t="b">
        <f t="shared" si="407"/>
        <v>0</v>
      </c>
      <c r="EB421" s="11" t="s">
        <v>338</v>
      </c>
      <c r="EC421" s="1" t="str">
        <f>IF(DR421,"","• 8 ranks in any Knowledge skill, or 8 ranks in Survival.
")&amp;"• Must be inducted by a member of the Mind's Eye (not verified)."</f>
        <v>• 8 ranks in any Knowledge skill, or 8 ranks in Survival.
• Must be inducted by a member of the Mind's Eye (not verified).</v>
      </c>
      <c r="ED421" s="11" t="s">
        <v>335</v>
      </c>
    </row>
    <row r="422" spans="1:134" ht="11.25" customHeight="1" x14ac:dyDescent="0.2">
      <c r="A422" s="1">
        <f t="shared" si="381"/>
        <v>419</v>
      </c>
      <c r="B422" s="1" t="s">
        <v>1090</v>
      </c>
      <c r="C422" s="1" t="s">
        <v>1091</v>
      </c>
      <c r="D422" s="1" t="s">
        <v>1091</v>
      </c>
      <c r="E422" s="1">
        <f t="shared" ref="E422:E485" si="408">$AC422+$AF422+IF(HasVirtualClasses,COUNTIF(TblVClassesAtLvlCS,$A422),0)</f>
        <v>0</v>
      </c>
      <c r="G422" s="1">
        <f>(AdtLvl&gt;=2)*(AdtLvl-1)</f>
        <v>0</v>
      </c>
      <c r="K422" s="1">
        <v>6</v>
      </c>
      <c r="L422" s="1">
        <v>8</v>
      </c>
      <c r="V422" s="1">
        <v>0.5</v>
      </c>
      <c r="W422" s="1">
        <v>0.34</v>
      </c>
      <c r="X422" s="1">
        <v>0.5</v>
      </c>
      <c r="Y422" s="1">
        <v>0.34</v>
      </c>
      <c r="Z422" s="1" t="b">
        <f>FALSE</f>
        <v>0</v>
      </c>
      <c r="AA422" s="1" t="str">
        <f t="shared" si="329"/>
        <v/>
      </c>
      <c r="AB422" s="1" t="str">
        <f t="shared" si="330"/>
        <v/>
      </c>
      <c r="AC422" s="1">
        <f t="shared" ref="AC422:AC485" si="409">COUNTIF(TblClassesAtLvlCS,$A422)</f>
        <v>0</v>
      </c>
      <c r="AD422" s="1" t="str">
        <f t="shared" si="331"/>
        <v/>
      </c>
      <c r="AE422" s="1" t="str">
        <f t="shared" si="332"/>
        <v/>
      </c>
      <c r="AF422" s="1">
        <f t="shared" ref="AF422:AF485" si="410">IF(HRGestalt,COUNTIF(TblGClassesAtLvlCS,$A422),0)</f>
        <v>0</v>
      </c>
      <c r="AG422" s="1">
        <f t="shared" si="394"/>
        <v>5</v>
      </c>
      <c r="AH422" s="1" t="str">
        <f t="shared" si="393"/>
        <v/>
      </c>
      <c r="AI422" s="1">
        <v>2</v>
      </c>
      <c r="AJ422" s="1">
        <f>IF(HRXPH,2,0)</f>
        <v>0</v>
      </c>
      <c r="AK422" s="1">
        <v>2</v>
      </c>
      <c r="AL422" s="1">
        <v>2</v>
      </c>
      <c r="AM422" s="1">
        <v>2</v>
      </c>
      <c r="AN422" s="1">
        <f t="shared" si="403"/>
        <v>0</v>
      </c>
      <c r="AO422" s="1">
        <v>2</v>
      </c>
      <c r="AP422" s="1">
        <v>2</v>
      </c>
      <c r="AQ422" s="1">
        <v>2</v>
      </c>
      <c r="AR422" s="1">
        <v>2</v>
      </c>
      <c r="AS422" s="1">
        <v>2</v>
      </c>
      <c r="AT422" s="1">
        <v>2</v>
      </c>
      <c r="AU422" s="1">
        <v>2</v>
      </c>
      <c r="AV422" s="1">
        <v>2</v>
      </c>
      <c r="AW422" s="1">
        <v>2</v>
      </c>
      <c r="AX422" s="1">
        <v>2</v>
      </c>
      <c r="AY422" s="1">
        <v>2</v>
      </c>
      <c r="AZ422" s="1">
        <v>2</v>
      </c>
      <c r="BA422" s="1">
        <v>2</v>
      </c>
      <c r="BB422" s="1">
        <v>2</v>
      </c>
      <c r="BC422" s="1">
        <v>2</v>
      </c>
      <c r="BD422" s="1">
        <v>2</v>
      </c>
      <c r="BE422" s="1">
        <v>2</v>
      </c>
      <c r="BF422" s="1">
        <v>2</v>
      </c>
      <c r="BG422" s="1">
        <f t="shared" si="404"/>
        <v>0</v>
      </c>
      <c r="BH422" s="1">
        <f>IF(HROA,2,0)</f>
        <v>0</v>
      </c>
      <c r="BI422" s="1">
        <v>2</v>
      </c>
      <c r="BJ422" s="1">
        <v>2</v>
      </c>
      <c r="BK422" s="1">
        <v>2</v>
      </c>
      <c r="BL422" s="1">
        <v>2</v>
      </c>
      <c r="BM422" s="1">
        <v>2</v>
      </c>
      <c r="BN422" s="1">
        <v>2</v>
      </c>
      <c r="BO422" s="1">
        <v>2</v>
      </c>
      <c r="BP422" s="1">
        <f>1+NOT(HRLivingGreyhawk)</f>
        <v>2</v>
      </c>
      <c r="BQ422" s="1">
        <f>IF(HRRVL,2,0)</f>
        <v>0</v>
      </c>
      <c r="BR422" s="1">
        <v>2</v>
      </c>
      <c r="BS422" s="1">
        <v>2</v>
      </c>
      <c r="BT422" s="1">
        <f>IF(HRXPH,2,0)</f>
        <v>0</v>
      </c>
      <c r="BU422" s="1">
        <f>IF(HRRVL,2,0)</f>
        <v>0</v>
      </c>
      <c r="BV422" s="1">
        <v>2</v>
      </c>
      <c r="BW422" s="1">
        <v>2</v>
      </c>
      <c r="BX422" s="1">
        <v>2</v>
      </c>
      <c r="BY422" s="1">
        <v>2</v>
      </c>
      <c r="BZ422" s="1">
        <v>2</v>
      </c>
      <c r="CA422" s="1">
        <v>2</v>
      </c>
      <c r="CB422" s="1">
        <v>2</v>
      </c>
      <c r="CC422" s="1">
        <v>2</v>
      </c>
      <c r="CD422" s="1">
        <v>2</v>
      </c>
      <c r="CE422" s="1">
        <v>2</v>
      </c>
      <c r="CF422" s="1">
        <v>2</v>
      </c>
      <c r="CG422" s="1">
        <f>IF(HRToB,2,0)</f>
        <v>0</v>
      </c>
      <c r="CH422" s="1">
        <v>2</v>
      </c>
      <c r="CI422" s="1">
        <v>2</v>
      </c>
      <c r="CJ422" s="1">
        <v>2</v>
      </c>
      <c r="CK422" s="1">
        <v>2</v>
      </c>
      <c r="CL422" s="1">
        <v>2</v>
      </c>
      <c r="CM422" s="1">
        <v>2</v>
      </c>
      <c r="CN422" s="1">
        <v>2</v>
      </c>
      <c r="CO422" s="1">
        <v>2</v>
      </c>
      <c r="CP422" s="1">
        <v>2</v>
      </c>
      <c r="CQ422" s="1">
        <v>2</v>
      </c>
      <c r="CR422" s="1">
        <v>2</v>
      </c>
      <c r="CS422" s="1">
        <v>2</v>
      </c>
      <c r="CT422" s="1">
        <v>2</v>
      </c>
      <c r="CU422" s="1">
        <v>2</v>
      </c>
      <c r="CV422" s="1">
        <f>IF(HRXPH,2,0)</f>
        <v>0</v>
      </c>
      <c r="CW422" s="1">
        <v>2</v>
      </c>
      <c r="CX422" s="1">
        <v>2</v>
      </c>
      <c r="CY422" s="1">
        <v>2</v>
      </c>
      <c r="CZ422" s="1">
        <f t="shared" si="406"/>
        <v>0</v>
      </c>
      <c r="DA422" s="1">
        <v>2</v>
      </c>
      <c r="DB422" s="1">
        <v>2</v>
      </c>
      <c r="DC422" s="1">
        <v>2</v>
      </c>
      <c r="DD422" s="1">
        <v>2</v>
      </c>
      <c r="DE422" s="1">
        <v>2</v>
      </c>
      <c r="DF422" s="1">
        <v>2</v>
      </c>
      <c r="DG422" s="1">
        <v>2</v>
      </c>
      <c r="DH422" s="1">
        <v>2</v>
      </c>
      <c r="DI422" s="1">
        <f>IF(HRXPH,2,0)</f>
        <v>0</v>
      </c>
      <c r="DJ422" s="1">
        <v>2</v>
      </c>
      <c r="DK422" s="1" t="s">
        <v>1085</v>
      </c>
      <c r="DL422" s="1" t="s">
        <v>170</v>
      </c>
      <c r="DR422" s="1" t="b">
        <f>MAX(SkRanks)&gt;=8</f>
        <v>0</v>
      </c>
      <c r="DS422" s="1" t="b">
        <f>COUNTIF(SkRanks,"&gt;=1")&gt;=6</f>
        <v>0</v>
      </c>
      <c r="EA422" s="1" t="b">
        <f t="shared" si="407"/>
        <v>0</v>
      </c>
      <c r="EB422" s="11" t="s">
        <v>338</v>
      </c>
      <c r="EC422" s="1" t="str">
        <f>IF(DR422,"","• 8 ranks in any skill.
")&amp;IF(DS422,"","• 1 rank in each of five other skills.
")&amp;"• Special (not verified)."</f>
        <v>• 8 ranks in any skill.
• 1 rank in each of five other skills.
• Special (not verified).</v>
      </c>
      <c r="ED422" s="11" t="s">
        <v>335</v>
      </c>
    </row>
    <row r="423" spans="1:134" ht="11.25" customHeight="1" x14ac:dyDescent="0.2">
      <c r="A423" s="1">
        <f t="shared" si="381"/>
        <v>420</v>
      </c>
      <c r="B423" s="1" t="s">
        <v>1092</v>
      </c>
      <c r="C423" s="1" t="s">
        <v>1093</v>
      </c>
      <c r="D423" s="1" t="s">
        <v>1093</v>
      </c>
      <c r="E423" s="1">
        <f t="shared" si="408"/>
        <v>0</v>
      </c>
      <c r="K423" s="1">
        <v>2</v>
      </c>
      <c r="L423" s="1">
        <v>8</v>
      </c>
      <c r="V423" s="1">
        <v>0.75</v>
      </c>
      <c r="W423" s="1">
        <v>0.34</v>
      </c>
      <c r="X423" s="1">
        <v>0.5</v>
      </c>
      <c r="Y423" s="1">
        <v>0.34</v>
      </c>
      <c r="Z423" s="1" t="b">
        <f>FALSE</f>
        <v>0</v>
      </c>
      <c r="AA423" s="1" t="str">
        <f t="shared" ref="AA423:AA486" si="411">IF($AC423=0,"",IF($Z423,"Ex-","")&amp;$B423)</f>
        <v/>
      </c>
      <c r="AB423" s="1" t="str">
        <f t="shared" ref="AB423:AB486" si="412">IF($AC423=0,"",IF($Z423,"Ex-","")&amp;$C423)</f>
        <v/>
      </c>
      <c r="AC423" s="1">
        <f t="shared" si="409"/>
        <v>0</v>
      </c>
      <c r="AD423" s="1" t="str">
        <f t="shared" ref="AD423:AD486" si="413">IF($AF423=0,"",IF($Z423,"Ex-","")&amp;$B423)</f>
        <v/>
      </c>
      <c r="AE423" s="1" t="str">
        <f t="shared" ref="AE423:AE486" si="414">IF($AF423=0,"",IF($Z423,"Ex-","")&amp;$C423)</f>
        <v/>
      </c>
      <c r="AF423" s="1">
        <f t="shared" si="410"/>
        <v>0</v>
      </c>
      <c r="AG423" s="1">
        <f t="shared" si="394"/>
        <v>5</v>
      </c>
      <c r="AH423" s="1" t="str">
        <f t="shared" si="393"/>
        <v/>
      </c>
      <c r="AI423" s="1">
        <v>1</v>
      </c>
      <c r="AJ423" s="1">
        <f>IF(HRXPH,1,0)</f>
        <v>0</v>
      </c>
      <c r="AK423" s="1">
        <v>2</v>
      </c>
      <c r="AL423" s="1">
        <v>2</v>
      </c>
      <c r="AM423" s="1">
        <v>1</v>
      </c>
      <c r="AN423" s="1">
        <f t="shared" si="403"/>
        <v>0</v>
      </c>
      <c r="AO423" s="1">
        <v>2</v>
      </c>
      <c r="AP423" s="1">
        <v>1</v>
      </c>
      <c r="AQ423" s="1">
        <v>1</v>
      </c>
      <c r="AR423" s="1">
        <v>1</v>
      </c>
      <c r="AS423" s="1">
        <v>1</v>
      </c>
      <c r="AT423" s="1">
        <v>1</v>
      </c>
      <c r="AU423" s="1">
        <v>1</v>
      </c>
      <c r="AV423" s="1">
        <v>1</v>
      </c>
      <c r="AW423" s="1">
        <v>1</v>
      </c>
      <c r="AX423" s="1">
        <v>1</v>
      </c>
      <c r="AY423" s="1">
        <v>2</v>
      </c>
      <c r="AZ423" s="1">
        <v>1</v>
      </c>
      <c r="BA423" s="1">
        <v>2</v>
      </c>
      <c r="BB423" s="1">
        <v>1</v>
      </c>
      <c r="BC423" s="1">
        <v>1</v>
      </c>
      <c r="BD423" s="1">
        <v>2</v>
      </c>
      <c r="BE423" s="1">
        <v>1</v>
      </c>
      <c r="BF423" s="1">
        <v>2</v>
      </c>
      <c r="BG423" s="1">
        <f t="shared" si="404"/>
        <v>0</v>
      </c>
      <c r="BH423" s="1">
        <f>IF(HROA,1,0)</f>
        <v>0</v>
      </c>
      <c r="BI423" s="1">
        <v>1</v>
      </c>
      <c r="BJ423" s="1">
        <v>1</v>
      </c>
      <c r="BK423" s="1">
        <v>1</v>
      </c>
      <c r="BL423" s="1">
        <v>1</v>
      </c>
      <c r="BM423" s="1">
        <v>1</v>
      </c>
      <c r="BN423" s="1">
        <v>1</v>
      </c>
      <c r="BO423" s="1">
        <v>1</v>
      </c>
      <c r="BP423" s="1">
        <v>1</v>
      </c>
      <c r="BQ423" s="1">
        <f>IF(HRRVL,1,0)</f>
        <v>0</v>
      </c>
      <c r="BR423" s="1">
        <v>1</v>
      </c>
      <c r="BS423" s="1">
        <v>1</v>
      </c>
      <c r="BT423" s="1">
        <f>IF(HRXPH,1,0)</f>
        <v>0</v>
      </c>
      <c r="BU423" s="1">
        <f>IF(HRRVL,1,0)</f>
        <v>0</v>
      </c>
      <c r="BV423" s="1">
        <v>1</v>
      </c>
      <c r="BW423" s="1">
        <v>1</v>
      </c>
      <c r="BX423" s="1">
        <v>1</v>
      </c>
      <c r="BY423" s="1">
        <v>1</v>
      </c>
      <c r="BZ423" s="1">
        <v>1</v>
      </c>
      <c r="CA423" s="1">
        <v>1</v>
      </c>
      <c r="CB423" s="1">
        <v>1</v>
      </c>
      <c r="CC423" s="1">
        <v>1</v>
      </c>
      <c r="CD423" s="1">
        <v>1</v>
      </c>
      <c r="CE423" s="1">
        <v>1</v>
      </c>
      <c r="CF423" s="1">
        <v>1</v>
      </c>
      <c r="CG423" s="1">
        <f t="shared" si="405"/>
        <v>0</v>
      </c>
      <c r="CH423" s="1">
        <v>2</v>
      </c>
      <c r="CI423" s="1">
        <v>1</v>
      </c>
      <c r="CJ423" s="1">
        <v>1</v>
      </c>
      <c r="CK423" s="1">
        <v>1</v>
      </c>
      <c r="CL423" s="1">
        <v>1</v>
      </c>
      <c r="CM423" s="1">
        <v>1</v>
      </c>
      <c r="CN423" s="1">
        <v>1</v>
      </c>
      <c r="CO423" s="1">
        <v>1</v>
      </c>
      <c r="CP423" s="1">
        <v>1</v>
      </c>
      <c r="CQ423" s="1">
        <v>1</v>
      </c>
      <c r="CR423" s="1">
        <v>1</v>
      </c>
      <c r="CS423" s="1">
        <v>1</v>
      </c>
      <c r="CT423" s="1">
        <v>1</v>
      </c>
      <c r="CU423" s="1">
        <v>1</v>
      </c>
      <c r="CV423" s="1">
        <f>IF(HRXPH,1,0)</f>
        <v>0</v>
      </c>
      <c r="CW423" s="1">
        <v>2</v>
      </c>
      <c r="CX423" s="1">
        <v>1</v>
      </c>
      <c r="CY423" s="1">
        <v>2</v>
      </c>
      <c r="CZ423" s="1">
        <f t="shared" si="406"/>
        <v>0</v>
      </c>
      <c r="DA423" s="1">
        <v>1</v>
      </c>
      <c r="DB423" s="1">
        <v>1</v>
      </c>
      <c r="DC423" s="1">
        <v>1</v>
      </c>
      <c r="DD423" s="1">
        <v>2</v>
      </c>
      <c r="DE423" s="1">
        <v>2</v>
      </c>
      <c r="DF423" s="1">
        <v>2</v>
      </c>
      <c r="DG423" s="1">
        <v>2</v>
      </c>
      <c r="DH423" s="1">
        <v>2</v>
      </c>
      <c r="DI423" s="1">
        <f>IF(HRXPH,1,0)</f>
        <v>0</v>
      </c>
      <c r="DJ423" s="1">
        <v>1</v>
      </c>
      <c r="DK423" s="1" t="s">
        <v>1085</v>
      </c>
      <c r="DL423" s="1" t="s">
        <v>170</v>
      </c>
      <c r="DR423" s="1" t="b">
        <f>AlignmentTrueNeutral</f>
        <v>0</v>
      </c>
      <c r="DS423" s="1" t="b">
        <f>SkBalanceRanks&gt;=5</f>
        <v>0</v>
      </c>
      <c r="DT423" s="1" t="b">
        <f>SkListenRanks&gt;=10</f>
        <v>0</v>
      </c>
      <c r="DU423" s="1" t="b">
        <f>SkSurvivalRanks&gt;=5</f>
        <v>0</v>
      </c>
      <c r="DV423" s="1" t="b">
        <f>FtAgile</f>
        <v>0</v>
      </c>
      <c r="DW423" s="1" t="b">
        <f>FtDodgeEquiv</f>
        <v>0</v>
      </c>
      <c r="DX423" s="1" t="b">
        <f>FtImprovedInitiative</f>
        <v>0</v>
      </c>
      <c r="EA423" s="1" t="b">
        <f>AND(DM423:DZ423)</f>
        <v>0</v>
      </c>
      <c r="EB423" s="11" t="s">
        <v>334</v>
      </c>
      <c r="EC423" s="1" t="str">
        <f>IF(DR423,"","• Alignment must be Neutral.
")&amp;IF(DS423,"","• 5 ranks in Balance.
")&amp;IF(DT423,"","• 10 ranks in Listen.
")&amp;IF(DU423,"","• 5 ranks in Survival.
")&amp;IF(DV423,"","• Agile feat.
")&amp;IF(DW423,"","• Dodge feat.
")&amp;IF(DX423,"","• Improved Initiative feat.")</f>
        <v>• Alignment must be Neutral.
• 5 ranks in Balance.
• 10 ranks in Listen.
• 5 ranks in Survival.
• Agile feat.
• Dodge feat.
• Improved Initiative feat.</v>
      </c>
      <c r="ED423" s="11" t="s">
        <v>335</v>
      </c>
    </row>
    <row r="424" spans="1:134" ht="11.25" customHeight="1" x14ac:dyDescent="0.2">
      <c r="A424" s="1">
        <f t="shared" si="381"/>
        <v>421</v>
      </c>
      <c r="B424" s="1" t="s">
        <v>1094</v>
      </c>
      <c r="C424" s="1" t="s">
        <v>1095</v>
      </c>
      <c r="D424" s="1" t="s">
        <v>1095</v>
      </c>
      <c r="E424" s="1">
        <f t="shared" si="408"/>
        <v>0</v>
      </c>
      <c r="K424" s="1">
        <v>4</v>
      </c>
      <c r="L424" s="1">
        <v>10</v>
      </c>
      <c r="N424" s="1" t="b">
        <v>1</v>
      </c>
      <c r="O424" s="1" t="b">
        <v>1</v>
      </c>
      <c r="P424" s="1" t="b">
        <v>1</v>
      </c>
      <c r="Q424" s="1" t="b">
        <v>1</v>
      </c>
      <c r="S424" s="1" t="b">
        <v>1</v>
      </c>
      <c r="T424" s="1" t="b">
        <v>1</v>
      </c>
      <c r="V424" s="1">
        <v>1</v>
      </c>
      <c r="W424" s="1">
        <v>0.34</v>
      </c>
      <c r="X424" s="1">
        <v>0.5</v>
      </c>
      <c r="Y424" s="1">
        <v>0.34</v>
      </c>
      <c r="Z424" s="1" t="b">
        <f>FALSE</f>
        <v>0</v>
      </c>
      <c r="AA424" s="1" t="str">
        <f t="shared" si="411"/>
        <v/>
      </c>
      <c r="AB424" s="1" t="str">
        <f t="shared" si="412"/>
        <v/>
      </c>
      <c r="AC424" s="1">
        <f t="shared" si="409"/>
        <v>0</v>
      </c>
      <c r="AD424" s="1" t="str">
        <f t="shared" si="413"/>
        <v/>
      </c>
      <c r="AE424" s="1" t="str">
        <f t="shared" si="414"/>
        <v/>
      </c>
      <c r="AF424" s="1">
        <f t="shared" si="410"/>
        <v>0</v>
      </c>
      <c r="AG424" s="1">
        <f t="shared" si="394"/>
        <v>5</v>
      </c>
      <c r="AH424" s="1" t="str">
        <f t="shared" si="393"/>
        <v/>
      </c>
      <c r="AI424" s="1">
        <v>1</v>
      </c>
      <c r="AJ424" s="1">
        <f>IF(HRXPH,1,0)</f>
        <v>0</v>
      </c>
      <c r="AK424" s="1">
        <v>1</v>
      </c>
      <c r="AL424" s="1">
        <v>2</v>
      </c>
      <c r="AM424" s="1">
        <v>1</v>
      </c>
      <c r="AN424" s="1">
        <f t="shared" si="403"/>
        <v>0</v>
      </c>
      <c r="AO424" s="1">
        <v>1</v>
      </c>
      <c r="AP424" s="1">
        <v>2</v>
      </c>
      <c r="AQ424" s="1">
        <v>2</v>
      </c>
      <c r="AR424" s="1">
        <v>2</v>
      </c>
      <c r="AS424" s="1">
        <v>2</v>
      </c>
      <c r="AT424" s="1">
        <v>2</v>
      </c>
      <c r="AU424" s="1">
        <v>2</v>
      </c>
      <c r="AV424" s="1">
        <v>2</v>
      </c>
      <c r="AW424" s="1">
        <v>2</v>
      </c>
      <c r="AX424" s="1">
        <v>2</v>
      </c>
      <c r="AY424" s="1">
        <v>1</v>
      </c>
      <c r="AZ424" s="1">
        <v>1</v>
      </c>
      <c r="BA424" s="1">
        <v>1</v>
      </c>
      <c r="BB424" s="1">
        <v>2</v>
      </c>
      <c r="BC424" s="1">
        <v>2</v>
      </c>
      <c r="BD424" s="1">
        <v>1</v>
      </c>
      <c r="BE424" s="1">
        <v>1</v>
      </c>
      <c r="BF424" s="1">
        <v>1</v>
      </c>
      <c r="BG424" s="1">
        <f t="shared" si="404"/>
        <v>0</v>
      </c>
      <c r="BH424" s="1">
        <f>IF(HROA,1,0)</f>
        <v>0</v>
      </c>
      <c r="BI424" s="1">
        <v>2</v>
      </c>
      <c r="BJ424" s="1">
        <v>1</v>
      </c>
      <c r="BK424" s="1">
        <v>2</v>
      </c>
      <c r="BL424" s="1">
        <v>2</v>
      </c>
      <c r="BM424" s="1">
        <v>2</v>
      </c>
      <c r="BN424" s="1">
        <v>2</v>
      </c>
      <c r="BO424" s="1">
        <v>2</v>
      </c>
      <c r="BP424" s="1">
        <f>1+NOT(HRLivingGreyhawk)</f>
        <v>2</v>
      </c>
      <c r="BQ424" s="1">
        <f>IF(HRRVL,2,0)</f>
        <v>0</v>
      </c>
      <c r="BR424" s="1">
        <v>2</v>
      </c>
      <c r="BS424" s="1">
        <v>2</v>
      </c>
      <c r="BT424" s="1">
        <f>IF(HRXPH,2,0)</f>
        <v>0</v>
      </c>
      <c r="BU424" s="1">
        <f>IF(HRRVL,2,0)</f>
        <v>0</v>
      </c>
      <c r="BV424" s="1">
        <v>2</v>
      </c>
      <c r="BW424" s="1">
        <v>2</v>
      </c>
      <c r="BX424" s="1">
        <v>2</v>
      </c>
      <c r="BY424" s="1">
        <v>2</v>
      </c>
      <c r="BZ424" s="1">
        <v>2</v>
      </c>
      <c r="CA424" s="1">
        <v>2</v>
      </c>
      <c r="CB424" s="1">
        <v>2</v>
      </c>
      <c r="CC424" s="1">
        <v>2</v>
      </c>
      <c r="CD424" s="1">
        <v>2</v>
      </c>
      <c r="CE424" s="1">
        <v>2</v>
      </c>
      <c r="CF424" s="1">
        <v>1</v>
      </c>
      <c r="CG424" s="1">
        <f t="shared" si="405"/>
        <v>0</v>
      </c>
      <c r="CH424" s="1">
        <v>1</v>
      </c>
      <c r="CI424" s="1">
        <v>1</v>
      </c>
      <c r="CJ424" s="1">
        <v>1</v>
      </c>
      <c r="CK424" s="1">
        <v>1</v>
      </c>
      <c r="CL424" s="1">
        <v>1</v>
      </c>
      <c r="CM424" s="1">
        <v>1</v>
      </c>
      <c r="CN424" s="1">
        <v>1</v>
      </c>
      <c r="CO424" s="1">
        <v>1</v>
      </c>
      <c r="CP424" s="1">
        <v>1</v>
      </c>
      <c r="CQ424" s="1">
        <v>1</v>
      </c>
      <c r="CR424" s="1">
        <v>1</v>
      </c>
      <c r="CS424" s="1">
        <v>1</v>
      </c>
      <c r="CT424" s="1">
        <v>1</v>
      </c>
      <c r="CU424" s="1">
        <v>1</v>
      </c>
      <c r="CV424" s="1">
        <f>IF(HRXPH,1,0)</f>
        <v>0</v>
      </c>
      <c r="CW424" s="1">
        <v>1</v>
      </c>
      <c r="CX424" s="1">
        <v>2</v>
      </c>
      <c r="CY424" s="1">
        <v>2</v>
      </c>
      <c r="CZ424" s="1">
        <f t="shared" si="406"/>
        <v>0</v>
      </c>
      <c r="DA424" s="1">
        <v>1</v>
      </c>
      <c r="DB424" s="1">
        <v>1</v>
      </c>
      <c r="DC424" s="1">
        <v>1</v>
      </c>
      <c r="DD424" s="1">
        <v>2</v>
      </c>
      <c r="DE424" s="1">
        <v>1</v>
      </c>
      <c r="DF424" s="1">
        <v>1</v>
      </c>
      <c r="DG424" s="1">
        <v>1</v>
      </c>
      <c r="DH424" s="1">
        <v>2</v>
      </c>
      <c r="DI424" s="1">
        <f>IF(HRXPH,1,0)</f>
        <v>0</v>
      </c>
      <c r="DJ424" s="1">
        <v>1</v>
      </c>
      <c r="DK424" s="1" t="s">
        <v>1085</v>
      </c>
      <c r="DL424" s="1" t="s">
        <v>170</v>
      </c>
      <c r="DR424" s="1" t="b">
        <f>BaseAtk&gt;=4</f>
        <v>0</v>
      </c>
      <c r="DS424" s="1" t="b">
        <f>BaseFort&gt;=2</f>
        <v>0</v>
      </c>
      <c r="DT424" s="1" t="b">
        <f>BaseRef&gt;=2</f>
        <v>0</v>
      </c>
      <c r="DU424" s="1" t="b">
        <f>BaseWill&gt;=2</f>
        <v>1</v>
      </c>
      <c r="DV424" s="1" t="b">
        <f>AlignmentChaotic</f>
        <v>0</v>
      </c>
      <c r="EA424" s="1" t="b">
        <f t="shared" si="407"/>
        <v>0</v>
      </c>
      <c r="EB424" s="11" t="s">
        <v>334</v>
      </c>
      <c r="EC424" s="1" t="str">
        <f>IF(DR424,"","• Base Attack Bonus: +4.
")&amp;IF(DS424,"","• Base Fort Save Bonus: +2.
")&amp;IF(DT424,"","• Base Ref Save Bonus: +2.
")&amp;IF(DU424,"","• Base Will Save Bonus: +2.
")&amp;IF(DV424,"","• Must be of any chaotic alignment.")</f>
        <v>• Base Attack Bonus: +4.
• Base Fort Save Bonus: +2.
• Base Ref Save Bonus: +2.
• Must be of any chaotic alignment.</v>
      </c>
      <c r="ED424" s="11" t="s">
        <v>335</v>
      </c>
    </row>
    <row r="425" spans="1:134" ht="11.25" customHeight="1" x14ac:dyDescent="0.2">
      <c r="A425" s="1">
        <f t="shared" si="381"/>
        <v>422</v>
      </c>
      <c r="B425" s="1" t="s">
        <v>1096</v>
      </c>
      <c r="C425" s="1" t="s">
        <v>1097</v>
      </c>
      <c r="D425" s="1" t="s">
        <v>1097</v>
      </c>
      <c r="E425" s="1">
        <f t="shared" si="408"/>
        <v>0</v>
      </c>
      <c r="K425" s="1">
        <v>6</v>
      </c>
      <c r="L425" s="1">
        <v>8</v>
      </c>
      <c r="V425" s="1">
        <v>0.75</v>
      </c>
      <c r="W425" s="1">
        <v>0.34</v>
      </c>
      <c r="X425" s="1">
        <v>0.5</v>
      </c>
      <c r="Y425" s="1">
        <v>0.34</v>
      </c>
      <c r="Z425" s="1" t="b">
        <f>FALSE</f>
        <v>0</v>
      </c>
      <c r="AA425" s="1" t="str">
        <f t="shared" si="411"/>
        <v/>
      </c>
      <c r="AB425" s="1" t="str">
        <f t="shared" si="412"/>
        <v/>
      </c>
      <c r="AC425" s="1">
        <f t="shared" si="409"/>
        <v>0</v>
      </c>
      <c r="AD425" s="1" t="str">
        <f t="shared" si="413"/>
        <v/>
      </c>
      <c r="AE425" s="1" t="str">
        <f t="shared" si="414"/>
        <v/>
      </c>
      <c r="AF425" s="1">
        <f t="shared" si="410"/>
        <v>0</v>
      </c>
      <c r="AG425" s="1">
        <f t="shared" si="394"/>
        <v>5</v>
      </c>
      <c r="AH425" s="1" t="str">
        <f t="shared" si="393"/>
        <v/>
      </c>
      <c r="AI425" s="1">
        <v>1</v>
      </c>
      <c r="AJ425" s="1">
        <f>IF(HRXPH,1,0)</f>
        <v>0</v>
      </c>
      <c r="AK425" s="1">
        <v>2</v>
      </c>
      <c r="AL425" s="1">
        <v>2</v>
      </c>
      <c r="AM425" s="1">
        <v>2</v>
      </c>
      <c r="AN425" s="1">
        <f t="shared" si="403"/>
        <v>0</v>
      </c>
      <c r="AO425" s="1">
        <v>1</v>
      </c>
      <c r="AP425" s="1">
        <v>1</v>
      </c>
      <c r="AQ425" s="1">
        <v>1</v>
      </c>
      <c r="AR425" s="1">
        <v>1</v>
      </c>
      <c r="AS425" s="1">
        <v>1</v>
      </c>
      <c r="AT425" s="1">
        <v>1</v>
      </c>
      <c r="AU425" s="1">
        <v>1</v>
      </c>
      <c r="AV425" s="1">
        <v>1</v>
      </c>
      <c r="AW425" s="1">
        <v>1</v>
      </c>
      <c r="AX425" s="1">
        <v>1</v>
      </c>
      <c r="AY425" s="1">
        <v>1</v>
      </c>
      <c r="AZ425" s="1">
        <v>1</v>
      </c>
      <c r="BA425" s="1">
        <v>2</v>
      </c>
      <c r="BB425" s="1">
        <v>1</v>
      </c>
      <c r="BC425" s="1">
        <v>1</v>
      </c>
      <c r="BD425" s="1">
        <v>1</v>
      </c>
      <c r="BE425" s="1">
        <v>1</v>
      </c>
      <c r="BF425" s="1">
        <v>2</v>
      </c>
      <c r="BG425" s="1">
        <f t="shared" si="404"/>
        <v>0</v>
      </c>
      <c r="BH425" s="1">
        <f>IF(HROA,1,0)</f>
        <v>0</v>
      </c>
      <c r="BI425" s="1">
        <v>1</v>
      </c>
      <c r="BJ425" s="1">
        <v>2</v>
      </c>
      <c r="BK425" s="1">
        <v>1</v>
      </c>
      <c r="BL425" s="1">
        <v>1</v>
      </c>
      <c r="BM425" s="1">
        <v>1</v>
      </c>
      <c r="BN425" s="1">
        <v>1</v>
      </c>
      <c r="BO425" s="1">
        <v>1</v>
      </c>
      <c r="BP425" s="1">
        <v>1</v>
      </c>
      <c r="BQ425" s="1">
        <f>IF(HRRVL,1,0)</f>
        <v>0</v>
      </c>
      <c r="BR425" s="1">
        <v>1</v>
      </c>
      <c r="BS425" s="1">
        <v>1</v>
      </c>
      <c r="BT425" s="1">
        <f>IF(HRXPH,1,0)</f>
        <v>0</v>
      </c>
      <c r="BU425" s="1">
        <f>IF(HRRVL,1,0)</f>
        <v>0</v>
      </c>
      <c r="BV425" s="1">
        <v>1</v>
      </c>
      <c r="BW425" s="1">
        <v>2</v>
      </c>
      <c r="BX425" s="1">
        <v>1</v>
      </c>
      <c r="BY425" s="1">
        <v>1</v>
      </c>
      <c r="BZ425" s="1">
        <v>1</v>
      </c>
      <c r="CA425" s="1">
        <v>1</v>
      </c>
      <c r="CB425" s="1">
        <v>1</v>
      </c>
      <c r="CC425" s="1">
        <v>1</v>
      </c>
      <c r="CD425" s="1">
        <v>1</v>
      </c>
      <c r="CE425" s="1">
        <v>1</v>
      </c>
      <c r="CF425" s="1">
        <v>2</v>
      </c>
      <c r="CG425" s="1">
        <f t="shared" si="405"/>
        <v>0</v>
      </c>
      <c r="CH425" s="1">
        <v>2</v>
      </c>
      <c r="CI425" s="1">
        <v>1</v>
      </c>
      <c r="CJ425" s="1">
        <v>1</v>
      </c>
      <c r="CK425" s="1">
        <v>1</v>
      </c>
      <c r="CL425" s="1">
        <v>1</v>
      </c>
      <c r="CM425" s="1">
        <v>1</v>
      </c>
      <c r="CN425" s="1">
        <v>1</v>
      </c>
      <c r="CO425" s="1">
        <v>1</v>
      </c>
      <c r="CP425" s="1">
        <v>2</v>
      </c>
      <c r="CQ425" s="1">
        <v>2</v>
      </c>
      <c r="CR425" s="1">
        <v>2</v>
      </c>
      <c r="CS425" s="1">
        <v>2</v>
      </c>
      <c r="CT425" s="1">
        <v>2</v>
      </c>
      <c r="CU425" s="1">
        <v>2</v>
      </c>
      <c r="CV425" s="1">
        <f>IF(HRXPH,1,0)</f>
        <v>0</v>
      </c>
      <c r="CW425" s="1">
        <v>1</v>
      </c>
      <c r="CX425" s="1">
        <v>2</v>
      </c>
      <c r="CY425" s="1">
        <v>1</v>
      </c>
      <c r="CZ425" s="1">
        <f t="shared" si="406"/>
        <v>0</v>
      </c>
      <c r="DA425" s="1">
        <v>2</v>
      </c>
      <c r="DB425" s="1">
        <v>1</v>
      </c>
      <c r="DC425" s="1">
        <v>1</v>
      </c>
      <c r="DD425" s="1">
        <v>2</v>
      </c>
      <c r="DE425" s="1">
        <v>1</v>
      </c>
      <c r="DF425" s="1">
        <v>1</v>
      </c>
      <c r="DG425" s="1">
        <v>2</v>
      </c>
      <c r="DH425" s="1">
        <v>1</v>
      </c>
      <c r="DI425" s="1">
        <f>IF(HRXPH,1,0)</f>
        <v>0</v>
      </c>
      <c r="DJ425" s="1">
        <v>2</v>
      </c>
      <c r="DK425" s="1" t="s">
        <v>1085</v>
      </c>
      <c r="DL425" s="1" t="s">
        <v>170</v>
      </c>
      <c r="DR425" s="1" t="b">
        <f>SkBalanceRanks&gt;=8</f>
        <v>0</v>
      </c>
      <c r="DS425" s="1" t="b">
        <f>SkJumpRanks&gt;=8</f>
        <v>0</v>
      </c>
      <c r="DT425" s="1" t="b">
        <f>SkTumbleRanks&gt;=8</f>
        <v>0</v>
      </c>
      <c r="DU425" s="1" t="b">
        <f>FtDodgeEquiv</f>
        <v>0</v>
      </c>
      <c r="DV425" s="1" t="b">
        <f>FtMobility</f>
        <v>0</v>
      </c>
      <c r="DW425" s="1" t="b">
        <f>FtSpringAttack</f>
        <v>0</v>
      </c>
      <c r="EA425" s="1" t="b">
        <f>AND(DM425:DZ425)</f>
        <v>0</v>
      </c>
      <c r="EB425" s="11" t="s">
        <v>334</v>
      </c>
      <c r="EC425" s="1" t="str">
        <f>IF(DR425,"","• 8 ranks in Balance.
")&amp;IF(DS425,"","• 8 ranks in Jump.
")&amp;IF(DT425,"","• 8 ranks in Tumble.
")&amp;IF(DU425,"","• Dodge feat.
")&amp;IF(DV425,"","• Mobility feat.
")&amp;IF(DW425,"","• Spring Attack feat.")</f>
        <v>• 8 ranks in Balance.
• 8 ranks in Jump.
• 8 ranks in Tumble.
• Dodge feat.
• Mobility feat.
• Spring Attack feat.</v>
      </c>
      <c r="ED425" s="11" t="s">
        <v>335</v>
      </c>
    </row>
    <row r="426" spans="1:134" ht="11.25" customHeight="1" x14ac:dyDescent="0.2">
      <c r="A426" s="1">
        <f t="shared" si="381"/>
        <v>423</v>
      </c>
      <c r="B426" s="1" t="s">
        <v>1098</v>
      </c>
      <c r="C426" s="1" t="s">
        <v>1099</v>
      </c>
      <c r="D426" s="1" t="s">
        <v>1099</v>
      </c>
      <c r="E426" s="1">
        <f t="shared" si="408"/>
        <v>0</v>
      </c>
      <c r="K426" s="1">
        <v>2</v>
      </c>
      <c r="L426" s="1">
        <v>10</v>
      </c>
      <c r="V426" s="1">
        <v>0.75</v>
      </c>
      <c r="W426" s="1">
        <v>0.5</v>
      </c>
      <c r="X426" s="1">
        <v>0.34</v>
      </c>
      <c r="Y426" s="1">
        <v>0.34</v>
      </c>
      <c r="Z426" s="1" t="b">
        <f>FALSE</f>
        <v>0</v>
      </c>
      <c r="AA426" s="1" t="str">
        <f t="shared" si="411"/>
        <v/>
      </c>
      <c r="AB426" s="1" t="str">
        <f t="shared" si="412"/>
        <v/>
      </c>
      <c r="AC426" s="1">
        <f t="shared" si="409"/>
        <v>0</v>
      </c>
      <c r="AD426" s="1" t="str">
        <f t="shared" si="413"/>
        <v/>
      </c>
      <c r="AE426" s="1" t="str">
        <f t="shared" si="414"/>
        <v/>
      </c>
      <c r="AF426" s="1">
        <f t="shared" si="410"/>
        <v>0</v>
      </c>
      <c r="AG426" s="1">
        <f t="shared" si="394"/>
        <v>5</v>
      </c>
      <c r="AH426" s="1" t="str">
        <f t="shared" si="393"/>
        <v/>
      </c>
      <c r="AI426" s="1">
        <v>1</v>
      </c>
      <c r="AJ426" s="1">
        <f>IF(HRXPH,1,0)</f>
        <v>0</v>
      </c>
      <c r="AK426" s="1">
        <v>1</v>
      </c>
      <c r="AL426" s="1">
        <v>1</v>
      </c>
      <c r="AM426" s="1">
        <v>2</v>
      </c>
      <c r="AN426" s="1">
        <f t="shared" si="403"/>
        <v>0</v>
      </c>
      <c r="AO426" s="1">
        <v>1</v>
      </c>
      <c r="AP426" s="1">
        <v>2</v>
      </c>
      <c r="AQ426" s="1">
        <v>2</v>
      </c>
      <c r="AR426" s="1">
        <v>2</v>
      </c>
      <c r="AS426" s="1">
        <v>2</v>
      </c>
      <c r="AT426" s="1">
        <v>2</v>
      </c>
      <c r="AU426" s="1">
        <v>2</v>
      </c>
      <c r="AV426" s="1">
        <v>2</v>
      </c>
      <c r="AW426" s="1">
        <v>1</v>
      </c>
      <c r="AX426" s="1">
        <v>1</v>
      </c>
      <c r="AY426" s="1">
        <v>1</v>
      </c>
      <c r="AZ426" s="1">
        <v>1</v>
      </c>
      <c r="BA426" s="1">
        <v>1</v>
      </c>
      <c r="BB426" s="1">
        <v>1</v>
      </c>
      <c r="BC426" s="1">
        <v>1</v>
      </c>
      <c r="BD426" s="1">
        <v>2</v>
      </c>
      <c r="BE426" s="1">
        <v>1</v>
      </c>
      <c r="BF426" s="1">
        <v>1</v>
      </c>
      <c r="BG426" s="1">
        <f t="shared" si="404"/>
        <v>0</v>
      </c>
      <c r="BH426" s="1">
        <f>IF(HROA,1,0)</f>
        <v>0</v>
      </c>
      <c r="BI426" s="1">
        <v>2</v>
      </c>
      <c r="BJ426" s="1">
        <v>2</v>
      </c>
      <c r="BK426" s="1">
        <v>1</v>
      </c>
      <c r="BL426" s="1">
        <v>1</v>
      </c>
      <c r="BM426" s="1">
        <v>1</v>
      </c>
      <c r="BN426" s="1">
        <v>1</v>
      </c>
      <c r="BO426" s="1">
        <v>1</v>
      </c>
      <c r="BP426" s="1">
        <v>1</v>
      </c>
      <c r="BQ426" s="1">
        <f>IF(HRRVL,1,0)</f>
        <v>0</v>
      </c>
      <c r="BR426" s="1">
        <v>1</v>
      </c>
      <c r="BS426" s="1">
        <v>1</v>
      </c>
      <c r="BT426" s="1">
        <f>IF(HRXPH,1,0)</f>
        <v>0</v>
      </c>
      <c r="BU426" s="1">
        <f>IF(HRRVL,1,0)</f>
        <v>0</v>
      </c>
      <c r="BV426" s="1">
        <v>1</v>
      </c>
      <c r="BW426" s="1">
        <v>2</v>
      </c>
      <c r="BX426" s="1">
        <v>1</v>
      </c>
      <c r="BY426" s="1">
        <v>1</v>
      </c>
      <c r="BZ426" s="1">
        <v>1</v>
      </c>
      <c r="CA426" s="1">
        <v>1</v>
      </c>
      <c r="CB426" s="1">
        <v>1</v>
      </c>
      <c r="CC426" s="1">
        <v>1</v>
      </c>
      <c r="CD426" s="1">
        <v>1</v>
      </c>
      <c r="CE426" s="1">
        <v>1</v>
      </c>
      <c r="CF426" s="1">
        <v>1</v>
      </c>
      <c r="CG426" s="1">
        <f t="shared" si="405"/>
        <v>0</v>
      </c>
      <c r="CH426" s="1">
        <v>1</v>
      </c>
      <c r="CI426" s="1">
        <v>1</v>
      </c>
      <c r="CJ426" s="1">
        <v>1</v>
      </c>
      <c r="CK426" s="1">
        <v>1</v>
      </c>
      <c r="CL426" s="1">
        <v>1</v>
      </c>
      <c r="CM426" s="1">
        <v>1</v>
      </c>
      <c r="CN426" s="1">
        <v>1</v>
      </c>
      <c r="CO426" s="1">
        <v>1</v>
      </c>
      <c r="CP426" s="1">
        <v>1</v>
      </c>
      <c r="CQ426" s="1">
        <v>1</v>
      </c>
      <c r="CR426" s="1">
        <v>1</v>
      </c>
      <c r="CS426" s="1">
        <v>1</v>
      </c>
      <c r="CT426" s="1">
        <v>1</v>
      </c>
      <c r="CU426" s="1">
        <v>1</v>
      </c>
      <c r="CV426" s="1">
        <f>IF(HRXPH,1,0)</f>
        <v>0</v>
      </c>
      <c r="CW426" s="1">
        <v>2</v>
      </c>
      <c r="CX426" s="1">
        <v>1</v>
      </c>
      <c r="CY426" s="1">
        <v>1</v>
      </c>
      <c r="CZ426" s="1">
        <f t="shared" si="406"/>
        <v>0</v>
      </c>
      <c r="DA426" s="1">
        <v>1</v>
      </c>
      <c r="DB426" s="1">
        <v>1</v>
      </c>
      <c r="DC426" s="1">
        <v>1</v>
      </c>
      <c r="DD426" s="1">
        <v>1</v>
      </c>
      <c r="DE426" s="1">
        <v>1</v>
      </c>
      <c r="DF426" s="1">
        <v>2</v>
      </c>
      <c r="DG426" s="1">
        <v>1</v>
      </c>
      <c r="DH426" s="1">
        <v>1</v>
      </c>
      <c r="DI426" s="1">
        <f>IF(HRXPH,1,0)</f>
        <v>0</v>
      </c>
      <c r="DJ426" s="1">
        <v>1</v>
      </c>
      <c r="DK426" s="1" t="s">
        <v>1085</v>
      </c>
      <c r="DL426" s="1" t="s">
        <v>170</v>
      </c>
      <c r="DR426" s="1" t="b">
        <f>BaseAtk&gt;=7</f>
        <v>0</v>
      </c>
      <c r="DS426" s="1" t="b">
        <f>SkKnowledgePlanesRanks&gt;=5</f>
        <v>0</v>
      </c>
      <c r="EA426" s="1" t="b">
        <f t="shared" si="407"/>
        <v>0</v>
      </c>
      <c r="EB426" s="11" t="s">
        <v>338</v>
      </c>
      <c r="EC426" s="1" t="str">
        <f>IF(DR426,"","• Base Attack Bonus: +7.
")&amp;IF(DS426,"","• 5 ranks in Knowledge (the planes).
")&amp;"• Must have traveled to at least one of the Elemental Planes (not
  verified)."</f>
        <v>• Base Attack Bonus: +7.
• 5 ranks in Knowledge (the planes).
• Must have traveled to at least one of the Elemental Planes (not
  verified).</v>
      </c>
      <c r="ED426" s="11" t="s">
        <v>335</v>
      </c>
    </row>
    <row r="427" spans="1:134" ht="11.25" customHeight="1" x14ac:dyDescent="0.2">
      <c r="A427" s="1">
        <f t="shared" si="381"/>
        <v>424</v>
      </c>
      <c r="B427" s="1" t="s">
        <v>1100</v>
      </c>
      <c r="E427" s="1">
        <f t="shared" si="408"/>
        <v>0</v>
      </c>
      <c r="F427" s="1">
        <v>1</v>
      </c>
      <c r="Z427" s="1" t="b">
        <f>FALSE</f>
        <v>0</v>
      </c>
      <c r="AA427" s="1" t="str">
        <f t="shared" si="411"/>
        <v/>
      </c>
      <c r="AB427" s="1" t="str">
        <f t="shared" si="412"/>
        <v/>
      </c>
      <c r="AC427" s="1">
        <f t="shared" si="409"/>
        <v>0</v>
      </c>
      <c r="AD427" s="1" t="str">
        <f t="shared" si="413"/>
        <v/>
      </c>
      <c r="AE427" s="1" t="str">
        <f t="shared" si="414"/>
        <v/>
      </c>
      <c r="AF427" s="1">
        <f t="shared" si="410"/>
        <v>0</v>
      </c>
      <c r="AG427" s="1">
        <f t="shared" si="394"/>
        <v>5</v>
      </c>
      <c r="AH427" s="1" t="str">
        <f t="shared" si="393"/>
        <v/>
      </c>
      <c r="EB427" s="11"/>
      <c r="ED427" s="11" t="s">
        <v>335</v>
      </c>
    </row>
    <row r="428" spans="1:134" ht="11.25" customHeight="1" x14ac:dyDescent="0.2">
      <c r="A428" s="1">
        <f t="shared" si="381"/>
        <v>425</v>
      </c>
      <c r="B428" s="1" t="s">
        <v>1101</v>
      </c>
      <c r="C428" s="1" t="s">
        <v>1102</v>
      </c>
      <c r="D428" s="1" t="s">
        <v>1102</v>
      </c>
      <c r="E428" s="1">
        <f t="shared" si="408"/>
        <v>0</v>
      </c>
      <c r="G428" s="1">
        <f>DevLvl</f>
        <v>0</v>
      </c>
      <c r="K428" s="1">
        <v>2</v>
      </c>
      <c r="L428" s="1">
        <v>4</v>
      </c>
      <c r="V428" s="1">
        <v>0.5</v>
      </c>
      <c r="W428" s="1">
        <v>0.34</v>
      </c>
      <c r="X428" s="1">
        <v>0.34</v>
      </c>
      <c r="Y428" s="1">
        <v>0.5</v>
      </c>
      <c r="Z428" s="1" t="b">
        <f>FALSE</f>
        <v>0</v>
      </c>
      <c r="AA428" s="1" t="str">
        <f t="shared" si="411"/>
        <v/>
      </c>
      <c r="AB428" s="1" t="str">
        <f t="shared" si="412"/>
        <v/>
      </c>
      <c r="AC428" s="1">
        <f t="shared" si="409"/>
        <v>0</v>
      </c>
      <c r="AD428" s="1" t="str">
        <f t="shared" si="413"/>
        <v/>
      </c>
      <c r="AE428" s="1" t="str">
        <f t="shared" si="414"/>
        <v/>
      </c>
      <c r="AF428" s="1">
        <f t="shared" si="410"/>
        <v>0</v>
      </c>
      <c r="AG428" s="1">
        <f t="shared" si="394"/>
        <v>5</v>
      </c>
      <c r="AH428" s="1" t="str">
        <f t="shared" si="393"/>
        <v/>
      </c>
      <c r="AI428" s="1">
        <v>1</v>
      </c>
      <c r="AJ428" s="1">
        <f t="shared" ref="AJ428:AJ455" si="415">IF(HRXPH,1,0)</f>
        <v>0</v>
      </c>
      <c r="AK428" s="1">
        <v>1</v>
      </c>
      <c r="AL428" s="1">
        <v>1</v>
      </c>
      <c r="AM428" s="1">
        <v>1</v>
      </c>
      <c r="AN428" s="1">
        <f t="shared" ref="AN428:AN453" si="416">IF(IsLycanthrope,2,0)</f>
        <v>0</v>
      </c>
      <c r="AO428" s="1">
        <v>2</v>
      </c>
      <c r="AP428" s="1">
        <v>2</v>
      </c>
      <c r="AQ428" s="1">
        <v>2</v>
      </c>
      <c r="AR428" s="1">
        <v>2</v>
      </c>
      <c r="AS428" s="1">
        <v>2</v>
      </c>
      <c r="AT428" s="1">
        <v>2</v>
      </c>
      <c r="AU428" s="1">
        <v>2</v>
      </c>
      <c r="AV428" s="1">
        <v>2</v>
      </c>
      <c r="AW428" s="1">
        <v>2</v>
      </c>
      <c r="AX428" s="1">
        <v>1</v>
      </c>
      <c r="AY428" s="1">
        <v>1</v>
      </c>
      <c r="AZ428" s="1">
        <v>1</v>
      </c>
      <c r="BA428" s="1">
        <v>1</v>
      </c>
      <c r="BB428" s="1">
        <v>1</v>
      </c>
      <c r="BC428" s="1">
        <v>1</v>
      </c>
      <c r="BD428" s="1">
        <v>1</v>
      </c>
      <c r="BE428" s="1">
        <v>1</v>
      </c>
      <c r="BF428" s="1">
        <v>1</v>
      </c>
      <c r="BG428" s="1">
        <f t="shared" ref="BG428:BG453" si="417">IF(HRRVL,1,0)</f>
        <v>0</v>
      </c>
      <c r="BH428" s="1">
        <f t="shared" ref="BH428:BH453" si="418">IF(HROA,1,0)</f>
        <v>0</v>
      </c>
      <c r="BI428" s="1">
        <v>1</v>
      </c>
      <c r="BJ428" s="1">
        <v>1</v>
      </c>
      <c r="BK428" s="1">
        <v>2</v>
      </c>
      <c r="BL428" s="1">
        <v>2</v>
      </c>
      <c r="BM428" s="1">
        <v>2</v>
      </c>
      <c r="BN428" s="1">
        <v>2</v>
      </c>
      <c r="BO428" s="1">
        <v>2</v>
      </c>
      <c r="BP428" s="1">
        <f>1+NOT(HRLivingGreyhawk)</f>
        <v>2</v>
      </c>
      <c r="BQ428" s="1">
        <f>IF(HRRVL,2,0)</f>
        <v>0</v>
      </c>
      <c r="BR428" s="1">
        <v>2</v>
      </c>
      <c r="BS428" s="1">
        <v>2</v>
      </c>
      <c r="BT428" s="1">
        <f>IF(HRXPH,2,0)</f>
        <v>0</v>
      </c>
      <c r="BU428" s="1">
        <f>IF(HRRVL,2,0)</f>
        <v>0</v>
      </c>
      <c r="BV428" s="1">
        <v>2</v>
      </c>
      <c r="BW428" s="1">
        <v>2</v>
      </c>
      <c r="BX428" s="1">
        <v>2</v>
      </c>
      <c r="BY428" s="1">
        <v>2</v>
      </c>
      <c r="BZ428" s="1">
        <v>2</v>
      </c>
      <c r="CA428" s="1">
        <v>2</v>
      </c>
      <c r="CB428" s="1">
        <v>2</v>
      </c>
      <c r="CC428" s="1">
        <v>2</v>
      </c>
      <c r="CD428" s="1">
        <v>2</v>
      </c>
      <c r="CE428" s="1">
        <v>2</v>
      </c>
      <c r="CF428" s="1">
        <v>1</v>
      </c>
      <c r="CG428" s="1">
        <f t="shared" ref="CG428:CG453" si="419">IF(HRToB,1,0)</f>
        <v>0</v>
      </c>
      <c r="CH428" s="1">
        <v>1</v>
      </c>
      <c r="CI428" s="1">
        <v>1</v>
      </c>
      <c r="CJ428" s="1">
        <v>1</v>
      </c>
      <c r="CK428" s="1">
        <v>1</v>
      </c>
      <c r="CL428" s="1">
        <v>1</v>
      </c>
      <c r="CM428" s="1">
        <v>1</v>
      </c>
      <c r="CN428" s="1">
        <v>1</v>
      </c>
      <c r="CO428" s="1">
        <v>1</v>
      </c>
      <c r="CP428" s="1">
        <v>2</v>
      </c>
      <c r="CQ428" s="1">
        <v>2</v>
      </c>
      <c r="CR428" s="1">
        <v>2</v>
      </c>
      <c r="CS428" s="1">
        <v>2</v>
      </c>
      <c r="CT428" s="1">
        <v>2</v>
      </c>
      <c r="CU428" s="1">
        <v>2</v>
      </c>
      <c r="CV428" s="1">
        <f t="shared" ref="CV428:CV453" si="420">IF(HRXPH,1,0)</f>
        <v>0</v>
      </c>
      <c r="CW428" s="1">
        <v>1</v>
      </c>
      <c r="CX428" s="1">
        <v>1</v>
      </c>
      <c r="CY428" s="1">
        <v>1</v>
      </c>
      <c r="CZ428" s="1">
        <f t="shared" ref="CZ428:CZ455" si="421">IF(HRCS,1,0)</f>
        <v>0</v>
      </c>
      <c r="DA428" s="1">
        <v>1</v>
      </c>
      <c r="DB428" s="1">
        <v>1</v>
      </c>
      <c r="DC428" s="1">
        <v>2</v>
      </c>
      <c r="DD428" s="1">
        <v>1</v>
      </c>
      <c r="DE428" s="1">
        <v>1</v>
      </c>
      <c r="DF428" s="1">
        <v>1</v>
      </c>
      <c r="DG428" s="1">
        <v>1</v>
      </c>
      <c r="DH428" s="1">
        <v>1</v>
      </c>
      <c r="DI428" s="1">
        <f t="shared" ref="DI428:DI453" si="422">IF(HRXPH,1,0)</f>
        <v>0</v>
      </c>
      <c r="DJ428" s="1">
        <v>1</v>
      </c>
      <c r="DK428" s="1" t="s">
        <v>1103</v>
      </c>
      <c r="DL428" s="1" t="s">
        <v>170</v>
      </c>
      <c r="DR428" s="1" t="b">
        <f ca="1">MaxArcaneSpellLevel&gt;=7</f>
        <v>0</v>
      </c>
      <c r="DS428" s="1" t="b">
        <f>SkKnowledgeReligionRanks&gt;=8</f>
        <v>0</v>
      </c>
      <c r="DT428" s="1" t="b">
        <f>SkSpellcraftRanks&gt;=8</f>
        <v>0</v>
      </c>
      <c r="DU428" s="1" t="b">
        <f>FtEnlargeSpell</f>
        <v>0</v>
      </c>
      <c r="DV428" s="1" t="b">
        <f>DeityCell&lt;&gt;1</f>
        <v>0</v>
      </c>
      <c r="EA428" s="1" t="b">
        <f ca="1">AND(DM428:DZ428)</f>
        <v>0</v>
      </c>
      <c r="EB428" s="11" t="s">
        <v>334</v>
      </c>
      <c r="EC428" s="1" t="str">
        <f ca="1">IF(DR428,"","• Ability to cast 4th-level arcane spells.
")&amp;IF(DS428,"","• 8 ranks in Knowledge(religion).
")&amp;IF(DT428,"","• 8 ranks in Spellcraft.
")&amp;IF(DU428,"","• Enlarge Spell Feat.
")&amp;IF(DV428,"","• You must have a patron deity.")</f>
        <v>• Ability to cast 4th-level arcane spells.
• 8 ranks in Knowledge(religion).
• 8 ranks in Spellcraft.
• Enlarge Spell Feat.
• You must have a patron deity.</v>
      </c>
      <c r="ED428" s="11" t="s">
        <v>335</v>
      </c>
    </row>
    <row r="429" spans="1:134" ht="11.25" customHeight="1" x14ac:dyDescent="0.2">
      <c r="A429" s="1">
        <f t="shared" si="381"/>
        <v>426</v>
      </c>
      <c r="B429" s="1" t="s">
        <v>1104</v>
      </c>
      <c r="C429" s="1" t="s">
        <v>1105</v>
      </c>
      <c r="D429" s="1" t="s">
        <v>1105</v>
      </c>
      <c r="E429" s="1">
        <f t="shared" si="408"/>
        <v>0</v>
      </c>
      <c r="K429" s="1">
        <v>4</v>
      </c>
      <c r="L429" s="1">
        <v>8</v>
      </c>
      <c r="V429" s="1">
        <v>0.75</v>
      </c>
      <c r="W429" s="1">
        <v>0.5</v>
      </c>
      <c r="X429" s="1">
        <v>0.5</v>
      </c>
      <c r="Y429" s="1">
        <v>0.34</v>
      </c>
      <c r="Z429" s="1" t="b">
        <f>FALSE</f>
        <v>0</v>
      </c>
      <c r="AA429" s="1" t="str">
        <f t="shared" si="411"/>
        <v/>
      </c>
      <c r="AB429" s="1" t="str">
        <f t="shared" si="412"/>
        <v/>
      </c>
      <c r="AC429" s="1">
        <f t="shared" si="409"/>
        <v>0</v>
      </c>
      <c r="AD429" s="1" t="str">
        <f t="shared" si="413"/>
        <v/>
      </c>
      <c r="AE429" s="1" t="str">
        <f t="shared" si="414"/>
        <v/>
      </c>
      <c r="AF429" s="1">
        <f t="shared" si="410"/>
        <v>0</v>
      </c>
      <c r="AG429" s="1">
        <f t="shared" si="394"/>
        <v>5</v>
      </c>
      <c r="AH429" s="1" t="str">
        <f t="shared" si="393"/>
        <v/>
      </c>
      <c r="AI429" s="1">
        <v>1</v>
      </c>
      <c r="AJ429" s="1">
        <f t="shared" si="415"/>
        <v>0</v>
      </c>
      <c r="AK429" s="1">
        <v>1</v>
      </c>
      <c r="AL429" s="1">
        <v>1</v>
      </c>
      <c r="AM429" s="1">
        <v>2</v>
      </c>
      <c r="AN429" s="1">
        <f t="shared" si="416"/>
        <v>0</v>
      </c>
      <c r="AO429" s="1">
        <v>1</v>
      </c>
      <c r="AP429" s="1">
        <v>1</v>
      </c>
      <c r="AQ429" s="1">
        <v>1</v>
      </c>
      <c r="AR429" s="1">
        <v>1</v>
      </c>
      <c r="AS429" s="1">
        <v>1</v>
      </c>
      <c r="AT429" s="1">
        <v>1</v>
      </c>
      <c r="AU429" s="1">
        <v>1</v>
      </c>
      <c r="AV429" s="1">
        <v>1</v>
      </c>
      <c r="AW429" s="1">
        <v>1</v>
      </c>
      <c r="AX429" s="1">
        <v>1</v>
      </c>
      <c r="AY429" s="1">
        <v>1</v>
      </c>
      <c r="AZ429" s="1">
        <v>1</v>
      </c>
      <c r="BA429" s="1">
        <v>1</v>
      </c>
      <c r="BB429" s="1">
        <v>1</v>
      </c>
      <c r="BC429" s="1">
        <v>1</v>
      </c>
      <c r="BD429" s="1">
        <v>1</v>
      </c>
      <c r="BE429" s="1">
        <v>1</v>
      </c>
      <c r="BF429" s="1">
        <v>2</v>
      </c>
      <c r="BG429" s="1">
        <f t="shared" si="417"/>
        <v>0</v>
      </c>
      <c r="BH429" s="1">
        <f t="shared" si="418"/>
        <v>0</v>
      </c>
      <c r="BI429" s="1">
        <v>2</v>
      </c>
      <c r="BJ429" s="1">
        <v>2</v>
      </c>
      <c r="BK429" s="1">
        <v>1</v>
      </c>
      <c r="BL429" s="1">
        <v>1</v>
      </c>
      <c r="BM429" s="1">
        <v>1</v>
      </c>
      <c r="BN429" s="1">
        <v>1</v>
      </c>
      <c r="BO429" s="1">
        <v>1</v>
      </c>
      <c r="BP429" s="1">
        <v>1</v>
      </c>
      <c r="BQ429" s="1">
        <f>IF(HRRVL,2,0)</f>
        <v>0</v>
      </c>
      <c r="BR429" s="1">
        <v>2</v>
      </c>
      <c r="BS429" s="1">
        <v>1</v>
      </c>
      <c r="BT429" s="1">
        <f t="shared" ref="BT429:BT434" si="423">IF(HRXPH,1,0)</f>
        <v>0</v>
      </c>
      <c r="BU429" s="1">
        <f t="shared" ref="BU429:BU434" si="424">IF(HRRVL,1,0)</f>
        <v>0</v>
      </c>
      <c r="BV429" s="1">
        <v>1</v>
      </c>
      <c r="BW429" s="1">
        <v>1</v>
      </c>
      <c r="BX429" s="1">
        <v>1</v>
      </c>
      <c r="BY429" s="1">
        <v>1</v>
      </c>
      <c r="BZ429" s="1">
        <v>1</v>
      </c>
      <c r="CA429" s="1">
        <v>1</v>
      </c>
      <c r="CB429" s="1">
        <v>1</v>
      </c>
      <c r="CC429" s="1">
        <v>1</v>
      </c>
      <c r="CD429" s="1">
        <v>1</v>
      </c>
      <c r="CE429" s="1">
        <v>1</v>
      </c>
      <c r="CF429" s="1">
        <v>2</v>
      </c>
      <c r="CG429" s="1">
        <f t="shared" si="419"/>
        <v>0</v>
      </c>
      <c r="CH429" s="1">
        <v>2</v>
      </c>
      <c r="CI429" s="1">
        <v>1</v>
      </c>
      <c r="CJ429" s="1">
        <v>1</v>
      </c>
      <c r="CK429" s="1">
        <v>1</v>
      </c>
      <c r="CL429" s="1">
        <v>1</v>
      </c>
      <c r="CM429" s="1">
        <v>1</v>
      </c>
      <c r="CN429" s="1">
        <v>1</v>
      </c>
      <c r="CO429" s="1">
        <v>1</v>
      </c>
      <c r="CP429" s="1">
        <v>1</v>
      </c>
      <c r="CQ429" s="1">
        <v>1</v>
      </c>
      <c r="CR429" s="1">
        <v>1</v>
      </c>
      <c r="CS429" s="1">
        <v>1</v>
      </c>
      <c r="CT429" s="1">
        <v>1</v>
      </c>
      <c r="CU429" s="1">
        <v>1</v>
      </c>
      <c r="CV429" s="1">
        <f t="shared" si="420"/>
        <v>0</v>
      </c>
      <c r="CW429" s="1">
        <v>1</v>
      </c>
      <c r="CX429" s="1">
        <v>1</v>
      </c>
      <c r="CY429" s="1">
        <v>1</v>
      </c>
      <c r="CZ429" s="1">
        <f t="shared" si="421"/>
        <v>0</v>
      </c>
      <c r="DA429" s="1">
        <v>1</v>
      </c>
      <c r="DB429" s="1">
        <v>1</v>
      </c>
      <c r="DC429" s="1">
        <v>1</v>
      </c>
      <c r="DD429" s="1">
        <v>2</v>
      </c>
      <c r="DE429" s="1">
        <v>2</v>
      </c>
      <c r="DF429" s="1">
        <v>2</v>
      </c>
      <c r="DG429" s="1">
        <v>1</v>
      </c>
      <c r="DH429" s="1">
        <v>1</v>
      </c>
      <c r="DI429" s="1">
        <f t="shared" si="422"/>
        <v>0</v>
      </c>
      <c r="DJ429" s="1">
        <v>1</v>
      </c>
      <c r="DK429" s="1" t="s">
        <v>1103</v>
      </c>
      <c r="DL429" s="1" t="s">
        <v>170</v>
      </c>
      <c r="DS429" s="1" t="b">
        <f>Deity="Malar (FRCS)"</f>
        <v>0</v>
      </c>
      <c r="DT429" s="1" t="b">
        <f>FtVileNaturalAttack</f>
        <v>0</v>
      </c>
      <c r="DU429" s="1" t="b">
        <f>FtPowerAttackEquiv</f>
        <v>0</v>
      </c>
      <c r="DV429" s="1" t="b">
        <f>SkSurvivalRanks&gt;=6</f>
        <v>0</v>
      </c>
      <c r="DW429" s="1" t="b">
        <f>SkKnowledgeNatureRanks&gt;=4</f>
        <v>0</v>
      </c>
      <c r="DX429" s="1" t="b">
        <f>SkJumpRanks&gt;=6</f>
        <v>0</v>
      </c>
      <c r="DY429" s="1" t="b">
        <f>OR(LycanthropeAffliction&lt;&gt;"Afflicted",SkControlShapeRanks&gt;=8)</f>
        <v>1</v>
      </c>
      <c r="DZ429" s="1" t="b">
        <f>IsLycanthrope</f>
        <v>0</v>
      </c>
      <c r="EA429" s="1" t="b">
        <f t="shared" ref="EA429:EA453" si="425">AND(DM429:DZ429)</f>
        <v>0</v>
      </c>
      <c r="EB429" s="11" t="s">
        <v>334</v>
      </c>
      <c r="EC429" s="1" t="str">
        <f>IF(DZ429,"","• Must be a lycanthrope.
")&amp;IF(DY429,"","• 8 ranks in Control Shape.
")&amp;IF(DX429,"","• 6 ranks in Jump.
")&amp;IF(DW429,"","• 4 ranks in Knowledge (nature).
")&amp;IF(DV429,"","• 6 ranks in Survival.
")&amp;IF(DU429,"","• Power Attack feat.
")&amp;IF(DT429,"","• Vile Natural Attack feat.
")&amp;IF(DS429,"","• Patron Deity Malar.")</f>
        <v>• Must be a lycanthrope.
• 6 ranks in Jump.
• 4 ranks in Knowledge (nature).
• 6 ranks in Survival.
• Power Attack feat.
• Vile Natural Attack feat.
• Patron Deity Malar.</v>
      </c>
      <c r="ED429" s="11" t="s">
        <v>335</v>
      </c>
    </row>
    <row r="430" spans="1:134" ht="11.25" customHeight="1" x14ac:dyDescent="0.2">
      <c r="A430" s="1">
        <f t="shared" si="381"/>
        <v>427</v>
      </c>
      <c r="B430" s="1" t="s">
        <v>1106</v>
      </c>
      <c r="C430" s="1" t="s">
        <v>1107</v>
      </c>
      <c r="D430" s="1" t="s">
        <v>1107</v>
      </c>
      <c r="E430" s="1">
        <f t="shared" si="408"/>
        <v>0</v>
      </c>
      <c r="K430" s="1">
        <v>6</v>
      </c>
      <c r="L430" s="1">
        <v>6</v>
      </c>
      <c r="V430" s="1">
        <v>0.5</v>
      </c>
      <c r="W430" s="1">
        <v>0.34</v>
      </c>
      <c r="X430" s="1">
        <v>0.34</v>
      </c>
      <c r="Y430" s="1">
        <v>0.5</v>
      </c>
      <c r="Z430" s="1" t="b">
        <f>FALSE</f>
        <v>0</v>
      </c>
      <c r="AA430" s="1" t="str">
        <f t="shared" si="411"/>
        <v/>
      </c>
      <c r="AB430" s="1" t="str">
        <f t="shared" si="412"/>
        <v/>
      </c>
      <c r="AC430" s="1">
        <f t="shared" si="409"/>
        <v>0</v>
      </c>
      <c r="AD430" s="1" t="str">
        <f t="shared" si="413"/>
        <v/>
      </c>
      <c r="AE430" s="1" t="str">
        <f t="shared" si="414"/>
        <v/>
      </c>
      <c r="AF430" s="1">
        <f t="shared" si="410"/>
        <v>0</v>
      </c>
      <c r="AG430" s="1">
        <f t="shared" si="394"/>
        <v>5</v>
      </c>
      <c r="AH430" s="1" t="str">
        <f t="shared" si="393"/>
        <v/>
      </c>
      <c r="AI430" s="1">
        <v>1</v>
      </c>
      <c r="AJ430" s="1">
        <f t="shared" si="415"/>
        <v>0</v>
      </c>
      <c r="AK430" s="1">
        <v>1</v>
      </c>
      <c r="AL430" s="1">
        <v>2</v>
      </c>
      <c r="AM430" s="1">
        <v>1</v>
      </c>
      <c r="AN430" s="1">
        <f t="shared" si="416"/>
        <v>0</v>
      </c>
      <c r="AO430" s="1">
        <v>2</v>
      </c>
      <c r="AP430" s="1">
        <v>2</v>
      </c>
      <c r="AQ430" s="1">
        <v>2</v>
      </c>
      <c r="AR430" s="1">
        <v>2</v>
      </c>
      <c r="AS430" s="1">
        <v>2</v>
      </c>
      <c r="AT430" s="1">
        <v>2</v>
      </c>
      <c r="AU430" s="1">
        <v>2</v>
      </c>
      <c r="AV430" s="1">
        <v>2</v>
      </c>
      <c r="AW430" s="1">
        <v>1</v>
      </c>
      <c r="AX430" s="1">
        <v>2</v>
      </c>
      <c r="AY430" s="1">
        <v>1</v>
      </c>
      <c r="AZ430" s="1">
        <v>2</v>
      </c>
      <c r="BA430" s="1">
        <v>1</v>
      </c>
      <c r="BB430" s="1">
        <v>1</v>
      </c>
      <c r="BC430" s="1">
        <v>2</v>
      </c>
      <c r="BD430" s="1">
        <v>1</v>
      </c>
      <c r="BE430" s="1">
        <v>1</v>
      </c>
      <c r="BF430" s="1">
        <v>1</v>
      </c>
      <c r="BG430" s="1">
        <f t="shared" si="417"/>
        <v>0</v>
      </c>
      <c r="BH430" s="1">
        <f t="shared" si="418"/>
        <v>0</v>
      </c>
      <c r="BI430" s="1">
        <v>1</v>
      </c>
      <c r="BJ430" s="1">
        <v>2</v>
      </c>
      <c r="BK430" s="1">
        <v>1</v>
      </c>
      <c r="BL430" s="1">
        <v>1</v>
      </c>
      <c r="BM430" s="1">
        <v>1</v>
      </c>
      <c r="BN430" s="1">
        <v>1</v>
      </c>
      <c r="BO430" s="1">
        <v>1</v>
      </c>
      <c r="BP430" s="1">
        <v>1</v>
      </c>
      <c r="BQ430" s="1">
        <f>IF(HRRVL,2,0)</f>
        <v>0</v>
      </c>
      <c r="BR430" s="1">
        <v>1</v>
      </c>
      <c r="BS430" s="1">
        <v>1</v>
      </c>
      <c r="BT430" s="1">
        <f t="shared" si="423"/>
        <v>0</v>
      </c>
      <c r="BU430" s="1">
        <f t="shared" si="424"/>
        <v>0</v>
      </c>
      <c r="BV430" s="1">
        <v>1</v>
      </c>
      <c r="BW430" s="1">
        <v>1</v>
      </c>
      <c r="BX430" s="1">
        <v>1</v>
      </c>
      <c r="BY430" s="1">
        <v>1</v>
      </c>
      <c r="BZ430" s="1">
        <v>1</v>
      </c>
      <c r="CA430" s="1">
        <v>1</v>
      </c>
      <c r="CB430" s="1">
        <v>1</v>
      </c>
      <c r="CC430" s="1">
        <v>1</v>
      </c>
      <c r="CD430" s="1">
        <v>1</v>
      </c>
      <c r="CE430" s="1">
        <v>1</v>
      </c>
      <c r="CF430" s="1">
        <v>2</v>
      </c>
      <c r="CG430" s="1">
        <f t="shared" si="419"/>
        <v>0</v>
      </c>
      <c r="CH430" s="1">
        <v>1</v>
      </c>
      <c r="CI430" s="1">
        <v>1</v>
      </c>
      <c r="CJ430" s="1">
        <v>2</v>
      </c>
      <c r="CK430" s="1">
        <v>2</v>
      </c>
      <c r="CL430" s="1">
        <v>2</v>
      </c>
      <c r="CM430" s="1">
        <v>2</v>
      </c>
      <c r="CN430" s="1">
        <v>2</v>
      </c>
      <c r="CO430" s="1">
        <v>2</v>
      </c>
      <c r="CP430" s="1">
        <v>2</v>
      </c>
      <c r="CQ430" s="1">
        <v>2</v>
      </c>
      <c r="CR430" s="1">
        <v>2</v>
      </c>
      <c r="CS430" s="1">
        <v>2</v>
      </c>
      <c r="CT430" s="1">
        <v>2</v>
      </c>
      <c r="CU430" s="1">
        <v>2</v>
      </c>
      <c r="CV430" s="1">
        <f t="shared" si="420"/>
        <v>0</v>
      </c>
      <c r="CW430" s="1">
        <v>1</v>
      </c>
      <c r="CX430" s="1">
        <v>1</v>
      </c>
      <c r="CY430" s="1">
        <v>2</v>
      </c>
      <c r="CZ430" s="1">
        <f t="shared" si="421"/>
        <v>0</v>
      </c>
      <c r="DA430" s="1">
        <v>2</v>
      </c>
      <c r="DB430" s="1">
        <v>1</v>
      </c>
      <c r="DC430" s="1">
        <v>2</v>
      </c>
      <c r="DD430" s="1">
        <v>1</v>
      </c>
      <c r="DE430" s="1">
        <v>1</v>
      </c>
      <c r="DF430" s="1">
        <v>1</v>
      </c>
      <c r="DG430" s="1">
        <v>2</v>
      </c>
      <c r="DH430" s="1">
        <v>1</v>
      </c>
      <c r="DI430" s="1">
        <f t="shared" si="422"/>
        <v>0</v>
      </c>
      <c r="DJ430" s="1">
        <v>1</v>
      </c>
      <c r="DK430" s="1" t="s">
        <v>1103</v>
      </c>
      <c r="DL430" s="1" t="s">
        <v>170</v>
      </c>
      <c r="DV430" s="1" t="b">
        <f>FtVowPurity</f>
        <v>0</v>
      </c>
      <c r="DW430" s="1" t="b">
        <f>FtSacredVow</f>
        <v>0</v>
      </c>
      <c r="DX430" s="1" t="b">
        <f>SkPerformRanks&gt;=7</f>
        <v>0</v>
      </c>
      <c r="DY430" s="1" t="b">
        <f>SkDiplomacyRanks&gt;=7</f>
        <v>0</v>
      </c>
      <c r="DZ430" s="1" t="b">
        <f>Alignment="CG"</f>
        <v>0</v>
      </c>
      <c r="EA430" s="1" t="b">
        <f t="shared" si="425"/>
        <v>0</v>
      </c>
      <c r="EB430" s="11" t="s">
        <v>334</v>
      </c>
      <c r="EC430" s="1" t="str">
        <f>IF(DZ430,"","• Chaotic Good alignment.
")&amp;IF(DY430,"","• 7 ranks in Diplomacy.
")&amp;IF(DX430,"","• 7 ranks in Perform (any).
")&amp;IF(DU430,"","• Sacred Vow feat.
")&amp;IF(DV430,"","• Vow of Purity feat.")</f>
        <v>• Chaotic Good alignment.
• 7 ranks in Diplomacy.
• 7 ranks in Perform (any).
• Sacred Vow feat.
• Vow of Purity feat.</v>
      </c>
      <c r="ED430" s="11" t="s">
        <v>335</v>
      </c>
    </row>
    <row r="431" spans="1:134" ht="11.25" customHeight="1" x14ac:dyDescent="0.2">
      <c r="A431" s="1">
        <f t="shared" si="381"/>
        <v>428</v>
      </c>
      <c r="B431" s="1" t="s">
        <v>1108</v>
      </c>
      <c r="C431" s="1" t="s">
        <v>1109</v>
      </c>
      <c r="D431" s="1" t="s">
        <v>1109</v>
      </c>
      <c r="E431" s="1">
        <f t="shared" si="408"/>
        <v>0</v>
      </c>
      <c r="K431" s="1">
        <v>2</v>
      </c>
      <c r="L431" s="1">
        <v>10</v>
      </c>
      <c r="S431" s="1" t="b">
        <v>1</v>
      </c>
      <c r="T431" s="1" t="b">
        <v>1</v>
      </c>
      <c r="V431" s="1">
        <v>1</v>
      </c>
      <c r="W431" s="1">
        <v>0.5</v>
      </c>
      <c r="X431" s="1">
        <v>0.34</v>
      </c>
      <c r="Y431" s="1">
        <v>0.34</v>
      </c>
      <c r="Z431" s="1" t="b">
        <f>FALSE</f>
        <v>0</v>
      </c>
      <c r="AA431" s="1" t="str">
        <f t="shared" si="411"/>
        <v/>
      </c>
      <c r="AB431" s="1" t="str">
        <f t="shared" si="412"/>
        <v/>
      </c>
      <c r="AC431" s="1">
        <f t="shared" si="409"/>
        <v>0</v>
      </c>
      <c r="AD431" s="1" t="str">
        <f t="shared" si="413"/>
        <v/>
      </c>
      <c r="AE431" s="1" t="str">
        <f t="shared" si="414"/>
        <v/>
      </c>
      <c r="AF431" s="1">
        <f t="shared" si="410"/>
        <v>0</v>
      </c>
      <c r="AG431" s="1">
        <f>IF($AC431&gt;0,$AG428+1,$AG428)</f>
        <v>5</v>
      </c>
      <c r="AH431" s="1" t="str">
        <f t="shared" si="393"/>
        <v/>
      </c>
      <c r="AI431" s="1">
        <v>1</v>
      </c>
      <c r="AJ431" s="1">
        <f t="shared" si="415"/>
        <v>0</v>
      </c>
      <c r="AK431" s="1">
        <v>1</v>
      </c>
      <c r="AL431" s="1">
        <v>1</v>
      </c>
      <c r="AM431" s="1">
        <v>2</v>
      </c>
      <c r="AN431" s="1">
        <f t="shared" si="416"/>
        <v>0</v>
      </c>
      <c r="AO431" s="1">
        <v>1</v>
      </c>
      <c r="AP431" s="1">
        <v>2</v>
      </c>
      <c r="AQ431" s="1">
        <v>2</v>
      </c>
      <c r="AR431" s="1">
        <v>2</v>
      </c>
      <c r="AS431" s="1">
        <v>2</v>
      </c>
      <c r="AT431" s="1">
        <v>2</v>
      </c>
      <c r="AU431" s="1">
        <v>2</v>
      </c>
      <c r="AV431" s="1">
        <v>2</v>
      </c>
      <c r="AW431" s="1">
        <v>1</v>
      </c>
      <c r="AX431" s="1">
        <v>1</v>
      </c>
      <c r="AY431" s="1">
        <v>1</v>
      </c>
      <c r="AZ431" s="1">
        <v>1</v>
      </c>
      <c r="BA431" s="1">
        <v>1</v>
      </c>
      <c r="BB431" s="1">
        <v>1</v>
      </c>
      <c r="BC431" s="1">
        <v>1</v>
      </c>
      <c r="BD431" s="1">
        <v>2</v>
      </c>
      <c r="BE431" s="1">
        <v>1</v>
      </c>
      <c r="BF431" s="1">
        <v>1</v>
      </c>
      <c r="BG431" s="1">
        <f t="shared" si="417"/>
        <v>0</v>
      </c>
      <c r="BH431" s="1">
        <f t="shared" si="418"/>
        <v>0</v>
      </c>
      <c r="BI431" s="1">
        <v>2</v>
      </c>
      <c r="BJ431" s="1">
        <v>2</v>
      </c>
      <c r="BK431" s="1">
        <v>1</v>
      </c>
      <c r="BL431" s="1">
        <v>1</v>
      </c>
      <c r="BM431" s="1">
        <v>1</v>
      </c>
      <c r="BN431" s="1">
        <v>1</v>
      </c>
      <c r="BO431" s="1">
        <v>1</v>
      </c>
      <c r="BP431" s="1">
        <v>1</v>
      </c>
      <c r="BQ431" s="1">
        <f>IF(HRRVL,1,0)</f>
        <v>0</v>
      </c>
      <c r="BR431" s="1">
        <v>1</v>
      </c>
      <c r="BS431" s="1">
        <v>1</v>
      </c>
      <c r="BT431" s="1">
        <f t="shared" si="423"/>
        <v>0</v>
      </c>
      <c r="BU431" s="1">
        <f t="shared" si="424"/>
        <v>0</v>
      </c>
      <c r="BV431" s="1">
        <v>2</v>
      </c>
      <c r="BW431" s="1">
        <v>1</v>
      </c>
      <c r="BX431" s="1">
        <v>1</v>
      </c>
      <c r="BY431" s="1">
        <v>1</v>
      </c>
      <c r="BZ431" s="1">
        <v>1</v>
      </c>
      <c r="CA431" s="1">
        <v>1</v>
      </c>
      <c r="CB431" s="1">
        <v>1</v>
      </c>
      <c r="CC431" s="1">
        <v>1</v>
      </c>
      <c r="CD431" s="1">
        <v>1</v>
      </c>
      <c r="CE431" s="1">
        <v>1</v>
      </c>
      <c r="CF431" s="1">
        <v>1</v>
      </c>
      <c r="CG431" s="1">
        <f t="shared" si="419"/>
        <v>0</v>
      </c>
      <c r="CH431" s="1">
        <v>1</v>
      </c>
      <c r="CI431" s="1">
        <v>1</v>
      </c>
      <c r="CJ431" s="1">
        <v>1</v>
      </c>
      <c r="CK431" s="1">
        <v>1</v>
      </c>
      <c r="CL431" s="1">
        <v>1</v>
      </c>
      <c r="CM431" s="1">
        <v>1</v>
      </c>
      <c r="CN431" s="1">
        <v>1</v>
      </c>
      <c r="CO431" s="1">
        <v>1</v>
      </c>
      <c r="CP431" s="1">
        <v>1</v>
      </c>
      <c r="CQ431" s="1">
        <v>1</v>
      </c>
      <c r="CR431" s="1">
        <v>1</v>
      </c>
      <c r="CS431" s="1">
        <v>1</v>
      </c>
      <c r="CT431" s="1">
        <v>1</v>
      </c>
      <c r="CU431" s="1">
        <v>1</v>
      </c>
      <c r="CV431" s="1">
        <f t="shared" si="420"/>
        <v>0</v>
      </c>
      <c r="CW431" s="1">
        <v>2</v>
      </c>
      <c r="CX431" s="1">
        <v>1</v>
      </c>
      <c r="CY431" s="1">
        <v>1</v>
      </c>
      <c r="CZ431" s="1">
        <f t="shared" si="421"/>
        <v>0</v>
      </c>
      <c r="DA431" s="1">
        <v>1</v>
      </c>
      <c r="DB431" s="1">
        <v>1</v>
      </c>
      <c r="DC431" s="1">
        <v>1</v>
      </c>
      <c r="DD431" s="1">
        <v>1</v>
      </c>
      <c r="DE431" s="1">
        <v>1</v>
      </c>
      <c r="DF431" s="1">
        <v>2</v>
      </c>
      <c r="DG431" s="1">
        <v>1</v>
      </c>
      <c r="DH431" s="1">
        <v>1</v>
      </c>
      <c r="DI431" s="1">
        <f t="shared" si="422"/>
        <v>0</v>
      </c>
      <c r="DJ431" s="1">
        <v>1</v>
      </c>
      <c r="DK431" s="1" t="s">
        <v>1103</v>
      </c>
      <c r="DL431" s="1" t="s">
        <v>170</v>
      </c>
      <c r="DR431" s="1" t="b">
        <f>BaseAtk&gt;=9</f>
        <v>0</v>
      </c>
      <c r="DS431" s="1" t="b">
        <f>SkKnowledgeReligionRanks&gt;=3</f>
        <v>0</v>
      </c>
      <c r="DT431" s="1" t="b">
        <f>OR(FreeWeaponFocus,FtWeaponFocus1)</f>
        <v>0</v>
      </c>
      <c r="DU431" s="1" t="b">
        <f>DeityCell&lt;&gt;1</f>
        <v>0</v>
      </c>
      <c r="EA431" s="1" t="b">
        <f t="shared" si="425"/>
        <v>0</v>
      </c>
      <c r="EB431" s="11" t="s">
        <v>334</v>
      </c>
      <c r="EC431" s="1" t="str">
        <f>IF(DR431,"","• A base attack bonus of +7 or higher..
")&amp;IF(DS431,"","• 3 ranks in Knowledge(religion).
")&amp;IF(DT431,"","• Weapon Focus in the Deity's favored weapon.
")&amp;IF(DU431,"","• You must have a patron deity.")</f>
        <v>• A base attack bonus of +7 or higher..
• 3 ranks in Knowledge(religion).
• Weapon Focus in the Deity's favored weapon.
• You must have a patron deity.</v>
      </c>
      <c r="ED431" s="11" t="s">
        <v>335</v>
      </c>
    </row>
    <row r="432" spans="1:134" ht="11.25" customHeight="1" x14ac:dyDescent="0.2">
      <c r="A432" s="1">
        <f t="shared" si="381"/>
        <v>429</v>
      </c>
      <c r="B432" s="1" t="s">
        <v>1110</v>
      </c>
      <c r="C432" s="1" t="s">
        <v>600</v>
      </c>
      <c r="D432" s="1" t="s">
        <v>600</v>
      </c>
      <c r="E432" s="1">
        <f t="shared" si="408"/>
        <v>0</v>
      </c>
      <c r="G432" s="1">
        <f>DisLvl</f>
        <v>0</v>
      </c>
      <c r="K432" s="1">
        <v>2</v>
      </c>
      <c r="L432" s="1">
        <v>8</v>
      </c>
      <c r="V432" s="1">
        <v>0.75</v>
      </c>
      <c r="W432" s="1">
        <v>0.5</v>
      </c>
      <c r="X432" s="1">
        <v>0.34</v>
      </c>
      <c r="Y432" s="1">
        <v>0.5</v>
      </c>
      <c r="Z432" s="1" t="b">
        <f>FALSE</f>
        <v>0</v>
      </c>
      <c r="AA432" s="1" t="str">
        <f t="shared" si="411"/>
        <v/>
      </c>
      <c r="AB432" s="1" t="str">
        <f t="shared" si="412"/>
        <v/>
      </c>
      <c r="AC432" s="1">
        <f t="shared" si="409"/>
        <v>0</v>
      </c>
      <c r="AD432" s="1" t="str">
        <f t="shared" si="413"/>
        <v/>
      </c>
      <c r="AE432" s="1" t="str">
        <f t="shared" si="414"/>
        <v/>
      </c>
      <c r="AF432" s="1">
        <f t="shared" si="410"/>
        <v>0</v>
      </c>
      <c r="AG432" s="1">
        <f t="shared" si="394"/>
        <v>5</v>
      </c>
      <c r="AH432" s="1" t="str">
        <f t="shared" si="393"/>
        <v/>
      </c>
      <c r="AI432" s="1">
        <v>1</v>
      </c>
      <c r="AJ432" s="1">
        <f t="shared" si="415"/>
        <v>0</v>
      </c>
      <c r="AK432" s="1">
        <v>1</v>
      </c>
      <c r="AL432" s="1">
        <v>1</v>
      </c>
      <c r="AM432" s="1">
        <v>1</v>
      </c>
      <c r="AN432" s="1">
        <f t="shared" si="416"/>
        <v>0</v>
      </c>
      <c r="AO432" s="1">
        <v>2</v>
      </c>
      <c r="AP432" s="1">
        <v>2</v>
      </c>
      <c r="AQ432" s="1">
        <v>2</v>
      </c>
      <c r="AR432" s="1">
        <v>2</v>
      </c>
      <c r="AS432" s="1">
        <v>2</v>
      </c>
      <c r="AT432" s="1">
        <v>2</v>
      </c>
      <c r="AU432" s="1">
        <v>2</v>
      </c>
      <c r="AV432" s="1">
        <v>2</v>
      </c>
      <c r="AW432" s="1">
        <v>1</v>
      </c>
      <c r="AX432" s="1">
        <v>2</v>
      </c>
      <c r="AY432" s="1">
        <v>1</v>
      </c>
      <c r="AZ432" s="1">
        <v>1</v>
      </c>
      <c r="BA432" s="1">
        <v>1</v>
      </c>
      <c r="BB432" s="1">
        <v>1</v>
      </c>
      <c r="BC432" s="1">
        <v>1</v>
      </c>
      <c r="BD432" s="1">
        <v>1</v>
      </c>
      <c r="BE432" s="1">
        <v>2</v>
      </c>
      <c r="BF432" s="1">
        <v>1</v>
      </c>
      <c r="BG432" s="1">
        <f t="shared" si="417"/>
        <v>0</v>
      </c>
      <c r="BH432" s="1">
        <f t="shared" si="418"/>
        <v>0</v>
      </c>
      <c r="BI432" s="1">
        <v>1</v>
      </c>
      <c r="BJ432" s="1">
        <v>1</v>
      </c>
      <c r="BK432" s="1">
        <v>2</v>
      </c>
      <c r="BL432" s="1">
        <v>1</v>
      </c>
      <c r="BM432" s="1">
        <v>1</v>
      </c>
      <c r="BN432" s="1">
        <v>1</v>
      </c>
      <c r="BO432" s="1">
        <v>2</v>
      </c>
      <c r="BP432" s="1">
        <v>1</v>
      </c>
      <c r="BQ432" s="1">
        <f>IF(HRRVL,2,0)</f>
        <v>0</v>
      </c>
      <c r="BR432" s="1">
        <v>2</v>
      </c>
      <c r="BS432" s="1">
        <v>1</v>
      </c>
      <c r="BT432" s="1">
        <f t="shared" si="423"/>
        <v>0</v>
      </c>
      <c r="BU432" s="1">
        <f t="shared" si="424"/>
        <v>0</v>
      </c>
      <c r="BV432" s="1">
        <v>2</v>
      </c>
      <c r="BW432" s="1">
        <v>2</v>
      </c>
      <c r="BX432" s="1">
        <v>1</v>
      </c>
      <c r="BY432" s="1">
        <v>1</v>
      </c>
      <c r="BZ432" s="1">
        <v>1</v>
      </c>
      <c r="CA432" s="1">
        <v>1</v>
      </c>
      <c r="CB432" s="1">
        <v>1</v>
      </c>
      <c r="CC432" s="1">
        <v>1</v>
      </c>
      <c r="CD432" s="1">
        <v>1</v>
      </c>
      <c r="CE432" s="1">
        <v>1</v>
      </c>
      <c r="CF432" s="1">
        <v>1</v>
      </c>
      <c r="CG432" s="1">
        <f t="shared" si="419"/>
        <v>0</v>
      </c>
      <c r="CH432" s="1">
        <v>1</v>
      </c>
      <c r="CI432" s="1">
        <v>1</v>
      </c>
      <c r="CJ432" s="1">
        <v>1</v>
      </c>
      <c r="CK432" s="1">
        <v>1</v>
      </c>
      <c r="CL432" s="1">
        <v>1</v>
      </c>
      <c r="CM432" s="1">
        <v>1</v>
      </c>
      <c r="CN432" s="1">
        <v>1</v>
      </c>
      <c r="CO432" s="1">
        <v>1</v>
      </c>
      <c r="CP432" s="1">
        <v>2</v>
      </c>
      <c r="CQ432" s="1">
        <v>2</v>
      </c>
      <c r="CR432" s="1">
        <v>2</v>
      </c>
      <c r="CS432" s="1">
        <v>2</v>
      </c>
      <c r="CT432" s="1">
        <v>2</v>
      </c>
      <c r="CU432" s="1">
        <v>2</v>
      </c>
      <c r="CV432" s="1">
        <f t="shared" si="420"/>
        <v>0</v>
      </c>
      <c r="CW432" s="1">
        <v>1</v>
      </c>
      <c r="CX432" s="1">
        <v>1</v>
      </c>
      <c r="CY432" s="1">
        <v>1</v>
      </c>
      <c r="CZ432" s="1">
        <f t="shared" si="421"/>
        <v>0</v>
      </c>
      <c r="DA432" s="1">
        <v>1</v>
      </c>
      <c r="DB432" s="1">
        <v>1</v>
      </c>
      <c r="DC432" s="1">
        <v>2</v>
      </c>
      <c r="DD432" s="1">
        <v>1</v>
      </c>
      <c r="DE432" s="1">
        <v>2</v>
      </c>
      <c r="DF432" s="1">
        <v>1</v>
      </c>
      <c r="DG432" s="1">
        <v>1</v>
      </c>
      <c r="DH432" s="1">
        <v>1</v>
      </c>
      <c r="DI432" s="1">
        <f t="shared" si="422"/>
        <v>0</v>
      </c>
      <c r="DJ432" s="1">
        <v>1</v>
      </c>
      <c r="DK432" s="1" t="s">
        <v>1103</v>
      </c>
      <c r="DL432" s="1" t="s">
        <v>170</v>
      </c>
      <c r="DR432" s="1" t="b">
        <f ca="1">MaxDivineSpellLevel&gt;=4</f>
        <v>0</v>
      </c>
      <c r="DS432" s="1" t="b">
        <f>SkDiplomacyRanks&gt;=5</f>
        <v>0</v>
      </c>
      <c r="DT432" s="1" t="b">
        <f>SkKnowledgeReligionRanks&gt;=8</f>
        <v>0</v>
      </c>
      <c r="DU432" s="1" t="b">
        <f>DeityCell&lt;&gt;1</f>
        <v>0</v>
      </c>
      <c r="EA432" s="1" t="b">
        <f ca="1">AND(DM432:DZ432)</f>
        <v>0</v>
      </c>
      <c r="EB432" s="11" t="s">
        <v>334</v>
      </c>
      <c r="EC432" s="1" t="str">
        <f ca="1">IF(DR432,"","• Ability to cast 4th-level divine spells.
")&amp;IF(DS432,"","• 5 ranks in Diplomacy.
")&amp;IF(DT432,"","• 8 ranks in Knowledge(religion).
")&amp;IF(DU432,"","• You must have a patron deity.")</f>
        <v>• Ability to cast 4th-level divine spells.
• 5 ranks in Diplomacy.
• 8 ranks in Knowledge(religion).
• You must have a patron deity.</v>
      </c>
      <c r="ED432" s="11" t="s">
        <v>335</v>
      </c>
    </row>
    <row r="433" spans="1:134" ht="11.25" customHeight="1" x14ac:dyDescent="0.2">
      <c r="A433" s="1">
        <f t="shared" si="381"/>
        <v>430</v>
      </c>
      <c r="B433" s="1" t="s">
        <v>1111</v>
      </c>
      <c r="C433" s="1" t="s">
        <v>1112</v>
      </c>
      <c r="D433" s="1" t="s">
        <v>1112</v>
      </c>
      <c r="E433" s="1">
        <f t="shared" si="408"/>
        <v>0</v>
      </c>
      <c r="K433" s="1">
        <v>4</v>
      </c>
      <c r="L433" s="1">
        <v>6</v>
      </c>
      <c r="N433" s="1" t="b">
        <v>1</v>
      </c>
      <c r="S433" s="1" t="b">
        <v>1</v>
      </c>
      <c r="V433" s="1">
        <v>0.75</v>
      </c>
      <c r="W433" s="1">
        <v>0.34</v>
      </c>
      <c r="X433" s="1">
        <v>0.5</v>
      </c>
      <c r="Y433" s="1">
        <v>0.5</v>
      </c>
      <c r="Z433" s="1" t="b">
        <f>FALSE</f>
        <v>0</v>
      </c>
      <c r="AA433" s="1" t="str">
        <f t="shared" si="411"/>
        <v/>
      </c>
      <c r="AB433" s="1" t="str">
        <f t="shared" si="412"/>
        <v/>
      </c>
      <c r="AC433" s="1">
        <f t="shared" si="409"/>
        <v>0</v>
      </c>
      <c r="AD433" s="1" t="str">
        <f t="shared" si="413"/>
        <v/>
      </c>
      <c r="AE433" s="1" t="str">
        <f t="shared" si="414"/>
        <v/>
      </c>
      <c r="AF433" s="1">
        <f t="shared" si="410"/>
        <v>0</v>
      </c>
      <c r="AG433" s="1">
        <f t="shared" si="394"/>
        <v>5</v>
      </c>
      <c r="AH433" s="1" t="str">
        <f t="shared" si="393"/>
        <v/>
      </c>
      <c r="AI433" s="1">
        <v>1</v>
      </c>
      <c r="AJ433" s="1">
        <f t="shared" si="415"/>
        <v>0</v>
      </c>
      <c r="AK433" s="1">
        <v>1</v>
      </c>
      <c r="AL433" s="1">
        <v>1</v>
      </c>
      <c r="AM433" s="1">
        <v>2</v>
      </c>
      <c r="AN433" s="1">
        <f t="shared" si="416"/>
        <v>0</v>
      </c>
      <c r="AO433" s="1">
        <v>1</v>
      </c>
      <c r="AP433" s="1">
        <v>2</v>
      </c>
      <c r="AQ433" s="1">
        <v>2</v>
      </c>
      <c r="AR433" s="1">
        <v>2</v>
      </c>
      <c r="AS433" s="1">
        <v>2</v>
      </c>
      <c r="AT433" s="1">
        <v>2</v>
      </c>
      <c r="AU433" s="1">
        <v>2</v>
      </c>
      <c r="AV433" s="1">
        <v>2</v>
      </c>
      <c r="AW433" s="1">
        <v>1</v>
      </c>
      <c r="AX433" s="1">
        <v>2</v>
      </c>
      <c r="AY433" s="1">
        <v>1</v>
      </c>
      <c r="AZ433" s="1">
        <v>1</v>
      </c>
      <c r="BA433" s="1">
        <v>1</v>
      </c>
      <c r="BB433" s="1">
        <v>1</v>
      </c>
      <c r="BC433" s="1">
        <v>1</v>
      </c>
      <c r="BD433" s="1">
        <v>1</v>
      </c>
      <c r="BE433" s="1">
        <v>1</v>
      </c>
      <c r="BF433" s="1">
        <v>2</v>
      </c>
      <c r="BG433" s="1">
        <f t="shared" si="417"/>
        <v>0</v>
      </c>
      <c r="BH433" s="1">
        <f t="shared" si="418"/>
        <v>0</v>
      </c>
      <c r="BI433" s="1">
        <v>1</v>
      </c>
      <c r="BJ433" s="1">
        <v>2</v>
      </c>
      <c r="BK433" s="1">
        <v>1</v>
      </c>
      <c r="BL433" s="1">
        <v>1</v>
      </c>
      <c r="BM433" s="1">
        <v>1</v>
      </c>
      <c r="BN433" s="1">
        <v>2</v>
      </c>
      <c r="BO433" s="1">
        <v>1</v>
      </c>
      <c r="BP433" s="1">
        <v>1</v>
      </c>
      <c r="BQ433" s="1">
        <f>IF(HRRVL,1,0)</f>
        <v>0</v>
      </c>
      <c r="BR433" s="1">
        <v>1</v>
      </c>
      <c r="BS433" s="1">
        <v>1</v>
      </c>
      <c r="BT433" s="1">
        <f t="shared" si="423"/>
        <v>0</v>
      </c>
      <c r="BU433" s="1">
        <f t="shared" si="424"/>
        <v>0</v>
      </c>
      <c r="BV433" s="1">
        <v>2</v>
      </c>
      <c r="BW433" s="1">
        <v>1</v>
      </c>
      <c r="BX433" s="1">
        <v>1</v>
      </c>
      <c r="BY433" s="1">
        <v>1</v>
      </c>
      <c r="BZ433" s="1">
        <v>1</v>
      </c>
      <c r="CA433" s="1">
        <v>1</v>
      </c>
      <c r="CB433" s="1">
        <v>1</v>
      </c>
      <c r="CC433" s="1">
        <v>1</v>
      </c>
      <c r="CD433" s="1">
        <v>1</v>
      </c>
      <c r="CE433" s="1">
        <v>1</v>
      </c>
      <c r="CF433" s="1">
        <v>2</v>
      </c>
      <c r="CG433" s="1">
        <f t="shared" si="419"/>
        <v>0</v>
      </c>
      <c r="CH433" s="1">
        <v>2</v>
      </c>
      <c r="CI433" s="1">
        <v>1</v>
      </c>
      <c r="CJ433" s="1">
        <v>1</v>
      </c>
      <c r="CK433" s="1">
        <v>1</v>
      </c>
      <c r="CL433" s="1">
        <v>1</v>
      </c>
      <c r="CM433" s="1">
        <v>1</v>
      </c>
      <c r="CN433" s="1">
        <v>1</v>
      </c>
      <c r="CO433" s="1">
        <v>1</v>
      </c>
      <c r="CP433" s="1">
        <v>2</v>
      </c>
      <c r="CQ433" s="1">
        <v>2</v>
      </c>
      <c r="CR433" s="1">
        <v>2</v>
      </c>
      <c r="CS433" s="1">
        <v>2</v>
      </c>
      <c r="CT433" s="1">
        <v>2</v>
      </c>
      <c r="CU433" s="1">
        <v>2</v>
      </c>
      <c r="CV433" s="1">
        <f t="shared" si="420"/>
        <v>0</v>
      </c>
      <c r="CW433" s="1">
        <v>2</v>
      </c>
      <c r="CX433" s="1">
        <v>2</v>
      </c>
      <c r="CY433" s="1">
        <v>1</v>
      </c>
      <c r="CZ433" s="1">
        <f t="shared" si="421"/>
        <v>0</v>
      </c>
      <c r="DA433" s="1">
        <v>1</v>
      </c>
      <c r="DB433" s="1">
        <v>1</v>
      </c>
      <c r="DC433" s="1">
        <v>1</v>
      </c>
      <c r="DD433" s="1">
        <v>2</v>
      </c>
      <c r="DE433" s="1">
        <v>2</v>
      </c>
      <c r="DF433" s="1">
        <v>2</v>
      </c>
      <c r="DG433" s="1">
        <v>1</v>
      </c>
      <c r="DH433" s="1">
        <v>1</v>
      </c>
      <c r="DI433" s="1">
        <f t="shared" si="422"/>
        <v>0</v>
      </c>
      <c r="DJ433" s="1">
        <v>2</v>
      </c>
      <c r="DK433" s="1" t="s">
        <v>1103</v>
      </c>
      <c r="DL433" s="1" t="s">
        <v>170</v>
      </c>
      <c r="DR433" s="1" t="b">
        <f>SkHideRanks&gt;=8</f>
        <v>0</v>
      </c>
      <c r="DS433" s="1" t="b">
        <f>SkKnowledgeReligionRanks&gt;=3</f>
        <v>0</v>
      </c>
      <c r="DT433" s="1" t="b">
        <f>SkMoveSilentlyRanks&gt;=10</f>
        <v>0</v>
      </c>
      <c r="DU433" s="1" t="b">
        <f>SkSpotRanks&gt;=5</f>
        <v>0</v>
      </c>
      <c r="DV433" s="1" t="b">
        <f>FtStealthy</f>
        <v>0</v>
      </c>
      <c r="DW433" s="1" t="b">
        <f>DeityCell&lt;&gt;1</f>
        <v>0</v>
      </c>
      <c r="EA433" s="1" t="b">
        <f t="shared" si="425"/>
        <v>0</v>
      </c>
      <c r="EB433" s="11" t="s">
        <v>334</v>
      </c>
      <c r="EC433" s="1" t="str">
        <f>IF(DR433,"","• 8 ranks in Hide.
")&amp;IF(DS433,"","• 3 ranks in Knowledge (religion).
")&amp;IF(DT433,"","• 10 ranks in Move Silently.
")&amp;IF(DU433,"","• 5 ranks in Spot.
")&amp;IF(DV433,"","• Stealthy feat.
")&amp;IF(DW433,"","• You must have a patron deity.")</f>
        <v>• 8 ranks in Hide.
• 3 ranks in Knowledge (religion).
• 10 ranks in Move Silently.
• 5 ranks in Spot.
• Stealthy feat.
• You must have a patron deity.</v>
      </c>
      <c r="ED433" s="11" t="s">
        <v>335</v>
      </c>
    </row>
    <row r="434" spans="1:134" ht="11.25" customHeight="1" x14ac:dyDescent="0.2">
      <c r="A434" s="1">
        <f t="shared" si="381"/>
        <v>431</v>
      </c>
      <c r="B434" s="1" t="s">
        <v>1113</v>
      </c>
      <c r="C434" s="1" t="s">
        <v>1114</v>
      </c>
      <c r="D434" s="1" t="s">
        <v>1114</v>
      </c>
      <c r="E434" s="1">
        <f t="shared" si="408"/>
        <v>0</v>
      </c>
      <c r="G434" s="1">
        <f>ETGLvl</f>
        <v>0</v>
      </c>
      <c r="K434" s="1">
        <v>4</v>
      </c>
      <c r="L434" s="1">
        <v>6</v>
      </c>
      <c r="V434" s="1">
        <v>0.75</v>
      </c>
      <c r="W434" s="1">
        <v>0.34</v>
      </c>
      <c r="X434" s="1">
        <v>0.5</v>
      </c>
      <c r="Y434" s="1">
        <v>0.5</v>
      </c>
      <c r="Z434" s="1" t="b">
        <f>FALSE</f>
        <v>0</v>
      </c>
      <c r="AA434" s="1" t="str">
        <f t="shared" si="411"/>
        <v/>
      </c>
      <c r="AB434" s="1" t="str">
        <f t="shared" si="412"/>
        <v/>
      </c>
      <c r="AC434" s="1">
        <f t="shared" si="409"/>
        <v>0</v>
      </c>
      <c r="AD434" s="1" t="str">
        <f t="shared" si="413"/>
        <v/>
      </c>
      <c r="AE434" s="1" t="str">
        <f t="shared" si="414"/>
        <v/>
      </c>
      <c r="AF434" s="1">
        <f t="shared" si="410"/>
        <v>0</v>
      </c>
      <c r="AG434" s="1">
        <f t="shared" si="394"/>
        <v>5</v>
      </c>
      <c r="AH434" s="1" t="str">
        <f t="shared" si="393"/>
        <v/>
      </c>
      <c r="AI434" s="1">
        <v>1</v>
      </c>
      <c r="AJ434" s="1">
        <f t="shared" si="415"/>
        <v>0</v>
      </c>
      <c r="AK434" s="1">
        <v>1</v>
      </c>
      <c r="AL434" s="1">
        <v>1</v>
      </c>
      <c r="AM434" s="1">
        <v>2</v>
      </c>
      <c r="AN434" s="1">
        <f t="shared" si="416"/>
        <v>0</v>
      </c>
      <c r="AO434" s="1">
        <v>1</v>
      </c>
      <c r="AP434" s="1">
        <v>2</v>
      </c>
      <c r="AQ434" s="1">
        <v>2</v>
      </c>
      <c r="AR434" s="1">
        <v>2</v>
      </c>
      <c r="AS434" s="1">
        <v>2</v>
      </c>
      <c r="AT434" s="1">
        <v>2</v>
      </c>
      <c r="AU434" s="1">
        <v>2</v>
      </c>
      <c r="AV434" s="1">
        <v>2</v>
      </c>
      <c r="AW434" s="1">
        <v>2</v>
      </c>
      <c r="AX434" s="1">
        <v>1</v>
      </c>
      <c r="AY434" s="1">
        <v>2</v>
      </c>
      <c r="AZ434" s="1">
        <v>1</v>
      </c>
      <c r="BA434" s="1">
        <v>2</v>
      </c>
      <c r="BB434" s="1">
        <v>1</v>
      </c>
      <c r="BC434" s="1">
        <v>2</v>
      </c>
      <c r="BD434" s="1">
        <v>1</v>
      </c>
      <c r="BE434" s="1">
        <v>1</v>
      </c>
      <c r="BF434" s="1">
        <v>2</v>
      </c>
      <c r="BG434" s="1">
        <f t="shared" si="417"/>
        <v>0</v>
      </c>
      <c r="BH434" s="1">
        <f t="shared" si="418"/>
        <v>0</v>
      </c>
      <c r="BI434" s="1">
        <v>2</v>
      </c>
      <c r="BJ434" s="1">
        <v>2</v>
      </c>
      <c r="BK434" s="1">
        <v>1</v>
      </c>
      <c r="BL434" s="1">
        <v>1</v>
      </c>
      <c r="BM434" s="1">
        <v>1</v>
      </c>
      <c r="BN434" s="1">
        <v>2</v>
      </c>
      <c r="BO434" s="1">
        <v>1</v>
      </c>
      <c r="BP434" s="1">
        <v>1</v>
      </c>
      <c r="BQ434" s="1">
        <f>IF(HRRVL,1,0)</f>
        <v>0</v>
      </c>
      <c r="BR434" s="1">
        <v>1</v>
      </c>
      <c r="BS434" s="1">
        <v>1</v>
      </c>
      <c r="BT434" s="1">
        <f t="shared" si="423"/>
        <v>0</v>
      </c>
      <c r="BU434" s="1">
        <f t="shared" si="424"/>
        <v>0</v>
      </c>
      <c r="BV434" s="1">
        <v>1</v>
      </c>
      <c r="BW434" s="1">
        <v>1</v>
      </c>
      <c r="BX434" s="1">
        <v>1</v>
      </c>
      <c r="BY434" s="1">
        <f>IF(LOWER(BY$2)="knowledge (western heartlands)",2,1)</f>
        <v>1</v>
      </c>
      <c r="BZ434" s="1">
        <f t="shared" ref="BZ434:CE434" si="426">IF(LOWER(BZ$2)="knowledge (western heartlands)",2,1)</f>
        <v>1</v>
      </c>
      <c r="CA434" s="1">
        <f t="shared" si="426"/>
        <v>1</v>
      </c>
      <c r="CB434" s="1">
        <f t="shared" si="426"/>
        <v>1</v>
      </c>
      <c r="CC434" s="1">
        <f t="shared" si="426"/>
        <v>1</v>
      </c>
      <c r="CD434" s="1">
        <f t="shared" si="426"/>
        <v>1</v>
      </c>
      <c r="CE434" s="1">
        <f t="shared" si="426"/>
        <v>1</v>
      </c>
      <c r="CF434" s="1">
        <v>2</v>
      </c>
      <c r="CG434" s="1">
        <f t="shared" si="419"/>
        <v>0</v>
      </c>
      <c r="CH434" s="1">
        <v>2</v>
      </c>
      <c r="CI434" s="1">
        <v>2</v>
      </c>
      <c r="CJ434" s="1">
        <v>1</v>
      </c>
      <c r="CK434" s="1">
        <v>1</v>
      </c>
      <c r="CL434" s="1">
        <v>1</v>
      </c>
      <c r="CM434" s="1">
        <v>1</v>
      </c>
      <c r="CN434" s="1">
        <v>1</v>
      </c>
      <c r="CO434" s="1">
        <v>1</v>
      </c>
      <c r="CP434" s="1">
        <v>2</v>
      </c>
      <c r="CQ434" s="1">
        <v>2</v>
      </c>
      <c r="CR434" s="1">
        <v>2</v>
      </c>
      <c r="CS434" s="1">
        <v>2</v>
      </c>
      <c r="CT434" s="1">
        <v>2</v>
      </c>
      <c r="CU434" s="1">
        <v>2</v>
      </c>
      <c r="CV434" s="1">
        <f t="shared" si="420"/>
        <v>0</v>
      </c>
      <c r="CW434" s="1">
        <v>1</v>
      </c>
      <c r="CX434" s="1">
        <v>2</v>
      </c>
      <c r="CY434" s="1">
        <v>2</v>
      </c>
      <c r="CZ434" s="1">
        <f t="shared" si="421"/>
        <v>0</v>
      </c>
      <c r="DA434" s="1">
        <v>2</v>
      </c>
      <c r="DB434" s="1">
        <v>1</v>
      </c>
      <c r="DC434" s="1">
        <v>1</v>
      </c>
      <c r="DD434" s="1">
        <v>2</v>
      </c>
      <c r="DE434" s="1">
        <v>1</v>
      </c>
      <c r="DF434" s="1">
        <v>2</v>
      </c>
      <c r="DG434" s="1">
        <v>2</v>
      </c>
      <c r="DH434" s="1">
        <v>1</v>
      </c>
      <c r="DI434" s="1">
        <f t="shared" si="422"/>
        <v>0</v>
      </c>
      <c r="DJ434" s="1">
        <v>2</v>
      </c>
      <c r="DK434" s="1" t="s">
        <v>1103</v>
      </c>
      <c r="DL434" s="1" t="s">
        <v>170</v>
      </c>
      <c r="DP434" s="1" t="b">
        <f>RaceCi="Elf"</f>
        <v>0</v>
      </c>
      <c r="DQ434" s="1" t="b">
        <f>Region="Evereska"</f>
        <v>0</v>
      </c>
      <c r="DR434" s="1" t="b">
        <f>BaseAtk&gt;=4</f>
        <v>0</v>
      </c>
      <c r="DS434" s="1" t="b">
        <f>SkHideRanks&gt;=5</f>
        <v>0</v>
      </c>
      <c r="DT434" s="1" t="b">
        <f>SkListenRanks&gt;=2</f>
        <v>0</v>
      </c>
      <c r="DU434" s="1" t="b">
        <f>SkMoveSilentlyRanks&gt;=5</f>
        <v>0</v>
      </c>
      <c r="DV434" s="1" t="b">
        <f>SkSpotRanks&gt;=2</f>
        <v>0</v>
      </c>
      <c r="DW434" s="1" t="b">
        <f>SkSurvivalRanks&gt;=5</f>
        <v>0</v>
      </c>
      <c r="DX434" s="1" t="b">
        <f>OR(FtAlertness,FreeAlertness)</f>
        <v>0</v>
      </c>
      <c r="DY434" s="1" t="b">
        <f>OR(FtTrack,FreeTrack)</f>
        <v>0</v>
      </c>
      <c r="DZ434" s="1" t="b">
        <f ca="1">MaxArcaneSpellLevel&gt;=2</f>
        <v>0</v>
      </c>
      <c r="EA434" s="1" t="b">
        <f ca="1">AND(DM434:DZ434)</f>
        <v>0</v>
      </c>
      <c r="EB434" s="11" t="s">
        <v>334</v>
      </c>
      <c r="EC434" s="1" t="str">
        <f ca="1">IF(DP434,"","• Your race must be Elf.
")&amp;IF(DQ434,"","• Your region must be Evereska.
")&amp;IF(DR434,"","• A base attack bonus of +4 or higher.
")&amp;IF(DS434,"","• 5 ranks in Hide.
")&amp;IF(DT434,"","• 2 ranks in Listen.
")&amp;IF(DU434,"","• 5 ranks in Move Silently.
")&amp;IF(DV434,"","• 2 ranks in Spot.
")&amp;IF(DW434,"","• 5 ranks in Survival.
")&amp;IF(DX434,"","• Alertness feat.
")&amp;IF(DY434,"","• Track feat.
")&amp;IF(DZ434,"","• Ability to cast 2nd-level arcane spells.")</f>
        <v>• Your race must be Elf.
• Your region must be Evereska.
• A base attack bonus of +4 or higher.
• 5 ranks in Hide.
• 2 ranks in Listen.
• 5 ranks in Move Silently.
• 2 ranks in Spot.
• 5 ranks in Survival.
• Alertness feat.
• Track feat.
• Ability to cast 2nd-level arcane spells.</v>
      </c>
      <c r="ED434" s="11" t="s">
        <v>335</v>
      </c>
    </row>
    <row r="435" spans="1:134" ht="11.25" customHeight="1" x14ac:dyDescent="0.2">
      <c r="A435" s="1">
        <f t="shared" si="381"/>
        <v>432</v>
      </c>
      <c r="B435" s="1" t="s">
        <v>1115</v>
      </c>
      <c r="C435" s="1" t="s">
        <v>1116</v>
      </c>
      <c r="D435" s="1" t="s">
        <v>1116</v>
      </c>
      <c r="E435" s="1">
        <f t="shared" si="408"/>
        <v>0</v>
      </c>
      <c r="G435" s="1">
        <f>(EHRLvl&gt;=2)*(EHRLvl-1)</f>
        <v>0</v>
      </c>
      <c r="K435" s="1">
        <v>2</v>
      </c>
      <c r="L435" s="1">
        <v>8</v>
      </c>
      <c r="M435" s="1">
        <f>E435</f>
        <v>0</v>
      </c>
      <c r="V435" s="1">
        <v>0.75</v>
      </c>
      <c r="W435" s="1">
        <v>0.34</v>
      </c>
      <c r="X435" s="1">
        <v>0.34</v>
      </c>
      <c r="Y435" s="1">
        <v>0.5</v>
      </c>
      <c r="Z435" s="1" t="b">
        <f>FALSE</f>
        <v>0</v>
      </c>
      <c r="AA435" s="1" t="str">
        <f t="shared" si="411"/>
        <v/>
      </c>
      <c r="AB435" s="1" t="str">
        <f t="shared" si="412"/>
        <v/>
      </c>
      <c r="AC435" s="1">
        <f t="shared" si="409"/>
        <v>0</v>
      </c>
      <c r="AD435" s="1" t="str">
        <f t="shared" si="413"/>
        <v/>
      </c>
      <c r="AE435" s="1" t="str">
        <f t="shared" si="414"/>
        <v/>
      </c>
      <c r="AF435" s="1">
        <f t="shared" si="410"/>
        <v>0</v>
      </c>
      <c r="AG435" s="1">
        <f t="shared" si="394"/>
        <v>5</v>
      </c>
      <c r="AH435" s="1" t="str">
        <f t="shared" si="393"/>
        <v/>
      </c>
      <c r="AI435" s="1">
        <v>1</v>
      </c>
      <c r="AJ435" s="1">
        <f t="shared" si="415"/>
        <v>0</v>
      </c>
      <c r="AK435" s="1">
        <v>1</v>
      </c>
      <c r="AL435" s="1">
        <v>1</v>
      </c>
      <c r="AM435" s="1">
        <v>1</v>
      </c>
      <c r="AN435" s="1">
        <f t="shared" si="416"/>
        <v>0</v>
      </c>
      <c r="AO435" s="1">
        <v>2</v>
      </c>
      <c r="AP435" s="1">
        <v>1</v>
      </c>
      <c r="AQ435" s="1">
        <v>1</v>
      </c>
      <c r="AR435" s="1">
        <v>1</v>
      </c>
      <c r="AS435" s="1">
        <v>1</v>
      </c>
      <c r="AT435" s="1">
        <v>1</v>
      </c>
      <c r="AU435" s="1">
        <v>1</v>
      </c>
      <c r="AV435" s="1">
        <v>1</v>
      </c>
      <c r="AW435" s="1">
        <v>1</v>
      </c>
      <c r="AX435" s="1">
        <v>2</v>
      </c>
      <c r="AY435" s="1">
        <v>1</v>
      </c>
      <c r="AZ435" s="1">
        <v>1</v>
      </c>
      <c r="BA435" s="1">
        <v>1</v>
      </c>
      <c r="BB435" s="1">
        <v>1</v>
      </c>
      <c r="BC435" s="1">
        <v>1</v>
      </c>
      <c r="BD435" s="1">
        <v>1</v>
      </c>
      <c r="BE435" s="1">
        <v>2</v>
      </c>
      <c r="BF435" s="1">
        <v>1</v>
      </c>
      <c r="BG435" s="1">
        <f t="shared" si="417"/>
        <v>0</v>
      </c>
      <c r="BH435" s="1">
        <f t="shared" si="418"/>
        <v>0</v>
      </c>
      <c r="BI435" s="1">
        <v>1</v>
      </c>
      <c r="BJ435" s="1">
        <v>1</v>
      </c>
      <c r="BK435" s="1">
        <v>2</v>
      </c>
      <c r="BL435" s="1">
        <v>2</v>
      </c>
      <c r="BM435" s="1">
        <v>2</v>
      </c>
      <c r="BN435" s="1">
        <v>2</v>
      </c>
      <c r="BO435" s="1">
        <v>2</v>
      </c>
      <c r="BP435" s="1">
        <f>1+NOT(HRLivingGreyhawk)</f>
        <v>2</v>
      </c>
      <c r="BQ435" s="1">
        <f>IF(HRRVL,2,0)</f>
        <v>0</v>
      </c>
      <c r="BR435" s="1">
        <v>2</v>
      </c>
      <c r="BS435" s="1">
        <v>2</v>
      </c>
      <c r="BT435" s="1">
        <f>IF(HRXPH,2,0)</f>
        <v>0</v>
      </c>
      <c r="BU435" s="1">
        <f>IF(HRRVL,2,0)</f>
        <v>0</v>
      </c>
      <c r="BV435" s="1">
        <v>2</v>
      </c>
      <c r="BW435" s="1">
        <v>2</v>
      </c>
      <c r="BX435" s="1">
        <v>2</v>
      </c>
      <c r="BY435" s="1">
        <v>2</v>
      </c>
      <c r="BZ435" s="1">
        <v>2</v>
      </c>
      <c r="CA435" s="1">
        <v>2</v>
      </c>
      <c r="CB435" s="1">
        <v>2</v>
      </c>
      <c r="CC435" s="1">
        <v>2</v>
      </c>
      <c r="CD435" s="1">
        <v>2</v>
      </c>
      <c r="CE435" s="1">
        <v>2</v>
      </c>
      <c r="CF435" s="1">
        <v>1</v>
      </c>
      <c r="CG435" s="1">
        <f t="shared" si="419"/>
        <v>0</v>
      </c>
      <c r="CH435" s="1">
        <v>1</v>
      </c>
      <c r="CI435" s="1">
        <v>1</v>
      </c>
      <c r="CJ435" s="1">
        <v>1</v>
      </c>
      <c r="CK435" s="1">
        <v>1</v>
      </c>
      <c r="CL435" s="1">
        <v>1</v>
      </c>
      <c r="CM435" s="1">
        <v>1</v>
      </c>
      <c r="CN435" s="1">
        <v>1</v>
      </c>
      <c r="CO435" s="1">
        <v>1</v>
      </c>
      <c r="CP435" s="1">
        <v>2</v>
      </c>
      <c r="CQ435" s="1">
        <v>2</v>
      </c>
      <c r="CR435" s="1">
        <v>2</v>
      </c>
      <c r="CS435" s="1">
        <v>2</v>
      </c>
      <c r="CT435" s="1">
        <v>2</v>
      </c>
      <c r="CU435" s="1">
        <v>2</v>
      </c>
      <c r="CV435" s="1">
        <f t="shared" si="420"/>
        <v>0</v>
      </c>
      <c r="CW435" s="1">
        <v>1</v>
      </c>
      <c r="CX435" s="1">
        <v>1</v>
      </c>
      <c r="CY435" s="1">
        <v>1</v>
      </c>
      <c r="CZ435" s="1">
        <f t="shared" si="421"/>
        <v>0</v>
      </c>
      <c r="DA435" s="1">
        <v>1</v>
      </c>
      <c r="DB435" s="1">
        <v>1</v>
      </c>
      <c r="DC435" s="1">
        <v>2</v>
      </c>
      <c r="DD435" s="1">
        <v>2</v>
      </c>
      <c r="DE435" s="1">
        <v>1</v>
      </c>
      <c r="DF435" s="1">
        <v>1</v>
      </c>
      <c r="DG435" s="1">
        <v>1</v>
      </c>
      <c r="DH435" s="1">
        <v>1</v>
      </c>
      <c r="DI435" s="1">
        <f t="shared" si="422"/>
        <v>0</v>
      </c>
      <c r="DJ435" s="1">
        <v>1</v>
      </c>
      <c r="DK435" s="1" t="s">
        <v>1103</v>
      </c>
      <c r="DL435" s="1" t="s">
        <v>170</v>
      </c>
      <c r="DR435" s="1" t="b">
        <f>AND(AlignmentLawful,AlignmentGood)</f>
        <v>1</v>
      </c>
      <c r="DS435" s="1" t="b">
        <f>Region="Mulhorand"</f>
        <v>0</v>
      </c>
      <c r="DT435" s="1" t="b">
        <f>SkKnowledgeReligionRanks&gt;=9</f>
        <v>0</v>
      </c>
      <c r="DU435" s="1" t="b">
        <f>SkSpotRanks&gt;=4</f>
        <v>0</v>
      </c>
      <c r="DV435" s="1" t="b">
        <f>OR(FtAlertness,FreeAlertness)</f>
        <v>0</v>
      </c>
      <c r="DW435" s="1" t="b">
        <f>OR(FtExtraTurning1,FreeExtraTurning)</f>
        <v>0</v>
      </c>
      <c r="DX435" s="1" t="b">
        <f ca="1">MaxDivineSpellLevel&gt;=3</f>
        <v>0</v>
      </c>
      <c r="DY435" s="1" t="b">
        <f>NOT(ISNA(MATCH("Sun",Domains,0)))</f>
        <v>0</v>
      </c>
      <c r="EA435" s="1" t="b">
        <f ca="1">AND(DM435:DZ435)</f>
        <v>0</v>
      </c>
      <c r="EB435" s="11" t="s">
        <v>334</v>
      </c>
      <c r="EC435" s="1" t="str">
        <f ca="1">IF(DR435,"","• Lawful Good Alignment.
")&amp;IF(DS435,"","• Mulhorand region.
")&amp;IF(DT435,"","• 9 ranks in Knowledge(religion).
")&amp;IF(DU435,"","• 4 ranks in Spot.
")&amp;IF(DV435,"","• Alertness feat.
")&amp;IF(DW435,"","• Extra Turning feat.
")&amp;IF(DX435,"","• Ability to cast 3rd-level divine spells.
")&amp;IF(DY435,"","• Sun domain.")</f>
        <v>• Mulhorand region.
• 9 ranks in Knowledge(religion).
• 4 ranks in Spot.
• Alertness feat.
• Extra Turning feat.
• Ability to cast 3rd-level divine spells.
• Sun domain.</v>
      </c>
      <c r="ED435" s="11" t="s">
        <v>335</v>
      </c>
    </row>
    <row r="436" spans="1:134" ht="11.25" customHeight="1" x14ac:dyDescent="0.2">
      <c r="A436" s="1">
        <f t="shared" si="381"/>
        <v>433</v>
      </c>
      <c r="B436" s="1" t="s">
        <v>1117</v>
      </c>
      <c r="C436" s="1" t="s">
        <v>853</v>
      </c>
      <c r="D436" s="1" t="s">
        <v>853</v>
      </c>
      <c r="E436" s="1">
        <f t="shared" si="408"/>
        <v>0</v>
      </c>
      <c r="K436" s="1">
        <v>2</v>
      </c>
      <c r="L436" s="1">
        <v>10</v>
      </c>
      <c r="N436" s="1" t="b">
        <v>1</v>
      </c>
      <c r="O436" s="1" t="b">
        <v>1</v>
      </c>
      <c r="P436" s="1" t="b">
        <v>1</v>
      </c>
      <c r="Q436" s="1" t="b">
        <v>1</v>
      </c>
      <c r="S436" s="1" t="b">
        <v>1</v>
      </c>
      <c r="T436" s="1" t="b">
        <v>1</v>
      </c>
      <c r="V436" s="1">
        <v>1</v>
      </c>
      <c r="W436" s="1">
        <v>0.5</v>
      </c>
      <c r="X436" s="1">
        <v>0.34</v>
      </c>
      <c r="Y436" s="1">
        <v>0.5</v>
      </c>
      <c r="Z436" s="1" t="b">
        <f>FALSE</f>
        <v>0</v>
      </c>
      <c r="AA436" s="1" t="str">
        <f t="shared" si="411"/>
        <v/>
      </c>
      <c r="AB436" s="1" t="str">
        <f t="shared" si="412"/>
        <v/>
      </c>
      <c r="AC436" s="1">
        <f t="shared" si="409"/>
        <v>0</v>
      </c>
      <c r="AD436" s="1" t="str">
        <f t="shared" si="413"/>
        <v/>
      </c>
      <c r="AE436" s="1" t="str">
        <f t="shared" si="414"/>
        <v/>
      </c>
      <c r="AF436" s="1">
        <f t="shared" si="410"/>
        <v>0</v>
      </c>
      <c r="AG436" s="1">
        <f t="shared" si="394"/>
        <v>5</v>
      </c>
      <c r="AH436" s="1" t="str">
        <f t="shared" si="393"/>
        <v/>
      </c>
      <c r="AI436" s="1">
        <v>1</v>
      </c>
      <c r="AJ436" s="1">
        <f t="shared" si="415"/>
        <v>0</v>
      </c>
      <c r="AK436" s="1">
        <v>1</v>
      </c>
      <c r="AL436" s="1">
        <v>1</v>
      </c>
      <c r="AM436" s="1">
        <v>1</v>
      </c>
      <c r="AN436" s="1">
        <f t="shared" si="416"/>
        <v>0</v>
      </c>
      <c r="AO436" s="1">
        <v>2</v>
      </c>
      <c r="AP436" s="1">
        <v>2</v>
      </c>
      <c r="AQ436" s="1">
        <v>2</v>
      </c>
      <c r="AR436" s="1">
        <v>2</v>
      </c>
      <c r="AS436" s="1">
        <v>2</v>
      </c>
      <c r="AT436" s="1">
        <v>2</v>
      </c>
      <c r="AU436" s="1">
        <v>2</v>
      </c>
      <c r="AV436" s="1">
        <v>2</v>
      </c>
      <c r="AW436" s="1">
        <v>1</v>
      </c>
      <c r="AX436" s="1">
        <v>1</v>
      </c>
      <c r="AY436" s="1">
        <v>1</v>
      </c>
      <c r="AZ436" s="1">
        <v>1</v>
      </c>
      <c r="BA436" s="1">
        <v>1</v>
      </c>
      <c r="BB436" s="1">
        <v>1</v>
      </c>
      <c r="BC436" s="1">
        <v>1</v>
      </c>
      <c r="BD436" s="1">
        <v>1</v>
      </c>
      <c r="BE436" s="1">
        <v>2</v>
      </c>
      <c r="BF436" s="1">
        <v>1</v>
      </c>
      <c r="BG436" s="1">
        <f t="shared" si="417"/>
        <v>0</v>
      </c>
      <c r="BH436" s="1">
        <f t="shared" si="418"/>
        <v>0</v>
      </c>
      <c r="BI436" s="1">
        <v>1</v>
      </c>
      <c r="BJ436" s="1">
        <v>1</v>
      </c>
      <c r="BK436" s="1">
        <v>2</v>
      </c>
      <c r="BL436" s="1">
        <v>1</v>
      </c>
      <c r="BM436" s="1">
        <v>1</v>
      </c>
      <c r="BN436" s="1">
        <v>1</v>
      </c>
      <c r="BO436" s="1">
        <v>2</v>
      </c>
      <c r="BP436" s="1">
        <v>1</v>
      </c>
      <c r="BQ436" s="1">
        <f>IF(HRRVL,1,0)</f>
        <v>0</v>
      </c>
      <c r="BR436" s="1">
        <v>1</v>
      </c>
      <c r="BS436" s="1">
        <v>1</v>
      </c>
      <c r="BT436" s="1">
        <f>IF(HRXPH,1,0)</f>
        <v>0</v>
      </c>
      <c r="BU436" s="1">
        <f>IF(HRRVL,1,0)</f>
        <v>0</v>
      </c>
      <c r="BV436" s="1">
        <v>2</v>
      </c>
      <c r="BW436" s="1">
        <v>2</v>
      </c>
      <c r="BX436" s="1">
        <v>1</v>
      </c>
      <c r="BY436" s="1">
        <f t="shared" ref="BY436:CE436" si="427">IF(BY$2="Silver Marches",2,1)</f>
        <v>1</v>
      </c>
      <c r="BZ436" s="1">
        <f t="shared" si="427"/>
        <v>1</v>
      </c>
      <c r="CA436" s="1">
        <f t="shared" si="427"/>
        <v>1</v>
      </c>
      <c r="CB436" s="1">
        <f t="shared" si="427"/>
        <v>1</v>
      </c>
      <c r="CC436" s="1">
        <f t="shared" si="427"/>
        <v>1</v>
      </c>
      <c r="CD436" s="1">
        <f t="shared" si="427"/>
        <v>1</v>
      </c>
      <c r="CE436" s="1">
        <f t="shared" si="427"/>
        <v>1</v>
      </c>
      <c r="CF436" s="1">
        <v>1</v>
      </c>
      <c r="CG436" s="1">
        <f t="shared" si="419"/>
        <v>0</v>
      </c>
      <c r="CH436" s="1">
        <v>1</v>
      </c>
      <c r="CI436" s="1">
        <v>1</v>
      </c>
      <c r="CJ436" s="1">
        <v>1</v>
      </c>
      <c r="CK436" s="1">
        <v>1</v>
      </c>
      <c r="CL436" s="1">
        <v>1</v>
      </c>
      <c r="CM436" s="1">
        <v>1</v>
      </c>
      <c r="CN436" s="1">
        <v>1</v>
      </c>
      <c r="CO436" s="1">
        <v>1</v>
      </c>
      <c r="CP436" s="1">
        <v>2</v>
      </c>
      <c r="CQ436" s="1">
        <v>2</v>
      </c>
      <c r="CR436" s="1">
        <v>2</v>
      </c>
      <c r="CS436" s="1">
        <v>2</v>
      </c>
      <c r="CT436" s="1">
        <v>2</v>
      </c>
      <c r="CU436" s="1">
        <v>2</v>
      </c>
      <c r="CV436" s="1">
        <f t="shared" si="420"/>
        <v>0</v>
      </c>
      <c r="CW436" s="1">
        <v>1</v>
      </c>
      <c r="CX436" s="1">
        <v>1</v>
      </c>
      <c r="CY436" s="1">
        <v>1</v>
      </c>
      <c r="CZ436" s="1">
        <f t="shared" si="421"/>
        <v>0</v>
      </c>
      <c r="DA436" s="1">
        <v>1</v>
      </c>
      <c r="DB436" s="1">
        <v>1</v>
      </c>
      <c r="DC436" s="1">
        <v>2</v>
      </c>
      <c r="DD436" s="1">
        <v>1</v>
      </c>
      <c r="DE436" s="1">
        <v>1</v>
      </c>
      <c r="DF436" s="1">
        <v>1</v>
      </c>
      <c r="DG436" s="1">
        <v>1</v>
      </c>
      <c r="DH436" s="1">
        <v>1</v>
      </c>
      <c r="DI436" s="1">
        <f t="shared" si="422"/>
        <v>0</v>
      </c>
      <c r="DJ436" s="1">
        <v>1</v>
      </c>
      <c r="DK436" s="1" t="s">
        <v>1103</v>
      </c>
      <c r="DL436" s="1" t="s">
        <v>170</v>
      </c>
      <c r="DR436" s="1" t="b">
        <f>RaceCi="Dwarf"</f>
        <v>1</v>
      </c>
      <c r="DS436" s="1" t="b">
        <f>Region="The Spine of the World"</f>
        <v>0</v>
      </c>
      <c r="DT436" s="1" t="b">
        <f>BaseAtk&gt;=7</f>
        <v>0</v>
      </c>
      <c r="DU436" s="1" t="b">
        <f>IF(NOT(ISNA(MATCH("weaponsmithing",TblCraftSkills,0))),INDEX(TblCraftRanks,MATCH("weaponsmithing",TblCraftSkills,0),1)&gt;=10,FALSE)</f>
        <v>0</v>
      </c>
      <c r="DV436" s="1" t="b">
        <f>OR(FtIronWill,FreeIronWill)</f>
        <v>0</v>
      </c>
      <c r="DW436" s="1" t="b">
        <f>NOT(ISNA(MATCH("Warhammer",TblWeaponFocusFeat,0)))</f>
        <v>0</v>
      </c>
      <c r="DX436" s="1" t="b">
        <f ca="1">MaxDivineSpellLevel&gt;=2</f>
        <v>0</v>
      </c>
      <c r="DY436" s="1" t="b">
        <f>Deity="Moradin"</f>
        <v>0</v>
      </c>
      <c r="EA436" s="1" t="b">
        <f ca="1">AND(DM436:DZ436)</f>
        <v>0</v>
      </c>
      <c r="EB436" s="11" t="s">
        <v>338</v>
      </c>
      <c r="EC436" s="1" t="str">
        <f ca="1">IF(DR436,"","• You must be a Dwarf.
")&amp;IF(DS436,"","• Spine of the World region.
")&amp;IF(DT436,"","• A base attack bonus of +7 or higher.
")&amp;IF(DU436,"","• 10 ranks in Craft(weaponsmithing).
")&amp;IF(DV436,"","• Iron Will feat.
")&amp;IF(DW436,"","• Weapon Focus(warhammer) feat.
")&amp;IF(DX436,"","• Ability to cast 2nd-level divine spells.
")&amp;IF(DY436,"","• Patron deity of Moradin.
")&amp;"• Member of the Hammers of Moradin(not verified)."</f>
        <v>• Spine of the World region.
• A base attack bonus of +7 or higher.
• 10 ranks in Craft(weaponsmithing).
• Iron Will feat.
• Weapon Focus(warhammer) feat.
• Ability to cast 2nd-level divine spells.
• Patron deity of Moradin.
• Member of the Hammers of Moradin(not verified).</v>
      </c>
      <c r="ED436" s="11" t="s">
        <v>335</v>
      </c>
    </row>
    <row r="437" spans="1:134" ht="11.25" customHeight="1" x14ac:dyDescent="0.2">
      <c r="A437" s="1">
        <f t="shared" si="381"/>
        <v>434</v>
      </c>
      <c r="B437" s="1" t="s">
        <v>1118</v>
      </c>
      <c r="C437" s="1" t="s">
        <v>1119</v>
      </c>
      <c r="D437" s="1" t="s">
        <v>1119</v>
      </c>
      <c r="E437" s="1">
        <f t="shared" si="408"/>
        <v>0</v>
      </c>
      <c r="G437" s="1">
        <f>(HrpLvl&gt;=2)*(HrpLvl-1)</f>
        <v>0</v>
      </c>
      <c r="K437" s="1">
        <v>6</v>
      </c>
      <c r="L437" s="1">
        <v>6</v>
      </c>
      <c r="N437" s="1" t="b">
        <v>1</v>
      </c>
      <c r="S437" s="1" t="b">
        <v>1</v>
      </c>
      <c r="V437" s="1">
        <v>0.75</v>
      </c>
      <c r="W437" s="1">
        <v>0.34</v>
      </c>
      <c r="X437" s="1">
        <v>0.34</v>
      </c>
      <c r="Y437" s="1">
        <v>0.5</v>
      </c>
      <c r="Z437" s="1" t="b">
        <f>FALSE</f>
        <v>0</v>
      </c>
      <c r="AA437" s="1" t="str">
        <f t="shared" si="411"/>
        <v/>
      </c>
      <c r="AB437" s="1" t="str">
        <f t="shared" si="412"/>
        <v/>
      </c>
      <c r="AC437" s="1">
        <f t="shared" si="409"/>
        <v>0</v>
      </c>
      <c r="AD437" s="1" t="str">
        <f t="shared" si="413"/>
        <v/>
      </c>
      <c r="AE437" s="1" t="str">
        <f t="shared" si="414"/>
        <v/>
      </c>
      <c r="AF437" s="1">
        <f t="shared" si="410"/>
        <v>0</v>
      </c>
      <c r="AG437" s="1">
        <f t="shared" si="394"/>
        <v>5</v>
      </c>
      <c r="AH437" s="1" t="str">
        <f t="shared" si="393"/>
        <v/>
      </c>
      <c r="AI437" s="1">
        <v>2</v>
      </c>
      <c r="AJ437" s="1">
        <f t="shared" si="415"/>
        <v>0</v>
      </c>
      <c r="AK437" s="1">
        <v>1</v>
      </c>
      <c r="AL437" s="1">
        <v>2</v>
      </c>
      <c r="AM437" s="1">
        <v>2</v>
      </c>
      <c r="AN437" s="1">
        <f t="shared" si="416"/>
        <v>0</v>
      </c>
      <c r="AO437" s="1">
        <v>1</v>
      </c>
      <c r="AP437" s="1">
        <v>2</v>
      </c>
      <c r="AQ437" s="1">
        <v>2</v>
      </c>
      <c r="AR437" s="1">
        <v>2</v>
      </c>
      <c r="AS437" s="1">
        <v>2</v>
      </c>
      <c r="AT437" s="1">
        <v>2</v>
      </c>
      <c r="AU437" s="1">
        <v>2</v>
      </c>
      <c r="AV437" s="1">
        <v>2</v>
      </c>
      <c r="AW437" s="1">
        <v>1</v>
      </c>
      <c r="AX437" s="1">
        <v>2</v>
      </c>
      <c r="AY437" s="1">
        <v>1</v>
      </c>
      <c r="AZ437" s="1">
        <v>2</v>
      </c>
      <c r="BA437" s="1">
        <v>2</v>
      </c>
      <c r="BB437" s="1">
        <v>1</v>
      </c>
      <c r="BC437" s="1">
        <v>2</v>
      </c>
      <c r="BD437" s="1">
        <v>1</v>
      </c>
      <c r="BE437" s="1">
        <v>1</v>
      </c>
      <c r="BF437" s="1">
        <v>2</v>
      </c>
      <c r="BG437" s="1">
        <f t="shared" si="417"/>
        <v>0</v>
      </c>
      <c r="BH437" s="1">
        <f t="shared" si="418"/>
        <v>0</v>
      </c>
      <c r="BI437" s="1">
        <v>1</v>
      </c>
      <c r="BJ437" s="1">
        <v>2</v>
      </c>
      <c r="BK437" s="1">
        <v>2</v>
      </c>
      <c r="BL437" s="1">
        <v>2</v>
      </c>
      <c r="BM437" s="1">
        <v>2</v>
      </c>
      <c r="BN437" s="1">
        <v>2</v>
      </c>
      <c r="BO437" s="1">
        <v>2</v>
      </c>
      <c r="BP437" s="1">
        <f>1+NOT(HRLivingGreyhawk)</f>
        <v>2</v>
      </c>
      <c r="BQ437" s="1">
        <f>IF(HRRVL,2,0)</f>
        <v>0</v>
      </c>
      <c r="BR437" s="1">
        <v>2</v>
      </c>
      <c r="BS437" s="1">
        <v>2</v>
      </c>
      <c r="BT437" s="1">
        <f>IF(HRXPH,2,0)</f>
        <v>0</v>
      </c>
      <c r="BU437" s="1">
        <f>IF(HRRVL,2,0)</f>
        <v>0</v>
      </c>
      <c r="BV437" s="1">
        <v>2</v>
      </c>
      <c r="BW437" s="1">
        <v>2</v>
      </c>
      <c r="BX437" s="1">
        <v>2</v>
      </c>
      <c r="BY437" s="1">
        <v>2</v>
      </c>
      <c r="BZ437" s="1">
        <v>2</v>
      </c>
      <c r="CA437" s="1">
        <v>2</v>
      </c>
      <c r="CB437" s="1">
        <v>2</v>
      </c>
      <c r="CC437" s="1">
        <v>2</v>
      </c>
      <c r="CD437" s="1">
        <v>2</v>
      </c>
      <c r="CE437" s="1">
        <v>2</v>
      </c>
      <c r="CF437" s="1">
        <v>2</v>
      </c>
      <c r="CG437" s="1">
        <f t="shared" si="419"/>
        <v>0</v>
      </c>
      <c r="CH437" s="1">
        <v>2</v>
      </c>
      <c r="CI437" s="1">
        <v>1</v>
      </c>
      <c r="CJ437" s="1">
        <v>2</v>
      </c>
      <c r="CK437" s="1">
        <v>2</v>
      </c>
      <c r="CL437" s="1">
        <v>2</v>
      </c>
      <c r="CM437" s="1">
        <v>2</v>
      </c>
      <c r="CN437" s="1">
        <v>2</v>
      </c>
      <c r="CO437" s="1">
        <v>2</v>
      </c>
      <c r="CP437" s="1">
        <v>2</v>
      </c>
      <c r="CQ437" s="1">
        <v>2</v>
      </c>
      <c r="CR437" s="1">
        <v>2</v>
      </c>
      <c r="CS437" s="1">
        <v>2</v>
      </c>
      <c r="CT437" s="1">
        <v>2</v>
      </c>
      <c r="CU437" s="1">
        <v>2</v>
      </c>
      <c r="CV437" s="1">
        <f t="shared" si="420"/>
        <v>0</v>
      </c>
      <c r="CW437" s="1">
        <v>1</v>
      </c>
      <c r="CX437" s="1">
        <v>1</v>
      </c>
      <c r="CY437" s="1">
        <v>2</v>
      </c>
      <c r="CZ437" s="1">
        <f t="shared" si="421"/>
        <v>0</v>
      </c>
      <c r="DA437" s="1">
        <v>2</v>
      </c>
      <c r="DB437" s="1">
        <v>2</v>
      </c>
      <c r="DC437" s="1">
        <v>1</v>
      </c>
      <c r="DD437" s="1">
        <v>1</v>
      </c>
      <c r="DE437" s="1">
        <v>2</v>
      </c>
      <c r="DF437" s="1">
        <v>2</v>
      </c>
      <c r="DG437" s="1">
        <v>2</v>
      </c>
      <c r="DH437" s="1">
        <v>1</v>
      </c>
      <c r="DI437" s="1">
        <f t="shared" si="422"/>
        <v>0</v>
      </c>
      <c r="DJ437" s="1">
        <v>1</v>
      </c>
      <c r="DK437" s="1" t="s">
        <v>1103</v>
      </c>
      <c r="DL437" s="1" t="s">
        <v>170</v>
      </c>
      <c r="DR437" s="1" t="b">
        <f>AlignmentNonEvil</f>
        <v>1</v>
      </c>
      <c r="DS437" s="1" t="b">
        <f>SkDiplomacyRanks&gt;=8</f>
        <v>0</v>
      </c>
      <c r="DT437" s="1" t="b">
        <f>SkKnowledgeLocalRanks&gt;=4</f>
        <v>0</v>
      </c>
      <c r="DU437" s="1" t="b">
        <f>SkSenseMotiveRanks&gt;=2</f>
        <v>0</v>
      </c>
      <c r="DV437" s="1" t="b">
        <f>SkSurvivalRanks&gt;=2</f>
        <v>0</v>
      </c>
      <c r="DW437" s="1" t="b">
        <f>FtNegotiator</f>
        <v>0</v>
      </c>
      <c r="EA437" s="1" t="b">
        <f t="shared" si="425"/>
        <v>0</v>
      </c>
      <c r="EB437" s="11" t="s">
        <v>338</v>
      </c>
      <c r="EC437" s="1" t="str">
        <f>IF(DR437,"","• You must be of any non-Evil alignment.
")&amp;IF(DS437,"","• 8 ranks in Diplomacy.
")&amp;IF(DT437,"","• 4 ranks in Knowledge(local).
")&amp;IF(DU437,"","• 2 ranks in Sense Motive.
")&amp;IF(DV437,"","• 2 ranks in Survival.
")&amp;IF(DW437,"","• Negotiator feat.
")&amp;"• Sponsorship by a member of the Harpers, approval of the High Harpers (not verified). "</f>
        <v xml:space="preserve">• 8 ranks in Diplomacy.
• 4 ranks in Knowledge(local).
• 2 ranks in Sense Motive.
• 2 ranks in Survival.
• Negotiator feat.
• Sponsorship by a member of the Harpers, approval of the High Harpers (not verified). </v>
      </c>
      <c r="ED437" s="11" t="s">
        <v>335</v>
      </c>
    </row>
    <row r="438" spans="1:134" ht="11.25" customHeight="1" x14ac:dyDescent="0.2">
      <c r="A438" s="1">
        <f t="shared" si="381"/>
        <v>435</v>
      </c>
      <c r="B438" s="1" t="s">
        <v>1120</v>
      </c>
      <c r="C438" s="1" t="s">
        <v>1121</v>
      </c>
      <c r="D438" s="1" t="s">
        <v>1121</v>
      </c>
      <c r="E438" s="1">
        <f t="shared" si="408"/>
        <v>0</v>
      </c>
      <c r="G438" s="1">
        <f>HPaLvl</f>
        <v>0</v>
      </c>
      <c r="K438" s="1">
        <v>4</v>
      </c>
      <c r="L438" s="1">
        <v>10</v>
      </c>
      <c r="V438" s="1">
        <v>0.75</v>
      </c>
      <c r="W438" s="1">
        <v>0.34</v>
      </c>
      <c r="X438" s="1">
        <v>0.5</v>
      </c>
      <c r="Y438" s="1">
        <v>0.34</v>
      </c>
      <c r="Z438" s="1" t="b">
        <v>0</v>
      </c>
      <c r="AA438" s="1" t="str">
        <f t="shared" si="411"/>
        <v/>
      </c>
      <c r="AB438" s="1" t="str">
        <f t="shared" si="412"/>
        <v/>
      </c>
      <c r="AC438" s="1">
        <f t="shared" si="409"/>
        <v>0</v>
      </c>
      <c r="AD438" s="1" t="str">
        <f t="shared" si="413"/>
        <v/>
      </c>
      <c r="AE438" s="1" t="str">
        <f t="shared" si="414"/>
        <v/>
      </c>
      <c r="AF438" s="1">
        <f t="shared" si="410"/>
        <v>0</v>
      </c>
      <c r="AG438" s="1">
        <f t="shared" si="394"/>
        <v>5</v>
      </c>
      <c r="AH438" s="1" t="str">
        <f t="shared" si="393"/>
        <v/>
      </c>
      <c r="AI438" s="1">
        <v>2</v>
      </c>
      <c r="AJ438" s="1">
        <f t="shared" si="415"/>
        <v>0</v>
      </c>
      <c r="AK438" s="1">
        <v>1</v>
      </c>
      <c r="AL438" s="1">
        <v>2</v>
      </c>
      <c r="AM438" s="1">
        <v>2</v>
      </c>
      <c r="AN438" s="1">
        <f t="shared" si="416"/>
        <v>0</v>
      </c>
      <c r="AO438" s="1">
        <v>1</v>
      </c>
      <c r="AP438" s="1">
        <v>2</v>
      </c>
      <c r="AQ438" s="1">
        <v>2</v>
      </c>
      <c r="AR438" s="1">
        <v>2</v>
      </c>
      <c r="AS438" s="1">
        <v>2</v>
      </c>
      <c r="AT438" s="1">
        <v>2</v>
      </c>
      <c r="AU438" s="1">
        <v>2</v>
      </c>
      <c r="AV438" s="1">
        <v>2</v>
      </c>
      <c r="AW438" s="1">
        <v>1</v>
      </c>
      <c r="AX438" s="1">
        <v>2</v>
      </c>
      <c r="AY438" s="1">
        <v>1</v>
      </c>
      <c r="AZ438" s="1">
        <v>2</v>
      </c>
      <c r="BA438" s="1">
        <v>2</v>
      </c>
      <c r="BB438" s="1">
        <v>1</v>
      </c>
      <c r="BC438" s="1">
        <v>2</v>
      </c>
      <c r="BD438" s="1">
        <v>1</v>
      </c>
      <c r="BE438" s="1">
        <v>1</v>
      </c>
      <c r="BF438" s="1">
        <v>2</v>
      </c>
      <c r="BG438" s="1">
        <f t="shared" si="417"/>
        <v>0</v>
      </c>
      <c r="BH438" s="1">
        <f t="shared" si="418"/>
        <v>0</v>
      </c>
      <c r="BI438" s="1">
        <v>1</v>
      </c>
      <c r="BJ438" s="1">
        <v>2</v>
      </c>
      <c r="BK438" s="1">
        <v>2</v>
      </c>
      <c r="BL438" s="1">
        <v>2</v>
      </c>
      <c r="BM438" s="1">
        <v>2</v>
      </c>
      <c r="BN438" s="1">
        <v>2</v>
      </c>
      <c r="BO438" s="1">
        <v>2</v>
      </c>
      <c r="BP438" s="1">
        <v>2</v>
      </c>
      <c r="BQ438" s="1">
        <f>IF(HRRVL,2,0)</f>
        <v>0</v>
      </c>
      <c r="BR438" s="1">
        <v>2</v>
      </c>
      <c r="BS438" s="1">
        <v>2</v>
      </c>
      <c r="BT438" s="1">
        <f>IF(HRXPH,2,0)</f>
        <v>0</v>
      </c>
      <c r="BU438" s="1">
        <f>IF(HRRVL,2,0)</f>
        <v>0</v>
      </c>
      <c r="BV438" s="1">
        <v>2</v>
      </c>
      <c r="BW438" s="1">
        <v>2</v>
      </c>
      <c r="BX438" s="1">
        <v>2</v>
      </c>
      <c r="BY438" s="1">
        <v>2</v>
      </c>
      <c r="BZ438" s="1">
        <v>2</v>
      </c>
      <c r="CA438" s="1">
        <v>2</v>
      </c>
      <c r="CB438" s="1">
        <v>2</v>
      </c>
      <c r="CC438" s="1">
        <v>2</v>
      </c>
      <c r="CD438" s="1">
        <v>2</v>
      </c>
      <c r="CE438" s="1">
        <v>2</v>
      </c>
      <c r="CF438" s="1">
        <v>2</v>
      </c>
      <c r="CG438" s="1">
        <f t="shared" si="419"/>
        <v>0</v>
      </c>
      <c r="CH438" s="1">
        <v>2</v>
      </c>
      <c r="CI438" s="1">
        <v>1</v>
      </c>
      <c r="CJ438" s="1">
        <v>2</v>
      </c>
      <c r="CK438" s="1">
        <v>2</v>
      </c>
      <c r="CL438" s="1">
        <v>2</v>
      </c>
      <c r="CM438" s="1">
        <v>2</v>
      </c>
      <c r="CN438" s="1">
        <v>2</v>
      </c>
      <c r="CO438" s="1">
        <v>2</v>
      </c>
      <c r="CP438" s="1">
        <v>2</v>
      </c>
      <c r="CQ438" s="1">
        <v>2</v>
      </c>
      <c r="CR438" s="1">
        <v>2</v>
      </c>
      <c r="CS438" s="1">
        <v>2</v>
      </c>
      <c r="CT438" s="1">
        <v>2</v>
      </c>
      <c r="CU438" s="1">
        <v>2</v>
      </c>
      <c r="CV438" s="1">
        <f t="shared" si="420"/>
        <v>0</v>
      </c>
      <c r="CW438" s="1">
        <v>1</v>
      </c>
      <c r="CX438" s="1">
        <v>1</v>
      </c>
      <c r="CY438" s="1">
        <v>2</v>
      </c>
      <c r="CZ438" s="1">
        <f t="shared" si="421"/>
        <v>0</v>
      </c>
      <c r="DA438" s="1">
        <v>2</v>
      </c>
      <c r="DB438" s="1">
        <v>2</v>
      </c>
      <c r="DC438" s="1">
        <v>1</v>
      </c>
      <c r="DD438" s="1">
        <v>1</v>
      </c>
      <c r="DE438" s="1">
        <v>2</v>
      </c>
      <c r="DF438" s="1">
        <v>2</v>
      </c>
      <c r="DG438" s="1">
        <v>2</v>
      </c>
      <c r="DH438" s="1">
        <v>1</v>
      </c>
      <c r="DI438" s="1">
        <f t="shared" si="422"/>
        <v>0</v>
      </c>
      <c r="DJ438" s="1">
        <v>1</v>
      </c>
      <c r="DK438" s="1" t="s">
        <v>1103</v>
      </c>
      <c r="DL438" s="1" t="s">
        <v>170</v>
      </c>
      <c r="DT438" s="1" t="b">
        <f>Favored1&gt;1</f>
        <v>0</v>
      </c>
      <c r="DU438" s="1" t="b">
        <f>FtVowObedience</f>
        <v>0</v>
      </c>
      <c r="DV438" s="1" t="b">
        <f>FtSacredVow</f>
        <v>0</v>
      </c>
      <c r="DW438" s="1" t="b">
        <f>SkSurvivalRanks&gt;=2</f>
        <v>0</v>
      </c>
      <c r="DX438" s="1" t="b">
        <f>SkSenseMotiveRanks&gt;=4</f>
        <v>0</v>
      </c>
      <c r="DY438" s="1" t="b">
        <f>SkPerformRanks&gt;=5</f>
        <v>0</v>
      </c>
      <c r="DZ438" s="1" t="b">
        <f>SkDiplomacyRanks&gt;=8</f>
        <v>0</v>
      </c>
      <c r="EA438" s="1" t="b">
        <f>AND(DM438:DZ438)</f>
        <v>0</v>
      </c>
      <c r="EB438" s="11" t="s">
        <v>338</v>
      </c>
      <c r="EC438" s="1" t="str">
        <f>IF(DZ438,"","• Diplomacy 8 ranks.
")&amp;IF(DY438,"","• Perform 5 ranks.
")&amp;IF(DX438,"","• Sense Motive 4 ranks.
")&amp;IF(DW438,"","• Survival 2 ranks.
")&amp;IF(DV438,"","• Sacred Vow feat.
")&amp;IF(DU438,"","• Vow of Obedience feat.
")&amp;"• Favored Enemy (humanoid (goblinoid), humanoid (gnoll), humanoid (orc), humanoid (reptilian), outsider (evil), undead, Church of Bane, Cult of the Dragon, Iron Throne, malaugryms, Red Wizards, or Zhentarim)"&amp;IF(DT438,"."," (not verified). ")</f>
        <v xml:space="preserve">• Diplomacy 8 ranks.
• Perform 5 ranks.
• Sense Motive 4 ranks.
• Survival 2 ranks.
• Sacred Vow feat.
• Vow of Obedience feat.
• Favored Enemy (humanoid (goblinoid), humanoid (gnoll), humanoid (orc), humanoid (reptilian), outsider (evil), undead, Church of Bane, Cult of the Dragon, Iron Throne, malaugryms, Red Wizards, or Zhentarim) (not verified). </v>
      </c>
      <c r="ED438" s="11" t="s">
        <v>335</v>
      </c>
    </row>
    <row r="439" spans="1:134" ht="11.25" customHeight="1" x14ac:dyDescent="0.2">
      <c r="A439" s="1">
        <f t="shared" si="381"/>
        <v>436</v>
      </c>
      <c r="B439" s="1" t="s">
        <v>1122</v>
      </c>
      <c r="C439" s="1" t="s">
        <v>1123</v>
      </c>
      <c r="D439" s="1" t="s">
        <v>1123</v>
      </c>
      <c r="E439" s="1">
        <f t="shared" si="408"/>
        <v>0</v>
      </c>
      <c r="G439" s="1">
        <f>HthLvl</f>
        <v>0</v>
      </c>
      <c r="K439" s="1">
        <v>2</v>
      </c>
      <c r="L439" s="1">
        <v>4</v>
      </c>
      <c r="V439" s="1">
        <v>0.5</v>
      </c>
      <c r="W439" s="1">
        <v>0.5</v>
      </c>
      <c r="X439" s="1">
        <v>0.34</v>
      </c>
      <c r="Y439" s="1">
        <v>0.5</v>
      </c>
      <c r="Z439" s="1" t="b">
        <f>FALSE</f>
        <v>0</v>
      </c>
      <c r="AA439" s="1" t="str">
        <f t="shared" si="411"/>
        <v/>
      </c>
      <c r="AB439" s="1" t="str">
        <f t="shared" si="412"/>
        <v/>
      </c>
      <c r="AC439" s="1">
        <f t="shared" si="409"/>
        <v>0</v>
      </c>
      <c r="AD439" s="1" t="str">
        <f t="shared" si="413"/>
        <v/>
      </c>
      <c r="AE439" s="1" t="str">
        <f t="shared" si="414"/>
        <v/>
      </c>
      <c r="AF439" s="1">
        <f t="shared" si="410"/>
        <v>0</v>
      </c>
      <c r="AG439" s="1">
        <f>IF($AC439&gt;0,$AG437+1,$AG437)</f>
        <v>5</v>
      </c>
      <c r="AH439" s="1" t="str">
        <f t="shared" si="393"/>
        <v/>
      </c>
      <c r="AI439" s="1">
        <v>1</v>
      </c>
      <c r="AJ439" s="1">
        <f t="shared" si="415"/>
        <v>0</v>
      </c>
      <c r="AK439" s="1">
        <v>1</v>
      </c>
      <c r="AL439" s="1">
        <v>1</v>
      </c>
      <c r="AM439" s="1">
        <v>1</v>
      </c>
      <c r="AN439" s="1">
        <f t="shared" si="416"/>
        <v>0</v>
      </c>
      <c r="AO439" s="1">
        <v>2</v>
      </c>
      <c r="AP439" s="1">
        <v>2</v>
      </c>
      <c r="AQ439" s="1">
        <v>2</v>
      </c>
      <c r="AR439" s="1">
        <v>2</v>
      </c>
      <c r="AS439" s="1">
        <v>2</v>
      </c>
      <c r="AT439" s="1">
        <v>2</v>
      </c>
      <c r="AU439" s="1">
        <v>2</v>
      </c>
      <c r="AV439" s="1">
        <v>2</v>
      </c>
      <c r="AW439" s="1">
        <v>1</v>
      </c>
      <c r="AX439" s="1">
        <v>2</v>
      </c>
      <c r="AY439" s="1">
        <v>1</v>
      </c>
      <c r="AZ439" s="1">
        <v>1</v>
      </c>
      <c r="BA439" s="1">
        <v>1</v>
      </c>
      <c r="BB439" s="1">
        <v>1</v>
      </c>
      <c r="BC439" s="1">
        <v>1</v>
      </c>
      <c r="BD439" s="1">
        <v>1</v>
      </c>
      <c r="BE439" s="1">
        <v>1</v>
      </c>
      <c r="BF439" s="1">
        <v>1</v>
      </c>
      <c r="BG439" s="1">
        <f t="shared" si="417"/>
        <v>0</v>
      </c>
      <c r="BH439" s="1">
        <f t="shared" si="418"/>
        <v>0</v>
      </c>
      <c r="BI439" s="1">
        <v>1</v>
      </c>
      <c r="BJ439" s="1">
        <v>1</v>
      </c>
      <c r="BK439" s="1">
        <v>2</v>
      </c>
      <c r="BL439" s="1">
        <v>2</v>
      </c>
      <c r="BM439" s="1">
        <v>2</v>
      </c>
      <c r="BN439" s="1">
        <v>2</v>
      </c>
      <c r="BO439" s="1">
        <v>2</v>
      </c>
      <c r="BP439" s="1">
        <f>1+NOT(HRLivingGreyhawk)</f>
        <v>2</v>
      </c>
      <c r="BQ439" s="1">
        <f>IF(HRRVL,2,0)</f>
        <v>0</v>
      </c>
      <c r="BR439" s="1">
        <v>2</v>
      </c>
      <c r="BS439" s="1">
        <v>2</v>
      </c>
      <c r="BT439" s="1">
        <f>IF(HRXPH,2,0)</f>
        <v>0</v>
      </c>
      <c r="BU439" s="1">
        <f>IF(HRRVL,2,0)</f>
        <v>0</v>
      </c>
      <c r="BV439" s="1">
        <v>2</v>
      </c>
      <c r="BW439" s="1">
        <v>2</v>
      </c>
      <c r="BX439" s="1">
        <v>2</v>
      </c>
      <c r="BY439" s="1">
        <v>2</v>
      </c>
      <c r="BZ439" s="1">
        <v>2</v>
      </c>
      <c r="CA439" s="1">
        <v>2</v>
      </c>
      <c r="CB439" s="1">
        <v>2</v>
      </c>
      <c r="CC439" s="1">
        <v>2</v>
      </c>
      <c r="CD439" s="1">
        <v>2</v>
      </c>
      <c r="CE439" s="1">
        <v>2</v>
      </c>
      <c r="CF439" s="1">
        <v>1</v>
      </c>
      <c r="CG439" s="1">
        <f t="shared" si="419"/>
        <v>0</v>
      </c>
      <c r="CH439" s="1">
        <v>1</v>
      </c>
      <c r="CI439" s="1">
        <v>1</v>
      </c>
      <c r="CJ439" s="1">
        <v>2</v>
      </c>
      <c r="CK439" s="1">
        <v>2</v>
      </c>
      <c r="CL439" s="1">
        <v>2</v>
      </c>
      <c r="CM439" s="1">
        <v>2</v>
      </c>
      <c r="CN439" s="1">
        <v>2</v>
      </c>
      <c r="CO439" s="1">
        <v>2</v>
      </c>
      <c r="CP439" s="1">
        <v>2</v>
      </c>
      <c r="CQ439" s="1">
        <v>2</v>
      </c>
      <c r="CR439" s="1">
        <v>2</v>
      </c>
      <c r="CS439" s="1">
        <v>2</v>
      </c>
      <c r="CT439" s="1">
        <v>2</v>
      </c>
      <c r="CU439" s="1">
        <v>2</v>
      </c>
      <c r="CV439" s="1">
        <f t="shared" si="420"/>
        <v>0</v>
      </c>
      <c r="CW439" s="1">
        <v>1</v>
      </c>
      <c r="CX439" s="1">
        <v>1</v>
      </c>
      <c r="CY439" s="1">
        <v>1</v>
      </c>
      <c r="CZ439" s="1">
        <f t="shared" si="421"/>
        <v>0</v>
      </c>
      <c r="DA439" s="1">
        <v>1</v>
      </c>
      <c r="DB439" s="1">
        <v>2</v>
      </c>
      <c r="DC439" s="1">
        <v>2</v>
      </c>
      <c r="DD439" s="1">
        <v>1</v>
      </c>
      <c r="DE439" s="1">
        <v>2</v>
      </c>
      <c r="DF439" s="1">
        <v>2</v>
      </c>
      <c r="DG439" s="1">
        <v>1</v>
      </c>
      <c r="DH439" s="1">
        <v>1</v>
      </c>
      <c r="DI439" s="1">
        <f t="shared" si="422"/>
        <v>0</v>
      </c>
      <c r="DJ439" s="1">
        <v>1</v>
      </c>
      <c r="DK439" s="1" t="s">
        <v>1103</v>
      </c>
      <c r="DL439" s="1" t="s">
        <v>170</v>
      </c>
      <c r="DR439" s="1" t="b">
        <f>OR(AND(AlignmentLawful,AlignmentGood),OR(AND(AlignmentLawful,AlignmentNeutral),AND(AlignmentNeutral,AlignmentGood)))</f>
        <v>1</v>
      </c>
      <c r="DS439" s="1" t="b">
        <f>Gender="Female"</f>
        <v>0</v>
      </c>
      <c r="DT439" s="1" t="b">
        <f>Region="Rashemen"</f>
        <v>0</v>
      </c>
      <c r="DU439" s="1" t="b">
        <f>IF(NOT(ISNA(MATCH("Rashemen",TblKnowledgeSkills,0))),INDEX(TblKnowledgeRanks,MATCH("Rashemen",TblKnowledgeSkills,0),1)&gt;=4,FALSE)</f>
        <v>0</v>
      </c>
      <c r="DV439" s="1" t="b">
        <f>FtEthran</f>
        <v>0</v>
      </c>
      <c r="DW439" s="1" t="b">
        <f>FtLeadership</f>
        <v>0</v>
      </c>
      <c r="DX439" s="1" t="b">
        <f ca="1">MaxSpellLevel&gt;=4</f>
        <v>0</v>
      </c>
      <c r="DY439" s="1" t="b">
        <f>OR(Deity="Chauntea",Deity="Mielikki",Deity="Mystra")</f>
        <v>0</v>
      </c>
      <c r="EA439" s="1" t="b">
        <f ca="1">AND(DM439:DZ439)</f>
        <v>0</v>
      </c>
      <c r="EB439" s="11" t="s">
        <v>334</v>
      </c>
      <c r="EC439" s="1" t="str">
        <f ca="1">IF(DR439,"","• Must be of Lawful Good, Lawful Neutral or Neutral Good alignment.
")&amp;IF(DS439,"","• Must be a Female.
")&amp;IF(DT439,"","• Must be from Rashemen.
")&amp;IF(DU439,"","• 4 ranks in Knowledge(Rashemen).
")&amp;IF(DV439,"","• Ethran feat.
")&amp;IF(DW439,"","• Leadership feat.
")&amp;IF(DX439,"","• Ability to cast 4th-level spells.
")&amp;IF(DY439,"","• Chauntea, Mielikki, or Mystra patron deity.")</f>
        <v>• Must be a Female.
• Must be from Rashemen.
• 4 ranks in Knowledge(Rashemen).
• Ethran feat.
• Leadership feat.
• Ability to cast 4th-level spells.
• Chauntea, Mielikki, or Mystra patron deity.</v>
      </c>
      <c r="ED439" s="11" t="s">
        <v>335</v>
      </c>
    </row>
    <row r="440" spans="1:134" ht="11.25" customHeight="1" x14ac:dyDescent="0.2">
      <c r="A440" s="1">
        <f t="shared" si="381"/>
        <v>437</v>
      </c>
      <c r="B440" s="1" t="s">
        <v>1124</v>
      </c>
      <c r="C440" s="1" t="s">
        <v>1125</v>
      </c>
      <c r="D440" s="1" t="s">
        <v>1125</v>
      </c>
      <c r="E440" s="1">
        <f t="shared" si="408"/>
        <v>0</v>
      </c>
      <c r="G440" s="1">
        <f>ItxLvl</f>
        <v>0</v>
      </c>
      <c r="K440" s="1">
        <v>2</v>
      </c>
      <c r="L440" s="1">
        <v>4</v>
      </c>
      <c r="V440" s="1">
        <v>0.5</v>
      </c>
      <c r="W440" s="1">
        <v>0.34</v>
      </c>
      <c r="X440" s="1">
        <v>0.34</v>
      </c>
      <c r="Y440" s="1">
        <v>0.5</v>
      </c>
      <c r="Z440" s="1" t="b">
        <f>FALSE</f>
        <v>0</v>
      </c>
      <c r="AA440" s="1" t="str">
        <f t="shared" si="411"/>
        <v/>
      </c>
      <c r="AB440" s="1" t="str">
        <f t="shared" si="412"/>
        <v/>
      </c>
      <c r="AC440" s="1">
        <f t="shared" si="409"/>
        <v>0</v>
      </c>
      <c r="AD440" s="1" t="str">
        <f t="shared" si="413"/>
        <v/>
      </c>
      <c r="AE440" s="1" t="str">
        <f t="shared" si="414"/>
        <v/>
      </c>
      <c r="AF440" s="1">
        <f t="shared" si="410"/>
        <v>0</v>
      </c>
      <c r="AG440" s="1">
        <f t="shared" si="394"/>
        <v>5</v>
      </c>
      <c r="AH440" s="1" t="str">
        <f t="shared" si="393"/>
        <v/>
      </c>
      <c r="AI440" s="1">
        <v>1</v>
      </c>
      <c r="AJ440" s="1">
        <f t="shared" si="415"/>
        <v>0</v>
      </c>
      <c r="AK440" s="1">
        <v>1</v>
      </c>
      <c r="AL440" s="1">
        <v>1</v>
      </c>
      <c r="AM440" s="1">
        <v>1</v>
      </c>
      <c r="AN440" s="1">
        <f t="shared" si="416"/>
        <v>0</v>
      </c>
      <c r="AO440" s="1">
        <v>2</v>
      </c>
      <c r="AP440" s="1">
        <v>2</v>
      </c>
      <c r="AQ440" s="1">
        <v>2</v>
      </c>
      <c r="AR440" s="1">
        <v>2</v>
      </c>
      <c r="AS440" s="1">
        <v>2</v>
      </c>
      <c r="AT440" s="1">
        <v>2</v>
      </c>
      <c r="AU440" s="1">
        <v>2</v>
      </c>
      <c r="AV440" s="1">
        <v>2</v>
      </c>
      <c r="AW440" s="1">
        <v>1</v>
      </c>
      <c r="AX440" s="1">
        <v>1</v>
      </c>
      <c r="AY440" s="1">
        <v>1</v>
      </c>
      <c r="AZ440" s="1">
        <v>1</v>
      </c>
      <c r="BA440" s="1">
        <v>1</v>
      </c>
      <c r="BB440" s="1">
        <v>1</v>
      </c>
      <c r="BC440" s="1">
        <v>1</v>
      </c>
      <c r="BD440" s="1">
        <v>1</v>
      </c>
      <c r="BE440" s="1">
        <v>2</v>
      </c>
      <c r="BF440" s="1">
        <v>1</v>
      </c>
      <c r="BG440" s="1">
        <f t="shared" si="417"/>
        <v>0</v>
      </c>
      <c r="BH440" s="1">
        <f t="shared" si="418"/>
        <v>0</v>
      </c>
      <c r="BI440" s="1">
        <v>2</v>
      </c>
      <c r="BJ440" s="1">
        <v>1</v>
      </c>
      <c r="BK440" s="1">
        <v>2</v>
      </c>
      <c r="BL440" s="1">
        <v>1</v>
      </c>
      <c r="BM440" s="1">
        <v>1</v>
      </c>
      <c r="BN440" s="1">
        <v>1</v>
      </c>
      <c r="BO440" s="1">
        <v>1</v>
      </c>
      <c r="BP440" s="1">
        <v>1</v>
      </c>
      <c r="BQ440" s="1">
        <f t="shared" ref="BQ440:BQ446" si="428">IF(HRRVL,1,0)</f>
        <v>0</v>
      </c>
      <c r="BR440" s="1">
        <v>1</v>
      </c>
      <c r="BS440" s="1">
        <v>1</v>
      </c>
      <c r="BT440" s="1">
        <f t="shared" ref="BT440:BT447" si="429">IF(HRXPH,1,0)</f>
        <v>0</v>
      </c>
      <c r="BU440" s="1">
        <f t="shared" ref="BU440:BU447" si="430">IF(HRRVL,1,0)</f>
        <v>0</v>
      </c>
      <c r="BV440" s="1">
        <v>1</v>
      </c>
      <c r="BW440" s="1">
        <v>2</v>
      </c>
      <c r="BX440" s="1">
        <v>1</v>
      </c>
      <c r="BY440" s="1">
        <v>1</v>
      </c>
      <c r="BZ440" s="1">
        <v>1</v>
      </c>
      <c r="CA440" s="1">
        <v>1</v>
      </c>
      <c r="CB440" s="1">
        <v>1</v>
      </c>
      <c r="CC440" s="1">
        <v>1</v>
      </c>
      <c r="CD440" s="1">
        <v>1</v>
      </c>
      <c r="CE440" s="1">
        <v>1</v>
      </c>
      <c r="CF440" s="1">
        <v>1</v>
      </c>
      <c r="CG440" s="1">
        <f t="shared" si="419"/>
        <v>0</v>
      </c>
      <c r="CH440" s="1">
        <v>1</v>
      </c>
      <c r="CI440" s="1">
        <v>1</v>
      </c>
      <c r="CJ440" s="1">
        <v>1</v>
      </c>
      <c r="CK440" s="1">
        <v>1</v>
      </c>
      <c r="CL440" s="1">
        <v>1</v>
      </c>
      <c r="CM440" s="1">
        <v>1</v>
      </c>
      <c r="CN440" s="1">
        <v>1</v>
      </c>
      <c r="CO440" s="1">
        <v>1</v>
      </c>
      <c r="CP440" s="1">
        <v>2</v>
      </c>
      <c r="CQ440" s="1">
        <v>2</v>
      </c>
      <c r="CR440" s="1">
        <v>2</v>
      </c>
      <c r="CS440" s="1">
        <v>2</v>
      </c>
      <c r="CT440" s="1">
        <v>2</v>
      </c>
      <c r="CU440" s="1">
        <v>2</v>
      </c>
      <c r="CV440" s="1">
        <f t="shared" si="420"/>
        <v>0</v>
      </c>
      <c r="CW440" s="1">
        <v>1</v>
      </c>
      <c r="CX440" s="1">
        <v>1</v>
      </c>
      <c r="CY440" s="1">
        <v>1</v>
      </c>
      <c r="CZ440" s="1">
        <f t="shared" si="421"/>
        <v>0</v>
      </c>
      <c r="DA440" s="1">
        <v>1</v>
      </c>
      <c r="DB440" s="1">
        <v>1</v>
      </c>
      <c r="DC440" s="1">
        <v>2</v>
      </c>
      <c r="DD440" s="1">
        <v>1</v>
      </c>
      <c r="DE440" s="1">
        <v>1</v>
      </c>
      <c r="DF440" s="1">
        <v>1</v>
      </c>
      <c r="DG440" s="1">
        <v>1</v>
      </c>
      <c r="DH440" s="1">
        <v>1</v>
      </c>
      <c r="DI440" s="1">
        <f t="shared" si="422"/>
        <v>0</v>
      </c>
      <c r="DJ440" s="1">
        <v>1</v>
      </c>
      <c r="DK440" s="1" t="s">
        <v>1103</v>
      </c>
      <c r="DL440" s="1" t="s">
        <v>170</v>
      </c>
      <c r="DR440" s="1" t="b">
        <f>SkConcentrationRanks&gt;=4</f>
        <v>0</v>
      </c>
      <c r="DS440" s="1" t="b">
        <f>SkKnowledgeArcanaRanks&gt;=8</f>
        <v>0</v>
      </c>
      <c r="DT440" s="1" t="b">
        <f>SkSpellcraftRanks&gt;=8</f>
        <v>0</v>
      </c>
      <c r="DU440" s="1" t="b">
        <f>OR(FtIronWill,FreeIronWill)</f>
        <v>0</v>
      </c>
      <c r="DV440" s="1" t="b">
        <f>MetamagicSelected&gt;=1</f>
        <v>0</v>
      </c>
      <c r="DW440" s="1" t="b">
        <f ca="1">MaxArcaneSpellLevel&gt;=3</f>
        <v>0</v>
      </c>
      <c r="DX440" s="1" t="b">
        <f>ISERROR(FIND("Abjuration",SpecWizForbid,1))</f>
        <v>1</v>
      </c>
      <c r="EA440" s="1" t="b">
        <f ca="1">AND(DM440:DZ440)</f>
        <v>0</v>
      </c>
      <c r="EB440" s="11" t="s">
        <v>334</v>
      </c>
      <c r="EC440" s="1" t="str">
        <f ca="1">IF(DR440,"","• 4 ranks in Concentration.
")&amp;IF(DS440,"","• 8 ranks in Knowledge (arcana).
")&amp;IF(DT440,"","• 8 ranks in Spellcraft.
")&amp;IF(DU440,"","• Iron Will feat.
")&amp;IF(DV440,"","• any one metamagic feat.
")&amp;IF(DW440,"","• Ability to cast 3rd-level arcane spells.
")&amp;IF(DX440,"","• Cannot have abjuration as a prohibited school.")</f>
        <v xml:space="preserve">• 4 ranks in Concentration.
• 8 ranks in Knowledge (arcana).
• 8 ranks in Spellcraft.
• Iron Will feat.
• any one metamagic feat.
• Ability to cast 3rd-level arcane spells.
</v>
      </c>
      <c r="ED440" s="11" t="s">
        <v>335</v>
      </c>
    </row>
    <row r="441" spans="1:134" ht="11.25" customHeight="1" x14ac:dyDescent="0.2">
      <c r="A441" s="1">
        <f t="shared" si="381"/>
        <v>438</v>
      </c>
      <c r="B441" s="1" t="s">
        <v>1126</v>
      </c>
      <c r="C441" s="1" t="s">
        <v>1127</v>
      </c>
      <c r="D441" s="1" t="s">
        <v>1127</v>
      </c>
      <c r="E441" s="1">
        <f t="shared" si="408"/>
        <v>0</v>
      </c>
      <c r="G441" s="1">
        <f>E441</f>
        <v>0</v>
      </c>
      <c r="K441" s="1">
        <v>2</v>
      </c>
      <c r="L441" s="1">
        <v>8</v>
      </c>
      <c r="S441" s="1" t="b">
        <v>1</v>
      </c>
      <c r="T441" s="1" t="b">
        <v>1</v>
      </c>
      <c r="V441" s="1">
        <v>0.75</v>
      </c>
      <c r="W441" s="1">
        <v>0.5</v>
      </c>
      <c r="X441" s="1">
        <v>0.34</v>
      </c>
      <c r="Y441" s="1">
        <v>0.5</v>
      </c>
      <c r="Z441" s="1" t="b">
        <f>FALSE</f>
        <v>0</v>
      </c>
      <c r="AA441" s="1" t="str">
        <f t="shared" si="411"/>
        <v/>
      </c>
      <c r="AB441" s="1" t="str">
        <f t="shared" si="412"/>
        <v/>
      </c>
      <c r="AC441" s="1">
        <f t="shared" si="409"/>
        <v>0</v>
      </c>
      <c r="AD441" s="1" t="str">
        <f t="shared" si="413"/>
        <v/>
      </c>
      <c r="AE441" s="1" t="str">
        <f t="shared" si="414"/>
        <v/>
      </c>
      <c r="AF441" s="1">
        <f t="shared" si="410"/>
        <v>0</v>
      </c>
      <c r="AG441" s="1">
        <f t="shared" si="394"/>
        <v>5</v>
      </c>
      <c r="AH441" s="1" t="str">
        <f t="shared" si="393"/>
        <v/>
      </c>
      <c r="AI441" s="1">
        <v>1</v>
      </c>
      <c r="AJ441" s="1">
        <f t="shared" si="415"/>
        <v>0</v>
      </c>
      <c r="AK441" s="1">
        <v>1</v>
      </c>
      <c r="AL441" s="1">
        <v>1</v>
      </c>
      <c r="AM441" s="1">
        <v>1</v>
      </c>
      <c r="AN441" s="1">
        <f t="shared" si="416"/>
        <v>0</v>
      </c>
      <c r="AO441" s="1">
        <v>2</v>
      </c>
      <c r="AP441" s="1">
        <v>2</v>
      </c>
      <c r="AQ441" s="1">
        <v>2</v>
      </c>
      <c r="AR441" s="1">
        <v>2</v>
      </c>
      <c r="AS441" s="1">
        <v>2</v>
      </c>
      <c r="AT441" s="1">
        <v>2</v>
      </c>
      <c r="AU441" s="1">
        <v>2</v>
      </c>
      <c r="AV441" s="1">
        <v>2</v>
      </c>
      <c r="AW441" s="1">
        <v>1</v>
      </c>
      <c r="AX441" s="1">
        <v>2</v>
      </c>
      <c r="AY441" s="1">
        <v>1</v>
      </c>
      <c r="AZ441" s="1">
        <v>1</v>
      </c>
      <c r="BA441" s="1">
        <v>1</v>
      </c>
      <c r="BB441" s="1">
        <v>1</v>
      </c>
      <c r="BC441" s="1">
        <v>1</v>
      </c>
      <c r="BD441" s="1">
        <v>1</v>
      </c>
      <c r="BE441" s="1">
        <v>2</v>
      </c>
      <c r="BF441" s="1">
        <v>1</v>
      </c>
      <c r="BG441" s="1">
        <f t="shared" si="417"/>
        <v>0</v>
      </c>
      <c r="BH441" s="1">
        <f t="shared" si="418"/>
        <v>0</v>
      </c>
      <c r="BI441" s="1">
        <v>1</v>
      </c>
      <c r="BJ441" s="1">
        <v>1</v>
      </c>
      <c r="BK441" s="1">
        <v>2</v>
      </c>
      <c r="BL441" s="1">
        <v>1</v>
      </c>
      <c r="BM441" s="1">
        <v>1</v>
      </c>
      <c r="BN441" s="1">
        <v>1</v>
      </c>
      <c r="BO441" s="1">
        <v>1</v>
      </c>
      <c r="BP441" s="1">
        <f>1+NOT(HRLivingGreyhawk)</f>
        <v>2</v>
      </c>
      <c r="BQ441" s="1">
        <f t="shared" si="428"/>
        <v>0</v>
      </c>
      <c r="BR441" s="1">
        <v>1</v>
      </c>
      <c r="BS441" s="1">
        <v>1</v>
      </c>
      <c r="BT441" s="1">
        <f t="shared" si="429"/>
        <v>0</v>
      </c>
      <c r="BU441" s="1">
        <f t="shared" si="430"/>
        <v>0</v>
      </c>
      <c r="BV441" s="1">
        <v>2</v>
      </c>
      <c r="BW441" s="1">
        <v>2</v>
      </c>
      <c r="BX441" s="1">
        <v>1</v>
      </c>
      <c r="BY441" s="1">
        <v>1</v>
      </c>
      <c r="BZ441" s="1">
        <v>1</v>
      </c>
      <c r="CA441" s="1">
        <v>1</v>
      </c>
      <c r="CB441" s="1">
        <v>1</v>
      </c>
      <c r="CC441" s="1">
        <v>1</v>
      </c>
      <c r="CD441" s="1">
        <v>1</v>
      </c>
      <c r="CE441" s="1">
        <v>1</v>
      </c>
      <c r="CF441" s="1">
        <v>1</v>
      </c>
      <c r="CG441" s="1">
        <f t="shared" si="419"/>
        <v>0</v>
      </c>
      <c r="CH441" s="1">
        <v>1</v>
      </c>
      <c r="CI441" s="1">
        <v>1</v>
      </c>
      <c r="CJ441" s="1">
        <v>1</v>
      </c>
      <c r="CK441" s="1">
        <v>1</v>
      </c>
      <c r="CL441" s="1">
        <v>1</v>
      </c>
      <c r="CM441" s="1">
        <v>1</v>
      </c>
      <c r="CN441" s="1">
        <v>1</v>
      </c>
      <c r="CO441" s="1">
        <v>1</v>
      </c>
      <c r="CP441" s="1">
        <v>2</v>
      </c>
      <c r="CQ441" s="1">
        <v>2</v>
      </c>
      <c r="CR441" s="1">
        <v>2</v>
      </c>
      <c r="CS441" s="1">
        <v>2</v>
      </c>
      <c r="CT441" s="1">
        <v>2</v>
      </c>
      <c r="CU441" s="1">
        <v>2</v>
      </c>
      <c r="CV441" s="1">
        <f t="shared" si="420"/>
        <v>0</v>
      </c>
      <c r="CW441" s="1">
        <v>1</v>
      </c>
      <c r="CX441" s="1">
        <v>1</v>
      </c>
      <c r="CY441" s="1">
        <v>1</v>
      </c>
      <c r="CZ441" s="1">
        <f t="shared" si="421"/>
        <v>0</v>
      </c>
      <c r="DA441" s="1">
        <v>1</v>
      </c>
      <c r="DB441" s="1">
        <v>1</v>
      </c>
      <c r="DC441" s="1">
        <v>2</v>
      </c>
      <c r="DD441" s="1">
        <v>1</v>
      </c>
      <c r="DE441" s="1">
        <v>1</v>
      </c>
      <c r="DF441" s="1">
        <v>1</v>
      </c>
      <c r="DG441" s="1">
        <v>1</v>
      </c>
      <c r="DH441" s="1">
        <v>1</v>
      </c>
      <c r="DI441" s="1">
        <f t="shared" si="422"/>
        <v>0</v>
      </c>
      <c r="DJ441" s="1">
        <v>1</v>
      </c>
      <c r="DK441" s="1" t="s">
        <v>1103</v>
      </c>
      <c r="DL441" s="1" t="s">
        <v>170</v>
      </c>
      <c r="DR441" s="1" t="b">
        <f>AND(AlignmentLawful,AlignmentGood)</f>
        <v>1</v>
      </c>
      <c r="DS441" s="1" t="b">
        <f>BaseAtk&gt;=5</f>
        <v>0</v>
      </c>
      <c r="DT441" s="1" t="b">
        <f>SkDiplomacyRanks&gt;=7</f>
        <v>0</v>
      </c>
      <c r="DU441" s="1" t="b">
        <f>SkKnowledgeLocalRanks&gt;=4</f>
        <v>0</v>
      </c>
      <c r="DV441" s="1" t="b">
        <f>SkKnowledgeReligionRanks&gt;=6</f>
        <v>0</v>
      </c>
      <c r="DW441" s="1" t="b">
        <f ca="1">MaxDivineSpellLevel&gt;=2</f>
        <v>0</v>
      </c>
      <c r="DX441" s="1" t="b">
        <f>Deity="Tyr"</f>
        <v>0</v>
      </c>
      <c r="EA441" s="1" t="b">
        <f ca="1">AND(DM441:DZ441)</f>
        <v>0</v>
      </c>
      <c r="EB441" s="11" t="s">
        <v>334</v>
      </c>
      <c r="EC441" s="1" t="str">
        <f ca="1">IF(DR441,"","• Lawful Good alignment.
")&amp;IF(DS441,"","• A base attack bonus of +5 or higher.
")&amp;IF(DT441,"","• 7 ranks in Diplomacy.
")&amp;IF(DU441,"","• 4 ranks in Knowledge(local).
")&amp;IF(DV441,"","• 6 ranks in Knowledge(religion).
")&amp;IF(DW441,"","• Ability to cast 2nd-level divine spells.
")&amp;IF(DX441,"","• Tyr as patron deity.")</f>
        <v>• A base attack bonus of +5 or higher.
• 7 ranks in Diplomacy.
• 4 ranks in Knowledge(local).
• 6 ranks in Knowledge(religion).
• Ability to cast 2nd-level divine spells.
• Tyr as patron deity.</v>
      </c>
      <c r="ED441" s="11" t="s">
        <v>335</v>
      </c>
    </row>
    <row r="442" spans="1:134" ht="11.25" customHeight="1" x14ac:dyDescent="0.2">
      <c r="A442" s="1">
        <f t="shared" si="381"/>
        <v>439</v>
      </c>
      <c r="B442" s="1" t="s">
        <v>1128</v>
      </c>
      <c r="C442" s="1" t="s">
        <v>1129</v>
      </c>
      <c r="D442" s="1" t="s">
        <v>1129</v>
      </c>
      <c r="E442" s="1">
        <f t="shared" si="408"/>
        <v>0</v>
      </c>
      <c r="K442" s="1">
        <v>4</v>
      </c>
      <c r="L442" s="1">
        <v>6</v>
      </c>
      <c r="V442" s="1">
        <v>0.75</v>
      </c>
      <c r="W442" s="1">
        <v>0.34</v>
      </c>
      <c r="X442" s="1">
        <v>0.34</v>
      </c>
      <c r="Y442" s="1">
        <v>0.5</v>
      </c>
      <c r="Z442" s="1" t="b">
        <v>0</v>
      </c>
      <c r="AA442" s="1" t="str">
        <f t="shared" si="411"/>
        <v/>
      </c>
      <c r="AB442" s="1" t="str">
        <f t="shared" si="412"/>
        <v/>
      </c>
      <c r="AC442" s="1">
        <f t="shared" si="409"/>
        <v>0</v>
      </c>
      <c r="AD442" s="1" t="str">
        <f t="shared" si="413"/>
        <v/>
      </c>
      <c r="AE442" s="1" t="str">
        <f t="shared" si="414"/>
        <v/>
      </c>
      <c r="AF442" s="1">
        <f t="shared" si="410"/>
        <v>0</v>
      </c>
      <c r="AG442" s="1">
        <f t="shared" si="394"/>
        <v>5</v>
      </c>
      <c r="AH442" s="1" t="str">
        <f t="shared" si="393"/>
        <v/>
      </c>
      <c r="AI442" s="1">
        <v>1</v>
      </c>
      <c r="AJ442" s="1">
        <f t="shared" si="415"/>
        <v>0</v>
      </c>
      <c r="AK442" s="1">
        <v>1</v>
      </c>
      <c r="AL442" s="1">
        <v>2</v>
      </c>
      <c r="AM442" s="1">
        <v>1</v>
      </c>
      <c r="AN442" s="1">
        <f t="shared" si="416"/>
        <v>0</v>
      </c>
      <c r="AO442" s="1">
        <v>2</v>
      </c>
      <c r="AP442" s="1">
        <v>2</v>
      </c>
      <c r="AQ442" s="1">
        <v>2</v>
      </c>
      <c r="AR442" s="1">
        <v>2</v>
      </c>
      <c r="AS442" s="1">
        <v>2</v>
      </c>
      <c r="AT442" s="1">
        <v>2</v>
      </c>
      <c r="AU442" s="1">
        <v>2</v>
      </c>
      <c r="AV442" s="1">
        <v>2</v>
      </c>
      <c r="AW442" s="1">
        <v>1</v>
      </c>
      <c r="AX442" s="1">
        <v>2</v>
      </c>
      <c r="AY442" s="1">
        <v>1</v>
      </c>
      <c r="AZ442" s="1">
        <v>1</v>
      </c>
      <c r="BA442" s="1">
        <v>1</v>
      </c>
      <c r="BB442" s="1">
        <v>1</v>
      </c>
      <c r="BC442" s="1">
        <v>2</v>
      </c>
      <c r="BD442" s="1">
        <v>1</v>
      </c>
      <c r="BE442" s="1">
        <v>1</v>
      </c>
      <c r="BF442" s="1">
        <v>1</v>
      </c>
      <c r="BG442" s="1">
        <f t="shared" si="417"/>
        <v>0</v>
      </c>
      <c r="BH442" s="1">
        <f t="shared" si="418"/>
        <v>0</v>
      </c>
      <c r="BI442" s="1">
        <v>2</v>
      </c>
      <c r="BJ442" s="1">
        <v>1</v>
      </c>
      <c r="BK442" s="1">
        <v>2</v>
      </c>
      <c r="BL442" s="1">
        <v>1</v>
      </c>
      <c r="BM442" s="1">
        <v>1</v>
      </c>
      <c r="BN442" s="1">
        <v>1</v>
      </c>
      <c r="BO442" s="1">
        <v>1</v>
      </c>
      <c r="BP442" s="1">
        <v>1</v>
      </c>
      <c r="BQ442" s="1">
        <f t="shared" si="428"/>
        <v>0</v>
      </c>
      <c r="BR442" s="1">
        <v>1</v>
      </c>
      <c r="BS442" s="1">
        <v>1</v>
      </c>
      <c r="BT442" s="1">
        <f t="shared" si="429"/>
        <v>0</v>
      </c>
      <c r="BU442" s="1">
        <f t="shared" si="430"/>
        <v>0</v>
      </c>
      <c r="BV442" s="1">
        <v>2</v>
      </c>
      <c r="BW442" s="1">
        <v>1</v>
      </c>
      <c r="BX442" s="1">
        <v>1</v>
      </c>
      <c r="BY442" s="1">
        <v>1</v>
      </c>
      <c r="BZ442" s="1">
        <v>1</v>
      </c>
      <c r="CA442" s="1">
        <v>1</v>
      </c>
      <c r="CB442" s="1">
        <v>1</v>
      </c>
      <c r="CC442" s="1">
        <v>1</v>
      </c>
      <c r="CD442" s="1">
        <v>1</v>
      </c>
      <c r="CE442" s="1">
        <v>1</v>
      </c>
      <c r="CF442" s="1">
        <v>1</v>
      </c>
      <c r="CG442" s="1">
        <f t="shared" si="419"/>
        <v>0</v>
      </c>
      <c r="CH442" s="1">
        <v>1</v>
      </c>
      <c r="CI442" s="1">
        <v>1</v>
      </c>
      <c r="CJ442" s="1">
        <v>2</v>
      </c>
      <c r="CK442" s="1">
        <v>2</v>
      </c>
      <c r="CL442" s="1">
        <v>2</v>
      </c>
      <c r="CM442" s="1">
        <v>2</v>
      </c>
      <c r="CN442" s="1">
        <v>2</v>
      </c>
      <c r="CO442" s="1">
        <v>2</v>
      </c>
      <c r="CP442" s="1">
        <v>2</v>
      </c>
      <c r="CQ442" s="1">
        <v>2</v>
      </c>
      <c r="CR442" s="1">
        <v>2</v>
      </c>
      <c r="CS442" s="1">
        <v>2</v>
      </c>
      <c r="CT442" s="1">
        <v>2</v>
      </c>
      <c r="CU442" s="1">
        <v>2</v>
      </c>
      <c r="CV442" s="1">
        <f t="shared" si="420"/>
        <v>0</v>
      </c>
      <c r="CW442" s="1">
        <v>1</v>
      </c>
      <c r="CX442" s="1">
        <v>1</v>
      </c>
      <c r="CY442" s="1">
        <v>2</v>
      </c>
      <c r="CZ442" s="1">
        <f t="shared" si="421"/>
        <v>0</v>
      </c>
      <c r="DA442" s="1">
        <v>1</v>
      </c>
      <c r="DB442" s="1">
        <v>1</v>
      </c>
      <c r="DC442" s="1">
        <v>2</v>
      </c>
      <c r="DD442" s="1">
        <v>1</v>
      </c>
      <c r="DE442" s="1">
        <v>1</v>
      </c>
      <c r="DF442" s="1">
        <v>1</v>
      </c>
      <c r="DG442" s="1">
        <v>1</v>
      </c>
      <c r="DH442" s="1">
        <v>1</v>
      </c>
      <c r="DI442" s="1">
        <f t="shared" si="422"/>
        <v>0</v>
      </c>
      <c r="DJ442" s="1">
        <v>2</v>
      </c>
      <c r="DK442" s="1" t="s">
        <v>1103</v>
      </c>
      <c r="DL442" s="1" t="s">
        <v>170</v>
      </c>
      <c r="DV442" s="1" t="b">
        <f>Deity="Loviatar (FRCS)"</f>
        <v>0</v>
      </c>
      <c r="DW442" s="1" t="b">
        <f ca="1">MaxDivineSpellLevel&gt;=3</f>
        <v>0</v>
      </c>
      <c r="DX442" s="1" t="b">
        <f>FtViolateSpell</f>
        <v>0</v>
      </c>
      <c r="DY442" s="1" t="b">
        <f>SkIntimidateRanks&gt;=4</f>
        <v>0</v>
      </c>
      <c r="DZ442" s="1" t="b">
        <f>Gender="Female"</f>
        <v>0</v>
      </c>
      <c r="EA442" s="1" t="b">
        <f ca="1">AND(DM442:DZ442)</f>
        <v>0</v>
      </c>
      <c r="EB442" s="11" t="s">
        <v>338</v>
      </c>
      <c r="EC442" s="1" t="str">
        <f ca="1">IF(DZ442,"","• Must be female.
")&amp;IF(DY442,"","• Intimidate 4 ranks.
")&amp;IF(DX442,"","• Violate Spell feat.
")&amp;"• Ability to cast Masochism and Sadism as divine spells"&amp;IF(DW442,"","(not checked)")&amp;".
"&amp;IF(DV442,"","• Patron deity Loviatar.
")&amp;"• Must have use the drug liquid pain (not checked)."</f>
        <v>• Must be female.
• Intimidate 4 ranks.
• Violate Spell feat.
• Ability to cast Masochism and Sadism as divine spells(not checked).
• Patron deity Loviatar.
• Must have use the drug liquid pain (not checked).</v>
      </c>
      <c r="ED442" s="11" t="s">
        <v>335</v>
      </c>
    </row>
    <row r="443" spans="1:134" ht="11.25" customHeight="1" x14ac:dyDescent="0.2">
      <c r="A443" s="1">
        <f t="shared" si="381"/>
        <v>440</v>
      </c>
      <c r="B443" s="1" t="s">
        <v>1130</v>
      </c>
      <c r="C443" s="1" t="s">
        <v>958</v>
      </c>
      <c r="D443" s="1" t="s">
        <v>958</v>
      </c>
      <c r="E443" s="1">
        <f t="shared" si="408"/>
        <v>0</v>
      </c>
      <c r="G443" s="1">
        <f>(MChLvl&gt;=2)*(MChBonus1=2)+(MChLvl&gt;=4)*(MChBonus2=2)+(MChLvl&gt;=6)*(MChBonus3=2)+(MChLvl&gt;=8)*(MChBonus4=2)+(MChLvl&gt;=10)*(MChBonus5=2)</f>
        <v>0</v>
      </c>
      <c r="K443" s="1">
        <v>2</v>
      </c>
      <c r="L443" s="1">
        <v>10</v>
      </c>
      <c r="V443" s="1">
        <v>0.75</v>
      </c>
      <c r="W443" s="1">
        <v>0.34</v>
      </c>
      <c r="X443" s="1">
        <v>0.5</v>
      </c>
      <c r="Y443" s="1">
        <v>0.34</v>
      </c>
      <c r="Z443" s="1" t="b">
        <v>0</v>
      </c>
      <c r="AA443" s="1" t="str">
        <f t="shared" si="411"/>
        <v/>
      </c>
      <c r="AB443" s="1" t="str">
        <f t="shared" si="412"/>
        <v/>
      </c>
      <c r="AC443" s="1">
        <f t="shared" si="409"/>
        <v>0</v>
      </c>
      <c r="AD443" s="1" t="str">
        <f t="shared" si="413"/>
        <v/>
      </c>
      <c r="AE443" s="1" t="str">
        <f t="shared" si="414"/>
        <v/>
      </c>
      <c r="AF443" s="1">
        <f t="shared" si="410"/>
        <v>0</v>
      </c>
      <c r="AG443" s="1">
        <f t="shared" si="394"/>
        <v>5</v>
      </c>
      <c r="AH443" s="1" t="str">
        <f t="shared" si="393"/>
        <v/>
      </c>
      <c r="AI443" s="1">
        <v>1</v>
      </c>
      <c r="AJ443" s="1">
        <f t="shared" si="415"/>
        <v>0</v>
      </c>
      <c r="AK443" s="1">
        <v>1</v>
      </c>
      <c r="AL443" s="1">
        <v>1</v>
      </c>
      <c r="AM443" s="1">
        <v>2</v>
      </c>
      <c r="AN443" s="1">
        <f t="shared" si="416"/>
        <v>0</v>
      </c>
      <c r="AO443" s="1">
        <v>2</v>
      </c>
      <c r="AP443" s="1">
        <v>2</v>
      </c>
      <c r="AQ443" s="1">
        <v>2</v>
      </c>
      <c r="AR443" s="1">
        <v>2</v>
      </c>
      <c r="AS443" s="1">
        <v>2</v>
      </c>
      <c r="AT443" s="1">
        <v>2</v>
      </c>
      <c r="AU443" s="1">
        <v>2</v>
      </c>
      <c r="AV443" s="1">
        <v>2</v>
      </c>
      <c r="AW443" s="1">
        <v>1</v>
      </c>
      <c r="AX443" s="1">
        <v>1</v>
      </c>
      <c r="AY443" s="1">
        <v>1</v>
      </c>
      <c r="AZ443" s="1">
        <v>1</v>
      </c>
      <c r="BA443" s="1">
        <v>1</v>
      </c>
      <c r="BB443" s="1">
        <v>1</v>
      </c>
      <c r="BC443" s="1">
        <v>1</v>
      </c>
      <c r="BD443" s="1">
        <v>1</v>
      </c>
      <c r="BE443" s="1">
        <v>2</v>
      </c>
      <c r="BF443" s="1">
        <v>1</v>
      </c>
      <c r="BG443" s="1">
        <f t="shared" si="417"/>
        <v>0</v>
      </c>
      <c r="BH443" s="1">
        <f t="shared" si="418"/>
        <v>0</v>
      </c>
      <c r="BI443" s="1">
        <v>1</v>
      </c>
      <c r="BJ443" s="1">
        <v>1</v>
      </c>
      <c r="BK443" s="1">
        <v>1</v>
      </c>
      <c r="BL443" s="1">
        <v>1</v>
      </c>
      <c r="BM443" s="1">
        <v>1</v>
      </c>
      <c r="BN443" s="1">
        <v>1</v>
      </c>
      <c r="BO443" s="1">
        <v>1</v>
      </c>
      <c r="BP443" s="1">
        <v>1</v>
      </c>
      <c r="BQ443" s="1">
        <f t="shared" si="428"/>
        <v>0</v>
      </c>
      <c r="BR443" s="1">
        <v>1</v>
      </c>
      <c r="BS443" s="1">
        <v>1</v>
      </c>
      <c r="BT443" s="1">
        <f t="shared" si="429"/>
        <v>0</v>
      </c>
      <c r="BU443" s="1">
        <f t="shared" si="430"/>
        <v>0</v>
      </c>
      <c r="BV443" s="1">
        <v>2</v>
      </c>
      <c r="BW443" s="1">
        <v>1</v>
      </c>
      <c r="BX443" s="1">
        <v>1</v>
      </c>
      <c r="BY443" s="1">
        <v>1</v>
      </c>
      <c r="BZ443" s="1">
        <v>1</v>
      </c>
      <c r="CA443" s="1">
        <v>1</v>
      </c>
      <c r="CB443" s="1">
        <v>1</v>
      </c>
      <c r="CC443" s="1">
        <v>1</v>
      </c>
      <c r="CD443" s="1">
        <v>1</v>
      </c>
      <c r="CE443" s="1">
        <v>1</v>
      </c>
      <c r="CF443" s="1">
        <v>1</v>
      </c>
      <c r="CG443" s="1">
        <f t="shared" si="419"/>
        <v>0</v>
      </c>
      <c r="CH443" s="1">
        <v>1</v>
      </c>
      <c r="CI443" s="1">
        <v>1</v>
      </c>
      <c r="CJ443" s="1">
        <v>1</v>
      </c>
      <c r="CK443" s="1">
        <v>1</v>
      </c>
      <c r="CL443" s="1">
        <v>1</v>
      </c>
      <c r="CM443" s="1">
        <v>1</v>
      </c>
      <c r="CN443" s="1">
        <v>1</v>
      </c>
      <c r="CO443" s="1">
        <v>1</v>
      </c>
      <c r="CP443" s="1">
        <v>2</v>
      </c>
      <c r="CQ443" s="1">
        <v>2</v>
      </c>
      <c r="CR443" s="1">
        <v>2</v>
      </c>
      <c r="CS443" s="1">
        <v>2</v>
      </c>
      <c r="CT443" s="1">
        <v>2</v>
      </c>
      <c r="CU443" s="1">
        <v>2</v>
      </c>
      <c r="CV443" s="1">
        <f t="shared" si="420"/>
        <v>0</v>
      </c>
      <c r="CW443" s="1">
        <v>2</v>
      </c>
      <c r="CX443" s="1">
        <v>1</v>
      </c>
      <c r="CY443" s="1">
        <v>1</v>
      </c>
      <c r="CZ443" s="1">
        <f t="shared" si="421"/>
        <v>0</v>
      </c>
      <c r="DA443" s="1">
        <v>1</v>
      </c>
      <c r="DB443" s="1">
        <v>1</v>
      </c>
      <c r="DC443" s="1">
        <v>2</v>
      </c>
      <c r="DD443" s="1">
        <v>1</v>
      </c>
      <c r="DE443" s="1">
        <v>1</v>
      </c>
      <c r="DF443" s="1">
        <v>1</v>
      </c>
      <c r="DG443" s="1">
        <v>1</v>
      </c>
      <c r="DH443" s="1">
        <v>1</v>
      </c>
      <c r="DI443" s="1">
        <f t="shared" si="422"/>
        <v>0</v>
      </c>
      <c r="DJ443" s="1">
        <v>1</v>
      </c>
      <c r="DK443" s="1" t="s">
        <v>1103</v>
      </c>
      <c r="DL443" s="1" t="s">
        <v>170</v>
      </c>
      <c r="DU443" s="1" t="b">
        <f>Deity="Ilmater (FRCS)"</f>
        <v>0</v>
      </c>
      <c r="DV443" s="1" t="b">
        <f>FtNimbusOfLight</f>
        <v>0</v>
      </c>
      <c r="DW443" s="1" t="b">
        <f>FtEndurance</f>
        <v>0</v>
      </c>
      <c r="DX443" s="1" t="b">
        <f>MAX(SkRanks)&gt;=9</f>
        <v>0</v>
      </c>
      <c r="DY443" s="1" t="b">
        <f>SkKnowledgeReligionRanks&gt;=4</f>
        <v>0</v>
      </c>
      <c r="DZ443" s="1" t="b">
        <f>Alignment="LG"</f>
        <v>1</v>
      </c>
      <c r="EA443" s="1" t="b">
        <f t="shared" si="425"/>
        <v>0</v>
      </c>
      <c r="EB443" s="11" t="s">
        <v>338</v>
      </c>
      <c r="EC443" s="1" t="str">
        <f>IF(DZ443,"","• Lawful Good alignment.
")&amp;IF(DY443,"","• 4 ranks in Knowledge (religion).
")&amp;IF(DX443,"","• 9 ranks in any skill.
")&amp;IF(DW443,"","• Endurance feat.
")&amp;IF(DV443,"","• Nimbus of Light feat.
")&amp;IF(DU443,"","• Ilmater as patron deity.
")&amp;"• Must have died in heroic sacrifice and been returned to life (not checked)."</f>
        <v>• 4 ranks in Knowledge (religion).
• 9 ranks in any skill.
• Endurance feat.
• Nimbus of Light feat.
• Ilmater as patron deity.
• Must have died in heroic sacrifice and been returned to life (not checked).</v>
      </c>
      <c r="ED443" s="11" t="s">
        <v>335</v>
      </c>
    </row>
    <row r="444" spans="1:134" ht="11.25" customHeight="1" x14ac:dyDescent="0.2">
      <c r="A444" s="1">
        <f t="shared" si="381"/>
        <v>441</v>
      </c>
      <c r="B444" s="1" t="s">
        <v>1131</v>
      </c>
      <c r="C444" s="1" t="s">
        <v>1132</v>
      </c>
      <c r="D444" s="1" t="s">
        <v>1132</v>
      </c>
      <c r="E444" s="1">
        <f t="shared" si="408"/>
        <v>0</v>
      </c>
      <c r="K444" s="1">
        <v>4</v>
      </c>
      <c r="L444" s="1">
        <v>8</v>
      </c>
      <c r="V444" s="1">
        <v>0.75</v>
      </c>
      <c r="W444" s="1">
        <v>0.34</v>
      </c>
      <c r="X444" s="1">
        <v>0.5</v>
      </c>
      <c r="Y444" s="1">
        <v>0.5</v>
      </c>
      <c r="Z444" s="1" t="b">
        <f>FALSE</f>
        <v>0</v>
      </c>
      <c r="AA444" s="1" t="str">
        <f t="shared" si="411"/>
        <v/>
      </c>
      <c r="AB444" s="1" t="str">
        <f t="shared" si="412"/>
        <v/>
      </c>
      <c r="AC444" s="1">
        <f t="shared" si="409"/>
        <v>0</v>
      </c>
      <c r="AD444" s="1" t="str">
        <f t="shared" si="413"/>
        <v/>
      </c>
      <c r="AE444" s="1" t="str">
        <f t="shared" si="414"/>
        <v/>
      </c>
      <c r="AF444" s="1">
        <f t="shared" si="410"/>
        <v>0</v>
      </c>
      <c r="AG444" s="1">
        <f t="shared" si="394"/>
        <v>5</v>
      </c>
      <c r="AH444" s="1" t="str">
        <f t="shared" si="393"/>
        <v/>
      </c>
      <c r="AI444" s="1">
        <v>1</v>
      </c>
      <c r="AJ444" s="1">
        <f t="shared" si="415"/>
        <v>0</v>
      </c>
      <c r="AK444" s="1">
        <v>2</v>
      </c>
      <c r="AL444" s="1">
        <v>2</v>
      </c>
      <c r="AM444" s="1">
        <v>1</v>
      </c>
      <c r="AN444" s="1">
        <f t="shared" si="416"/>
        <v>0</v>
      </c>
      <c r="AO444" s="1">
        <v>2</v>
      </c>
      <c r="AP444" s="1">
        <v>2</v>
      </c>
      <c r="AQ444" s="1">
        <v>2</v>
      </c>
      <c r="AR444" s="1">
        <v>2</v>
      </c>
      <c r="AS444" s="1">
        <v>2</v>
      </c>
      <c r="AT444" s="1">
        <v>2</v>
      </c>
      <c r="AU444" s="1">
        <v>2</v>
      </c>
      <c r="AV444" s="1">
        <v>2</v>
      </c>
      <c r="AW444" s="1">
        <v>2</v>
      </c>
      <c r="AX444" s="1">
        <v>1</v>
      </c>
      <c r="AY444" s="1">
        <v>1</v>
      </c>
      <c r="AZ444" s="1">
        <v>2</v>
      </c>
      <c r="BA444" s="1">
        <v>1</v>
      </c>
      <c r="BB444" s="1">
        <v>2</v>
      </c>
      <c r="BC444" s="1">
        <v>1</v>
      </c>
      <c r="BD444" s="1">
        <v>1</v>
      </c>
      <c r="BE444" s="1">
        <v>2</v>
      </c>
      <c r="BF444" s="1">
        <v>1</v>
      </c>
      <c r="BG444" s="1">
        <f t="shared" si="417"/>
        <v>0</v>
      </c>
      <c r="BH444" s="1">
        <f t="shared" si="418"/>
        <v>0</v>
      </c>
      <c r="BI444" s="1">
        <v>2</v>
      </c>
      <c r="BJ444" s="1">
        <v>2</v>
      </c>
      <c r="BK444" s="1">
        <v>2</v>
      </c>
      <c r="BL444" s="1">
        <v>1</v>
      </c>
      <c r="BM444" s="1">
        <v>1</v>
      </c>
      <c r="BN444" s="1">
        <v>1</v>
      </c>
      <c r="BO444" s="1">
        <v>1</v>
      </c>
      <c r="BP444" s="1">
        <v>1</v>
      </c>
      <c r="BQ444" s="1">
        <f t="shared" si="428"/>
        <v>0</v>
      </c>
      <c r="BR444" s="1">
        <v>1</v>
      </c>
      <c r="BS444" s="1">
        <v>1</v>
      </c>
      <c r="BT444" s="1">
        <f t="shared" si="429"/>
        <v>0</v>
      </c>
      <c r="BU444" s="1">
        <f t="shared" si="430"/>
        <v>0</v>
      </c>
      <c r="BV444" s="1">
        <v>2</v>
      </c>
      <c r="BW444" s="1">
        <v>1</v>
      </c>
      <c r="BX444" s="1">
        <v>1</v>
      </c>
      <c r="BY444" s="1">
        <v>1</v>
      </c>
      <c r="BZ444" s="1">
        <v>1</v>
      </c>
      <c r="CA444" s="1">
        <v>1</v>
      </c>
      <c r="CB444" s="1">
        <v>1</v>
      </c>
      <c r="CC444" s="1">
        <v>1</v>
      </c>
      <c r="CD444" s="1">
        <v>1</v>
      </c>
      <c r="CE444" s="1">
        <v>1</v>
      </c>
      <c r="CF444" s="1">
        <v>1</v>
      </c>
      <c r="CG444" s="1">
        <f t="shared" si="419"/>
        <v>0</v>
      </c>
      <c r="CH444" s="1">
        <v>1</v>
      </c>
      <c r="CI444" s="1">
        <v>1</v>
      </c>
      <c r="CJ444" s="1">
        <v>1</v>
      </c>
      <c r="CK444" s="1">
        <v>1</v>
      </c>
      <c r="CL444" s="1">
        <v>1</v>
      </c>
      <c r="CM444" s="1">
        <v>1</v>
      </c>
      <c r="CN444" s="1">
        <v>1</v>
      </c>
      <c r="CO444" s="1">
        <v>1</v>
      </c>
      <c r="CP444" s="1">
        <v>2</v>
      </c>
      <c r="CQ444" s="1">
        <v>2</v>
      </c>
      <c r="CR444" s="1">
        <v>2</v>
      </c>
      <c r="CS444" s="1">
        <v>2</v>
      </c>
      <c r="CT444" s="1">
        <v>2</v>
      </c>
      <c r="CU444" s="1">
        <v>2</v>
      </c>
      <c r="CV444" s="1">
        <f t="shared" si="420"/>
        <v>0</v>
      </c>
      <c r="CW444" s="1">
        <v>1</v>
      </c>
      <c r="CX444" s="1">
        <v>1</v>
      </c>
      <c r="CY444" s="1">
        <v>1</v>
      </c>
      <c r="CZ444" s="1">
        <f t="shared" si="421"/>
        <v>0</v>
      </c>
      <c r="DA444" s="1">
        <v>1</v>
      </c>
      <c r="DB444" s="1">
        <v>2</v>
      </c>
      <c r="DC444" s="1">
        <v>1</v>
      </c>
      <c r="DD444" s="1">
        <v>1</v>
      </c>
      <c r="DE444" s="1">
        <v>1</v>
      </c>
      <c r="DF444" s="1">
        <v>1</v>
      </c>
      <c r="DG444" s="1">
        <v>2</v>
      </c>
      <c r="DH444" s="1">
        <v>1</v>
      </c>
      <c r="DI444" s="1">
        <f t="shared" si="422"/>
        <v>0</v>
      </c>
      <c r="DJ444" s="1">
        <v>1</v>
      </c>
      <c r="DK444" s="1" t="s">
        <v>1103</v>
      </c>
      <c r="DL444" s="1" t="s">
        <v>170</v>
      </c>
      <c r="DR444" s="1" t="b">
        <f>AlignmentNonGood</f>
        <v>0</v>
      </c>
      <c r="DS444" s="1" t="b">
        <f>IF(NOT(ISNA(MATCH("alchemy",TblCraftSkills,0))),INDEX(TblCraftRanks,MATCH("alchemy",TblCraftSkills,0),1)&gt;=5,FALSE)</f>
        <v>0</v>
      </c>
      <c r="DT444" s="1" t="b">
        <f>IF(NOT(ISNA(MATCH("poisonmaking",TblCraftSkills,0))),INDEX(TblCraftRanks,MATCH("poisonmaking",TblCraftSkills,0),1)&gt;=7,FALSE)</f>
        <v>0</v>
      </c>
      <c r="DU444" s="1" t="b">
        <f>SkHealRanks&gt;=3</f>
        <v>0</v>
      </c>
      <c r="DV444" s="1" t="b">
        <f>SkKnowledgeArcanaRanks&gt;=8</f>
        <v>0</v>
      </c>
      <c r="DW444" s="1" t="b">
        <f>BaseWill&gt;=5</f>
        <v>0</v>
      </c>
      <c r="EA444" s="1" t="b">
        <f t="shared" si="425"/>
        <v>0</v>
      </c>
      <c r="EB444" s="11" t="s">
        <v>338</v>
      </c>
      <c r="EC444" s="1" t="str">
        <f>IF(DR444,"","• You must be of any non-Good alignment.
")&amp;IF(DS444,"","• 5 ranks in Craft(alchemy).
")&amp;IF(DT444,"","• 7 ranks in Craft(poisonmaking).
")&amp;IF(DU444,"","• 3 ranks in Heal.
")&amp;IF(DV444,"","• 8 ranks in Knowledge(arcana).
")&amp;IF(DW444,"","• A base Will save of +5 or higher.
")&amp;"• Must be inducted into the monks of the long death(not verified)."</f>
        <v>• You must be of any non-Good alignment.
• 5 ranks in Craft(alchemy).
• 7 ranks in Craft(poisonmaking).
• 3 ranks in Heal.
• 8 ranks in Knowledge(arcana).
• A base Will save of +5 or higher.
• Must be inducted into the monks of the long death(not verified).</v>
      </c>
      <c r="ED444" s="11" t="s">
        <v>335</v>
      </c>
    </row>
    <row r="445" spans="1:134" ht="11.25" customHeight="1" x14ac:dyDescent="0.2">
      <c r="A445" s="1">
        <f t="shared" si="381"/>
        <v>442</v>
      </c>
      <c r="B445" s="1" t="s">
        <v>1133</v>
      </c>
      <c r="C445" s="1" t="s">
        <v>1134</v>
      </c>
      <c r="D445" s="1" t="s">
        <v>1134</v>
      </c>
      <c r="E445" s="1">
        <f t="shared" si="408"/>
        <v>0</v>
      </c>
      <c r="G445" s="1">
        <f>MoLLvl</f>
        <v>0</v>
      </c>
      <c r="K445" s="1">
        <v>2</v>
      </c>
      <c r="L445" s="1">
        <v>8</v>
      </c>
      <c r="M445" s="1">
        <f>MoLLvl</f>
        <v>0</v>
      </c>
      <c r="V445" s="1">
        <v>0.75</v>
      </c>
      <c r="W445" s="1">
        <v>0.5</v>
      </c>
      <c r="X445" s="1">
        <v>0.34</v>
      </c>
      <c r="Y445" s="1">
        <v>0.5</v>
      </c>
      <c r="Z445" s="1" t="b">
        <f>FALSE</f>
        <v>0</v>
      </c>
      <c r="AA445" s="1" t="str">
        <f t="shared" si="411"/>
        <v/>
      </c>
      <c r="AB445" s="1" t="str">
        <f t="shared" si="412"/>
        <v/>
      </c>
      <c r="AC445" s="1">
        <f t="shared" si="409"/>
        <v>0</v>
      </c>
      <c r="AD445" s="1" t="str">
        <f t="shared" si="413"/>
        <v/>
      </c>
      <c r="AE445" s="1" t="str">
        <f t="shared" si="414"/>
        <v/>
      </c>
      <c r="AF445" s="1">
        <f t="shared" si="410"/>
        <v>0</v>
      </c>
      <c r="AG445" s="1">
        <f t="shared" si="394"/>
        <v>5</v>
      </c>
      <c r="AH445" s="1" t="str">
        <f t="shared" si="393"/>
        <v/>
      </c>
      <c r="AI445" s="1">
        <v>1</v>
      </c>
      <c r="AJ445" s="1">
        <f t="shared" si="415"/>
        <v>0</v>
      </c>
      <c r="AK445" s="1">
        <v>1</v>
      </c>
      <c r="AL445" s="1">
        <v>1</v>
      </c>
      <c r="AM445" s="1">
        <v>1</v>
      </c>
      <c r="AN445" s="1">
        <f t="shared" si="416"/>
        <v>0</v>
      </c>
      <c r="AO445" s="1">
        <v>2</v>
      </c>
      <c r="AP445" s="1">
        <v>2</v>
      </c>
      <c r="AQ445" s="1">
        <v>2</v>
      </c>
      <c r="AR445" s="1">
        <v>2</v>
      </c>
      <c r="AS445" s="1">
        <v>2</v>
      </c>
      <c r="AT445" s="1">
        <v>2</v>
      </c>
      <c r="AU445" s="1">
        <v>2</v>
      </c>
      <c r="AV445" s="1">
        <v>2</v>
      </c>
      <c r="AW445" s="1">
        <v>1</v>
      </c>
      <c r="AX445" s="1">
        <v>2</v>
      </c>
      <c r="AY445" s="1">
        <v>1</v>
      </c>
      <c r="AZ445" s="1">
        <v>1</v>
      </c>
      <c r="BA445" s="1">
        <v>1</v>
      </c>
      <c r="BB445" s="1">
        <v>1</v>
      </c>
      <c r="BC445" s="1">
        <v>1</v>
      </c>
      <c r="BD445" s="1">
        <v>1</v>
      </c>
      <c r="BE445" s="1">
        <v>2</v>
      </c>
      <c r="BF445" s="1">
        <v>1</v>
      </c>
      <c r="BG445" s="1">
        <f t="shared" si="417"/>
        <v>0</v>
      </c>
      <c r="BH445" s="1">
        <f t="shared" si="418"/>
        <v>0</v>
      </c>
      <c r="BI445" s="1">
        <v>1</v>
      </c>
      <c r="BJ445" s="1">
        <v>1</v>
      </c>
      <c r="BK445" s="1">
        <v>2</v>
      </c>
      <c r="BL445" s="1">
        <v>1</v>
      </c>
      <c r="BM445" s="1">
        <v>1</v>
      </c>
      <c r="BN445" s="1">
        <v>1</v>
      </c>
      <c r="BO445" s="1">
        <v>2</v>
      </c>
      <c r="BP445" s="1">
        <v>1</v>
      </c>
      <c r="BQ445" s="1">
        <f t="shared" si="428"/>
        <v>0</v>
      </c>
      <c r="BR445" s="1">
        <v>1</v>
      </c>
      <c r="BS445" s="1">
        <v>1</v>
      </c>
      <c r="BT445" s="1">
        <f t="shared" si="429"/>
        <v>0</v>
      </c>
      <c r="BU445" s="1">
        <f t="shared" si="430"/>
        <v>0</v>
      </c>
      <c r="BV445" s="1">
        <v>2</v>
      </c>
      <c r="BW445" s="1">
        <v>2</v>
      </c>
      <c r="BX445" s="1">
        <v>1</v>
      </c>
      <c r="BY445" s="1">
        <v>1</v>
      </c>
      <c r="BZ445" s="1">
        <v>1</v>
      </c>
      <c r="CA445" s="1">
        <v>1</v>
      </c>
      <c r="CB445" s="1">
        <v>1</v>
      </c>
      <c r="CC445" s="1">
        <v>1</v>
      </c>
      <c r="CD445" s="1">
        <v>1</v>
      </c>
      <c r="CE445" s="1">
        <v>1</v>
      </c>
      <c r="CF445" s="1">
        <v>1</v>
      </c>
      <c r="CG445" s="1">
        <f t="shared" si="419"/>
        <v>0</v>
      </c>
      <c r="CH445" s="1">
        <v>1</v>
      </c>
      <c r="CI445" s="1">
        <v>1</v>
      </c>
      <c r="CJ445" s="1">
        <v>2</v>
      </c>
      <c r="CK445" s="1">
        <v>2</v>
      </c>
      <c r="CL445" s="1">
        <v>2</v>
      </c>
      <c r="CM445" s="1">
        <v>2</v>
      </c>
      <c r="CN445" s="1">
        <v>2</v>
      </c>
      <c r="CO445" s="1">
        <v>2</v>
      </c>
      <c r="CP445" s="1">
        <v>2</v>
      </c>
      <c r="CQ445" s="1">
        <v>2</v>
      </c>
      <c r="CR445" s="1">
        <v>2</v>
      </c>
      <c r="CS445" s="1">
        <v>2</v>
      </c>
      <c r="CT445" s="1">
        <v>2</v>
      </c>
      <c r="CU445" s="1">
        <v>2</v>
      </c>
      <c r="CV445" s="1">
        <f t="shared" si="420"/>
        <v>0</v>
      </c>
      <c r="CW445" s="1">
        <v>1</v>
      </c>
      <c r="CX445" s="1">
        <v>1</v>
      </c>
      <c r="CY445" s="1">
        <v>1</v>
      </c>
      <c r="CZ445" s="1">
        <f t="shared" si="421"/>
        <v>0</v>
      </c>
      <c r="DA445" s="1">
        <v>1</v>
      </c>
      <c r="DB445" s="1">
        <v>1</v>
      </c>
      <c r="DC445" s="1">
        <v>2</v>
      </c>
      <c r="DD445" s="1">
        <v>1</v>
      </c>
      <c r="DE445" s="1">
        <v>1</v>
      </c>
      <c r="DF445" s="1">
        <v>1</v>
      </c>
      <c r="DG445" s="1">
        <v>1</v>
      </c>
      <c r="DH445" s="1">
        <v>1</v>
      </c>
      <c r="DI445" s="1">
        <f t="shared" si="422"/>
        <v>0</v>
      </c>
      <c r="DJ445" s="1">
        <v>1</v>
      </c>
      <c r="DK445" s="1" t="s">
        <v>1103</v>
      </c>
      <c r="DL445" s="1" t="s">
        <v>170</v>
      </c>
      <c r="DR445" s="1" t="b">
        <f>AlignmentGood</f>
        <v>1</v>
      </c>
      <c r="DS445" s="1" t="b">
        <f>SkCraftRanks&gt;=4</f>
        <v>0</v>
      </c>
      <c r="DT445" s="1" t="b">
        <f>SkDiplomacyRanks&gt;=7</f>
        <v>0</v>
      </c>
      <c r="DU445" s="1" t="b">
        <f>SkKnowledgeReligionRanks&gt;=8</f>
        <v>0</v>
      </c>
      <c r="DV445" s="1" t="b">
        <f>SkPerformRanks&gt;=2</f>
        <v>0</v>
      </c>
      <c r="DW445" s="1" t="b">
        <f>FtImprovedTurning</f>
        <v>0</v>
      </c>
      <c r="DY445" s="1" t="b">
        <f>Deity="Lathander"</f>
        <v>0</v>
      </c>
      <c r="EA445" s="1" t="b">
        <f t="shared" si="425"/>
        <v>0</v>
      </c>
      <c r="EB445" s="11" t="s">
        <v>338</v>
      </c>
      <c r="EC445" s="1" t="str">
        <f>IF(DR445,"","• Any Good alignment.
")&amp;IF(DS445,"","• 4 ranks in Craft.
")&amp;IF(DT445,"","• 7 ranks in Diplomacy.
")&amp;IF(DU445,"","• 8 ranks in Knowledge(religion).
")&amp;IF(DV445,"","• 2 ranks in Perform.
")&amp;IF(DW445,"","• Improved Turning feat.
")&amp;"• Ability to cast 3rd-level divine spells, including daylight(not verified).
"&amp;IF(DY445,"","• Lathander patron deity.")</f>
        <v>• 4 ranks in Craft.
• 7 ranks in Diplomacy.
• 8 ranks in Knowledge(religion).
• 2 ranks in Perform.
• Improved Turning feat.
• Ability to cast 3rd-level divine spells, including daylight(not verified).
• Lathander patron deity.</v>
      </c>
      <c r="ED445" s="11" t="s">
        <v>335</v>
      </c>
    </row>
    <row r="446" spans="1:134" ht="11.25" customHeight="1" x14ac:dyDescent="0.2">
      <c r="A446" s="1">
        <f t="shared" si="381"/>
        <v>443</v>
      </c>
      <c r="B446" s="1" t="s">
        <v>1135</v>
      </c>
      <c r="C446" s="1" t="s">
        <v>1136</v>
      </c>
      <c r="D446" s="1" t="s">
        <v>1136</v>
      </c>
      <c r="E446" s="1">
        <f t="shared" si="408"/>
        <v>0</v>
      </c>
      <c r="G446" s="1">
        <f>RncLvl</f>
        <v>0</v>
      </c>
      <c r="K446" s="1">
        <v>2</v>
      </c>
      <c r="L446" s="1">
        <v>8</v>
      </c>
      <c r="V446" s="1">
        <v>0.75</v>
      </c>
      <c r="W446" s="1">
        <v>0.5</v>
      </c>
      <c r="X446" s="1">
        <v>0.34</v>
      </c>
      <c r="Y446" s="1">
        <v>0.5</v>
      </c>
      <c r="Z446" s="1" t="b">
        <f>FALSE</f>
        <v>0</v>
      </c>
      <c r="AA446" s="1" t="str">
        <f t="shared" si="411"/>
        <v/>
      </c>
      <c r="AB446" s="1" t="str">
        <f t="shared" si="412"/>
        <v/>
      </c>
      <c r="AC446" s="1">
        <f t="shared" si="409"/>
        <v>0</v>
      </c>
      <c r="AD446" s="1" t="str">
        <f t="shared" si="413"/>
        <v/>
      </c>
      <c r="AE446" s="1" t="str">
        <f t="shared" si="414"/>
        <v/>
      </c>
      <c r="AF446" s="1">
        <f t="shared" si="410"/>
        <v>0</v>
      </c>
      <c r="AG446" s="1">
        <f t="shared" si="394"/>
        <v>5</v>
      </c>
      <c r="AH446" s="1" t="str">
        <f t="shared" si="393"/>
        <v/>
      </c>
      <c r="AI446" s="1">
        <v>1</v>
      </c>
      <c r="AJ446" s="1">
        <f t="shared" si="415"/>
        <v>0</v>
      </c>
      <c r="AK446" s="1">
        <v>1</v>
      </c>
      <c r="AL446" s="1">
        <v>1</v>
      </c>
      <c r="AM446" s="1">
        <v>1</v>
      </c>
      <c r="AN446" s="1">
        <f t="shared" si="416"/>
        <v>0</v>
      </c>
      <c r="AO446" s="1">
        <v>2</v>
      </c>
      <c r="AP446" s="1">
        <v>2</v>
      </c>
      <c r="AQ446" s="1">
        <v>2</v>
      </c>
      <c r="AR446" s="1">
        <v>2</v>
      </c>
      <c r="AS446" s="1">
        <v>2</v>
      </c>
      <c r="AT446" s="1">
        <v>2</v>
      </c>
      <c r="AU446" s="1">
        <v>2</v>
      </c>
      <c r="AV446" s="1">
        <v>2</v>
      </c>
      <c r="AW446" s="1">
        <v>1</v>
      </c>
      <c r="AX446" s="1">
        <v>2</v>
      </c>
      <c r="AY446" s="1">
        <v>1</v>
      </c>
      <c r="AZ446" s="1">
        <v>1</v>
      </c>
      <c r="BA446" s="1">
        <v>1</v>
      </c>
      <c r="BB446" s="1">
        <v>1</v>
      </c>
      <c r="BC446" s="1">
        <v>1</v>
      </c>
      <c r="BD446" s="1">
        <v>1</v>
      </c>
      <c r="BE446" s="1">
        <v>2</v>
      </c>
      <c r="BF446" s="1">
        <v>1</v>
      </c>
      <c r="BG446" s="1">
        <f t="shared" si="417"/>
        <v>0</v>
      </c>
      <c r="BH446" s="1">
        <f t="shared" si="418"/>
        <v>0</v>
      </c>
      <c r="BI446" s="1">
        <v>1</v>
      </c>
      <c r="BJ446" s="1">
        <v>1</v>
      </c>
      <c r="BK446" s="1">
        <v>2</v>
      </c>
      <c r="BL446" s="1">
        <v>1</v>
      </c>
      <c r="BM446" s="1">
        <v>1</v>
      </c>
      <c r="BN446" s="1">
        <v>1</v>
      </c>
      <c r="BO446" s="1">
        <v>1</v>
      </c>
      <c r="BP446" s="1">
        <v>1</v>
      </c>
      <c r="BQ446" s="1">
        <f t="shared" si="428"/>
        <v>0</v>
      </c>
      <c r="BR446" s="1">
        <v>1</v>
      </c>
      <c r="BS446" s="1">
        <v>1</v>
      </c>
      <c r="BT446" s="1">
        <f t="shared" si="429"/>
        <v>0</v>
      </c>
      <c r="BU446" s="1">
        <f t="shared" si="430"/>
        <v>0</v>
      </c>
      <c r="BV446" s="1">
        <v>2</v>
      </c>
      <c r="BW446" s="1">
        <v>1</v>
      </c>
      <c r="BX446" s="1">
        <v>1</v>
      </c>
      <c r="BY446" s="1">
        <v>1</v>
      </c>
      <c r="BZ446" s="1">
        <v>1</v>
      </c>
      <c r="CA446" s="1">
        <v>1</v>
      </c>
      <c r="CB446" s="1">
        <v>1</v>
      </c>
      <c r="CC446" s="1">
        <v>1</v>
      </c>
      <c r="CD446" s="1">
        <v>1</v>
      </c>
      <c r="CE446" s="1">
        <v>1</v>
      </c>
      <c r="CF446" s="1">
        <v>1</v>
      </c>
      <c r="CG446" s="1">
        <f t="shared" si="419"/>
        <v>0</v>
      </c>
      <c r="CH446" s="1">
        <v>1</v>
      </c>
      <c r="CI446" s="1">
        <v>1</v>
      </c>
      <c r="CJ446" s="1">
        <v>1</v>
      </c>
      <c r="CK446" s="1">
        <v>1</v>
      </c>
      <c r="CL446" s="1">
        <v>1</v>
      </c>
      <c r="CM446" s="1">
        <v>1</v>
      </c>
      <c r="CN446" s="1">
        <v>1</v>
      </c>
      <c r="CO446" s="1">
        <v>1</v>
      </c>
      <c r="CP446" s="1">
        <v>2</v>
      </c>
      <c r="CQ446" s="1">
        <v>2</v>
      </c>
      <c r="CR446" s="1">
        <v>2</v>
      </c>
      <c r="CS446" s="1">
        <v>2</v>
      </c>
      <c r="CT446" s="1">
        <v>2</v>
      </c>
      <c r="CU446" s="1">
        <v>2</v>
      </c>
      <c r="CV446" s="1">
        <f t="shared" si="420"/>
        <v>0</v>
      </c>
      <c r="CW446" s="1">
        <v>1</v>
      </c>
      <c r="CX446" s="1">
        <v>1</v>
      </c>
      <c r="CY446" s="1">
        <v>1</v>
      </c>
      <c r="CZ446" s="1">
        <f t="shared" si="421"/>
        <v>0</v>
      </c>
      <c r="DA446" s="1">
        <v>1</v>
      </c>
      <c r="DB446" s="1">
        <v>1</v>
      </c>
      <c r="DC446" s="1">
        <v>2</v>
      </c>
      <c r="DD446" s="1">
        <v>1</v>
      </c>
      <c r="DE446" s="1">
        <v>1</v>
      </c>
      <c r="DF446" s="1">
        <v>1</v>
      </c>
      <c r="DG446" s="1">
        <v>1</v>
      </c>
      <c r="DH446" s="1">
        <v>1</v>
      </c>
      <c r="DI446" s="1">
        <f t="shared" si="422"/>
        <v>0</v>
      </c>
      <c r="DJ446" s="1">
        <v>1</v>
      </c>
      <c r="DK446" s="1" t="s">
        <v>1103</v>
      </c>
      <c r="DL446" s="1" t="s">
        <v>170</v>
      </c>
      <c r="DR446" s="1" t="b">
        <f ca="1">MaxDivineSpellLevel&gt;=3</f>
        <v>0</v>
      </c>
      <c r="DS446" s="1" t="b">
        <f>SkSpellcraftRanks&gt;=8</f>
        <v>0</v>
      </c>
      <c r="DT446" s="1" t="b">
        <f>SkCraftRanks&gt;=8</f>
        <v>0</v>
      </c>
      <c r="DU446" s="1" t="b">
        <f>FtInscribeRune</f>
        <v>0</v>
      </c>
      <c r="EA446" s="1" t="b">
        <f ca="1">AND(DM446:DZ446)</f>
        <v>0</v>
      </c>
      <c r="EB446" s="11" t="s">
        <v>334</v>
      </c>
      <c r="EC446" s="1" t="str">
        <f ca="1">IF(DR446,"","• Able to cast 3rd-level divine spells.
")&amp;IF(DS446,"","• 8 ranks in Spellcraft.
")&amp;IF(DT446,"","• 8 ranks in Craft(calligraphy, gemcutting, metalworking, stonecarving, or woodcarving).
")&amp;IF(DU446,"","• Inscribe Rune feat.")</f>
        <v>• Able to cast 3rd-level divine spells.
• 8 ranks in Spellcraft.
• 8 ranks in Craft(calligraphy, gemcutting, metalworking, stonecarving, or woodcarving).
• Inscribe Rune feat.</v>
      </c>
      <c r="ED446" s="11" t="s">
        <v>335</v>
      </c>
    </row>
    <row r="447" spans="1:134" ht="11.25" customHeight="1" x14ac:dyDescent="0.2">
      <c r="A447" s="1">
        <f t="shared" si="381"/>
        <v>444</v>
      </c>
      <c r="B447" s="1" t="s">
        <v>1137</v>
      </c>
      <c r="C447" s="1" t="s">
        <v>1138</v>
      </c>
      <c r="D447" s="1" t="s">
        <v>1138</v>
      </c>
      <c r="E447" s="1">
        <f t="shared" si="408"/>
        <v>0</v>
      </c>
      <c r="K447" s="1">
        <v>4</v>
      </c>
      <c r="L447" s="1">
        <v>10</v>
      </c>
      <c r="V447" s="1">
        <v>1</v>
      </c>
      <c r="W447" s="1">
        <v>0.5</v>
      </c>
      <c r="X447" s="1">
        <v>0.5</v>
      </c>
      <c r="Y447" s="1">
        <v>0.34</v>
      </c>
      <c r="Z447" s="1" t="b">
        <f>FALSE</f>
        <v>0</v>
      </c>
      <c r="AA447" s="1" t="str">
        <f t="shared" si="411"/>
        <v/>
      </c>
      <c r="AB447" s="1" t="str">
        <f t="shared" si="412"/>
        <v/>
      </c>
      <c r="AC447" s="1">
        <f t="shared" si="409"/>
        <v>0</v>
      </c>
      <c r="AD447" s="1" t="str">
        <f t="shared" si="413"/>
        <v/>
      </c>
      <c r="AE447" s="1" t="str">
        <f t="shared" si="414"/>
        <v/>
      </c>
      <c r="AF447" s="1">
        <f t="shared" si="410"/>
        <v>0</v>
      </c>
      <c r="AG447" s="1">
        <f t="shared" si="394"/>
        <v>5</v>
      </c>
      <c r="AH447" s="1" t="str">
        <f t="shared" si="393"/>
        <v/>
      </c>
      <c r="AI447" s="1">
        <v>1</v>
      </c>
      <c r="AJ447" s="1">
        <f t="shared" si="415"/>
        <v>0</v>
      </c>
      <c r="AK447" s="1">
        <v>1</v>
      </c>
      <c r="AL447" s="1">
        <v>1</v>
      </c>
      <c r="AM447" s="1">
        <v>2</v>
      </c>
      <c r="AN447" s="1">
        <f t="shared" si="416"/>
        <v>0</v>
      </c>
      <c r="AO447" s="1">
        <v>1</v>
      </c>
      <c r="AP447" s="1">
        <v>2</v>
      </c>
      <c r="AQ447" s="1">
        <v>2</v>
      </c>
      <c r="AR447" s="1">
        <v>2</v>
      </c>
      <c r="AS447" s="1">
        <v>2</v>
      </c>
      <c r="AT447" s="1">
        <v>2</v>
      </c>
      <c r="AU447" s="1">
        <v>2</v>
      </c>
      <c r="AV447" s="1">
        <v>2</v>
      </c>
      <c r="AW447" s="1">
        <v>1</v>
      </c>
      <c r="AX447" s="1">
        <v>1</v>
      </c>
      <c r="AY447" s="1">
        <v>1</v>
      </c>
      <c r="AZ447" s="1">
        <v>1</v>
      </c>
      <c r="BA447" s="1">
        <v>1</v>
      </c>
      <c r="BB447" s="1">
        <v>1</v>
      </c>
      <c r="BC447" s="1">
        <v>1</v>
      </c>
      <c r="BD447" s="1">
        <v>2</v>
      </c>
      <c r="BE447" s="1">
        <v>2</v>
      </c>
      <c r="BF447" s="1">
        <v>2</v>
      </c>
      <c r="BG447" s="1">
        <f t="shared" si="417"/>
        <v>0</v>
      </c>
      <c r="BH447" s="1">
        <f t="shared" si="418"/>
        <v>0</v>
      </c>
      <c r="BI447" s="1">
        <v>1</v>
      </c>
      <c r="BJ447" s="1">
        <v>2</v>
      </c>
      <c r="BK447" s="1">
        <v>1</v>
      </c>
      <c r="BL447" s="1">
        <v>1</v>
      </c>
      <c r="BM447" s="1">
        <v>1</v>
      </c>
      <c r="BN447" s="1">
        <v>1</v>
      </c>
      <c r="BO447" s="1">
        <v>1</v>
      </c>
      <c r="BP447" s="1">
        <v>1</v>
      </c>
      <c r="BQ447" s="1">
        <f>IF(HRRVL,2,0)</f>
        <v>0</v>
      </c>
      <c r="BR447" s="1">
        <v>2</v>
      </c>
      <c r="BS447" s="1">
        <v>1</v>
      </c>
      <c r="BT447" s="1">
        <f t="shared" si="429"/>
        <v>0</v>
      </c>
      <c r="BU447" s="1">
        <f t="shared" si="430"/>
        <v>0</v>
      </c>
      <c r="BV447" s="1">
        <v>1</v>
      </c>
      <c r="BW447" s="1">
        <v>1</v>
      </c>
      <c r="BX447" s="1">
        <v>1</v>
      </c>
      <c r="BY447" s="1">
        <f t="shared" ref="BY447:CE447" si="431">IF(BY$2="Shaar",2,1)</f>
        <v>1</v>
      </c>
      <c r="BZ447" s="1">
        <f t="shared" si="431"/>
        <v>1</v>
      </c>
      <c r="CA447" s="1">
        <f t="shared" si="431"/>
        <v>1</v>
      </c>
      <c r="CB447" s="1">
        <f t="shared" si="431"/>
        <v>1</v>
      </c>
      <c r="CC447" s="1">
        <f t="shared" si="431"/>
        <v>1</v>
      </c>
      <c r="CD447" s="1">
        <f t="shared" si="431"/>
        <v>1</v>
      </c>
      <c r="CE447" s="1">
        <f t="shared" si="431"/>
        <v>1</v>
      </c>
      <c r="CF447" s="1">
        <v>2</v>
      </c>
      <c r="CG447" s="1">
        <f t="shared" si="419"/>
        <v>0</v>
      </c>
      <c r="CH447" s="1">
        <v>2</v>
      </c>
      <c r="CI447" s="1">
        <v>1</v>
      </c>
      <c r="CJ447" s="1">
        <v>1</v>
      </c>
      <c r="CK447" s="1">
        <v>1</v>
      </c>
      <c r="CL447" s="1">
        <v>1</v>
      </c>
      <c r="CM447" s="1">
        <v>1</v>
      </c>
      <c r="CN447" s="1">
        <v>1</v>
      </c>
      <c r="CO447" s="1">
        <v>1</v>
      </c>
      <c r="CP447" s="1">
        <v>2</v>
      </c>
      <c r="CQ447" s="1">
        <v>2</v>
      </c>
      <c r="CR447" s="1">
        <v>2</v>
      </c>
      <c r="CS447" s="1">
        <v>2</v>
      </c>
      <c r="CT447" s="1">
        <v>2</v>
      </c>
      <c r="CU447" s="1">
        <v>2</v>
      </c>
      <c r="CV447" s="1">
        <f t="shared" si="420"/>
        <v>0</v>
      </c>
      <c r="CW447" s="1">
        <v>2</v>
      </c>
      <c r="CX447" s="1">
        <v>2</v>
      </c>
      <c r="CY447" s="1">
        <v>1</v>
      </c>
      <c r="CZ447" s="1">
        <f t="shared" si="421"/>
        <v>0</v>
      </c>
      <c r="DA447" s="1">
        <v>1</v>
      </c>
      <c r="DB447" s="1">
        <v>1</v>
      </c>
      <c r="DC447" s="1">
        <v>1</v>
      </c>
      <c r="DD447" s="1">
        <v>2</v>
      </c>
      <c r="DE447" s="1">
        <v>2</v>
      </c>
      <c r="DF447" s="1">
        <v>2</v>
      </c>
      <c r="DG447" s="1">
        <v>1</v>
      </c>
      <c r="DH447" s="1">
        <v>1</v>
      </c>
      <c r="DI447" s="1">
        <f t="shared" si="422"/>
        <v>0</v>
      </c>
      <c r="DJ447" s="1">
        <v>2</v>
      </c>
      <c r="DK447" s="1" t="s">
        <v>1103</v>
      </c>
      <c r="DL447" s="1" t="s">
        <v>170</v>
      </c>
      <c r="DR447" s="1" t="b">
        <f>Region="Shaar"</f>
        <v>0</v>
      </c>
      <c r="DS447" s="1" t="b">
        <f>BaseAtk&gt;=5</f>
        <v>0</v>
      </c>
      <c r="DT447" s="1" t="b">
        <f>SkHandleAnimalRanks&gt;=4</f>
        <v>0</v>
      </c>
      <c r="DU447" s="1" t="b">
        <f>SkRideRanks&gt;=6</f>
        <v>0</v>
      </c>
      <c r="DV447" s="1" t="b">
        <f>SkSurvivalRanks&gt;=8</f>
        <v>0</v>
      </c>
      <c r="DW447" s="1" t="b">
        <f>FtAnimalAffinity</f>
        <v>0</v>
      </c>
      <c r="DX447" s="1" t="b">
        <f>FtMountedArchery</f>
        <v>0</v>
      </c>
      <c r="DY447" s="1" t="b">
        <f>FtMountedCombat</f>
        <v>0</v>
      </c>
      <c r="DZ447" s="1" t="b">
        <f>OR(FtTrack,FreeTrack)</f>
        <v>0</v>
      </c>
      <c r="EA447" s="1" t="b">
        <f t="shared" si="425"/>
        <v>0</v>
      </c>
      <c r="EB447" s="11" t="s">
        <v>334</v>
      </c>
      <c r="EC447" s="1" t="str">
        <f>IF(DR447,"","• Shaar region.
")&amp;IF(DS447,"","• A base attack bonus of +5 or higher.
")&amp;IF(DT447,"","• 4 ranks in Handle Animal.
")&amp;IF(DU447,"","• 6 ranks in Ride.
")&amp;IF(DV447,"","• 8 ranks in Survival.
")&amp;IF(DW447,"","• Animal Affinity feat.
")&amp;IF(DX447,"","• Mounted Archery feat.
")&amp;IF(DY447,"","• Mounted Combat feat.
")&amp;IF(DZ447,"","• Track feat.")</f>
        <v>• Shaar region.
• A base attack bonus of +5 or higher.
• 4 ranks in Handle Animal.
• 6 ranks in Ride.
• 8 ranks in Survival.
• Animal Affinity feat.
• Mounted Archery feat.
• Mounted Combat feat.
• Track feat.</v>
      </c>
      <c r="ED447" s="11" t="s">
        <v>335</v>
      </c>
    </row>
    <row r="448" spans="1:134" ht="11.25" customHeight="1" x14ac:dyDescent="0.2">
      <c r="A448" s="1">
        <f t="shared" si="381"/>
        <v>445</v>
      </c>
      <c r="B448" s="1" t="s">
        <v>1139</v>
      </c>
      <c r="C448" s="1" t="s">
        <v>1140</v>
      </c>
      <c r="D448" s="1" t="s">
        <v>1140</v>
      </c>
      <c r="E448" s="1">
        <f t="shared" si="408"/>
        <v>0</v>
      </c>
      <c r="G448" s="1">
        <f>SAdLvl</f>
        <v>0</v>
      </c>
      <c r="K448" s="1">
        <v>2</v>
      </c>
      <c r="L448" s="1">
        <v>4</v>
      </c>
      <c r="V448" s="1">
        <v>0.5</v>
      </c>
      <c r="W448" s="1">
        <v>0.34</v>
      </c>
      <c r="X448" s="1">
        <v>0.34</v>
      </c>
      <c r="Y448" s="1">
        <v>0.5</v>
      </c>
      <c r="Z448" s="1" t="b">
        <f>FALSE</f>
        <v>0</v>
      </c>
      <c r="AA448" s="1" t="str">
        <f t="shared" si="411"/>
        <v/>
      </c>
      <c r="AB448" s="1" t="str">
        <f t="shared" si="412"/>
        <v/>
      </c>
      <c r="AC448" s="1">
        <f t="shared" si="409"/>
        <v>0</v>
      </c>
      <c r="AD448" s="1" t="str">
        <f t="shared" si="413"/>
        <v/>
      </c>
      <c r="AE448" s="1" t="str">
        <f t="shared" si="414"/>
        <v/>
      </c>
      <c r="AF448" s="1">
        <f t="shared" si="410"/>
        <v>0</v>
      </c>
      <c r="AG448" s="1">
        <f t="shared" si="394"/>
        <v>5</v>
      </c>
      <c r="AH448" s="1" t="str">
        <f t="shared" si="393"/>
        <v/>
      </c>
      <c r="AI448" s="1">
        <v>1</v>
      </c>
      <c r="AJ448" s="1">
        <f t="shared" si="415"/>
        <v>0</v>
      </c>
      <c r="AK448" s="1">
        <v>1</v>
      </c>
      <c r="AL448" s="1">
        <v>2</v>
      </c>
      <c r="AM448" s="1">
        <v>1</v>
      </c>
      <c r="AN448" s="1">
        <f t="shared" si="416"/>
        <v>0</v>
      </c>
      <c r="AO448" s="1">
        <v>2</v>
      </c>
      <c r="AP448" s="1">
        <v>2</v>
      </c>
      <c r="AQ448" s="1">
        <v>2</v>
      </c>
      <c r="AR448" s="1">
        <v>2</v>
      </c>
      <c r="AS448" s="1">
        <v>2</v>
      </c>
      <c r="AT448" s="1">
        <v>2</v>
      </c>
      <c r="AU448" s="1">
        <v>2</v>
      </c>
      <c r="AV448" s="1">
        <v>2</v>
      </c>
      <c r="AW448" s="1">
        <v>1</v>
      </c>
      <c r="AX448" s="1">
        <v>1</v>
      </c>
      <c r="AY448" s="1">
        <v>1</v>
      </c>
      <c r="AZ448" s="1">
        <v>2</v>
      </c>
      <c r="BA448" s="1">
        <v>1</v>
      </c>
      <c r="BB448" s="1">
        <v>1</v>
      </c>
      <c r="BC448" s="1">
        <v>1</v>
      </c>
      <c r="BD448" s="1">
        <v>1</v>
      </c>
      <c r="BE448" s="1">
        <v>1</v>
      </c>
      <c r="BF448" s="1">
        <v>2</v>
      </c>
      <c r="BG448" s="1">
        <f t="shared" si="417"/>
        <v>0</v>
      </c>
      <c r="BH448" s="1">
        <f t="shared" si="418"/>
        <v>0</v>
      </c>
      <c r="BI448" s="1">
        <v>1</v>
      </c>
      <c r="BJ448" s="1">
        <v>1</v>
      </c>
      <c r="BK448" s="1">
        <v>2</v>
      </c>
      <c r="BL448" s="1">
        <v>2</v>
      </c>
      <c r="BM448" s="1">
        <v>2</v>
      </c>
      <c r="BN448" s="1">
        <v>2</v>
      </c>
      <c r="BO448" s="1">
        <v>2</v>
      </c>
      <c r="BP448" s="1">
        <f>1+NOT(HRLivingGreyhawk)</f>
        <v>2</v>
      </c>
      <c r="BQ448" s="1">
        <f>IF(HRRVL,2,0)</f>
        <v>0</v>
      </c>
      <c r="BR448" s="1">
        <v>2</v>
      </c>
      <c r="BS448" s="1">
        <v>2</v>
      </c>
      <c r="BT448" s="1">
        <f>IF(HRXPH,2,0)</f>
        <v>0</v>
      </c>
      <c r="BU448" s="1">
        <f>IF(HRRVL,2,0)</f>
        <v>0</v>
      </c>
      <c r="BV448" s="1">
        <v>2</v>
      </c>
      <c r="BW448" s="1">
        <v>2</v>
      </c>
      <c r="BX448" s="1">
        <v>2</v>
      </c>
      <c r="BY448" s="1">
        <v>2</v>
      </c>
      <c r="BZ448" s="1">
        <v>2</v>
      </c>
      <c r="CA448" s="1">
        <v>2</v>
      </c>
      <c r="CB448" s="1">
        <v>2</v>
      </c>
      <c r="CC448" s="1">
        <v>2</v>
      </c>
      <c r="CD448" s="1">
        <v>2</v>
      </c>
      <c r="CE448" s="1">
        <v>2</v>
      </c>
      <c r="CF448" s="1">
        <v>1</v>
      </c>
      <c r="CG448" s="1">
        <f t="shared" si="419"/>
        <v>0</v>
      </c>
      <c r="CH448" s="1">
        <v>1</v>
      </c>
      <c r="CI448" s="1">
        <v>1</v>
      </c>
      <c r="CJ448" s="1">
        <v>1</v>
      </c>
      <c r="CK448" s="1">
        <v>1</v>
      </c>
      <c r="CL448" s="1">
        <v>1</v>
      </c>
      <c r="CM448" s="1">
        <v>1</v>
      </c>
      <c r="CN448" s="1">
        <v>1</v>
      </c>
      <c r="CO448" s="1">
        <v>1</v>
      </c>
      <c r="CP448" s="1">
        <v>2</v>
      </c>
      <c r="CQ448" s="1">
        <v>2</v>
      </c>
      <c r="CR448" s="1">
        <v>2</v>
      </c>
      <c r="CS448" s="1">
        <v>2</v>
      </c>
      <c r="CT448" s="1">
        <v>2</v>
      </c>
      <c r="CU448" s="1">
        <v>2</v>
      </c>
      <c r="CV448" s="1">
        <f t="shared" si="420"/>
        <v>0</v>
      </c>
      <c r="CW448" s="1">
        <v>1</v>
      </c>
      <c r="CX448" s="1">
        <v>1</v>
      </c>
      <c r="CY448" s="1">
        <v>1</v>
      </c>
      <c r="CZ448" s="1">
        <f t="shared" si="421"/>
        <v>0</v>
      </c>
      <c r="DA448" s="1">
        <v>1</v>
      </c>
      <c r="DB448" s="1">
        <v>1</v>
      </c>
      <c r="DC448" s="1">
        <v>2</v>
      </c>
      <c r="DD448" s="1">
        <v>1</v>
      </c>
      <c r="DE448" s="1">
        <v>1</v>
      </c>
      <c r="DF448" s="1">
        <v>1</v>
      </c>
      <c r="DG448" s="1">
        <v>1</v>
      </c>
      <c r="DH448" s="1">
        <v>1</v>
      </c>
      <c r="DI448" s="1">
        <f t="shared" si="422"/>
        <v>0</v>
      </c>
      <c r="DJ448" s="1">
        <v>1</v>
      </c>
      <c r="DK448" s="1" t="s">
        <v>1103</v>
      </c>
      <c r="DL448" s="1" t="s">
        <v>170</v>
      </c>
      <c r="DR448" s="1" t="b">
        <f>AlignmentNonGood</f>
        <v>0</v>
      </c>
      <c r="DS448" s="1" t="b">
        <f>SkKnowledgeArcanaRanks&gt;=8</f>
        <v>0</v>
      </c>
      <c r="DT448" s="1" t="b">
        <f>SkSpellcraftRanks&gt;=8</f>
        <v>0</v>
      </c>
      <c r="DU448" s="1" t="b">
        <f>FtShadowWeaveMagic</f>
        <v>0</v>
      </c>
      <c r="DV448" s="1" t="b">
        <f>MetamagicSelected&gt;=1</f>
        <v>0</v>
      </c>
      <c r="DW448" s="1" t="b">
        <f ca="1">MaxSpellLevel&gt;=3</f>
        <v>0</v>
      </c>
      <c r="EA448" s="1" t="b">
        <f ca="1">AND(DM448:DZ448)</f>
        <v>0</v>
      </c>
      <c r="EB448" s="11" t="s">
        <v>334</v>
      </c>
      <c r="EC448" s="1" t="str">
        <f ca="1">IF(DR448,"","• Must be Any Non-Good Alignment.
")&amp;IF(DS448,"","• 8 ranks in Knowledge (arcana).
")&amp;IF(DT448,"","• 8 ranks in Spellcraft.
")&amp;IF(DU448,"","• Shadow Weave Magic feat.
")&amp;IF(DV448,"","• Any one metamagic feat.
")&amp;IF(DW448,"","• Ability to cast 3rd-level spells.")</f>
        <v>• Must be Any Non-Good Alignment.
• 8 ranks in Knowledge (arcana).
• 8 ranks in Spellcraft.
• Shadow Weave Magic feat.
• Any one metamagic feat.
• Ability to cast 3rd-level spells.</v>
      </c>
      <c r="ED448" s="11" t="s">
        <v>335</v>
      </c>
    </row>
    <row r="449" spans="1:134" ht="11.25" customHeight="1" x14ac:dyDescent="0.2">
      <c r="A449" s="1">
        <f t="shared" si="381"/>
        <v>446</v>
      </c>
      <c r="B449" s="1" t="s">
        <v>1141</v>
      </c>
      <c r="C449" s="1" t="s">
        <v>1142</v>
      </c>
      <c r="D449" s="1" t="s">
        <v>1142</v>
      </c>
      <c r="E449" s="1">
        <f t="shared" si="408"/>
        <v>0</v>
      </c>
      <c r="K449" s="1">
        <v>6</v>
      </c>
      <c r="L449" s="1">
        <v>6</v>
      </c>
      <c r="N449" s="1" t="b">
        <v>1</v>
      </c>
      <c r="S449" s="1" t="b">
        <v>1</v>
      </c>
      <c r="V449" s="1">
        <v>0.75</v>
      </c>
      <c r="W449" s="1">
        <v>0.34</v>
      </c>
      <c r="X449" s="1">
        <v>0.5</v>
      </c>
      <c r="Y449" s="1">
        <v>0.34</v>
      </c>
      <c r="Z449" s="1" t="b">
        <f>FALSE</f>
        <v>0</v>
      </c>
      <c r="AA449" s="1" t="str">
        <f t="shared" si="411"/>
        <v/>
      </c>
      <c r="AB449" s="1" t="str">
        <f t="shared" si="412"/>
        <v/>
      </c>
      <c r="AC449" s="1">
        <f t="shared" si="409"/>
        <v>0</v>
      </c>
      <c r="AD449" s="1" t="str">
        <f t="shared" si="413"/>
        <v/>
      </c>
      <c r="AE449" s="1" t="str">
        <f t="shared" si="414"/>
        <v/>
      </c>
      <c r="AF449" s="1">
        <f t="shared" si="410"/>
        <v>0</v>
      </c>
      <c r="AG449" s="1">
        <f t="shared" si="394"/>
        <v>5</v>
      </c>
      <c r="AH449" s="1" t="str">
        <f t="shared" si="393"/>
        <v/>
      </c>
      <c r="AI449" s="1">
        <v>2</v>
      </c>
      <c r="AJ449" s="1">
        <f t="shared" si="415"/>
        <v>0</v>
      </c>
      <c r="AK449" s="1">
        <v>1</v>
      </c>
      <c r="AL449" s="1">
        <v>2</v>
      </c>
      <c r="AM449" s="1">
        <v>2</v>
      </c>
      <c r="AN449" s="1">
        <f t="shared" si="416"/>
        <v>0</v>
      </c>
      <c r="AO449" s="1">
        <v>1</v>
      </c>
      <c r="AP449" s="1">
        <v>2</v>
      </c>
      <c r="AQ449" s="1">
        <v>2</v>
      </c>
      <c r="AR449" s="1">
        <v>2</v>
      </c>
      <c r="AS449" s="1">
        <v>2</v>
      </c>
      <c r="AT449" s="1">
        <v>2</v>
      </c>
      <c r="AU449" s="1">
        <v>2</v>
      </c>
      <c r="AV449" s="1">
        <v>2</v>
      </c>
      <c r="AW449" s="1">
        <v>1</v>
      </c>
      <c r="AX449" s="1">
        <v>2</v>
      </c>
      <c r="AY449" s="1">
        <v>2</v>
      </c>
      <c r="AZ449" s="1">
        <v>1</v>
      </c>
      <c r="BA449" s="1">
        <v>1</v>
      </c>
      <c r="BB449" s="1">
        <v>2</v>
      </c>
      <c r="BC449" s="1">
        <v>1</v>
      </c>
      <c r="BD449" s="1">
        <v>1</v>
      </c>
      <c r="BE449" s="1">
        <v>1</v>
      </c>
      <c r="BF449" s="1">
        <v>1</v>
      </c>
      <c r="BG449" s="1">
        <f t="shared" si="417"/>
        <v>0</v>
      </c>
      <c r="BH449" s="1">
        <f t="shared" si="418"/>
        <v>0</v>
      </c>
      <c r="BI449" s="1">
        <v>2</v>
      </c>
      <c r="BJ449" s="1">
        <v>2</v>
      </c>
      <c r="BK449" s="1">
        <v>1</v>
      </c>
      <c r="BL449" s="1">
        <v>1</v>
      </c>
      <c r="BM449" s="1">
        <v>1</v>
      </c>
      <c r="BN449" s="1">
        <v>1</v>
      </c>
      <c r="BO449" s="1">
        <v>1</v>
      </c>
      <c r="BP449" s="1">
        <f>1+NOT(HRLivingGreyhawk)</f>
        <v>2</v>
      </c>
      <c r="BQ449" s="1">
        <f>IF(HRRVL,1,0)</f>
        <v>0</v>
      </c>
      <c r="BR449" s="1">
        <v>1</v>
      </c>
      <c r="BS449" s="1">
        <v>1</v>
      </c>
      <c r="BT449" s="1">
        <f>IF(HRXPH,1,0)</f>
        <v>0</v>
      </c>
      <c r="BU449" s="1">
        <f>IF(HRRVL,1,0)</f>
        <v>0</v>
      </c>
      <c r="BV449" s="1">
        <v>1</v>
      </c>
      <c r="BW449" s="1">
        <v>1</v>
      </c>
      <c r="BX449" s="1">
        <v>1</v>
      </c>
      <c r="BY449" s="1">
        <v>1</v>
      </c>
      <c r="BZ449" s="1">
        <v>1</v>
      </c>
      <c r="CA449" s="1">
        <v>1</v>
      </c>
      <c r="CB449" s="1">
        <v>1</v>
      </c>
      <c r="CC449" s="1">
        <v>1</v>
      </c>
      <c r="CD449" s="1">
        <v>1</v>
      </c>
      <c r="CE449" s="1">
        <v>1</v>
      </c>
      <c r="CF449" s="1">
        <v>2</v>
      </c>
      <c r="CG449" s="1">
        <f t="shared" si="419"/>
        <v>0</v>
      </c>
      <c r="CH449" s="1">
        <v>2</v>
      </c>
      <c r="CI449" s="1">
        <v>2</v>
      </c>
      <c r="CJ449" s="1">
        <v>1</v>
      </c>
      <c r="CK449" s="1">
        <v>1</v>
      </c>
      <c r="CL449" s="1">
        <v>1</v>
      </c>
      <c r="CM449" s="1">
        <v>1</v>
      </c>
      <c r="CN449" s="1">
        <v>1</v>
      </c>
      <c r="CO449" s="1">
        <v>1</v>
      </c>
      <c r="CP449" s="1">
        <v>2</v>
      </c>
      <c r="CQ449" s="1">
        <v>2</v>
      </c>
      <c r="CR449" s="1">
        <v>2</v>
      </c>
      <c r="CS449" s="1">
        <v>2</v>
      </c>
      <c r="CT449" s="1">
        <v>2</v>
      </c>
      <c r="CU449" s="1">
        <v>2</v>
      </c>
      <c r="CV449" s="1">
        <f t="shared" si="420"/>
        <v>0</v>
      </c>
      <c r="CW449" s="1">
        <v>1</v>
      </c>
      <c r="CX449" s="1">
        <v>2</v>
      </c>
      <c r="CY449" s="1">
        <v>2</v>
      </c>
      <c r="CZ449" s="1">
        <f t="shared" si="421"/>
        <v>0</v>
      </c>
      <c r="DA449" s="1">
        <v>2</v>
      </c>
      <c r="DB449" s="1">
        <v>1</v>
      </c>
      <c r="DC449" s="1">
        <v>1</v>
      </c>
      <c r="DD449" s="1">
        <v>2</v>
      </c>
      <c r="DE449" s="1">
        <v>1</v>
      </c>
      <c r="DF449" s="1">
        <v>1</v>
      </c>
      <c r="DG449" s="1">
        <v>1</v>
      </c>
      <c r="DH449" s="1">
        <v>1</v>
      </c>
      <c r="DI449" s="1">
        <f t="shared" si="422"/>
        <v>0</v>
      </c>
      <c r="DJ449" s="1">
        <v>2</v>
      </c>
      <c r="DK449" s="1" t="s">
        <v>1103</v>
      </c>
      <c r="DL449" s="1" t="s">
        <v>170</v>
      </c>
      <c r="DR449" s="1" t="b">
        <f>SkBluffRanks&gt;=3</f>
        <v>0</v>
      </c>
      <c r="DS449" s="1" t="b">
        <f>SkGatherInformationRanks&gt;=3</f>
        <v>0</v>
      </c>
      <c r="DT449" s="1" t="b">
        <f>SkHideRanks&gt;=8</f>
        <v>0</v>
      </c>
      <c r="DU449" s="1" t="b">
        <f>SkIntimidateRanks&gt;=3</f>
        <v>0</v>
      </c>
      <c r="DV449" s="1" t="b">
        <f>SkMoveSilentlyRanks&gt;=3</f>
        <v>0</v>
      </c>
      <c r="DW449" s="1" t="b">
        <f>FtPersuasive</f>
        <v>0</v>
      </c>
      <c r="EA449" s="1" t="b">
        <f t="shared" si="425"/>
        <v>0</v>
      </c>
      <c r="EB449" s="11" t="s">
        <v>338</v>
      </c>
      <c r="EC449" s="1" t="str">
        <f>IF(DR449,"","• 3 ranks in Bluff.
")&amp;IF(DS449,"","• 3 ranks in Gather information.
")&amp;IF(DT449,"","• 8 ranks in Hide.
")&amp;IF(DU449,"","• 3 ranks in Intimidate.
")&amp;IF(DV449,"","• 3 ranks in Move Silently.
")&amp;IF(DW449,"","• Persuasive feat.
")&amp;"Must be a member of a Shadow Thieves' Guild(not verified)."</f>
        <v>• 3 ranks in Bluff.
• 3 ranks in Gather information.
• 8 ranks in Hide.
• 3 ranks in Intimidate.
• 3 ranks in Move Silently.
• Persuasive feat.
Must be a member of a Shadow Thieves' Guild(not verified).</v>
      </c>
      <c r="ED449" s="11" t="s">
        <v>335</v>
      </c>
    </row>
    <row r="450" spans="1:134" ht="11.25" customHeight="1" x14ac:dyDescent="0.2">
      <c r="A450" s="1">
        <f t="shared" si="381"/>
        <v>447</v>
      </c>
      <c r="B450" s="1" t="s">
        <v>1143</v>
      </c>
      <c r="C450" s="1" t="s">
        <v>1144</v>
      </c>
      <c r="D450" s="1" t="s">
        <v>1144</v>
      </c>
      <c r="E450" s="1">
        <f t="shared" si="408"/>
        <v>0</v>
      </c>
      <c r="K450" s="1">
        <v>4</v>
      </c>
      <c r="L450" s="1">
        <v>8</v>
      </c>
      <c r="V450" s="1">
        <v>0.75</v>
      </c>
      <c r="W450" s="1">
        <v>0.34</v>
      </c>
      <c r="X450" s="1">
        <v>0.5</v>
      </c>
      <c r="Y450" s="1">
        <v>0.34</v>
      </c>
      <c r="Z450" s="1" t="b">
        <v>0</v>
      </c>
      <c r="AA450" s="1" t="str">
        <f t="shared" si="411"/>
        <v/>
      </c>
      <c r="AB450" s="1" t="str">
        <f t="shared" si="412"/>
        <v/>
      </c>
      <c r="AC450" s="1">
        <f t="shared" si="409"/>
        <v>0</v>
      </c>
      <c r="AD450" s="1" t="str">
        <f t="shared" si="413"/>
        <v/>
      </c>
      <c r="AE450" s="1" t="str">
        <f t="shared" si="414"/>
        <v/>
      </c>
      <c r="AF450" s="1">
        <f t="shared" si="410"/>
        <v>0</v>
      </c>
      <c r="AG450" s="1">
        <f t="shared" si="394"/>
        <v>5</v>
      </c>
      <c r="AH450" s="1" t="str">
        <f t="shared" si="393"/>
        <v/>
      </c>
      <c r="AI450" s="1">
        <v>2</v>
      </c>
      <c r="AJ450" s="1">
        <f t="shared" si="415"/>
        <v>0</v>
      </c>
      <c r="AK450" s="1">
        <v>1</v>
      </c>
      <c r="AL450" s="1">
        <v>2</v>
      </c>
      <c r="AM450" s="1">
        <v>1</v>
      </c>
      <c r="AN450" s="1">
        <f t="shared" si="416"/>
        <v>0</v>
      </c>
      <c r="AO450" s="1">
        <v>1</v>
      </c>
      <c r="AP450" s="1">
        <v>2</v>
      </c>
      <c r="AQ450" s="1">
        <v>2</v>
      </c>
      <c r="AR450" s="1">
        <v>2</v>
      </c>
      <c r="AS450" s="1">
        <v>2</v>
      </c>
      <c r="AT450" s="1">
        <v>2</v>
      </c>
      <c r="AU450" s="1">
        <v>2</v>
      </c>
      <c r="AV450" s="1">
        <v>2</v>
      </c>
      <c r="AW450" s="1">
        <v>1</v>
      </c>
      <c r="AX450" s="1">
        <v>1</v>
      </c>
      <c r="AY450" s="1">
        <v>1</v>
      </c>
      <c r="AZ450" s="1">
        <v>2</v>
      </c>
      <c r="BA450" s="1">
        <v>2</v>
      </c>
      <c r="BB450" s="1">
        <v>2</v>
      </c>
      <c r="BC450" s="1">
        <v>1</v>
      </c>
      <c r="BD450" s="1">
        <v>1</v>
      </c>
      <c r="BE450" s="1">
        <v>1</v>
      </c>
      <c r="BF450" s="1">
        <v>2</v>
      </c>
      <c r="BG450" s="1">
        <f t="shared" si="417"/>
        <v>0</v>
      </c>
      <c r="BH450" s="1">
        <f t="shared" si="418"/>
        <v>0</v>
      </c>
      <c r="BI450" s="1">
        <v>2</v>
      </c>
      <c r="BJ450" s="1">
        <v>1</v>
      </c>
      <c r="BK450" s="1">
        <v>1</v>
      </c>
      <c r="BL450" s="1">
        <v>1</v>
      </c>
      <c r="BM450" s="1">
        <v>2</v>
      </c>
      <c r="BN450" s="1">
        <v>1</v>
      </c>
      <c r="BO450" s="1">
        <v>1</v>
      </c>
      <c r="BP450" s="1">
        <v>1</v>
      </c>
      <c r="BQ450" s="1">
        <f>IF(HRRVL,1,0)</f>
        <v>0</v>
      </c>
      <c r="BR450" s="1">
        <v>1</v>
      </c>
      <c r="BS450" s="1">
        <v>1</v>
      </c>
      <c r="BT450" s="1">
        <f>IF(HRXPH,1,0)</f>
        <v>0</v>
      </c>
      <c r="BU450" s="1">
        <f>IF(HRRVL,1,0)</f>
        <v>0</v>
      </c>
      <c r="BV450" s="1">
        <v>1</v>
      </c>
      <c r="BW450" s="1">
        <v>1</v>
      </c>
      <c r="BX450" s="1">
        <v>1</v>
      </c>
      <c r="BY450" s="1">
        <v>1</v>
      </c>
      <c r="BZ450" s="1">
        <v>1</v>
      </c>
      <c r="CB450" s="1">
        <v>1</v>
      </c>
      <c r="CC450" s="1">
        <v>1</v>
      </c>
      <c r="CD450" s="1">
        <v>1</v>
      </c>
      <c r="CE450" s="1">
        <v>1</v>
      </c>
      <c r="CF450" s="1">
        <v>1</v>
      </c>
      <c r="CG450" s="1">
        <f t="shared" si="419"/>
        <v>0</v>
      </c>
      <c r="CH450" s="1">
        <v>2</v>
      </c>
      <c r="CI450" s="1">
        <v>1</v>
      </c>
      <c r="CJ450" s="1">
        <v>1</v>
      </c>
      <c r="CK450" s="1">
        <v>1</v>
      </c>
      <c r="CL450" s="1">
        <v>1</v>
      </c>
      <c r="CM450" s="1">
        <v>1</v>
      </c>
      <c r="CN450" s="1">
        <v>1</v>
      </c>
      <c r="CO450" s="1">
        <v>1</v>
      </c>
      <c r="CP450" s="1">
        <v>1</v>
      </c>
      <c r="CQ450" s="1">
        <v>1</v>
      </c>
      <c r="CR450" s="1">
        <v>1</v>
      </c>
      <c r="CS450" s="1">
        <v>1</v>
      </c>
      <c r="CT450" s="1">
        <v>1</v>
      </c>
      <c r="CU450" s="1">
        <v>1</v>
      </c>
      <c r="CV450" s="1">
        <f t="shared" si="420"/>
        <v>0</v>
      </c>
      <c r="CW450" s="1">
        <v>1</v>
      </c>
      <c r="CX450" s="1">
        <v>1</v>
      </c>
      <c r="CY450" s="1">
        <v>1</v>
      </c>
      <c r="CZ450" s="1">
        <f t="shared" si="421"/>
        <v>0</v>
      </c>
      <c r="DA450" s="1">
        <v>1</v>
      </c>
      <c r="DB450" s="1">
        <v>1</v>
      </c>
      <c r="DC450" s="1">
        <v>1</v>
      </c>
      <c r="DD450" s="1">
        <v>1</v>
      </c>
      <c r="DE450" s="1">
        <v>2</v>
      </c>
      <c r="DF450" s="1">
        <v>1</v>
      </c>
      <c r="DG450" s="1">
        <v>1</v>
      </c>
      <c r="DH450" s="1">
        <v>1</v>
      </c>
      <c r="DI450" s="1">
        <f t="shared" si="422"/>
        <v>0</v>
      </c>
      <c r="DJ450" s="1">
        <v>1</v>
      </c>
      <c r="DK450" s="1" t="s">
        <v>1103</v>
      </c>
      <c r="DL450" s="1" t="s">
        <v>170</v>
      </c>
      <c r="DV450" s="1" t="b">
        <f>OR(Deity="Ghaunadar",Deity="Ghaunadar (FRCS)")</f>
        <v>0</v>
      </c>
      <c r="DW450" s="1" t="b">
        <f>FtWillingDeformity</f>
        <v>0</v>
      </c>
      <c r="DX450" s="1" t="b">
        <f>SkDisguiseRanks&gt;=6</f>
        <v>0</v>
      </c>
      <c r="DY450" s="1" t="b">
        <f>BaseAtk&gt;=4</f>
        <v>0</v>
      </c>
      <c r="DZ450" s="1" t="b">
        <f>AlignmentEvil</f>
        <v>0</v>
      </c>
      <c r="EA450" s="1" t="b">
        <f t="shared" si="425"/>
        <v>0</v>
      </c>
      <c r="EB450" s="11" t="s">
        <v>334</v>
      </c>
      <c r="EC450" s="1" t="str">
        <f>IF(DZ450,"","• Any Evil alignment.
")&amp;IF(DY450,"","• A base attack bonus of +4 or higher.
")&amp;IF(DX450,"","• 6 ranks in Disguise.
")&amp;IF(DW450,"","• Willing Deformity feat.
")&amp;IF(DV450,"","• Patron Deity Ghaunadar.")</f>
        <v>• Any Evil alignment.
• A base attack bonus of +4 or higher.
• 6 ranks in Disguise.
• Willing Deformity feat.
• Patron Deity Ghaunadar.</v>
      </c>
      <c r="ED450" s="11" t="s">
        <v>335</v>
      </c>
    </row>
    <row r="451" spans="1:134" ht="11.25" customHeight="1" x14ac:dyDescent="0.2">
      <c r="A451" s="1">
        <f t="shared" si="381"/>
        <v>448</v>
      </c>
      <c r="B451" s="1" t="s">
        <v>1145</v>
      </c>
      <c r="C451" s="1" t="s">
        <v>1146</v>
      </c>
      <c r="D451" s="1" t="s">
        <v>1146</v>
      </c>
      <c r="E451" s="1">
        <f t="shared" si="408"/>
        <v>0</v>
      </c>
      <c r="G451" s="1">
        <f>SoSLvl</f>
        <v>0</v>
      </c>
      <c r="K451" s="1">
        <v>2</v>
      </c>
      <c r="L451" s="1">
        <v>4</v>
      </c>
      <c r="V451" s="1">
        <v>0.5</v>
      </c>
      <c r="W451" s="1">
        <v>0.34</v>
      </c>
      <c r="X451" s="1">
        <v>0.34</v>
      </c>
      <c r="Y451" s="1">
        <v>0.5</v>
      </c>
      <c r="Z451" s="1" t="b">
        <f>FALSE</f>
        <v>0</v>
      </c>
      <c r="AA451" s="1" t="str">
        <f t="shared" si="411"/>
        <v/>
      </c>
      <c r="AB451" s="1" t="str">
        <f t="shared" si="412"/>
        <v/>
      </c>
      <c r="AC451" s="1">
        <f t="shared" si="409"/>
        <v>0</v>
      </c>
      <c r="AD451" s="1" t="str">
        <f t="shared" si="413"/>
        <v/>
      </c>
      <c r="AE451" s="1" t="str">
        <f t="shared" si="414"/>
        <v/>
      </c>
      <c r="AF451" s="1">
        <f t="shared" si="410"/>
        <v>0</v>
      </c>
      <c r="AG451" s="1">
        <f t="shared" si="394"/>
        <v>5</v>
      </c>
      <c r="AH451" s="1" t="str">
        <f t="shared" si="393"/>
        <v/>
      </c>
      <c r="AI451" s="1">
        <v>1</v>
      </c>
      <c r="AJ451" s="1">
        <f t="shared" si="415"/>
        <v>0</v>
      </c>
      <c r="AK451" s="1">
        <v>1</v>
      </c>
      <c r="AL451" s="1">
        <v>1</v>
      </c>
      <c r="AM451" s="1">
        <v>1</v>
      </c>
      <c r="AN451" s="1">
        <f t="shared" si="416"/>
        <v>0</v>
      </c>
      <c r="AO451" s="1">
        <v>2</v>
      </c>
      <c r="AP451" s="1">
        <v>2</v>
      </c>
      <c r="AQ451" s="1">
        <v>2</v>
      </c>
      <c r="AR451" s="1">
        <v>2</v>
      </c>
      <c r="AS451" s="1">
        <v>2</v>
      </c>
      <c r="AT451" s="1">
        <v>2</v>
      </c>
      <c r="AU451" s="1">
        <v>2</v>
      </c>
      <c r="AV451" s="1">
        <v>2</v>
      </c>
      <c r="AW451" s="1">
        <v>2</v>
      </c>
      <c r="AX451" s="1">
        <v>1</v>
      </c>
      <c r="AY451" s="1">
        <v>1</v>
      </c>
      <c r="AZ451" s="1">
        <v>1</v>
      </c>
      <c r="BA451" s="1">
        <v>1</v>
      </c>
      <c r="BB451" s="1">
        <v>1</v>
      </c>
      <c r="BC451" s="1">
        <v>1</v>
      </c>
      <c r="BD451" s="1">
        <v>1</v>
      </c>
      <c r="BE451" s="1">
        <v>1</v>
      </c>
      <c r="BF451" s="1">
        <v>1</v>
      </c>
      <c r="BG451" s="1">
        <f t="shared" si="417"/>
        <v>0</v>
      </c>
      <c r="BH451" s="1">
        <f t="shared" si="418"/>
        <v>0</v>
      </c>
      <c r="BI451" s="1">
        <v>1</v>
      </c>
      <c r="BJ451" s="1">
        <v>1</v>
      </c>
      <c r="BK451" s="1">
        <v>2</v>
      </c>
      <c r="BL451" s="1">
        <v>2</v>
      </c>
      <c r="BM451" s="1">
        <v>2</v>
      </c>
      <c r="BN451" s="1">
        <v>2</v>
      </c>
      <c r="BO451" s="1">
        <v>2</v>
      </c>
      <c r="BP451" s="1">
        <f>1+NOT(HRLivingGreyhawk)</f>
        <v>2</v>
      </c>
      <c r="BQ451" s="1">
        <f>IF(HRRVL,2,0)</f>
        <v>0</v>
      </c>
      <c r="BR451" s="1">
        <v>2</v>
      </c>
      <c r="BS451" s="1">
        <v>2</v>
      </c>
      <c r="BT451" s="1">
        <f>IF(HRXPH,2,0)</f>
        <v>0</v>
      </c>
      <c r="BU451" s="1">
        <f>IF(HRRVL,2,0)</f>
        <v>0</v>
      </c>
      <c r="BV451" s="1">
        <v>2</v>
      </c>
      <c r="BW451" s="1">
        <v>2</v>
      </c>
      <c r="BX451" s="1">
        <v>2</v>
      </c>
      <c r="BY451" s="1">
        <v>2</v>
      </c>
      <c r="BZ451" s="1">
        <v>2</v>
      </c>
      <c r="CA451" s="1">
        <v>2</v>
      </c>
      <c r="CB451" s="1">
        <v>2</v>
      </c>
      <c r="CC451" s="1">
        <v>2</v>
      </c>
      <c r="CD451" s="1">
        <v>2</v>
      </c>
      <c r="CE451" s="1">
        <v>2</v>
      </c>
      <c r="CF451" s="1">
        <v>1</v>
      </c>
      <c r="CG451" s="1">
        <f t="shared" si="419"/>
        <v>0</v>
      </c>
      <c r="CH451" s="1">
        <v>1</v>
      </c>
      <c r="CI451" s="1">
        <v>1</v>
      </c>
      <c r="CJ451" s="1">
        <v>1</v>
      </c>
      <c r="CK451" s="1">
        <v>1</v>
      </c>
      <c r="CL451" s="1">
        <v>1</v>
      </c>
      <c r="CM451" s="1">
        <v>1</v>
      </c>
      <c r="CN451" s="1">
        <v>1</v>
      </c>
      <c r="CO451" s="1">
        <v>1</v>
      </c>
      <c r="CP451" s="1">
        <v>2</v>
      </c>
      <c r="CQ451" s="1">
        <v>2</v>
      </c>
      <c r="CR451" s="1">
        <v>2</v>
      </c>
      <c r="CS451" s="1">
        <v>2</v>
      </c>
      <c r="CT451" s="1">
        <v>2</v>
      </c>
      <c r="CU451" s="1">
        <v>2</v>
      </c>
      <c r="CV451" s="1">
        <f t="shared" si="420"/>
        <v>0</v>
      </c>
      <c r="CW451" s="1">
        <v>1</v>
      </c>
      <c r="CX451" s="1">
        <v>1</v>
      </c>
      <c r="CY451" s="1">
        <v>1</v>
      </c>
      <c r="CZ451" s="1">
        <f t="shared" si="421"/>
        <v>0</v>
      </c>
      <c r="DA451" s="1">
        <v>1</v>
      </c>
      <c r="DB451" s="1">
        <v>1</v>
      </c>
      <c r="DC451" s="1">
        <v>2</v>
      </c>
      <c r="DD451" s="1">
        <v>2</v>
      </c>
      <c r="DE451" s="1">
        <v>1</v>
      </c>
      <c r="DF451" s="1">
        <v>1</v>
      </c>
      <c r="DG451" s="1">
        <v>1</v>
      </c>
      <c r="DH451" s="1">
        <v>1</v>
      </c>
      <c r="DI451" s="1">
        <f t="shared" si="422"/>
        <v>0</v>
      </c>
      <c r="DJ451" s="1">
        <v>1</v>
      </c>
      <c r="DK451" s="1" t="s">
        <v>1103</v>
      </c>
      <c r="DL451" s="1" t="s">
        <v>170</v>
      </c>
      <c r="DR451" s="1" t="b">
        <f>AlignmentNonEvil</f>
        <v>1</v>
      </c>
      <c r="DS451" s="1" t="b">
        <f>OR(Region="Silverymoon",Region="Silver Marches")</f>
        <v>0</v>
      </c>
      <c r="DT451" s="1" t="b">
        <f>SkConcentrationRanks&gt;=8</f>
        <v>0</v>
      </c>
      <c r="DU451" s="1" t="b">
        <f>SkSpellcraftRanks&gt;=5</f>
        <v>0</v>
      </c>
      <c r="DV451" s="1" t="b">
        <f>OR(FreeCombatCasting,FtCombatCasting)</f>
        <v>0</v>
      </c>
      <c r="DW451" s="1" t="b">
        <f>MetamagicSelected&gt;=1</f>
        <v>0</v>
      </c>
      <c r="DX451" s="1" t="b">
        <f ca="1">MaxArcaneSpellLevel&gt;=4</f>
        <v>0</v>
      </c>
      <c r="EA451" s="1" t="b">
        <f ca="1">AND(DM451:DZ451)</f>
        <v>0</v>
      </c>
      <c r="EB451" s="11" t="s">
        <v>338</v>
      </c>
      <c r="EC451" s="1" t="str">
        <f ca="1">IF(DR451,"","• Any non-Evil alignment.
")&amp;IF(DS451,"","• Silverymoon or Silver Marches region.
")&amp;IF(DT451,"","• 8 ranks in Concentration.
")&amp;IF(DU451,"","• 5 ranks in Spellcraft.
")&amp;IF(DV451,"","• Combat Casting feat.
")&amp;IF(DW451,"","• Any one metamagic feat.
")&amp;IF(DX451,"","• Ability to cast 4th-level arcane spells.
")&amp;"Must be accepted into the Spellguard(not verified)."</f>
        <v>• Silverymoon or Silver Marches region.
• 8 ranks in Concentration.
• 5 ranks in Spellcraft.
• Combat Casting feat.
• Any one metamagic feat.
• Ability to cast 4th-level arcane spells.
Must be accepted into the Spellguard(not verified).</v>
      </c>
      <c r="ED451" s="11" t="s">
        <v>335</v>
      </c>
    </row>
    <row r="452" spans="1:134" ht="11.25" customHeight="1" x14ac:dyDescent="0.2">
      <c r="A452" s="1">
        <f t="shared" si="381"/>
        <v>449</v>
      </c>
      <c r="B452" s="1" t="s">
        <v>1147</v>
      </c>
      <c r="C452" s="1" t="s">
        <v>1148</v>
      </c>
      <c r="D452" s="1" t="s">
        <v>1148</v>
      </c>
      <c r="E452" s="1">
        <f t="shared" si="408"/>
        <v>0</v>
      </c>
      <c r="G452" s="1">
        <f>INT(YatLvl*2/3)</f>
        <v>0</v>
      </c>
      <c r="H452" s="1">
        <f>INT(YatLvl*2/3)</f>
        <v>0</v>
      </c>
      <c r="K452" s="1">
        <v>2</v>
      </c>
      <c r="L452" s="1">
        <v>4</v>
      </c>
      <c r="M452" s="1">
        <f>YatLvl</f>
        <v>0</v>
      </c>
      <c r="V452" s="1">
        <v>0.5</v>
      </c>
      <c r="W452" s="1">
        <v>0.34</v>
      </c>
      <c r="X452" s="1">
        <v>0.34</v>
      </c>
      <c r="Y452" s="1">
        <v>0.5</v>
      </c>
      <c r="Z452" s="1" t="b">
        <v>0</v>
      </c>
      <c r="AA452" s="1" t="str">
        <f t="shared" si="411"/>
        <v/>
      </c>
      <c r="AB452" s="1" t="str">
        <f t="shared" si="412"/>
        <v/>
      </c>
      <c r="AC452" s="1">
        <f t="shared" si="409"/>
        <v>0</v>
      </c>
      <c r="AD452" s="1" t="str">
        <f t="shared" si="413"/>
        <v/>
      </c>
      <c r="AE452" s="1" t="str">
        <f t="shared" si="414"/>
        <v/>
      </c>
      <c r="AF452" s="1">
        <f t="shared" si="410"/>
        <v>0</v>
      </c>
      <c r="AG452" s="1">
        <f t="shared" si="394"/>
        <v>5</v>
      </c>
      <c r="AH452" s="1" t="str">
        <f t="shared" si="393"/>
        <v/>
      </c>
      <c r="AI452" s="1">
        <v>1</v>
      </c>
      <c r="AJ452" s="1">
        <f t="shared" si="415"/>
        <v>0</v>
      </c>
      <c r="AK452" s="1">
        <v>1</v>
      </c>
      <c r="AL452" s="1">
        <v>1</v>
      </c>
      <c r="AM452" s="1">
        <v>1</v>
      </c>
      <c r="AN452" s="1">
        <f t="shared" si="416"/>
        <v>0</v>
      </c>
      <c r="AO452" s="1">
        <v>2</v>
      </c>
      <c r="AP452" s="1">
        <v>2</v>
      </c>
      <c r="AQ452" s="1">
        <v>2</v>
      </c>
      <c r="AR452" s="1">
        <v>2</v>
      </c>
      <c r="AS452" s="1">
        <v>2</v>
      </c>
      <c r="AT452" s="1">
        <v>2</v>
      </c>
      <c r="AU452" s="1">
        <v>2</v>
      </c>
      <c r="AV452" s="1">
        <v>2</v>
      </c>
      <c r="AW452" s="1">
        <v>1</v>
      </c>
      <c r="AX452" s="1">
        <v>1</v>
      </c>
      <c r="AY452" s="1">
        <v>1</v>
      </c>
      <c r="AZ452" s="1">
        <v>1</v>
      </c>
      <c r="BA452" s="1">
        <v>1</v>
      </c>
      <c r="BB452" s="1">
        <v>1</v>
      </c>
      <c r="BC452" s="1">
        <v>1</v>
      </c>
      <c r="BD452" s="1">
        <v>1</v>
      </c>
      <c r="BE452" s="1">
        <v>1</v>
      </c>
      <c r="BF452" s="1">
        <v>1</v>
      </c>
      <c r="BG452" s="1">
        <f t="shared" si="417"/>
        <v>0</v>
      </c>
      <c r="BH452" s="1">
        <f t="shared" si="418"/>
        <v>0</v>
      </c>
      <c r="BI452" s="1">
        <v>1</v>
      </c>
      <c r="BJ452" s="1">
        <v>1</v>
      </c>
      <c r="BK452" s="1">
        <v>2</v>
      </c>
      <c r="BL452" s="1">
        <v>2</v>
      </c>
      <c r="BM452" s="1">
        <v>2</v>
      </c>
      <c r="BN452" s="1">
        <v>2</v>
      </c>
      <c r="BO452" s="1">
        <v>2</v>
      </c>
      <c r="BP452" s="1">
        <v>2</v>
      </c>
      <c r="BQ452" s="1">
        <f>IF(HRRVL,2,0)</f>
        <v>0</v>
      </c>
      <c r="BR452" s="1">
        <v>2</v>
      </c>
      <c r="BS452" s="1">
        <v>2</v>
      </c>
      <c r="BT452" s="1">
        <f>IF(HRXPH,2,0)</f>
        <v>0</v>
      </c>
      <c r="BU452" s="1">
        <f>IF(HRRVL,2,0)</f>
        <v>0</v>
      </c>
      <c r="BV452" s="1">
        <v>2</v>
      </c>
      <c r="BW452" s="1">
        <v>2</v>
      </c>
      <c r="BX452" s="1">
        <v>2</v>
      </c>
      <c r="BY452" s="1">
        <v>2</v>
      </c>
      <c r="BZ452" s="1">
        <v>2</v>
      </c>
      <c r="CA452" s="1">
        <v>2</v>
      </c>
      <c r="CB452" s="1">
        <v>2</v>
      </c>
      <c r="CC452" s="1">
        <v>2</v>
      </c>
      <c r="CD452" s="1">
        <v>2</v>
      </c>
      <c r="CE452" s="1">
        <v>2</v>
      </c>
      <c r="CF452" s="1">
        <v>1</v>
      </c>
      <c r="CG452" s="1">
        <f t="shared" si="419"/>
        <v>0</v>
      </c>
      <c r="CH452" s="1">
        <v>1</v>
      </c>
      <c r="CI452" s="1">
        <v>1</v>
      </c>
      <c r="CJ452" s="1">
        <v>1</v>
      </c>
      <c r="CK452" s="1">
        <v>1</v>
      </c>
      <c r="CL452" s="1">
        <v>1</v>
      </c>
      <c r="CM452" s="1">
        <v>1</v>
      </c>
      <c r="CN452" s="1">
        <v>1</v>
      </c>
      <c r="CO452" s="1">
        <v>1</v>
      </c>
      <c r="CP452" s="1">
        <v>2</v>
      </c>
      <c r="CQ452" s="1">
        <v>2</v>
      </c>
      <c r="CR452" s="1">
        <v>2</v>
      </c>
      <c r="CS452" s="1">
        <v>2</v>
      </c>
      <c r="CT452" s="1">
        <v>2</v>
      </c>
      <c r="CU452" s="1">
        <v>2</v>
      </c>
      <c r="CV452" s="1">
        <f t="shared" si="420"/>
        <v>0</v>
      </c>
      <c r="CW452" s="1">
        <v>1</v>
      </c>
      <c r="CX452" s="1">
        <v>2</v>
      </c>
      <c r="CY452" s="1">
        <v>1</v>
      </c>
      <c r="CZ452" s="1">
        <f t="shared" si="421"/>
        <v>0</v>
      </c>
      <c r="DA452" s="1">
        <v>1</v>
      </c>
      <c r="DB452" s="1">
        <v>1</v>
      </c>
      <c r="DC452" s="1">
        <v>2</v>
      </c>
      <c r="DD452" s="1">
        <v>1</v>
      </c>
      <c r="DE452" s="1">
        <v>1</v>
      </c>
      <c r="DF452" s="1">
        <v>1</v>
      </c>
      <c r="DG452" s="1">
        <v>1</v>
      </c>
      <c r="DH452" s="1">
        <v>1</v>
      </c>
      <c r="DI452" s="1">
        <f t="shared" si="422"/>
        <v>0</v>
      </c>
      <c r="DJ452" s="1">
        <v>1</v>
      </c>
      <c r="DK452" s="1" t="s">
        <v>1103</v>
      </c>
      <c r="DL452" s="1" t="s">
        <v>170</v>
      </c>
      <c r="DS452" s="1" t="b">
        <f>Deity="Kiaransalee (FRCS)"</f>
        <v>0</v>
      </c>
      <c r="DT452" s="1" t="b">
        <f>NOT(ISNA(MATCH("Necromancy",TblSpellFocus,0)))</f>
        <v>0</v>
      </c>
      <c r="DU452" s="1" t="b">
        <f>FtLichLoved</f>
        <v>0</v>
      </c>
      <c r="DV452" s="1" t="b">
        <f>SkPerformRanks&gt;=3</f>
        <v>0</v>
      </c>
      <c r="DW452" s="1" t="b">
        <f>SkKnowledgeReligionRanks&gt;=7</f>
        <v>0</v>
      </c>
      <c r="DX452" s="1" t="b">
        <f>SkKnowledgeArcanaRanks&gt;=7</f>
        <v>0</v>
      </c>
      <c r="DY452" s="1" t="b">
        <f>Gender="Female"</f>
        <v>0</v>
      </c>
      <c r="DZ452" s="1" t="b">
        <f>AND(RaceCi="Elf",Subrace="Drow")</f>
        <v>0</v>
      </c>
      <c r="EA452" s="1" t="b">
        <f t="shared" si="425"/>
        <v>0</v>
      </c>
      <c r="EB452" s="11" t="s">
        <v>338</v>
      </c>
      <c r="EC452" s="1" t="str">
        <f>IF(DZ452,"","• Must be a Drow.
")&amp;IF(DY452,"","• Must be female.
")&amp;IF(DX452,"","• 7 ranks in Knowledge (arcana).
")&amp;IF(DW452,"","• 7 ranks in Knowledge (religion).
")&amp;"• 3 ranks in Perform (sing)"&amp;IF(DV452,"","(not verified)")&amp;".
"&amp;IF(DU452,"","• Lichloved feat.
")&amp;IF(DT452,"","• Spell Focus (necromancy) feat.
")&amp;IF(DY452,"","• Patron deity Kiaransalee.
")&amp;"• Ability to cast Animate Dead as a divine spell and Spectral Hand as an arcane spell (not verified)."</f>
        <v>• Must be a Drow.
• Must be female.
• 7 ranks in Knowledge (arcana).
• 7 ranks in Knowledge (religion).
• 3 ranks in Perform (sing)(not verified).
• Lichloved feat.
• Spell Focus (necromancy) feat.
• Patron deity Kiaransalee.
• Ability to cast Animate Dead as a divine spell and Spectral Hand as an arcane spell (not verified).</v>
      </c>
      <c r="ED452" s="11" t="s">
        <v>335</v>
      </c>
    </row>
    <row r="453" spans="1:134" ht="11.25" customHeight="1" x14ac:dyDescent="0.2">
      <c r="A453" s="1">
        <f t="shared" si="381"/>
        <v>450</v>
      </c>
      <c r="B453" s="1" t="s">
        <v>1149</v>
      </c>
      <c r="C453" s="1" t="s">
        <v>1150</v>
      </c>
      <c r="D453" s="1" t="s">
        <v>1150</v>
      </c>
      <c r="E453" s="1">
        <f t="shared" si="408"/>
        <v>0</v>
      </c>
      <c r="K453" s="1">
        <v>6</v>
      </c>
      <c r="L453" s="1">
        <v>6</v>
      </c>
      <c r="N453" s="1" t="b">
        <v>1</v>
      </c>
      <c r="O453" s="1" t="b">
        <v>1</v>
      </c>
      <c r="Q453" s="1" t="b">
        <v>1</v>
      </c>
      <c r="S453" s="1" t="b">
        <v>1</v>
      </c>
      <c r="V453" s="1">
        <v>0.75</v>
      </c>
      <c r="W453" s="1">
        <v>0.34</v>
      </c>
      <c r="X453" s="1">
        <v>0.5</v>
      </c>
      <c r="Y453" s="1">
        <v>0.5</v>
      </c>
      <c r="Z453" s="1" t="b">
        <f>FALSE</f>
        <v>0</v>
      </c>
      <c r="AA453" s="1" t="str">
        <f t="shared" si="411"/>
        <v/>
      </c>
      <c r="AB453" s="1" t="str">
        <f t="shared" si="412"/>
        <v/>
      </c>
      <c r="AC453" s="1">
        <f t="shared" si="409"/>
        <v>0</v>
      </c>
      <c r="AD453" s="1" t="str">
        <f t="shared" si="413"/>
        <v/>
      </c>
      <c r="AE453" s="1" t="str">
        <f t="shared" si="414"/>
        <v/>
      </c>
      <c r="AF453" s="1">
        <f t="shared" si="410"/>
        <v>0</v>
      </c>
      <c r="AG453" s="1">
        <f t="shared" si="394"/>
        <v>5</v>
      </c>
      <c r="AH453" s="1" t="str">
        <f t="shared" si="393"/>
        <v/>
      </c>
      <c r="AI453" s="1">
        <v>2</v>
      </c>
      <c r="AJ453" s="1">
        <f t="shared" si="415"/>
        <v>0</v>
      </c>
      <c r="AK453" s="1">
        <v>2</v>
      </c>
      <c r="AL453" s="1">
        <v>2</v>
      </c>
      <c r="AM453" s="1">
        <v>2</v>
      </c>
      <c r="AN453" s="1">
        <f t="shared" si="416"/>
        <v>0</v>
      </c>
      <c r="AO453" s="1">
        <v>1</v>
      </c>
      <c r="AP453" s="1">
        <v>1</v>
      </c>
      <c r="AQ453" s="1">
        <v>1</v>
      </c>
      <c r="AR453" s="1">
        <v>1</v>
      </c>
      <c r="AS453" s="1">
        <v>1</v>
      </c>
      <c r="AT453" s="1">
        <v>1</v>
      </c>
      <c r="AU453" s="1">
        <v>1</v>
      </c>
      <c r="AV453" s="1">
        <v>1</v>
      </c>
      <c r="AW453" s="1">
        <v>2</v>
      </c>
      <c r="AX453" s="1">
        <v>2</v>
      </c>
      <c r="AY453" s="1">
        <v>2</v>
      </c>
      <c r="AZ453" s="1">
        <v>2</v>
      </c>
      <c r="BA453" s="1">
        <v>2</v>
      </c>
      <c r="BB453" s="1">
        <v>2</v>
      </c>
      <c r="BC453" s="1">
        <v>2</v>
      </c>
      <c r="BD453" s="1">
        <v>1</v>
      </c>
      <c r="BE453" s="1">
        <v>1</v>
      </c>
      <c r="BF453" s="1">
        <v>2</v>
      </c>
      <c r="BG453" s="1">
        <f t="shared" si="417"/>
        <v>0</v>
      </c>
      <c r="BH453" s="1">
        <f t="shared" si="418"/>
        <v>0</v>
      </c>
      <c r="BI453" s="1">
        <v>2</v>
      </c>
      <c r="BJ453" s="1">
        <v>2</v>
      </c>
      <c r="BK453" s="1">
        <v>1</v>
      </c>
      <c r="BL453" s="1">
        <v>1</v>
      </c>
      <c r="BM453" s="1">
        <v>1</v>
      </c>
      <c r="BN453" s="1">
        <v>1</v>
      </c>
      <c r="BO453" s="1">
        <v>1</v>
      </c>
      <c r="BP453" s="1">
        <v>1</v>
      </c>
      <c r="BQ453" s="1">
        <f>IF(HRRVL,1,0)</f>
        <v>0</v>
      </c>
      <c r="BR453" s="1">
        <v>1</v>
      </c>
      <c r="BS453" s="1">
        <v>1</v>
      </c>
      <c r="BT453" s="1">
        <f>IF(HRXPH,1,0)</f>
        <v>0</v>
      </c>
      <c r="BU453" s="1">
        <f>IF(HRRVL,1,0)</f>
        <v>0</v>
      </c>
      <c r="BV453" s="1">
        <v>1</v>
      </c>
      <c r="BW453" s="1">
        <v>1</v>
      </c>
      <c r="BX453" s="1">
        <v>1</v>
      </c>
      <c r="BY453" s="1">
        <v>1</v>
      </c>
      <c r="BZ453" s="1">
        <v>1</v>
      </c>
      <c r="CA453" s="1">
        <v>1</v>
      </c>
      <c r="CB453" s="1">
        <v>1</v>
      </c>
      <c r="CC453" s="1">
        <v>1</v>
      </c>
      <c r="CD453" s="1">
        <v>1</v>
      </c>
      <c r="CE453" s="1">
        <v>1</v>
      </c>
      <c r="CF453" s="1">
        <v>2</v>
      </c>
      <c r="CG453" s="1">
        <f t="shared" si="419"/>
        <v>0</v>
      </c>
      <c r="CH453" s="1">
        <v>2</v>
      </c>
      <c r="CI453" s="1">
        <v>2</v>
      </c>
      <c r="CJ453" s="1">
        <v>1</v>
      </c>
      <c r="CK453" s="1">
        <v>1</v>
      </c>
      <c r="CL453" s="1">
        <v>1</v>
      </c>
      <c r="CM453" s="1">
        <v>1</v>
      </c>
      <c r="CN453" s="1">
        <v>1</v>
      </c>
      <c r="CO453" s="1">
        <v>1</v>
      </c>
      <c r="CP453" s="1">
        <v>1</v>
      </c>
      <c r="CQ453" s="1">
        <v>1</v>
      </c>
      <c r="CR453" s="1">
        <v>1</v>
      </c>
      <c r="CS453" s="1">
        <v>1</v>
      </c>
      <c r="CT453" s="1">
        <v>1</v>
      </c>
      <c r="CU453" s="1">
        <v>1</v>
      </c>
      <c r="CV453" s="1">
        <f t="shared" si="420"/>
        <v>0</v>
      </c>
      <c r="CW453" s="1">
        <v>1</v>
      </c>
      <c r="CX453" s="1">
        <v>2</v>
      </c>
      <c r="CY453" s="1">
        <v>2</v>
      </c>
      <c r="CZ453" s="1">
        <f t="shared" si="421"/>
        <v>0</v>
      </c>
      <c r="DA453" s="1">
        <v>2</v>
      </c>
      <c r="DB453" s="1">
        <v>2</v>
      </c>
      <c r="DC453" s="1">
        <v>1</v>
      </c>
      <c r="DD453" s="1">
        <v>2</v>
      </c>
      <c r="DE453" s="1">
        <v>1</v>
      </c>
      <c r="DF453" s="1">
        <v>1</v>
      </c>
      <c r="DG453" s="1">
        <v>2</v>
      </c>
      <c r="DH453" s="1">
        <v>2</v>
      </c>
      <c r="DI453" s="1">
        <f t="shared" si="422"/>
        <v>0</v>
      </c>
      <c r="DJ453" s="1">
        <v>2</v>
      </c>
      <c r="DK453" s="1" t="s">
        <v>1103</v>
      </c>
      <c r="DL453" s="1" t="s">
        <v>170</v>
      </c>
      <c r="DR453" s="1" t="b">
        <f>AlignmentEvil</f>
        <v>0</v>
      </c>
      <c r="DS453" s="1" t="b">
        <f>BaseAtk&gt;=5</f>
        <v>0</v>
      </c>
      <c r="DT453" s="1" t="b">
        <f>SkBluffRanks&gt;=5</f>
        <v>0</v>
      </c>
      <c r="DU453" s="1" t="b">
        <f>SkDisguiseRanks&gt;=5</f>
        <v>0</v>
      </c>
      <c r="DV453" s="1" t="b">
        <f>SkForgeryRanks&gt;=5</f>
        <v>0</v>
      </c>
      <c r="DW453" s="1" t="b">
        <f>SkGatherInformationRanks&gt;=5</f>
        <v>0</v>
      </c>
      <c r="DX453" s="1" t="b">
        <f>FtDeceitful</f>
        <v>0</v>
      </c>
      <c r="EA453" s="1" t="b">
        <f t="shared" si="425"/>
        <v>0</v>
      </c>
      <c r="EB453" s="11" t="s">
        <v>334</v>
      </c>
      <c r="EC453" s="1" t="str">
        <f>IF(DR453,"","• Any Evil alignment.
")&amp;IF(DS453,"","• A base attack bonus of +5 or higher.
")&amp;IF(DT453,"","• 5 ranks in Bluff.
")&amp;IF(DU453,"","• 5 ranks in Disguise.
")&amp;IF(DV453,"","• 5 ranks in Forgery.
")&amp;IF(DW453,"","• 5 ranks in Gather Information.
")&amp;IF(DX453,"","• Deceitful feat.")</f>
        <v>• Any Evil alignment.
• A base attack bonus of +5 or higher.
• 5 ranks in Bluff.
• 5 ranks in Disguise.
• 5 ranks in Forgery.
• 5 ranks in Gather Information.
• Deceitful feat.</v>
      </c>
      <c r="ED453" s="11" t="s">
        <v>335</v>
      </c>
    </row>
    <row r="454" spans="1:134" ht="11.25" customHeight="1" x14ac:dyDescent="0.2">
      <c r="A454" s="1">
        <f t="shared" ref="A454:A517" si="432">A453+1</f>
        <v>451</v>
      </c>
      <c r="B454" s="1" t="s">
        <v>1151</v>
      </c>
      <c r="E454" s="1">
        <f t="shared" si="408"/>
        <v>0</v>
      </c>
      <c r="F454" s="1">
        <v>1</v>
      </c>
      <c r="Z454" s="1" t="b">
        <f>FALSE</f>
        <v>0</v>
      </c>
      <c r="AA454" s="1" t="str">
        <f t="shared" si="411"/>
        <v/>
      </c>
      <c r="AB454" s="1" t="str">
        <f t="shared" si="412"/>
        <v/>
      </c>
      <c r="AC454" s="1">
        <f t="shared" si="409"/>
        <v>0</v>
      </c>
      <c r="AD454" s="1" t="str">
        <f t="shared" si="413"/>
        <v/>
      </c>
      <c r="AE454" s="1" t="str">
        <f t="shared" si="414"/>
        <v/>
      </c>
      <c r="AF454" s="1">
        <f t="shared" si="410"/>
        <v>0</v>
      </c>
      <c r="AG454" s="1">
        <f t="shared" si="394"/>
        <v>5</v>
      </c>
      <c r="AH454" s="1" t="str">
        <f t="shared" si="393"/>
        <v/>
      </c>
      <c r="EB454" s="11"/>
      <c r="ED454" s="11" t="s">
        <v>335</v>
      </c>
    </row>
    <row r="455" spans="1:134" ht="11.25" customHeight="1" x14ac:dyDescent="0.2">
      <c r="A455" s="1">
        <f t="shared" si="432"/>
        <v>452</v>
      </c>
      <c r="B455" s="1" t="s">
        <v>1152</v>
      </c>
      <c r="C455" s="1" t="s">
        <v>598</v>
      </c>
      <c r="D455" s="1" t="s">
        <v>598</v>
      </c>
      <c r="E455" s="1">
        <f t="shared" si="408"/>
        <v>0</v>
      </c>
      <c r="G455" s="1">
        <f>AraLvl</f>
        <v>0</v>
      </c>
      <c r="K455" s="1">
        <v>2</v>
      </c>
      <c r="L455" s="1">
        <v>8</v>
      </c>
      <c r="V455" s="1">
        <v>0.75</v>
      </c>
      <c r="W455" s="1">
        <v>0.34</v>
      </c>
      <c r="X455" s="1">
        <v>0.34</v>
      </c>
      <c r="Y455" s="1">
        <v>0.5</v>
      </c>
      <c r="Z455" s="1" t="b">
        <f>FALSE</f>
        <v>0</v>
      </c>
      <c r="AA455" s="1" t="str">
        <f t="shared" si="411"/>
        <v/>
      </c>
      <c r="AB455" s="1" t="str">
        <f t="shared" si="412"/>
        <v/>
      </c>
      <c r="AC455" s="1">
        <f t="shared" si="409"/>
        <v>0</v>
      </c>
      <c r="AD455" s="1" t="str">
        <f t="shared" si="413"/>
        <v/>
      </c>
      <c r="AE455" s="1" t="str">
        <f t="shared" si="414"/>
        <v/>
      </c>
      <c r="AF455" s="1">
        <f t="shared" si="410"/>
        <v>0</v>
      </c>
      <c r="AG455" s="1">
        <f t="shared" si="394"/>
        <v>5</v>
      </c>
      <c r="AH455" s="1" t="str">
        <f t="shared" si="393"/>
        <v/>
      </c>
      <c r="AI455" s="1">
        <v>1</v>
      </c>
      <c r="AJ455" s="1">
        <f t="shared" si="415"/>
        <v>0</v>
      </c>
      <c r="AK455" s="1">
        <v>2</v>
      </c>
      <c r="AL455" s="1">
        <v>2</v>
      </c>
      <c r="AM455" s="1">
        <v>2</v>
      </c>
      <c r="AN455" s="1">
        <f t="shared" ref="AN455:AN472" si="433">IF(IsLycanthrope,2,0)</f>
        <v>0</v>
      </c>
      <c r="AO455" s="1">
        <v>2</v>
      </c>
      <c r="AP455" s="1">
        <v>2</v>
      </c>
      <c r="AQ455" s="1">
        <v>2</v>
      </c>
      <c r="AR455" s="1">
        <v>2</v>
      </c>
      <c r="AS455" s="1">
        <v>2</v>
      </c>
      <c r="AT455" s="1">
        <v>2</v>
      </c>
      <c r="AU455" s="1">
        <v>2</v>
      </c>
      <c r="AV455" s="1">
        <v>2</v>
      </c>
      <c r="AW455" s="1">
        <v>1</v>
      </c>
      <c r="AX455" s="1">
        <v>2</v>
      </c>
      <c r="AY455" s="1">
        <v>1</v>
      </c>
      <c r="AZ455" s="1">
        <v>1</v>
      </c>
      <c r="BA455" s="1">
        <v>1</v>
      </c>
      <c r="BB455" s="1">
        <v>1</v>
      </c>
      <c r="BC455" s="1">
        <v>2</v>
      </c>
      <c r="BD455" s="1">
        <v>2</v>
      </c>
      <c r="BE455" s="1">
        <v>2</v>
      </c>
      <c r="BF455" s="1">
        <v>1</v>
      </c>
      <c r="BG455" s="1">
        <f t="shared" ref="BG455:BG472" si="434">IF(HRRVL,1,0)</f>
        <v>0</v>
      </c>
      <c r="BH455" s="1">
        <f t="shared" ref="BH455:BH472" si="435">IF(HROA,1,0)</f>
        <v>0</v>
      </c>
      <c r="BI455" s="1">
        <v>2</v>
      </c>
      <c r="BJ455" s="1">
        <v>1</v>
      </c>
      <c r="BK455" s="1">
        <v>2</v>
      </c>
      <c r="BL455" s="1">
        <v>1</v>
      </c>
      <c r="BM455" s="1">
        <v>1</v>
      </c>
      <c r="BN455" s="1">
        <v>1</v>
      </c>
      <c r="BO455" s="1">
        <v>1</v>
      </c>
      <c r="BP455" s="1">
        <v>1</v>
      </c>
      <c r="BQ455" s="1">
        <f>IF(HRRVL,1,0)</f>
        <v>0</v>
      </c>
      <c r="BR455" s="1">
        <v>1</v>
      </c>
      <c r="BS455" s="1">
        <v>1</v>
      </c>
      <c r="BT455" s="1">
        <f>IF(HRXPH,1,0)</f>
        <v>0</v>
      </c>
      <c r="BU455" s="1">
        <f>IF(HRRVL,2,0)</f>
        <v>0</v>
      </c>
      <c r="BV455" s="1">
        <v>2</v>
      </c>
      <c r="BW455" s="1">
        <v>1</v>
      </c>
      <c r="BX455" s="1">
        <v>1</v>
      </c>
      <c r="BY455" s="1">
        <v>1</v>
      </c>
      <c r="BZ455" s="1">
        <v>1</v>
      </c>
      <c r="CA455" s="1">
        <v>1</v>
      </c>
      <c r="CB455" s="1">
        <v>1</v>
      </c>
      <c r="CC455" s="1">
        <v>1</v>
      </c>
      <c r="CD455" s="1">
        <v>1</v>
      </c>
      <c r="CE455" s="1">
        <v>1</v>
      </c>
      <c r="CF455" s="1">
        <v>1</v>
      </c>
      <c r="CG455" s="1">
        <f t="shared" ref="CG455:CG472" si="436">IF(HRToB,1,0)</f>
        <v>0</v>
      </c>
      <c r="CH455" s="1">
        <v>1</v>
      </c>
      <c r="CI455" s="1">
        <v>1</v>
      </c>
      <c r="CJ455" s="1">
        <v>1</v>
      </c>
      <c r="CK455" s="1">
        <v>1</v>
      </c>
      <c r="CL455" s="1">
        <v>1</v>
      </c>
      <c r="CM455" s="1">
        <v>1</v>
      </c>
      <c r="CN455" s="1">
        <v>1</v>
      </c>
      <c r="CO455" s="1">
        <v>1</v>
      </c>
      <c r="CP455" s="1">
        <v>1</v>
      </c>
      <c r="CQ455" s="1">
        <v>1</v>
      </c>
      <c r="CR455" s="1">
        <v>1</v>
      </c>
      <c r="CS455" s="1">
        <v>1</v>
      </c>
      <c r="CT455" s="1">
        <v>1</v>
      </c>
      <c r="CU455" s="1">
        <v>1</v>
      </c>
      <c r="CV455" s="1">
        <f t="shared" ref="CV455:CV472" si="437">IF(HRXPH,1,0)</f>
        <v>0</v>
      </c>
      <c r="CW455" s="1">
        <v>2</v>
      </c>
      <c r="CX455" s="1">
        <v>1</v>
      </c>
      <c r="CY455" s="1">
        <v>2</v>
      </c>
      <c r="CZ455" s="1">
        <f t="shared" si="421"/>
        <v>0</v>
      </c>
      <c r="DA455" s="1">
        <v>1</v>
      </c>
      <c r="DB455" s="1">
        <v>1</v>
      </c>
      <c r="DC455" s="1">
        <v>2</v>
      </c>
      <c r="DD455" s="1">
        <v>1</v>
      </c>
      <c r="DE455" s="1">
        <v>1</v>
      </c>
      <c r="DF455" s="1">
        <v>1</v>
      </c>
      <c r="DG455" s="1">
        <v>1</v>
      </c>
      <c r="DH455" s="1">
        <v>1</v>
      </c>
      <c r="DI455" s="1">
        <f t="shared" ref="DI455:DI472" si="438">IF(HRXPH,1,0)</f>
        <v>0</v>
      </c>
      <c r="DJ455" s="1">
        <v>1</v>
      </c>
      <c r="DK455" s="1" t="s">
        <v>1153</v>
      </c>
      <c r="DL455" s="1" t="s">
        <v>170</v>
      </c>
      <c r="DM455" s="1" t="b">
        <f>OR(RaceCi="Aranea",RaceCi="Choldrith",RaceCi="Deep Dragon",AND(RaceCi="Elf",Subrace="Drow"),RaceCi="Half Drow",RaceCi="Draegloth")</f>
        <v>0</v>
      </c>
      <c r="DN455" s="1" t="b">
        <f>Gender="Female"</f>
        <v>0</v>
      </c>
      <c r="DO455" s="1" t="b">
        <f>AND(AlignmentChaotic,AlignmentEvil)</f>
        <v>0</v>
      </c>
      <c r="DP455" s="1" t="b">
        <f>SkHandleAnimalRanks&gt;=3</f>
        <v>0</v>
      </c>
      <c r="DQ455" s="1" t="b">
        <f>SkKnowledgeArcanaRanks&gt;=4</f>
        <v>0</v>
      </c>
      <c r="DR455" s="1" t="b">
        <f>NOT(ISNA(MATCH("Abyssal",TblLangKnown,0)))</f>
        <v>0</v>
      </c>
      <c r="DS455" s="1" t="b">
        <f>SkSpellcraftRanks&gt;=4</f>
        <v>0</v>
      </c>
      <c r="DT455" s="1" t="b">
        <f>OR(FreeGreatFortitude,FtGreatFortitude)</f>
        <v>0</v>
      </c>
      <c r="DU455" s="1" t="b">
        <f>FtStillSpell</f>
        <v>0</v>
      </c>
      <c r="DV455" s="1" t="b">
        <f>FtSurvivor</f>
        <v>0</v>
      </c>
      <c r="DW455" s="1" t="b">
        <f>OR(FtWeaponFinesse,FtShadowBlade,NOT(ISNA(MATCH("Crossbow, Hand",TblProfList,0))))</f>
        <v>0</v>
      </c>
      <c r="DX455" s="1" t="b">
        <f ca="1">MaxDivineSpellLevel&gt;=3</f>
        <v>0</v>
      </c>
      <c r="DY455" s="1" t="b">
        <f>NOT(ISNA(MATCH("Spider",Domains,0)))</f>
        <v>0</v>
      </c>
      <c r="DZ455" s="1" t="b">
        <f>Deity="Lolth"</f>
        <v>0</v>
      </c>
      <c r="EA455" s="1" t="b">
        <f t="shared" ref="EA455:EA472" ca="1" si="439">AND(DM455:DZ455)</f>
        <v>0</v>
      </c>
      <c r="EB455" s="11" t="s">
        <v>334</v>
      </c>
      <c r="EC455" s="1" t="str">
        <f ca="1">IF(DM455,"","• Your race must be Aranea, Choldrith, Deep Dragon, Drow, Half-Drow, or draegloth..
")&amp;IF(DN455,"","• You must be Female.
")&amp;IF(DO455,"","• You must be of Chaotic Evil Alignment.
")&amp;IF(DP455,"","• 3 ranks in Handle Animal.
")&amp;IF(DQ455,"","• 4 ranks in Knowledge (arcana).
")&amp;IF(DR455,"","• Speak Language (Abyssal).
")&amp;IF(DS455,"","• 4 ranks in Spellcraft.
")&amp;IF(DT455,"","• Great Fortitude Feat.
")&amp;IF(DU455,"","• Still Spell feat.
")&amp;IF(DV455,"","• Survivor feat.
")&amp;IF(DW455,"","• Exotic Weapon Proficiency (Hand crossbow) or Weapon Finesse.
")&amp;IF(DX455,"","• Ability to cast 3rd-level divine spells.
")&amp;IF(DY455,"","• Spider Domain.
")&amp;IF(DZ455,"","• Patron Deity: Lolth.")</f>
        <v>• Your race must be Aranea, Choldrith, Deep Dragon, Drow, Half-Drow, or draegloth..
• You must be Female.
• You must be of Chaotic Evil Alignment.
• 3 ranks in Handle Animal.
• 4 ranks in Knowledge (arcana).
• Speak Language (Abyssal).
• 4 ranks in Spellcraft.
• Great Fortitude Feat.
• Still Spell feat.
• Survivor feat.
• Exotic Weapon Proficiency (Hand crossbow) or Weapon Finesse.
• Ability to cast 3rd-level divine spells.
• Spider Domain.
• Patron Deity: Lolth.</v>
      </c>
      <c r="ED455" s="11" t="s">
        <v>335</v>
      </c>
    </row>
    <row r="456" spans="1:134" ht="11.25" customHeight="1" x14ac:dyDescent="0.2">
      <c r="A456" s="1">
        <f t="shared" si="432"/>
        <v>453</v>
      </c>
      <c r="B456" s="1" t="s">
        <v>1154</v>
      </c>
      <c r="C456" s="1" t="s">
        <v>1155</v>
      </c>
      <c r="D456" s="1" t="s">
        <v>1155</v>
      </c>
      <c r="E456" s="1">
        <f t="shared" si="408"/>
        <v>0</v>
      </c>
      <c r="G456" s="1">
        <f>AusLvl</f>
        <v>0</v>
      </c>
      <c r="K456" s="1">
        <v>2</v>
      </c>
      <c r="L456" s="1">
        <v>8</v>
      </c>
      <c r="V456" s="1">
        <v>0.75</v>
      </c>
      <c r="W456" s="1">
        <v>0.5</v>
      </c>
      <c r="X456" s="1">
        <v>0.34</v>
      </c>
      <c r="Y456" s="1">
        <v>0.5</v>
      </c>
      <c r="Z456" s="1" t="b">
        <f>FALSE</f>
        <v>0</v>
      </c>
      <c r="AA456" s="1" t="str">
        <f t="shared" si="411"/>
        <v/>
      </c>
      <c r="AB456" s="1" t="str">
        <f t="shared" si="412"/>
        <v/>
      </c>
      <c r="AC456" s="1">
        <f t="shared" si="409"/>
        <v>0</v>
      </c>
      <c r="AD456" s="1" t="str">
        <f t="shared" si="413"/>
        <v/>
      </c>
      <c r="AE456" s="1" t="str">
        <f t="shared" si="414"/>
        <v/>
      </c>
      <c r="AF456" s="1">
        <f t="shared" si="410"/>
        <v>0</v>
      </c>
      <c r="AG456" s="1">
        <f t="shared" si="394"/>
        <v>5</v>
      </c>
      <c r="AH456" s="1" t="str">
        <f t="shared" si="393"/>
        <v/>
      </c>
      <c r="AI456" s="1">
        <v>1</v>
      </c>
      <c r="AJ456" s="1">
        <f t="shared" ref="AJ456:AJ472" si="440">IF(HRXPH,1,0)</f>
        <v>0</v>
      </c>
      <c r="AK456" s="1">
        <v>2</v>
      </c>
      <c r="AL456" s="1">
        <v>2</v>
      </c>
      <c r="AM456" s="1">
        <v>1</v>
      </c>
      <c r="AN456" s="1">
        <f t="shared" si="433"/>
        <v>0</v>
      </c>
      <c r="AO456" s="1">
        <v>2</v>
      </c>
      <c r="AP456" s="1">
        <v>1</v>
      </c>
      <c r="AQ456" s="1">
        <v>1</v>
      </c>
      <c r="AR456" s="1">
        <v>1</v>
      </c>
      <c r="AS456" s="1">
        <v>1</v>
      </c>
      <c r="AT456" s="1">
        <v>1</v>
      </c>
      <c r="AU456" s="1">
        <v>1</v>
      </c>
      <c r="AV456" s="1">
        <v>1</v>
      </c>
      <c r="AW456" s="1">
        <v>1</v>
      </c>
      <c r="AX456" s="1">
        <v>1</v>
      </c>
      <c r="AY456" s="1">
        <v>2</v>
      </c>
      <c r="AZ456" s="1">
        <v>1</v>
      </c>
      <c r="BA456" s="1">
        <v>2</v>
      </c>
      <c r="BB456" s="1">
        <v>1</v>
      </c>
      <c r="BC456" s="1">
        <v>1</v>
      </c>
      <c r="BD456" s="1">
        <v>1</v>
      </c>
      <c r="BE456" s="1">
        <v>1</v>
      </c>
      <c r="BF456" s="1">
        <v>1</v>
      </c>
      <c r="BG456" s="1">
        <f t="shared" si="434"/>
        <v>0</v>
      </c>
      <c r="BH456" s="1">
        <f t="shared" si="435"/>
        <v>0</v>
      </c>
      <c r="BI456" s="1">
        <v>1</v>
      </c>
      <c r="BJ456" s="1">
        <v>1</v>
      </c>
      <c r="BK456" s="1">
        <v>1</v>
      </c>
      <c r="BL456" s="1">
        <v>1</v>
      </c>
      <c r="BM456" s="1">
        <v>1</v>
      </c>
      <c r="BN456" s="1">
        <v>1</v>
      </c>
      <c r="BO456" s="1">
        <v>1</v>
      </c>
      <c r="BP456" s="1">
        <v>1</v>
      </c>
      <c r="BQ456" s="1">
        <f>IF(HRRVL,1,0)</f>
        <v>0</v>
      </c>
      <c r="BR456" s="1">
        <v>1</v>
      </c>
      <c r="BS456" s="1">
        <v>1</v>
      </c>
      <c r="BT456" s="1">
        <f>IF(HRXPH,1,0)</f>
        <v>0</v>
      </c>
      <c r="BU456" s="1">
        <f>IF(HRRVL,1,0)</f>
        <v>0</v>
      </c>
      <c r="BV456" s="1">
        <v>1</v>
      </c>
      <c r="BW456" s="1">
        <v>1</v>
      </c>
      <c r="BX456" s="1">
        <v>1</v>
      </c>
      <c r="BY456" s="1">
        <v>1</v>
      </c>
      <c r="BZ456" s="1">
        <v>1</v>
      </c>
      <c r="CA456" s="1">
        <v>1</v>
      </c>
      <c r="CB456" s="1">
        <v>1</v>
      </c>
      <c r="CC456" s="1">
        <v>1</v>
      </c>
      <c r="CD456" s="1">
        <v>1</v>
      </c>
      <c r="CE456" s="1">
        <v>1</v>
      </c>
      <c r="CF456" s="1">
        <v>2</v>
      </c>
      <c r="CG456" s="1">
        <f t="shared" si="436"/>
        <v>0</v>
      </c>
      <c r="CH456" s="1">
        <v>1</v>
      </c>
      <c r="CI456" s="1">
        <v>1</v>
      </c>
      <c r="CJ456" s="1">
        <v>1</v>
      </c>
      <c r="CK456" s="1">
        <v>1</v>
      </c>
      <c r="CL456" s="1">
        <v>1</v>
      </c>
      <c r="CM456" s="1">
        <v>1</v>
      </c>
      <c r="CN456" s="1">
        <v>1</v>
      </c>
      <c r="CO456" s="1">
        <v>1</v>
      </c>
      <c r="CP456" s="1">
        <v>1</v>
      </c>
      <c r="CQ456" s="1">
        <v>1</v>
      </c>
      <c r="CR456" s="1">
        <v>1</v>
      </c>
      <c r="CS456" s="1">
        <v>1</v>
      </c>
      <c r="CT456" s="1">
        <v>1</v>
      </c>
      <c r="CU456" s="1">
        <v>1</v>
      </c>
      <c r="CV456" s="1">
        <f t="shared" si="437"/>
        <v>0</v>
      </c>
      <c r="CW456" s="1">
        <v>1</v>
      </c>
      <c r="CX456" s="1">
        <v>2</v>
      </c>
      <c r="CY456" s="1">
        <v>2</v>
      </c>
      <c r="CZ456" s="1">
        <f t="shared" ref="CZ456:CZ472" si="441">IF(HRCS,1,0)</f>
        <v>0</v>
      </c>
      <c r="DA456" s="1">
        <v>1</v>
      </c>
      <c r="DB456" s="1">
        <v>1</v>
      </c>
      <c r="DC456" s="1">
        <v>2</v>
      </c>
      <c r="DD456" s="1">
        <v>2</v>
      </c>
      <c r="DE456" s="1">
        <v>1</v>
      </c>
      <c r="DF456" s="1">
        <v>2</v>
      </c>
      <c r="DG456" s="1">
        <v>2</v>
      </c>
      <c r="DH456" s="1">
        <v>1</v>
      </c>
      <c r="DI456" s="1">
        <f t="shared" si="438"/>
        <v>0</v>
      </c>
      <c r="DJ456" s="1">
        <v>1</v>
      </c>
      <c r="DK456" s="1" t="s">
        <v>1153</v>
      </c>
      <c r="DL456" s="1" t="s">
        <v>170</v>
      </c>
      <c r="DR456" s="1" t="b">
        <f>AlignmentChaotic</f>
        <v>0</v>
      </c>
      <c r="DS456" s="1" t="b">
        <f>BaseFort&gt;=5</f>
        <v>0</v>
      </c>
      <c r="DT456" s="1" t="b">
        <f>BaseRef&gt;=2</f>
        <v>0</v>
      </c>
      <c r="DU456" s="1" t="b">
        <f>FtDodgeEquiv</f>
        <v>0</v>
      </c>
      <c r="DV456" s="1" t="b">
        <f>OR(FreeGreatFortitude,FtGreatFortitude)</f>
        <v>0</v>
      </c>
      <c r="DW456" s="1" t="b">
        <f>OR(FreeIronWill,FtIronWill)</f>
        <v>0</v>
      </c>
      <c r="DX456" s="1" t="b">
        <f>OR(FreeLightningReflexes,FtLightningReflexes)</f>
        <v>0</v>
      </c>
      <c r="DY456" s="1" t="b">
        <f>NOT(ISNA(MATCH("Luck",Domains,0)))</f>
        <v>0</v>
      </c>
      <c r="EA456" s="1" t="b">
        <f t="shared" si="439"/>
        <v>0</v>
      </c>
      <c r="EB456" s="11" t="s">
        <v>338</v>
      </c>
      <c r="EC456" s="1" t="str">
        <f>IF(DR456,"","• Must be of Any Chaotic Alignment.
")&amp;IF(DS456,"","• Base Fort save bonus +5 or greater.
")&amp;IF(DT456,"","• Base Ref save bonus +2 or greater.
")&amp;IF(DU456,"","• Dodge feat.
")&amp;IF(DV456,"","• Great Fortitude feat.
")&amp;IF(DW456,"","• Iron Will feat.
")&amp;IF(DX456,"","• Lightning Reflexes feat.
")&amp;IF(DY456,"","• Luck Domain.
")&amp;"• You must ingest the poison Tyche's Blood without using anything to aid survival (not verified)."</f>
        <v>• Must be of Any Chaotic Alignment.
• Base Fort save bonus +5 or greater.
• Base Ref save bonus +2 or greater.
• Dodge feat.
• Great Fortitude feat.
• Iron Will feat.
• Lightning Reflexes feat.
• Luck Domain.
• You must ingest the poison Tyche's Blood without using anything to aid survival (not verified).</v>
      </c>
      <c r="ED456" s="11" t="s">
        <v>335</v>
      </c>
    </row>
    <row r="457" spans="1:134" ht="11.25" customHeight="1" x14ac:dyDescent="0.2">
      <c r="A457" s="1">
        <f t="shared" si="432"/>
        <v>454</v>
      </c>
      <c r="B457" s="1" t="s">
        <v>1156</v>
      </c>
      <c r="C457" s="1" t="s">
        <v>1157</v>
      </c>
      <c r="D457" s="1" t="s">
        <v>1157</v>
      </c>
      <c r="E457" s="1">
        <f t="shared" si="408"/>
        <v>0</v>
      </c>
      <c r="G457" s="1">
        <f>DmGLvl</f>
        <v>0</v>
      </c>
      <c r="K457" s="1">
        <v>2</v>
      </c>
      <c r="L457" s="1">
        <v>6</v>
      </c>
      <c r="M457" s="1">
        <f>DmGLvl</f>
        <v>0</v>
      </c>
      <c r="V457" s="1">
        <v>0.75</v>
      </c>
      <c r="W457" s="1">
        <v>0.5</v>
      </c>
      <c r="X457" s="1">
        <v>0.34</v>
      </c>
      <c r="Y457" s="1">
        <v>0.5</v>
      </c>
      <c r="Z457" s="1" t="b">
        <f>FALSE</f>
        <v>0</v>
      </c>
      <c r="AA457" s="1" t="str">
        <f t="shared" si="411"/>
        <v/>
      </c>
      <c r="AB457" s="1" t="str">
        <f t="shared" si="412"/>
        <v/>
      </c>
      <c r="AC457" s="1">
        <f t="shared" si="409"/>
        <v>0</v>
      </c>
      <c r="AD457" s="1" t="str">
        <f t="shared" si="413"/>
        <v/>
      </c>
      <c r="AE457" s="1" t="str">
        <f t="shared" si="414"/>
        <v/>
      </c>
      <c r="AF457" s="1">
        <f t="shared" si="410"/>
        <v>0</v>
      </c>
      <c r="AG457" s="1">
        <f t="shared" si="394"/>
        <v>5</v>
      </c>
      <c r="AH457" s="1" t="str">
        <f t="shared" si="393"/>
        <v/>
      </c>
      <c r="AI457" s="1">
        <v>1</v>
      </c>
      <c r="AJ457" s="1">
        <f t="shared" si="440"/>
        <v>0</v>
      </c>
      <c r="AK457" s="1">
        <v>1</v>
      </c>
      <c r="AL457" s="1">
        <v>1</v>
      </c>
      <c r="AM457" s="1">
        <v>1</v>
      </c>
      <c r="AN457" s="1">
        <f t="shared" si="433"/>
        <v>0</v>
      </c>
      <c r="AO457" s="1">
        <v>2</v>
      </c>
      <c r="AP457" s="1">
        <v>2</v>
      </c>
      <c r="AQ457" s="1">
        <v>2</v>
      </c>
      <c r="AR457" s="1">
        <v>2</v>
      </c>
      <c r="AS457" s="1">
        <v>2</v>
      </c>
      <c r="AT457" s="1">
        <v>2</v>
      </c>
      <c r="AU457" s="1">
        <v>2</v>
      </c>
      <c r="AV457" s="1">
        <v>2</v>
      </c>
      <c r="AW457" s="1">
        <v>1</v>
      </c>
      <c r="AX457" s="1">
        <v>2</v>
      </c>
      <c r="AY457" s="1">
        <v>1</v>
      </c>
      <c r="AZ457" s="1">
        <v>1</v>
      </c>
      <c r="BA457" s="1">
        <v>1</v>
      </c>
      <c r="BB457" s="1">
        <v>1</v>
      </c>
      <c r="BC457" s="1">
        <v>1</v>
      </c>
      <c r="BD457" s="1">
        <v>1</v>
      </c>
      <c r="BE457" s="1">
        <v>2</v>
      </c>
      <c r="BF457" s="1">
        <v>1</v>
      </c>
      <c r="BG457" s="1">
        <f t="shared" si="434"/>
        <v>0</v>
      </c>
      <c r="BH457" s="1">
        <f t="shared" si="435"/>
        <v>0</v>
      </c>
      <c r="BI457" s="1">
        <v>1</v>
      </c>
      <c r="BJ457" s="1">
        <v>1</v>
      </c>
      <c r="BK457" s="1">
        <v>2</v>
      </c>
      <c r="BL457" s="1">
        <v>1</v>
      </c>
      <c r="BM457" s="1">
        <v>1</v>
      </c>
      <c r="BN457" s="1">
        <v>1</v>
      </c>
      <c r="BO457" s="1">
        <v>1</v>
      </c>
      <c r="BP457" s="1">
        <v>1</v>
      </c>
      <c r="BQ457" s="1">
        <f>IF(HRRVL,2,0)</f>
        <v>0</v>
      </c>
      <c r="BR457" s="1">
        <v>2</v>
      </c>
      <c r="BS457" s="1">
        <v>1</v>
      </c>
      <c r="BT457" s="1">
        <f>IF(HRXPH,1,0)</f>
        <v>0</v>
      </c>
      <c r="BU457" s="1">
        <f>IF(HRRVL,2,0)</f>
        <v>0</v>
      </c>
      <c r="BV457" s="1">
        <v>2</v>
      </c>
      <c r="BW457" s="1">
        <v>2</v>
      </c>
      <c r="BX457" s="1">
        <v>1</v>
      </c>
      <c r="BY457" s="1">
        <v>1</v>
      </c>
      <c r="BZ457" s="1">
        <v>1</v>
      </c>
      <c r="CA457" s="1">
        <v>1</v>
      </c>
      <c r="CB457" s="1">
        <v>1</v>
      </c>
      <c r="CC457" s="1">
        <v>1</v>
      </c>
      <c r="CD457" s="1">
        <v>1</v>
      </c>
      <c r="CE457" s="1">
        <v>1</v>
      </c>
      <c r="CF457" s="1">
        <v>1</v>
      </c>
      <c r="CG457" s="1">
        <f t="shared" si="436"/>
        <v>0</v>
      </c>
      <c r="CH457" s="1">
        <v>1</v>
      </c>
      <c r="CI457" s="1">
        <v>1</v>
      </c>
      <c r="CJ457" s="1">
        <v>1</v>
      </c>
      <c r="CK457" s="1">
        <v>1</v>
      </c>
      <c r="CL457" s="1">
        <v>1</v>
      </c>
      <c r="CM457" s="1">
        <v>1</v>
      </c>
      <c r="CN457" s="1">
        <v>1</v>
      </c>
      <c r="CO457" s="1">
        <v>1</v>
      </c>
      <c r="CP457" s="1">
        <v>2</v>
      </c>
      <c r="CQ457" s="1">
        <v>2</v>
      </c>
      <c r="CR457" s="1">
        <v>2</v>
      </c>
      <c r="CS457" s="1">
        <v>2</v>
      </c>
      <c r="CT457" s="1">
        <v>2</v>
      </c>
      <c r="CU457" s="1">
        <v>2</v>
      </c>
      <c r="CV457" s="1">
        <f t="shared" si="437"/>
        <v>0</v>
      </c>
      <c r="CW457" s="1">
        <v>1</v>
      </c>
      <c r="CX457" s="1">
        <v>1</v>
      </c>
      <c r="CY457" s="1">
        <v>1</v>
      </c>
      <c r="CZ457" s="1">
        <f t="shared" si="441"/>
        <v>0</v>
      </c>
      <c r="DA457" s="1">
        <v>1</v>
      </c>
      <c r="DB457" s="1">
        <v>1</v>
      </c>
      <c r="DC457" s="1">
        <v>2</v>
      </c>
      <c r="DD457" s="1">
        <v>1</v>
      </c>
      <c r="DE457" s="1">
        <v>1</v>
      </c>
      <c r="DF457" s="1">
        <v>1</v>
      </c>
      <c r="DG457" s="1">
        <v>1</v>
      </c>
      <c r="DH457" s="1">
        <v>1</v>
      </c>
      <c r="DI457" s="1">
        <f t="shared" si="438"/>
        <v>0</v>
      </c>
      <c r="DJ457" s="1">
        <v>1</v>
      </c>
      <c r="DK457" s="1" t="s">
        <v>1153</v>
      </c>
      <c r="DL457" s="1" t="s">
        <v>170</v>
      </c>
      <c r="DQ457" s="1" t="b">
        <f>NOT(ISNA(MATCH("Sword, Bastard",TblProfList,0)))</f>
        <v>0</v>
      </c>
      <c r="DR457" s="1" t="b">
        <f>AND(AlignmentLawful,AlignmentNeutral)</f>
        <v>0</v>
      </c>
      <c r="DS457" s="1" t="b">
        <f>BaseWill&gt;=4</f>
        <v>0</v>
      </c>
      <c r="DT457" s="1" t="b">
        <f>SkDiplomacyRanks&gt;=5</f>
        <v>0</v>
      </c>
      <c r="DU457" s="1" t="b">
        <f>SkKnowledgePlanesRanks&gt;=5</f>
        <v>0</v>
      </c>
      <c r="DV457" s="1" t="b">
        <f>FtExtraTurning1</f>
        <v>0</v>
      </c>
      <c r="DW457" s="1" t="b">
        <f>OR(FreeGreatFortitude,FtGreatFortitude)</f>
        <v>0</v>
      </c>
      <c r="DY457" s="1" t="b">
        <f>Deity="Kelemvor"</f>
        <v>0</v>
      </c>
      <c r="EA457" s="1" t="b">
        <f t="shared" si="439"/>
        <v>0</v>
      </c>
      <c r="EB457" s="11" t="s">
        <v>338</v>
      </c>
      <c r="EC457" s="1" t="str">
        <f>IF(DR457,"","• Must be of Lawful Neutral Alignment.
")&amp;IF(DS457,"","• Base Will save bonus +4 or greater.
")&amp;IF(DT457,"","• 5 ranks in Diplomacy.
")&amp;IF(DU457,"","• 5 ranks in Knowledge (the planes).
")&amp;IF(DV457,"","• Extra Turning Feat.
")&amp;IF(DW457,"","• Great Fortitude feat.
")&amp;"• Ability to cast speak with dead as a divine spell (not verified).
"&amp;IF(DY457,"","• Patron Deity: Kelemvor.
")&amp;"• You must have destroyed an undead of 5 HD, whether by using weapons, spells, or positive energy. You do not need ot have done this alone. (not verified).
"&amp;IF(DQ457,"","• Must be proficient with the bastard sword.")</f>
        <v>• Must be of Lawful Neutral Alignment.
• Base Will save bonus +4 or greater.
• 5 ranks in Diplomacy.
• 5 ranks in Knowledge (the planes).
• Extra Turning Feat.
• Great Fortitude feat.
• Ability to cast speak with dead as a divine spell (not verified).
• Patron Deity: Kelemvor.
• You must have destroyed an undead of 5 HD, whether by using weapons, spells, or positive energy. You do not need ot have done this alone. (not verified).
• Must be proficient with the bastard sword.</v>
      </c>
      <c r="ED457" s="11" t="s">
        <v>335</v>
      </c>
    </row>
    <row r="458" spans="1:134" ht="11.25" customHeight="1" x14ac:dyDescent="0.2">
      <c r="A458" s="1">
        <f t="shared" si="432"/>
        <v>455</v>
      </c>
      <c r="B458" s="1" t="s">
        <v>1158</v>
      </c>
      <c r="C458" s="1" t="s">
        <v>1159</v>
      </c>
      <c r="D458" s="1" t="s">
        <v>1159</v>
      </c>
      <c r="E458" s="1">
        <f t="shared" si="408"/>
        <v>0</v>
      </c>
      <c r="G458" s="1">
        <f>DdMLvl</f>
        <v>0</v>
      </c>
      <c r="K458" s="1">
        <v>2</v>
      </c>
      <c r="L458" s="1">
        <v>8</v>
      </c>
      <c r="V458" s="1">
        <v>0.75</v>
      </c>
      <c r="W458" s="1">
        <v>0.5</v>
      </c>
      <c r="X458" s="1">
        <v>0.34</v>
      </c>
      <c r="Y458" s="1">
        <v>0.5</v>
      </c>
      <c r="Z458" s="1" t="b">
        <f>FALSE</f>
        <v>0</v>
      </c>
      <c r="AA458" s="1" t="str">
        <f t="shared" si="411"/>
        <v/>
      </c>
      <c r="AB458" s="1" t="str">
        <f t="shared" si="412"/>
        <v/>
      </c>
      <c r="AC458" s="1">
        <f t="shared" si="409"/>
        <v>0</v>
      </c>
      <c r="AD458" s="1" t="str">
        <f t="shared" si="413"/>
        <v/>
      </c>
      <c r="AE458" s="1" t="str">
        <f t="shared" si="414"/>
        <v/>
      </c>
      <c r="AF458" s="1">
        <f t="shared" si="410"/>
        <v>0</v>
      </c>
      <c r="AG458" s="1">
        <f t="shared" si="394"/>
        <v>5</v>
      </c>
      <c r="AH458" s="1" t="str">
        <f t="shared" si="393"/>
        <v/>
      </c>
      <c r="AI458" s="1">
        <v>1</v>
      </c>
      <c r="AJ458" s="1">
        <f t="shared" si="440"/>
        <v>0</v>
      </c>
      <c r="AK458" s="1">
        <v>1</v>
      </c>
      <c r="AL458" s="1">
        <v>2</v>
      </c>
      <c r="AM458" s="1">
        <v>1</v>
      </c>
      <c r="AN458" s="1">
        <f t="shared" si="433"/>
        <v>0</v>
      </c>
      <c r="AO458" s="1">
        <v>2</v>
      </c>
      <c r="AP458" s="1">
        <v>2</v>
      </c>
      <c r="AQ458" s="1">
        <v>2</v>
      </c>
      <c r="AR458" s="1">
        <v>2</v>
      </c>
      <c r="AS458" s="1">
        <v>2</v>
      </c>
      <c r="AT458" s="1">
        <v>2</v>
      </c>
      <c r="AU458" s="1">
        <v>2</v>
      </c>
      <c r="AV458" s="1">
        <v>2</v>
      </c>
      <c r="AW458" s="1">
        <v>1</v>
      </c>
      <c r="AX458" s="1">
        <v>2</v>
      </c>
      <c r="AY458" s="1">
        <v>1</v>
      </c>
      <c r="AZ458" s="1">
        <v>1</v>
      </c>
      <c r="BA458" s="1">
        <v>1</v>
      </c>
      <c r="BB458" s="1">
        <v>1</v>
      </c>
      <c r="BC458" s="1">
        <v>2</v>
      </c>
      <c r="BD458" s="1">
        <v>1</v>
      </c>
      <c r="BE458" s="1">
        <v>1</v>
      </c>
      <c r="BF458" s="1">
        <v>1</v>
      </c>
      <c r="BG458" s="1">
        <f t="shared" si="434"/>
        <v>0</v>
      </c>
      <c r="BH458" s="1">
        <f t="shared" si="435"/>
        <v>0</v>
      </c>
      <c r="BI458" s="1">
        <v>2</v>
      </c>
      <c r="BJ458" s="1">
        <v>1</v>
      </c>
      <c r="BK458" s="1">
        <v>2</v>
      </c>
      <c r="BL458" s="1">
        <v>1</v>
      </c>
      <c r="BM458" s="1">
        <v>1</v>
      </c>
      <c r="BN458" s="1">
        <v>2</v>
      </c>
      <c r="BO458" s="1">
        <v>2</v>
      </c>
      <c r="BP458" s="1">
        <f>1+NOT(HRLivingGreyhawk)</f>
        <v>2</v>
      </c>
      <c r="BQ458" s="1">
        <f>IF(HRRVL,1,0)</f>
        <v>0</v>
      </c>
      <c r="BR458" s="1">
        <v>1</v>
      </c>
      <c r="BS458" s="1">
        <v>2</v>
      </c>
      <c r="BT458" s="1">
        <f>IF(HRXPH,1,0)</f>
        <v>0</v>
      </c>
      <c r="BU458" s="1">
        <f>IF(HRRVL,2,0)</f>
        <v>0</v>
      </c>
      <c r="BV458" s="1">
        <v>2</v>
      </c>
      <c r="BW458" s="1">
        <v>1</v>
      </c>
      <c r="BX458" s="1">
        <v>1</v>
      </c>
      <c r="BY458" s="1">
        <v>1</v>
      </c>
      <c r="BZ458" s="1">
        <v>1</v>
      </c>
      <c r="CA458" s="1">
        <v>1</v>
      </c>
      <c r="CB458" s="1">
        <v>1</v>
      </c>
      <c r="CC458" s="1">
        <v>1</v>
      </c>
      <c r="CD458" s="1">
        <v>1</v>
      </c>
      <c r="CE458" s="1">
        <v>1</v>
      </c>
      <c r="CF458" s="1">
        <v>1</v>
      </c>
      <c r="CG458" s="1">
        <f t="shared" si="436"/>
        <v>0</v>
      </c>
      <c r="CH458" s="1">
        <v>1</v>
      </c>
      <c r="CI458" s="1">
        <v>1</v>
      </c>
      <c r="CJ458" s="1">
        <v>1</v>
      </c>
      <c r="CK458" s="1">
        <v>1</v>
      </c>
      <c r="CL458" s="1">
        <v>1</v>
      </c>
      <c r="CM458" s="1">
        <v>1</v>
      </c>
      <c r="CN458" s="1">
        <v>1</v>
      </c>
      <c r="CO458" s="1">
        <v>1</v>
      </c>
      <c r="CP458" s="1">
        <v>2</v>
      </c>
      <c r="CQ458" s="1">
        <v>2</v>
      </c>
      <c r="CR458" s="1">
        <v>2</v>
      </c>
      <c r="CS458" s="1">
        <v>2</v>
      </c>
      <c r="CT458" s="1">
        <v>2</v>
      </c>
      <c r="CU458" s="1">
        <v>2</v>
      </c>
      <c r="CV458" s="1">
        <f t="shared" si="437"/>
        <v>0</v>
      </c>
      <c r="CW458" s="1">
        <v>2</v>
      </c>
      <c r="CX458" s="1">
        <v>1</v>
      </c>
      <c r="CY458" s="1">
        <v>2</v>
      </c>
      <c r="CZ458" s="1">
        <f t="shared" si="441"/>
        <v>0</v>
      </c>
      <c r="DA458" s="1">
        <v>1</v>
      </c>
      <c r="DB458" s="1">
        <v>2</v>
      </c>
      <c r="DC458" s="1">
        <v>2</v>
      </c>
      <c r="DD458" s="1">
        <v>1</v>
      </c>
      <c r="DE458" s="1">
        <v>1</v>
      </c>
      <c r="DF458" s="1">
        <v>1</v>
      </c>
      <c r="DG458" s="1">
        <v>1</v>
      </c>
      <c r="DH458" s="1">
        <v>1</v>
      </c>
      <c r="DI458" s="1">
        <f t="shared" si="438"/>
        <v>0</v>
      </c>
      <c r="DJ458" s="1">
        <v>1</v>
      </c>
      <c r="DK458" s="1" t="s">
        <v>1153</v>
      </c>
      <c r="DL458" s="1" t="s">
        <v>170</v>
      </c>
      <c r="DR458" s="1" t="b">
        <f>AND(AlignmentLawful,AlignmentEvil)</f>
        <v>0</v>
      </c>
      <c r="DS458" s="1" t="b">
        <f>BaseAtk&gt;=4</f>
        <v>0</v>
      </c>
      <c r="DT458" s="1" t="b">
        <f>SkIntimidateRanks&gt;=4</f>
        <v>0</v>
      </c>
      <c r="DU458" s="1" t="b">
        <f>SkSenseMotiveRanks&gt;=4</f>
        <v>0</v>
      </c>
      <c r="DV458" s="1" t="b">
        <f>FtLeadership</f>
        <v>0</v>
      </c>
      <c r="DW458" s="1" t="b">
        <f>NOT(ISNA(MATCH("Intimidate*",TblSkillFocus,0)))</f>
        <v>0</v>
      </c>
      <c r="DX458" s="1" t="b">
        <f>NOT(ISNA(MATCH("Enchantment",TblSpellFocus,0)))</f>
        <v>0</v>
      </c>
      <c r="DY458" s="1" t="b">
        <f ca="1">MaxDivineSpellLevel&gt;=3</f>
        <v>0</v>
      </c>
      <c r="DZ458" s="1" t="b">
        <f>Deity="Bane"</f>
        <v>0</v>
      </c>
      <c r="EA458" s="1" t="b">
        <f t="shared" ca="1" si="439"/>
        <v>0</v>
      </c>
      <c r="EB458" s="11" t="s">
        <v>338</v>
      </c>
      <c r="EC458" s="1" t="str">
        <f ca="1">IF(DR458,"","• Must be of Lawful Evil Alignment.
")&amp;IF(DS458,"","• Base Attack bonus +4 or greater.
")&amp;IF(DT458,"","• 5 ranks in Intimidate.
")&amp;IF(DU458,"","• 5 ranks in Sense Motive.
")&amp;IF(DV458,"","• Leadership feat.
")&amp;IF(DW458,"","• Skill Focus (Intimidate) feat.
")&amp;IF(DX458,"","• Spell Focus (Enchantment) feat.
")&amp;IF(DY458,"","• Ability to cast 3rd-level Divine spells.
")&amp;IF(DZ458,"","• Patron Deity: Bane.
")&amp;"• A Cohort of at least 6th level (not verified)."</f>
        <v>• Must be of Lawful Evil Alignment.
• Base Attack bonus +4 or greater.
• 5 ranks in Intimidate.
• 5 ranks in Sense Motive.
• Leadership feat.
• Skill Focus (Intimidate) feat.
• Spell Focus (Enchantment) feat.
• Ability to cast 3rd-level Divine spells.
• Patron Deity: Bane.
• A Cohort of at least 6th level (not verified).</v>
      </c>
      <c r="ED458" s="11" t="s">
        <v>335</v>
      </c>
    </row>
    <row r="459" spans="1:134" ht="11.25" customHeight="1" x14ac:dyDescent="0.2">
      <c r="A459" s="1">
        <f t="shared" si="432"/>
        <v>456</v>
      </c>
      <c r="B459" s="1" t="s">
        <v>1160</v>
      </c>
      <c r="C459" s="1" t="s">
        <v>583</v>
      </c>
      <c r="D459" s="1" t="s">
        <v>583</v>
      </c>
      <c r="E459" s="1">
        <f t="shared" si="408"/>
        <v>0</v>
      </c>
      <c r="G459" s="1">
        <f>ElALvl-(ElALvl&gt;=3)-(ElALvl&gt;=6)-(ElALvl&gt;=9)</f>
        <v>0</v>
      </c>
      <c r="K459" s="1">
        <v>2</v>
      </c>
      <c r="L459" s="1">
        <v>8</v>
      </c>
      <c r="V459" s="1">
        <v>0.75</v>
      </c>
      <c r="W459" s="1">
        <v>0.5</v>
      </c>
      <c r="X459" s="1">
        <v>0.34</v>
      </c>
      <c r="Y459" s="1">
        <v>0.5</v>
      </c>
      <c r="Z459" s="1" t="b">
        <f>FALSE</f>
        <v>0</v>
      </c>
      <c r="AA459" s="1" t="str">
        <f t="shared" si="411"/>
        <v/>
      </c>
      <c r="AB459" s="1" t="str">
        <f t="shared" si="412"/>
        <v/>
      </c>
      <c r="AC459" s="1">
        <f t="shared" si="409"/>
        <v>0</v>
      </c>
      <c r="AD459" s="1" t="str">
        <f t="shared" si="413"/>
        <v/>
      </c>
      <c r="AE459" s="1" t="str">
        <f t="shared" si="414"/>
        <v/>
      </c>
      <c r="AF459" s="1">
        <f t="shared" si="410"/>
        <v>0</v>
      </c>
      <c r="AG459" s="1">
        <f>IF($AC459&gt;0,$AG167+1,$AG167)</f>
        <v>5</v>
      </c>
      <c r="AH459" s="1" t="str">
        <f t="shared" si="393"/>
        <v/>
      </c>
      <c r="AI459" s="1">
        <v>1</v>
      </c>
      <c r="AJ459" s="1">
        <f t="shared" si="440"/>
        <v>0</v>
      </c>
      <c r="AK459" s="1">
        <v>1</v>
      </c>
      <c r="AL459" s="1">
        <v>1</v>
      </c>
      <c r="AM459" s="1">
        <v>1</v>
      </c>
      <c r="AN459" s="1">
        <f t="shared" si="433"/>
        <v>0</v>
      </c>
      <c r="AO459" s="1">
        <v>2</v>
      </c>
      <c r="AP459" s="1">
        <v>1</v>
      </c>
      <c r="AQ459" s="1">
        <v>1</v>
      </c>
      <c r="AR459" s="1">
        <v>1</v>
      </c>
      <c r="AS459" s="1">
        <v>1</v>
      </c>
      <c r="AT459" s="1">
        <v>1</v>
      </c>
      <c r="AU459" s="1">
        <v>1</v>
      </c>
      <c r="AV459" s="1">
        <v>1</v>
      </c>
      <c r="AW459" s="1">
        <v>1</v>
      </c>
      <c r="AX459" s="1">
        <v>1</v>
      </c>
      <c r="AY459" s="1">
        <v>1</v>
      </c>
      <c r="AZ459" s="1">
        <v>1</v>
      </c>
      <c r="BA459" s="1">
        <v>1</v>
      </c>
      <c r="BB459" s="1">
        <v>1</v>
      </c>
      <c r="BC459" s="1">
        <v>1</v>
      </c>
      <c r="BD459" s="1">
        <v>2</v>
      </c>
      <c r="BE459" s="1">
        <v>2</v>
      </c>
      <c r="BF459" s="1">
        <v>1</v>
      </c>
      <c r="BG459" s="1">
        <f t="shared" si="434"/>
        <v>0</v>
      </c>
      <c r="BH459" s="1">
        <f t="shared" si="435"/>
        <v>0</v>
      </c>
      <c r="BI459" s="1">
        <v>1</v>
      </c>
      <c r="BJ459" s="1">
        <v>1</v>
      </c>
      <c r="BK459" s="1">
        <v>1</v>
      </c>
      <c r="BL459" s="1">
        <v>1</v>
      </c>
      <c r="BM459" s="1">
        <v>1</v>
      </c>
      <c r="BN459" s="1">
        <v>1</v>
      </c>
      <c r="BO459" s="1">
        <v>1</v>
      </c>
      <c r="BP459" s="1">
        <v>1</v>
      </c>
      <c r="BQ459" s="1">
        <f>IF(HRRVL,2,0)</f>
        <v>0</v>
      </c>
      <c r="BR459" s="1">
        <v>2</v>
      </c>
      <c r="BS459" s="1">
        <v>1</v>
      </c>
      <c r="BT459" s="1">
        <f t="shared" ref="BT459:BT472" si="442">IF(HRXPH,1,0)</f>
        <v>0</v>
      </c>
      <c r="BU459" s="1">
        <f>IF(HRRVL,1,0)</f>
        <v>0</v>
      </c>
      <c r="BV459" s="1">
        <v>1</v>
      </c>
      <c r="BW459" s="1">
        <v>2</v>
      </c>
      <c r="BX459" s="1">
        <v>1</v>
      </c>
      <c r="BY459" s="1">
        <v>1</v>
      </c>
      <c r="BZ459" s="1">
        <v>1</v>
      </c>
      <c r="CA459" s="1">
        <v>1</v>
      </c>
      <c r="CB459" s="1">
        <v>1</v>
      </c>
      <c r="CC459" s="1">
        <v>1</v>
      </c>
      <c r="CD459" s="1">
        <v>1</v>
      </c>
      <c r="CE459" s="1">
        <v>1</v>
      </c>
      <c r="CF459" s="1">
        <v>1</v>
      </c>
      <c r="CG459" s="1">
        <f t="shared" si="436"/>
        <v>0</v>
      </c>
      <c r="CH459" s="1">
        <v>1</v>
      </c>
      <c r="CI459" s="1">
        <v>1</v>
      </c>
      <c r="CJ459" s="1">
        <v>1</v>
      </c>
      <c r="CK459" s="1">
        <v>1</v>
      </c>
      <c r="CL459" s="1">
        <v>1</v>
      </c>
      <c r="CM459" s="1">
        <v>1</v>
      </c>
      <c r="CN459" s="1">
        <v>1</v>
      </c>
      <c r="CO459" s="1">
        <v>1</v>
      </c>
      <c r="CP459" s="1">
        <v>1</v>
      </c>
      <c r="CQ459" s="1">
        <v>1</v>
      </c>
      <c r="CR459" s="1">
        <v>1</v>
      </c>
      <c r="CS459" s="1">
        <v>1</v>
      </c>
      <c r="CT459" s="1">
        <v>1</v>
      </c>
      <c r="CU459" s="1">
        <v>1</v>
      </c>
      <c r="CV459" s="1">
        <f t="shared" si="437"/>
        <v>0</v>
      </c>
      <c r="CW459" s="1">
        <v>1</v>
      </c>
      <c r="CX459" s="1">
        <v>1</v>
      </c>
      <c r="CY459" s="1">
        <v>1</v>
      </c>
      <c r="CZ459" s="1">
        <f t="shared" si="441"/>
        <v>0</v>
      </c>
      <c r="DA459" s="1">
        <v>1</v>
      </c>
      <c r="DB459" s="1">
        <v>1</v>
      </c>
      <c r="DC459" s="1">
        <v>2</v>
      </c>
      <c r="DD459" s="1">
        <v>1</v>
      </c>
      <c r="DE459" s="1">
        <v>2</v>
      </c>
      <c r="DF459" s="1">
        <v>2</v>
      </c>
      <c r="DG459" s="1">
        <v>1</v>
      </c>
      <c r="DH459" s="1">
        <v>1</v>
      </c>
      <c r="DI459" s="1">
        <f t="shared" si="438"/>
        <v>0</v>
      </c>
      <c r="DJ459" s="1">
        <v>1</v>
      </c>
      <c r="DK459" s="1" t="s">
        <v>1153</v>
      </c>
      <c r="DL459" s="1" t="s">
        <v>170</v>
      </c>
      <c r="DR459" s="1" t="b">
        <f>AlignmentNeutral</f>
        <v>0</v>
      </c>
      <c r="DS459" s="1" t="b">
        <f>SkKnowledgeNatureRanks&gt;=8</f>
        <v>0</v>
      </c>
      <c r="DT459" s="1" t="b">
        <f>OR(NOT(ISNA(MATCH("Auran",TblLangKnown,0))),OR(NOT(ISNA(MATCH("Terran",TblLangKnown,0))),OR(NOT(ISNA(MATCH("Ignan",TblLangKnown,0))),NOT(ISNA(MATCH("Aquan",TblLangKnown,0))))))</f>
        <v>0</v>
      </c>
      <c r="DV459" s="1" t="b">
        <f>OR(Deity="Akadi",OR(Deity="Kossuth",OR(Deity="Grumbar",Deity="Istishi")))</f>
        <v>0</v>
      </c>
      <c r="EA459" s="1" t="b">
        <f t="shared" si="439"/>
        <v>0</v>
      </c>
      <c r="EB459" s="11" t="s">
        <v>338</v>
      </c>
      <c r="EC459" s="1" t="str">
        <f>IF(DR459,"","• Must be of Any Neutral Alignment.
")&amp;IF(DS459,"","• 8 ranks in Knowledge (nature).
")&amp;IF(DT459,"","• You must speak Auran, Terran, Ignan or Aquan.
")&amp;"• Ability to cast protection from elements as a divine spell (not verified).
"&amp;IF(DV459,"","• Patron Deity must be Akadi, Grumbar, Kossuth, or Istishi.")</f>
        <v>• Must be of Any Neutral Alignment.
• 8 ranks in Knowledge (nature).
• You must speak Auran, Terran, Ignan or Aquan.
• Ability to cast protection from elements as a divine spell (not verified).
• Patron Deity must be Akadi, Grumbar, Kossuth, or Istishi.</v>
      </c>
      <c r="ED459" s="11" t="s">
        <v>335</v>
      </c>
    </row>
    <row r="460" spans="1:134" ht="11.25" customHeight="1" x14ac:dyDescent="0.2">
      <c r="A460" s="1">
        <f t="shared" si="432"/>
        <v>457</v>
      </c>
      <c r="B460" s="1" t="s">
        <v>1161</v>
      </c>
      <c r="C460" s="1" t="s">
        <v>255</v>
      </c>
      <c r="D460" s="1" t="s">
        <v>255</v>
      </c>
      <c r="E460" s="1">
        <f t="shared" si="408"/>
        <v>0</v>
      </c>
      <c r="G460" s="1">
        <f>FrMLvl-(FrMLvl&gt;=4)-(FrMLvl&gt;=8)</f>
        <v>0</v>
      </c>
      <c r="K460" s="1">
        <v>2</v>
      </c>
      <c r="L460" s="1">
        <v>8</v>
      </c>
      <c r="V460" s="1">
        <v>0.75</v>
      </c>
      <c r="W460" s="1">
        <v>0.5</v>
      </c>
      <c r="X460" s="1">
        <v>0.34</v>
      </c>
      <c r="Y460" s="1">
        <v>0.5</v>
      </c>
      <c r="Z460" s="1" t="b">
        <f>FALSE</f>
        <v>0</v>
      </c>
      <c r="AA460" s="1" t="str">
        <f t="shared" si="411"/>
        <v/>
      </c>
      <c r="AB460" s="1" t="str">
        <f t="shared" si="412"/>
        <v/>
      </c>
      <c r="AC460" s="1">
        <f t="shared" si="409"/>
        <v>0</v>
      </c>
      <c r="AD460" s="1" t="str">
        <f t="shared" si="413"/>
        <v/>
      </c>
      <c r="AE460" s="1" t="str">
        <f t="shared" si="414"/>
        <v/>
      </c>
      <c r="AF460" s="1">
        <f t="shared" si="410"/>
        <v>0</v>
      </c>
      <c r="AG460" s="1">
        <f t="shared" si="394"/>
        <v>5</v>
      </c>
      <c r="AH460" s="1" t="str">
        <f t="shared" si="393"/>
        <v/>
      </c>
      <c r="AI460" s="1">
        <v>1</v>
      </c>
      <c r="AJ460" s="1">
        <f t="shared" si="440"/>
        <v>0</v>
      </c>
      <c r="AK460" s="1">
        <v>1</v>
      </c>
      <c r="AL460" s="1">
        <v>1</v>
      </c>
      <c r="AM460" s="1">
        <v>1</v>
      </c>
      <c r="AN460" s="1">
        <f t="shared" si="433"/>
        <v>0</v>
      </c>
      <c r="AO460" s="1">
        <v>2</v>
      </c>
      <c r="AP460" s="1">
        <v>1</v>
      </c>
      <c r="AQ460" s="1">
        <v>1</v>
      </c>
      <c r="AR460" s="1">
        <v>1</v>
      </c>
      <c r="AS460" s="1">
        <v>1</v>
      </c>
      <c r="AT460" s="1">
        <v>1</v>
      </c>
      <c r="AU460" s="1">
        <v>1</v>
      </c>
      <c r="AV460" s="1">
        <v>1</v>
      </c>
      <c r="AW460" s="1">
        <v>1</v>
      </c>
      <c r="AX460" s="1">
        <v>1</v>
      </c>
      <c r="AY460" s="1">
        <v>1</v>
      </c>
      <c r="AZ460" s="1">
        <v>1</v>
      </c>
      <c r="BA460" s="1">
        <v>1</v>
      </c>
      <c r="BB460" s="1">
        <v>1</v>
      </c>
      <c r="BC460" s="1">
        <v>1</v>
      </c>
      <c r="BD460" s="1">
        <v>1</v>
      </c>
      <c r="BE460" s="1">
        <v>2</v>
      </c>
      <c r="BF460" s="1">
        <v>2</v>
      </c>
      <c r="BG460" s="1">
        <f t="shared" si="434"/>
        <v>0</v>
      </c>
      <c r="BH460" s="1">
        <f t="shared" si="435"/>
        <v>0</v>
      </c>
      <c r="BI460" s="1">
        <v>2</v>
      </c>
      <c r="BJ460" s="1">
        <v>1</v>
      </c>
      <c r="BK460" s="1">
        <v>1</v>
      </c>
      <c r="BL460" s="1">
        <v>1</v>
      </c>
      <c r="BM460" s="1">
        <v>1</v>
      </c>
      <c r="BN460" s="1">
        <v>2</v>
      </c>
      <c r="BO460" s="1">
        <v>1</v>
      </c>
      <c r="BP460" s="1">
        <v>1</v>
      </c>
      <c r="BQ460" s="1">
        <f>IF(HRRVL,2,0)</f>
        <v>0</v>
      </c>
      <c r="BR460" s="1">
        <v>2</v>
      </c>
      <c r="BS460" s="1">
        <v>1</v>
      </c>
      <c r="BT460" s="1">
        <f t="shared" si="442"/>
        <v>0</v>
      </c>
      <c r="BU460" s="1">
        <f>IF(HRRVL,1,0)</f>
        <v>0</v>
      </c>
      <c r="BV460" s="1">
        <v>1</v>
      </c>
      <c r="BW460" s="1">
        <v>1</v>
      </c>
      <c r="BX460" s="1">
        <v>1</v>
      </c>
      <c r="BY460" s="1">
        <v>1</v>
      </c>
      <c r="BZ460" s="1">
        <v>1</v>
      </c>
      <c r="CA460" s="1">
        <v>1</v>
      </c>
      <c r="CB460" s="1">
        <v>1</v>
      </c>
      <c r="CC460" s="1">
        <v>1</v>
      </c>
      <c r="CD460" s="1">
        <v>1</v>
      </c>
      <c r="CE460" s="1">
        <v>1</v>
      </c>
      <c r="CF460" s="1">
        <v>2</v>
      </c>
      <c r="CG460" s="1">
        <f t="shared" si="436"/>
        <v>0</v>
      </c>
      <c r="CH460" s="1">
        <v>2</v>
      </c>
      <c r="CI460" s="1">
        <v>1</v>
      </c>
      <c r="CJ460" s="1">
        <v>1</v>
      </c>
      <c r="CK460" s="1">
        <v>1</v>
      </c>
      <c r="CL460" s="1">
        <v>1</v>
      </c>
      <c r="CM460" s="1">
        <v>1</v>
      </c>
      <c r="CN460" s="1">
        <v>1</v>
      </c>
      <c r="CO460" s="1">
        <v>1</v>
      </c>
      <c r="CP460" s="1">
        <v>1</v>
      </c>
      <c r="CQ460" s="1">
        <v>1</v>
      </c>
      <c r="CR460" s="1">
        <v>1</v>
      </c>
      <c r="CS460" s="1">
        <v>1</v>
      </c>
      <c r="CT460" s="1">
        <v>1</v>
      </c>
      <c r="CU460" s="1">
        <v>1</v>
      </c>
      <c r="CV460" s="1">
        <f t="shared" si="437"/>
        <v>0</v>
      </c>
      <c r="CW460" s="1">
        <v>1</v>
      </c>
      <c r="CX460" s="1">
        <v>1</v>
      </c>
      <c r="CY460" s="1">
        <v>1</v>
      </c>
      <c r="CZ460" s="1">
        <f t="shared" si="441"/>
        <v>0</v>
      </c>
      <c r="DA460" s="1">
        <v>1</v>
      </c>
      <c r="DB460" s="1">
        <v>1</v>
      </c>
      <c r="DC460" s="1">
        <v>1</v>
      </c>
      <c r="DD460" s="1">
        <v>2</v>
      </c>
      <c r="DE460" s="1">
        <v>2</v>
      </c>
      <c r="DF460" s="1">
        <v>2</v>
      </c>
      <c r="DG460" s="1">
        <v>1</v>
      </c>
      <c r="DH460" s="1">
        <v>1</v>
      </c>
      <c r="DI460" s="1">
        <f t="shared" si="438"/>
        <v>0</v>
      </c>
      <c r="DJ460" s="1">
        <v>1</v>
      </c>
      <c r="DK460" s="1" t="s">
        <v>1153</v>
      </c>
      <c r="DL460" s="1" t="s">
        <v>170</v>
      </c>
      <c r="DQ460" s="1" t="b">
        <f>NOT(ISNA(MATCH("Maul",TblProfList,0)))</f>
        <v>0</v>
      </c>
      <c r="DR460" s="1" t="b">
        <f>SkKnowledgeNatureRanks&gt;=8</f>
        <v>0</v>
      </c>
      <c r="DS460" s="1" t="b">
        <f>SkSurvivalRanks&gt;=13</f>
        <v>0</v>
      </c>
      <c r="DT460" s="1" t="b">
        <f>OR(FreeAlertness,FtAlertness)</f>
        <v>0</v>
      </c>
      <c r="DU460" s="1" t="b">
        <f>OR(FtEndurance,FtKoboldEndurance)</f>
        <v>0</v>
      </c>
      <c r="DV460" s="1" t="b">
        <f>FtPowerAttackEquiv</f>
        <v>0</v>
      </c>
      <c r="DW460" s="1" t="b">
        <f>NOT(ISNA(MATCH("Survival*",TblSkillFocus,0)))</f>
        <v>0</v>
      </c>
      <c r="DY460" s="1" t="b">
        <f>Deity="Silvanus"</f>
        <v>0</v>
      </c>
      <c r="EA460" s="1" t="b">
        <f t="shared" si="439"/>
        <v>0</v>
      </c>
      <c r="EB460" s="11" t="s">
        <v>338</v>
      </c>
      <c r="EC460" s="1" t="str">
        <f>IF(DR460,"","• 8 ranks in Knowledge (nature).
")&amp;IF(DS460,"","• 13 ranks in Survival.
")&amp;IF(DT460,"","• Alertness Feat.
")&amp;IF(DU460,"","• Endurance Feat.
")&amp;IF(DV460,"","• Power Attack Feat.
")&amp;IF(DW460,"","• Skill Focus (Survival) Feat.
")&amp;"• Ability to cast Entangle, Plant Growth, and Control Plants (not verified).
"&amp;IF(DY460,"","• Patron Deity: Silvanus.
")&amp;"• You must have made peaceful contact with a Treant (not verified).
"&amp;IF(DQ460,"","• Must be proficient with the maul.")</f>
        <v>• 8 ranks in Knowledge (nature).
• 13 ranks in Survival.
• Alertness Feat.
• Endurance Feat.
• Power Attack Feat.
• Skill Focus (Survival) Feat.
• Ability to cast Entangle, Plant Growth, and Control Plants (not verified).
• Patron Deity: Silvanus.
• You must have made peaceful contact with a Treant (not verified).
• Must be proficient with the maul.</v>
      </c>
      <c r="ED460" s="11" t="s">
        <v>335</v>
      </c>
    </row>
    <row r="461" spans="1:134" ht="11.25" customHeight="1" x14ac:dyDescent="0.2">
      <c r="A461" s="1">
        <f t="shared" si="432"/>
        <v>458</v>
      </c>
      <c r="B461" s="1" t="s">
        <v>1162</v>
      </c>
      <c r="C461" s="1" t="s">
        <v>1163</v>
      </c>
      <c r="D461" s="1" t="s">
        <v>1163</v>
      </c>
      <c r="E461" s="1">
        <f t="shared" si="408"/>
        <v>0</v>
      </c>
      <c r="G461" s="1">
        <f>GdELvl</f>
        <v>0</v>
      </c>
      <c r="K461" s="1">
        <v>4</v>
      </c>
      <c r="L461" s="1">
        <v>8</v>
      </c>
      <c r="V461" s="1">
        <v>0.75</v>
      </c>
      <c r="W461" s="1">
        <v>0.5</v>
      </c>
      <c r="X461" s="1">
        <v>0.5</v>
      </c>
      <c r="Y461" s="1">
        <v>0.34</v>
      </c>
      <c r="Z461" s="1" t="b">
        <f>FALSE</f>
        <v>0</v>
      </c>
      <c r="AA461" s="1" t="str">
        <f t="shared" si="411"/>
        <v/>
      </c>
      <c r="AB461" s="1" t="str">
        <f t="shared" si="412"/>
        <v/>
      </c>
      <c r="AC461" s="1">
        <f t="shared" si="409"/>
        <v>0</v>
      </c>
      <c r="AD461" s="1" t="str">
        <f t="shared" si="413"/>
        <v/>
      </c>
      <c r="AE461" s="1" t="str">
        <f t="shared" si="414"/>
        <v/>
      </c>
      <c r="AF461" s="1">
        <f t="shared" si="410"/>
        <v>0</v>
      </c>
      <c r="AG461" s="1">
        <f t="shared" si="394"/>
        <v>5</v>
      </c>
      <c r="AH461" s="1" t="str">
        <f t="shared" si="393"/>
        <v/>
      </c>
      <c r="AI461" s="1">
        <v>2</v>
      </c>
      <c r="AJ461" s="1">
        <f t="shared" si="440"/>
        <v>0</v>
      </c>
      <c r="AK461" s="1">
        <v>1</v>
      </c>
      <c r="AL461" s="1">
        <v>2</v>
      </c>
      <c r="AM461" s="1">
        <v>1</v>
      </c>
      <c r="AN461" s="1">
        <f t="shared" si="433"/>
        <v>0</v>
      </c>
      <c r="AO461" s="1">
        <v>2</v>
      </c>
      <c r="AP461" s="1">
        <v>1</v>
      </c>
      <c r="AQ461" s="1">
        <v>1</v>
      </c>
      <c r="AR461" s="1">
        <v>1</v>
      </c>
      <c r="AS461" s="1">
        <v>1</v>
      </c>
      <c r="AT461" s="1">
        <v>1</v>
      </c>
      <c r="AU461" s="1">
        <v>1</v>
      </c>
      <c r="AV461" s="1">
        <v>1</v>
      </c>
      <c r="AW461" s="1">
        <v>1</v>
      </c>
      <c r="AX461" s="1">
        <v>2</v>
      </c>
      <c r="AY461" s="1">
        <v>1</v>
      </c>
      <c r="AZ461" s="1">
        <v>1</v>
      </c>
      <c r="BA461" s="1">
        <v>1</v>
      </c>
      <c r="BB461" s="1">
        <v>2</v>
      </c>
      <c r="BC461" s="1">
        <v>2</v>
      </c>
      <c r="BD461" s="1">
        <v>1</v>
      </c>
      <c r="BE461" s="1">
        <v>1</v>
      </c>
      <c r="BF461" s="1">
        <v>1</v>
      </c>
      <c r="BG461" s="1">
        <f t="shared" si="434"/>
        <v>0</v>
      </c>
      <c r="BH461" s="1">
        <f t="shared" si="435"/>
        <v>0</v>
      </c>
      <c r="BI461" s="1">
        <v>2</v>
      </c>
      <c r="BJ461" s="1">
        <v>1</v>
      </c>
      <c r="BK461" s="1">
        <v>1</v>
      </c>
      <c r="BL461" s="1">
        <v>1</v>
      </c>
      <c r="BM461" s="1">
        <v>1</v>
      </c>
      <c r="BN461" s="1">
        <v>2</v>
      </c>
      <c r="BO461" s="1">
        <v>2</v>
      </c>
      <c r="BP461" s="1">
        <f>1+NOT(HRLivingGreyhawk)</f>
        <v>2</v>
      </c>
      <c r="BQ461" s="1">
        <f>IF(HRRVL,1,0)</f>
        <v>0</v>
      </c>
      <c r="BR461" s="1">
        <v>1</v>
      </c>
      <c r="BS461" s="1">
        <v>2</v>
      </c>
      <c r="BT461" s="1">
        <f t="shared" si="442"/>
        <v>0</v>
      </c>
      <c r="BU461" s="1">
        <f t="shared" ref="BU461:BU470" si="443">IF(HRRVL,2,0)</f>
        <v>0</v>
      </c>
      <c r="BV461" s="1">
        <v>2</v>
      </c>
      <c r="BW461" s="1">
        <v>1</v>
      </c>
      <c r="BX461" s="1">
        <v>1</v>
      </c>
      <c r="BY461" s="1">
        <v>1</v>
      </c>
      <c r="BZ461" s="1">
        <v>1</v>
      </c>
      <c r="CA461" s="1">
        <v>1</v>
      </c>
      <c r="CB461" s="1">
        <v>1</v>
      </c>
      <c r="CC461" s="1">
        <v>1</v>
      </c>
      <c r="CD461" s="1">
        <v>1</v>
      </c>
      <c r="CE461" s="1">
        <v>1</v>
      </c>
      <c r="CF461" s="1">
        <v>2</v>
      </c>
      <c r="CG461" s="1">
        <f t="shared" si="436"/>
        <v>0</v>
      </c>
      <c r="CH461" s="1">
        <v>1</v>
      </c>
      <c r="CI461" s="1">
        <v>2</v>
      </c>
      <c r="CJ461" s="1">
        <v>1</v>
      </c>
      <c r="CK461" s="1">
        <v>1</v>
      </c>
      <c r="CL461" s="1">
        <v>1</v>
      </c>
      <c r="CM461" s="1">
        <v>1</v>
      </c>
      <c r="CN461" s="1">
        <v>1</v>
      </c>
      <c r="CO461" s="1">
        <v>1</v>
      </c>
      <c r="CP461" s="1">
        <v>2</v>
      </c>
      <c r="CQ461" s="1">
        <v>2</v>
      </c>
      <c r="CR461" s="1">
        <v>2</v>
      </c>
      <c r="CS461" s="1">
        <v>2</v>
      </c>
      <c r="CT461" s="1">
        <v>2</v>
      </c>
      <c r="CU461" s="1">
        <v>2</v>
      </c>
      <c r="CV461" s="1">
        <f t="shared" si="437"/>
        <v>0</v>
      </c>
      <c r="CW461" s="1">
        <v>1</v>
      </c>
      <c r="CX461" s="1">
        <v>1</v>
      </c>
      <c r="CY461" s="1">
        <v>2</v>
      </c>
      <c r="CZ461" s="1">
        <f t="shared" si="441"/>
        <v>0</v>
      </c>
      <c r="DA461" s="1">
        <v>1</v>
      </c>
      <c r="DB461" s="1">
        <v>1</v>
      </c>
      <c r="DC461" s="1">
        <v>1</v>
      </c>
      <c r="DD461" s="1">
        <v>1</v>
      </c>
      <c r="DE461" s="1">
        <v>1</v>
      </c>
      <c r="DF461" s="1">
        <v>1</v>
      </c>
      <c r="DG461" s="1">
        <v>1</v>
      </c>
      <c r="DH461" s="1">
        <v>1</v>
      </c>
      <c r="DI461" s="1">
        <f t="shared" si="438"/>
        <v>0</v>
      </c>
      <c r="DJ461" s="1">
        <v>1</v>
      </c>
      <c r="DK461" s="1" t="s">
        <v>1153</v>
      </c>
      <c r="DL461" s="1" t="s">
        <v>170</v>
      </c>
      <c r="DP461" s="1" t="b">
        <f>AlignmentTrueNeutral</f>
        <v>0</v>
      </c>
      <c r="DQ461" s="1" t="b">
        <f>SkAppraiseRanks&gt;=4</f>
        <v>0</v>
      </c>
      <c r="DR461" s="1" t="b">
        <f>SkDiplomacyRanks&gt;=4</f>
        <v>0</v>
      </c>
      <c r="DS461" s="1" t="b">
        <f>SkProfessionRanks&gt;=4</f>
        <v>0</v>
      </c>
      <c r="DT461" s="1" t="b">
        <f>SkSpeakLanguageRanks&gt;=2</f>
        <v>0</v>
      </c>
      <c r="DU461" s="1" t="b">
        <f>OR(FreeAlertness,FtAlertness)</f>
        <v>0</v>
      </c>
      <c r="DV461" s="1" t="b">
        <f>NOT(ISNA(MATCH("Nunchaku",TblProfList,0)))</f>
        <v>0</v>
      </c>
      <c r="DW461" s="1" t="b">
        <f>NOT(ISNA(MATCH("Diplomacy*",TblSkillFocus,0)))</f>
        <v>0</v>
      </c>
      <c r="DX461" s="1" t="b">
        <f ca="1">MaxDivineSpellLevel&gt;=3</f>
        <v>0</v>
      </c>
      <c r="DY461" s="1" t="b">
        <f>Deity="Waukeen"</f>
        <v>0</v>
      </c>
      <c r="EA461" s="1" t="b">
        <f t="shared" ca="1" si="439"/>
        <v>0</v>
      </c>
      <c r="EB461" s="11" t="s">
        <v>338</v>
      </c>
      <c r="EC461" s="1" t="str">
        <f ca="1">IF(DP461,"","• Must be of Neutral Alignment.
")&amp;IF(DQ461,"","• 4 ranks in Appraise.
")&amp;IF(DR461,"","• 4 ranks in Diplomacy.
")&amp;IF(DS461,"","• 4 ranks in a Profession.
")&amp;IF(DT461,"","• You must speak two different languages.
")&amp;IF(DU461,"","• Alertness Feat.
")&amp;IF(DV461,"","• Exotic Weapon Proficiency (nunchaku) Feat.
")&amp;IF(DW461,"","• Skill Focus (Diplomacy) Feat.
")&amp;IF(DX461,"","• Ability to cast 3rd-level Divine spells.
")&amp;IF(DY461,"","• Patron Deity: Waukeen.
")&amp;"• Must have aquired at least 5,000 gp worth of coins, gems, jewelry, and/or business investments (not verified)."</f>
        <v>• Must be of Neutral Alignment.
• 4 ranks in Appraise.
• 4 ranks in Diplomacy.
• 4 ranks in a Profession.
• You must speak two different languages.
• Alertness Feat.
• Exotic Weapon Proficiency (nunchaku) Feat.
• Skill Focus (Diplomacy) Feat.
• Ability to cast 3rd-level Divine spells.
• Patron Deity: Waukeen.
• Must have aquired at least 5,000 gp worth of coins, gems, jewelry, and/or business investments (not verified).</v>
      </c>
      <c r="ED461" s="11" t="s">
        <v>335</v>
      </c>
    </row>
    <row r="462" spans="1:134" ht="11.25" customHeight="1" x14ac:dyDescent="0.2">
      <c r="A462" s="1">
        <f t="shared" si="432"/>
        <v>459</v>
      </c>
      <c r="B462" s="1" t="s">
        <v>1164</v>
      </c>
      <c r="C462" s="1" t="s">
        <v>283</v>
      </c>
      <c r="D462" s="1" t="s">
        <v>283</v>
      </c>
      <c r="E462" s="1">
        <f t="shared" si="408"/>
        <v>0</v>
      </c>
      <c r="G462" s="1">
        <f>HtWLvl</f>
        <v>0</v>
      </c>
      <c r="K462" s="1">
        <v>2</v>
      </c>
      <c r="L462" s="1">
        <v>4</v>
      </c>
      <c r="V462" s="1">
        <v>0.75</v>
      </c>
      <c r="W462" s="1">
        <v>0.5</v>
      </c>
      <c r="X462" s="1">
        <v>0.34</v>
      </c>
      <c r="Y462" s="1">
        <v>0.5</v>
      </c>
      <c r="Z462" s="1" t="b">
        <f>FALSE</f>
        <v>0</v>
      </c>
      <c r="AA462" s="1" t="str">
        <f t="shared" si="411"/>
        <v/>
      </c>
      <c r="AB462" s="1" t="str">
        <f t="shared" si="412"/>
        <v/>
      </c>
      <c r="AC462" s="1">
        <f t="shared" si="409"/>
        <v>0</v>
      </c>
      <c r="AD462" s="1" t="str">
        <f t="shared" si="413"/>
        <v/>
      </c>
      <c r="AE462" s="1" t="str">
        <f t="shared" si="414"/>
        <v/>
      </c>
      <c r="AF462" s="1">
        <f t="shared" si="410"/>
        <v>0</v>
      </c>
      <c r="AG462" s="1">
        <f t="shared" si="394"/>
        <v>5</v>
      </c>
      <c r="AH462" s="1" t="str">
        <f t="shared" si="393"/>
        <v/>
      </c>
      <c r="AI462" s="1">
        <v>1</v>
      </c>
      <c r="AJ462" s="1">
        <f t="shared" si="440"/>
        <v>0</v>
      </c>
      <c r="AK462" s="1">
        <v>1</v>
      </c>
      <c r="AL462" s="1">
        <v>2</v>
      </c>
      <c r="AM462" s="1">
        <v>1</v>
      </c>
      <c r="AN462" s="1">
        <f t="shared" si="433"/>
        <v>0</v>
      </c>
      <c r="AO462" s="1">
        <v>2</v>
      </c>
      <c r="AP462" s="1">
        <v>2</v>
      </c>
      <c r="AQ462" s="1">
        <v>2</v>
      </c>
      <c r="AR462" s="1">
        <v>2</v>
      </c>
      <c r="AS462" s="1">
        <v>2</v>
      </c>
      <c r="AT462" s="1">
        <v>2</v>
      </c>
      <c r="AU462" s="1">
        <v>2</v>
      </c>
      <c r="AV462" s="1">
        <v>2</v>
      </c>
      <c r="AW462" s="1">
        <v>1</v>
      </c>
      <c r="AX462" s="1">
        <v>2</v>
      </c>
      <c r="AY462" s="1">
        <v>1</v>
      </c>
      <c r="AZ462" s="1">
        <v>2</v>
      </c>
      <c r="BA462" s="1">
        <v>1</v>
      </c>
      <c r="BB462" s="1">
        <v>1</v>
      </c>
      <c r="BC462" s="1">
        <v>2</v>
      </c>
      <c r="BD462" s="1">
        <v>1</v>
      </c>
      <c r="BE462" s="1">
        <v>2</v>
      </c>
      <c r="BF462" s="1">
        <v>1</v>
      </c>
      <c r="BG462" s="1">
        <f t="shared" si="434"/>
        <v>0</v>
      </c>
      <c r="BH462" s="1">
        <f t="shared" si="435"/>
        <v>0</v>
      </c>
      <c r="BI462" s="1">
        <v>1</v>
      </c>
      <c r="BJ462" s="1">
        <v>1</v>
      </c>
      <c r="BK462" s="1">
        <v>1</v>
      </c>
      <c r="BL462" s="1">
        <v>1</v>
      </c>
      <c r="BM462" s="1">
        <v>1</v>
      </c>
      <c r="BN462" s="1">
        <v>1</v>
      </c>
      <c r="BO462" s="1">
        <v>1</v>
      </c>
      <c r="BP462" s="1">
        <v>1</v>
      </c>
      <c r="BQ462" s="1">
        <f>IF(HRRVL,1,0)</f>
        <v>0</v>
      </c>
      <c r="BR462" s="1">
        <v>1</v>
      </c>
      <c r="BS462" s="1">
        <v>1</v>
      </c>
      <c r="BT462" s="1">
        <f t="shared" si="442"/>
        <v>0</v>
      </c>
      <c r="BU462" s="1">
        <f t="shared" si="443"/>
        <v>0</v>
      </c>
      <c r="BV462" s="1">
        <v>2</v>
      </c>
      <c r="BW462" s="1">
        <v>1</v>
      </c>
      <c r="BX462" s="1">
        <v>1</v>
      </c>
      <c r="BY462" s="1">
        <v>1</v>
      </c>
      <c r="BZ462" s="1">
        <v>1</v>
      </c>
      <c r="CA462" s="1">
        <v>1</v>
      </c>
      <c r="CB462" s="1">
        <v>1</v>
      </c>
      <c r="CC462" s="1">
        <v>1</v>
      </c>
      <c r="CD462" s="1">
        <v>1</v>
      </c>
      <c r="CE462" s="1">
        <v>1</v>
      </c>
      <c r="CF462" s="1">
        <v>1</v>
      </c>
      <c r="CG462" s="1">
        <f t="shared" si="436"/>
        <v>0</v>
      </c>
      <c r="CH462" s="1">
        <v>1</v>
      </c>
      <c r="CI462" s="1">
        <v>1</v>
      </c>
      <c r="CJ462" s="1">
        <v>2</v>
      </c>
      <c r="CK462" s="1">
        <v>2</v>
      </c>
      <c r="CL462" s="1">
        <v>2</v>
      </c>
      <c r="CM462" s="1">
        <v>2</v>
      </c>
      <c r="CN462" s="1">
        <v>2</v>
      </c>
      <c r="CO462" s="1">
        <v>2</v>
      </c>
      <c r="CP462" s="1">
        <v>2</v>
      </c>
      <c r="CQ462" s="1">
        <v>2</v>
      </c>
      <c r="CR462" s="1">
        <v>2</v>
      </c>
      <c r="CS462" s="1">
        <v>2</v>
      </c>
      <c r="CT462" s="1">
        <v>2</v>
      </c>
      <c r="CU462" s="1">
        <v>2</v>
      </c>
      <c r="CV462" s="1">
        <f t="shared" si="437"/>
        <v>0</v>
      </c>
      <c r="CW462" s="1">
        <v>1</v>
      </c>
      <c r="CX462" s="1">
        <v>1</v>
      </c>
      <c r="CY462" s="1">
        <v>2</v>
      </c>
      <c r="CZ462" s="1">
        <f t="shared" si="441"/>
        <v>0</v>
      </c>
      <c r="DA462" s="1">
        <v>1</v>
      </c>
      <c r="DB462" s="1">
        <v>1</v>
      </c>
      <c r="DC462" s="1">
        <v>2</v>
      </c>
      <c r="DD462" s="1">
        <v>1</v>
      </c>
      <c r="DE462" s="1">
        <v>1</v>
      </c>
      <c r="DF462" s="1">
        <v>1</v>
      </c>
      <c r="DG462" s="1">
        <v>1</v>
      </c>
      <c r="DH462" s="1">
        <v>1</v>
      </c>
      <c r="DI462" s="1">
        <f t="shared" si="438"/>
        <v>0</v>
      </c>
      <c r="DJ462" s="1">
        <v>1</v>
      </c>
      <c r="DK462" s="1" t="s">
        <v>1153</v>
      </c>
      <c r="DL462" s="1" t="s">
        <v>170</v>
      </c>
      <c r="DP462" s="1" t="b">
        <f>FtMobility</f>
        <v>0</v>
      </c>
      <c r="DQ462" s="1" t="b">
        <f>Deity="Sune"</f>
        <v>0</v>
      </c>
      <c r="DR462" s="1" t="b">
        <f>AND(AlignmentChaotic,AlignmentGood)</f>
        <v>0</v>
      </c>
      <c r="DS462" s="1" t="b">
        <f>BaseRef&gt;=2</f>
        <v>0</v>
      </c>
      <c r="DT462" s="1" t="b">
        <f>SkBluffRanks&gt;=3</f>
        <v>0</v>
      </c>
      <c r="DU462" s="1" t="b">
        <f>SkDiplomacyRanks&gt;=6</f>
        <v>0</v>
      </c>
      <c r="DV462" s="1" t="b">
        <f>NOT(ISNA(MATCH("Sylvan",TblLangKnown,0)))</f>
        <v>0</v>
      </c>
      <c r="DW462" s="1" t="b">
        <f>FtDodgeEquiv</f>
        <v>0</v>
      </c>
      <c r="DX462" s="1" t="b">
        <f>NOT(ISNA(MATCH("Enchantment",TblSpellFocus,0)))</f>
        <v>0</v>
      </c>
      <c r="DY462" s="1" t="b">
        <f>NOT(ISNA(MATCH("Whip",TblProfList,0)))</f>
        <v>0</v>
      </c>
      <c r="DZ462" s="1" t="b">
        <f ca="1">OR(MaxDivineSpellLevel&gt;=3,MaxArcaneSpellLevel&gt;=3)</f>
        <v>0</v>
      </c>
      <c r="EA462" s="1" t="b">
        <f t="shared" ca="1" si="439"/>
        <v>0</v>
      </c>
      <c r="EB462" s="11" t="s">
        <v>334</v>
      </c>
      <c r="EC462" s="1" t="str">
        <f ca="1">IF(DR462,"","• Must be of Chaotic Good Alignment.
")&amp;IF(DS462,"","• Base Reflex save of +2 or greater.
")&amp;IF(DT462,"","• 3 ranks in Bluff.
")&amp;IF(DU462,"","• 6 ranks in Diplomacy.
")&amp;IF(DV462,"","• Speak Language (sylvan).
")&amp;IF(DW462,"","• Dodge Feat.
")&amp;IF(DP462,"","• Mobility Feat.
")&amp;IF(DX462,"","• Spell Focus (Enchantment) feat.
")&amp;IF(DY462,"","• Exotic Weapon Proficiency (whip) Feat.
")&amp;IF(DZ462,"","• Ability to cast 3rd-level spells.
")&amp;IF(DQ462,"","• Patron Deity: Sune.")</f>
        <v>• Must be of Chaotic Good Alignment.
• Base Reflex save of +2 or greater.
• 3 ranks in Bluff.
• 6 ranks in Diplomacy.
• Speak Language (sylvan).
• Dodge Feat.
• Mobility Feat.
• Spell Focus (Enchantment) feat.
• Exotic Weapon Proficiency (whip) Feat.
• Ability to cast 3rd-level spells.
• Patron Deity: Sune.</v>
      </c>
      <c r="ED462" s="11" t="s">
        <v>335</v>
      </c>
    </row>
    <row r="463" spans="1:134" ht="11.25" customHeight="1" x14ac:dyDescent="0.2">
      <c r="A463" s="1">
        <f t="shared" si="432"/>
        <v>460</v>
      </c>
      <c r="B463" s="1" t="s">
        <v>1165</v>
      </c>
      <c r="C463" s="1" t="s">
        <v>1166</v>
      </c>
      <c r="D463" s="1" t="s">
        <v>1166</v>
      </c>
      <c r="E463" s="1">
        <f t="shared" si="408"/>
        <v>0</v>
      </c>
      <c r="K463" s="1">
        <v>2</v>
      </c>
      <c r="L463" s="1">
        <v>8</v>
      </c>
      <c r="M463" s="1">
        <f>E463</f>
        <v>0</v>
      </c>
      <c r="V463" s="1">
        <v>0.75</v>
      </c>
      <c r="W463" s="1">
        <v>0.5</v>
      </c>
      <c r="X463" s="1">
        <v>0.34</v>
      </c>
      <c r="Y463" s="1">
        <v>0.5</v>
      </c>
      <c r="Z463" s="1" t="b">
        <f>FALSE</f>
        <v>0</v>
      </c>
      <c r="AA463" s="1" t="str">
        <f t="shared" si="411"/>
        <v/>
      </c>
      <c r="AB463" s="1" t="str">
        <f t="shared" si="412"/>
        <v/>
      </c>
      <c r="AC463" s="1">
        <f t="shared" si="409"/>
        <v>0</v>
      </c>
      <c r="AD463" s="1" t="str">
        <f t="shared" si="413"/>
        <v/>
      </c>
      <c r="AE463" s="1" t="str">
        <f t="shared" si="414"/>
        <v/>
      </c>
      <c r="AF463" s="1">
        <f t="shared" si="410"/>
        <v>0</v>
      </c>
      <c r="AG463" s="1">
        <f t="shared" si="394"/>
        <v>5</v>
      </c>
      <c r="AH463" s="1" t="str">
        <f t="shared" si="393"/>
        <v/>
      </c>
      <c r="AI463" s="1">
        <v>1</v>
      </c>
      <c r="AJ463" s="1">
        <f t="shared" si="440"/>
        <v>0</v>
      </c>
      <c r="AK463" s="1">
        <v>1</v>
      </c>
      <c r="AL463" s="1">
        <v>1</v>
      </c>
      <c r="AM463" s="1">
        <v>1</v>
      </c>
      <c r="AN463" s="1">
        <f t="shared" si="433"/>
        <v>0</v>
      </c>
      <c r="AO463" s="1">
        <v>2</v>
      </c>
      <c r="AP463" s="1">
        <v>2</v>
      </c>
      <c r="AQ463" s="1">
        <v>2</v>
      </c>
      <c r="AR463" s="1">
        <v>2</v>
      </c>
      <c r="AS463" s="1">
        <v>2</v>
      </c>
      <c r="AT463" s="1">
        <v>2</v>
      </c>
      <c r="AU463" s="1">
        <v>2</v>
      </c>
      <c r="AV463" s="1">
        <v>2</v>
      </c>
      <c r="AW463" s="1">
        <v>1</v>
      </c>
      <c r="AX463" s="1">
        <v>1</v>
      </c>
      <c r="AY463" s="1">
        <v>1</v>
      </c>
      <c r="AZ463" s="1">
        <v>1</v>
      </c>
      <c r="BA463" s="1">
        <v>1</v>
      </c>
      <c r="BB463" s="1">
        <v>1</v>
      </c>
      <c r="BC463" s="1">
        <v>1</v>
      </c>
      <c r="BD463" s="1">
        <v>1</v>
      </c>
      <c r="BE463" s="1">
        <v>2</v>
      </c>
      <c r="BF463" s="1">
        <v>1</v>
      </c>
      <c r="BG463" s="1">
        <f t="shared" si="434"/>
        <v>0</v>
      </c>
      <c r="BH463" s="1">
        <f t="shared" si="435"/>
        <v>0</v>
      </c>
      <c r="BI463" s="1">
        <v>2</v>
      </c>
      <c r="BJ463" s="1">
        <v>1</v>
      </c>
      <c r="BK463" s="1">
        <v>2</v>
      </c>
      <c r="BL463" s="1">
        <v>1</v>
      </c>
      <c r="BM463" s="1">
        <v>1</v>
      </c>
      <c r="BN463" s="1">
        <v>1</v>
      </c>
      <c r="BO463" s="1">
        <v>1</v>
      </c>
      <c r="BP463" s="1">
        <v>1</v>
      </c>
      <c r="BQ463" s="1">
        <f>IF(HRRVL,1,0)</f>
        <v>0</v>
      </c>
      <c r="BR463" s="1">
        <v>1</v>
      </c>
      <c r="BS463" s="1">
        <v>1</v>
      </c>
      <c r="BT463" s="1">
        <f t="shared" si="442"/>
        <v>0</v>
      </c>
      <c r="BU463" s="1">
        <f t="shared" si="443"/>
        <v>0</v>
      </c>
      <c r="BV463" s="1">
        <v>2</v>
      </c>
      <c r="BW463" s="1">
        <v>1</v>
      </c>
      <c r="BX463" s="1">
        <v>1</v>
      </c>
      <c r="BY463" s="1">
        <v>1</v>
      </c>
      <c r="BZ463" s="1">
        <v>1</v>
      </c>
      <c r="CA463" s="1">
        <v>1</v>
      </c>
      <c r="CB463" s="1">
        <v>1</v>
      </c>
      <c r="CC463" s="1">
        <v>1</v>
      </c>
      <c r="CD463" s="1">
        <v>1</v>
      </c>
      <c r="CE463" s="1">
        <v>1</v>
      </c>
      <c r="CF463" s="1">
        <v>1</v>
      </c>
      <c r="CG463" s="1">
        <f t="shared" si="436"/>
        <v>0</v>
      </c>
      <c r="CH463" s="1">
        <v>1</v>
      </c>
      <c r="CI463" s="1">
        <v>1</v>
      </c>
      <c r="CJ463" s="1">
        <v>1</v>
      </c>
      <c r="CK463" s="1">
        <v>1</v>
      </c>
      <c r="CL463" s="1">
        <v>1</v>
      </c>
      <c r="CM463" s="1">
        <v>1</v>
      </c>
      <c r="CN463" s="1">
        <v>1</v>
      </c>
      <c r="CO463" s="1">
        <v>1</v>
      </c>
      <c r="CP463" s="1">
        <v>2</v>
      </c>
      <c r="CQ463" s="1">
        <v>2</v>
      </c>
      <c r="CR463" s="1">
        <v>2</v>
      </c>
      <c r="CS463" s="1">
        <v>2</v>
      </c>
      <c r="CT463" s="1">
        <v>2</v>
      </c>
      <c r="CU463" s="1">
        <v>2</v>
      </c>
      <c r="CV463" s="1">
        <f t="shared" si="437"/>
        <v>0</v>
      </c>
      <c r="CW463" s="1">
        <v>1</v>
      </c>
      <c r="CX463" s="1">
        <v>1</v>
      </c>
      <c r="CY463" s="1">
        <v>1</v>
      </c>
      <c r="CZ463" s="1">
        <f t="shared" si="441"/>
        <v>0</v>
      </c>
      <c r="DA463" s="1">
        <v>1</v>
      </c>
      <c r="DB463" s="1">
        <v>1</v>
      </c>
      <c r="DC463" s="1">
        <v>2</v>
      </c>
      <c r="DD463" s="1">
        <v>1</v>
      </c>
      <c r="DE463" s="1">
        <v>1</v>
      </c>
      <c r="DF463" s="1">
        <v>1</v>
      </c>
      <c r="DG463" s="1">
        <v>1</v>
      </c>
      <c r="DH463" s="1">
        <v>1</v>
      </c>
      <c r="DI463" s="1">
        <f t="shared" si="438"/>
        <v>0</v>
      </c>
      <c r="DJ463" s="1">
        <v>1</v>
      </c>
      <c r="DK463" s="1" t="s">
        <v>1153</v>
      </c>
      <c r="DL463" s="1" t="s">
        <v>170</v>
      </c>
      <c r="DR463" s="1" t="b">
        <f>AlignmentEvil</f>
        <v>0</v>
      </c>
      <c r="DS463" s="1" t="b">
        <f>SkKnowledgePlanesRanks&gt;=8</f>
        <v>0</v>
      </c>
      <c r="DT463" s="1" t="b">
        <f>Deity="Myrkul"</f>
        <v>0</v>
      </c>
      <c r="EA463" s="1" t="b">
        <f t="shared" si="439"/>
        <v>0</v>
      </c>
      <c r="EB463" s="11" t="s">
        <v>338</v>
      </c>
      <c r="EC463" s="1" t="str">
        <f>IF(DR463,"","• Must be of Any Evil Alignment.
")&amp;IF(DS463,"","• 8 ranks in Knowledge (the planes).
")&amp;IF(DT463,"","• Patron Deity: Myrkul.
")&amp;"• Must have touched the Crown of Horns, at least once since DR1358 (not verified)."</f>
        <v>• Must be of Any Evil Alignment.
• 8 ranks in Knowledge (the planes).
• Patron Deity: Myrkul.
• Must have touched the Crown of Horns, at least once since DR1358 (not verified).</v>
      </c>
      <c r="ED463" s="11" t="s">
        <v>335</v>
      </c>
    </row>
    <row r="464" spans="1:134" ht="11.25" customHeight="1" x14ac:dyDescent="0.2">
      <c r="A464" s="1">
        <f t="shared" si="432"/>
        <v>461</v>
      </c>
      <c r="B464" s="1" t="s">
        <v>1167</v>
      </c>
      <c r="C464" s="1" t="s">
        <v>1168</v>
      </c>
      <c r="D464" s="1" t="s">
        <v>1168</v>
      </c>
      <c r="E464" s="1">
        <f t="shared" si="408"/>
        <v>0</v>
      </c>
      <c r="G464" s="1">
        <f>NtCLvl</f>
        <v>0</v>
      </c>
      <c r="K464" s="1">
        <v>2</v>
      </c>
      <c r="L464" s="1">
        <v>8</v>
      </c>
      <c r="V464" s="1">
        <v>0.75</v>
      </c>
      <c r="W464" s="1">
        <v>0.5</v>
      </c>
      <c r="X464" s="1">
        <v>0.34</v>
      </c>
      <c r="Y464" s="1">
        <v>0.5</v>
      </c>
      <c r="Z464" s="1" t="b">
        <f>FALSE</f>
        <v>0</v>
      </c>
      <c r="AA464" s="1" t="str">
        <f t="shared" si="411"/>
        <v/>
      </c>
      <c r="AB464" s="1" t="str">
        <f t="shared" si="412"/>
        <v/>
      </c>
      <c r="AC464" s="1">
        <f t="shared" si="409"/>
        <v>0</v>
      </c>
      <c r="AD464" s="1" t="str">
        <f t="shared" si="413"/>
        <v/>
      </c>
      <c r="AE464" s="1" t="str">
        <f t="shared" si="414"/>
        <v/>
      </c>
      <c r="AF464" s="1">
        <f t="shared" si="410"/>
        <v>0</v>
      </c>
      <c r="AG464" s="1">
        <f t="shared" si="394"/>
        <v>5</v>
      </c>
      <c r="AH464" s="1" t="str">
        <f t="shared" si="393"/>
        <v/>
      </c>
      <c r="AI464" s="1">
        <v>1</v>
      </c>
      <c r="AJ464" s="1">
        <f t="shared" si="440"/>
        <v>0</v>
      </c>
      <c r="AK464" s="1">
        <v>1</v>
      </c>
      <c r="AL464" s="1">
        <v>2</v>
      </c>
      <c r="AM464" s="1">
        <v>1</v>
      </c>
      <c r="AN464" s="1">
        <f t="shared" si="433"/>
        <v>0</v>
      </c>
      <c r="AO464" s="1">
        <v>2</v>
      </c>
      <c r="AP464" s="1">
        <v>2</v>
      </c>
      <c r="AQ464" s="1">
        <v>2</v>
      </c>
      <c r="AR464" s="1">
        <v>2</v>
      </c>
      <c r="AS464" s="1">
        <v>2</v>
      </c>
      <c r="AT464" s="1">
        <v>2</v>
      </c>
      <c r="AU464" s="1">
        <v>2</v>
      </c>
      <c r="AV464" s="1">
        <v>2</v>
      </c>
      <c r="AW464" s="1">
        <v>1</v>
      </c>
      <c r="AX464" s="1">
        <v>2</v>
      </c>
      <c r="AY464" s="1">
        <v>1</v>
      </c>
      <c r="AZ464" s="1">
        <v>1</v>
      </c>
      <c r="BA464" s="1">
        <v>1</v>
      </c>
      <c r="BB464" s="1">
        <v>1</v>
      </c>
      <c r="BC464" s="1">
        <v>1</v>
      </c>
      <c r="BD464" s="1">
        <v>1</v>
      </c>
      <c r="BE464" s="1">
        <v>2</v>
      </c>
      <c r="BF464" s="1">
        <v>1</v>
      </c>
      <c r="BG464" s="1">
        <f t="shared" si="434"/>
        <v>0</v>
      </c>
      <c r="BH464" s="1">
        <f t="shared" si="435"/>
        <v>0</v>
      </c>
      <c r="BI464" s="1">
        <v>1</v>
      </c>
      <c r="BJ464" s="1">
        <v>1</v>
      </c>
      <c r="BK464" s="1">
        <v>2</v>
      </c>
      <c r="BL464" s="1">
        <v>1</v>
      </c>
      <c r="BM464" s="1">
        <v>1</v>
      </c>
      <c r="BN464" s="1">
        <v>1</v>
      </c>
      <c r="BO464" s="1">
        <v>2</v>
      </c>
      <c r="BP464" s="1">
        <v>1</v>
      </c>
      <c r="BQ464" s="1">
        <f>IF(HRRVL,1,0)</f>
        <v>0</v>
      </c>
      <c r="BR464" s="1">
        <v>1</v>
      </c>
      <c r="BS464" s="1">
        <v>1</v>
      </c>
      <c r="BT464" s="1">
        <f t="shared" si="442"/>
        <v>0</v>
      </c>
      <c r="BU464" s="1">
        <f t="shared" si="443"/>
        <v>0</v>
      </c>
      <c r="BV464" s="1">
        <v>2</v>
      </c>
      <c r="BW464" s="1">
        <v>2</v>
      </c>
      <c r="BX464" s="1">
        <v>1</v>
      </c>
      <c r="BY464" s="1">
        <v>1</v>
      </c>
      <c r="BZ464" s="1">
        <v>1</v>
      </c>
      <c r="CA464" s="1">
        <v>1</v>
      </c>
      <c r="CB464" s="1">
        <v>1</v>
      </c>
      <c r="CC464" s="1">
        <v>1</v>
      </c>
      <c r="CD464" s="1">
        <v>1</v>
      </c>
      <c r="CE464" s="1">
        <v>1</v>
      </c>
      <c r="CF464" s="1">
        <v>1</v>
      </c>
      <c r="CG464" s="1">
        <f t="shared" si="436"/>
        <v>0</v>
      </c>
      <c r="CH464" s="1">
        <v>1</v>
      </c>
      <c r="CI464" s="1">
        <v>1</v>
      </c>
      <c r="CJ464" s="1">
        <v>1</v>
      </c>
      <c r="CK464" s="1">
        <v>1</v>
      </c>
      <c r="CL464" s="1">
        <v>1</v>
      </c>
      <c r="CM464" s="1">
        <v>1</v>
      </c>
      <c r="CN464" s="1">
        <v>1</v>
      </c>
      <c r="CO464" s="1">
        <v>1</v>
      </c>
      <c r="CP464" s="1">
        <v>2</v>
      </c>
      <c r="CQ464" s="1">
        <v>2</v>
      </c>
      <c r="CR464" s="1">
        <v>2</v>
      </c>
      <c r="CS464" s="1">
        <v>2</v>
      </c>
      <c r="CT464" s="1">
        <v>2</v>
      </c>
      <c r="CU464" s="1">
        <v>2</v>
      </c>
      <c r="CV464" s="1">
        <f t="shared" si="437"/>
        <v>0</v>
      </c>
      <c r="CW464" s="1">
        <v>1</v>
      </c>
      <c r="CX464" s="1">
        <v>1</v>
      </c>
      <c r="CY464" s="1">
        <v>2</v>
      </c>
      <c r="CZ464" s="1">
        <f t="shared" si="441"/>
        <v>0</v>
      </c>
      <c r="DA464" s="1">
        <v>1</v>
      </c>
      <c r="DB464" s="1">
        <v>1</v>
      </c>
      <c r="DC464" s="1">
        <v>2</v>
      </c>
      <c r="DD464" s="1">
        <v>1</v>
      </c>
      <c r="DE464" s="1">
        <v>1</v>
      </c>
      <c r="DF464" s="1">
        <v>1</v>
      </c>
      <c r="DG464" s="1">
        <v>1</v>
      </c>
      <c r="DH464" s="1">
        <v>1</v>
      </c>
      <c r="DI464" s="1">
        <f t="shared" si="438"/>
        <v>0</v>
      </c>
      <c r="DJ464" s="1">
        <v>1</v>
      </c>
      <c r="DK464" s="1" t="s">
        <v>1153</v>
      </c>
      <c r="DL464" s="1" t="s">
        <v>170</v>
      </c>
      <c r="DO464" s="1" t="b">
        <f>OR(FtPerniciousMagic,FtTenaciousMagic)</f>
        <v>0</v>
      </c>
      <c r="DP464" s="1" t="b">
        <f ca="1">MaxDivineSpellLevel&gt;=2</f>
        <v>0</v>
      </c>
      <c r="DQ464" s="1" t="b">
        <f>Deity="Shar"</f>
        <v>0</v>
      </c>
      <c r="DR464" s="1" t="b">
        <f>AND(AlignmentNeutral,AlignmentEvil)</f>
        <v>0</v>
      </c>
      <c r="DS464" s="1" t="b">
        <f>BaseAtk&gt;=3</f>
        <v>0</v>
      </c>
      <c r="DT464" s="1" t="b">
        <f>SkBluffRanks&gt;=2</f>
        <v>0</v>
      </c>
      <c r="DU464" s="1" t="b">
        <f>SkHideRanks&gt;=2</f>
        <v>0</v>
      </c>
      <c r="DV464" s="1" t="b">
        <f>SkMoveSilentlyRanks&gt;=2</f>
        <v>0</v>
      </c>
      <c r="DW464" s="1" t="b">
        <f>SkPerformRanks&gt;=4</f>
        <v>0</v>
      </c>
      <c r="DX464" s="1" t="b">
        <f>OR(FreeIronWill,FtIronWill)</f>
        <v>0</v>
      </c>
      <c r="DY464" s="1" t="b">
        <f>FtShadowWeaveMagic</f>
        <v>0</v>
      </c>
      <c r="DZ464" s="1" t="b">
        <f>OR(NOT(ISNA(MATCH("Enchantment",TblSpellFocus,0))),OR(NOT(ISNA(MATCH("Illusion",TblSpellFocus,0))),NOT(ISNA(MATCH("Necromancy",TblSpellFocus,0)))))</f>
        <v>0</v>
      </c>
      <c r="EA464" s="1" t="b">
        <f t="shared" ca="1" si="439"/>
        <v>0</v>
      </c>
      <c r="EB464" s="11" t="s">
        <v>334</v>
      </c>
      <c r="EC464" s="1" t="str">
        <f ca="1">IF(DR464,"","• Must be of Neutral Evil Alignment.
")&amp;IF(DS464,"","• Base Attack bonus +3 or greater.
")&amp;IF(DT464,"","• 2 ranks in Bluff.
")&amp;IF(DU464,"","• 2 ranks in Hide.
")&amp;IF(DV464,"","• 2 ranks in Move Silently.
")&amp;IF(DW464,"","• 4 ranks in Perform.
")&amp;IF(DX464,"","• Iron Will Feat.
")&amp;IF(DY464,"","• Shadow Weave Magic Feat.
")&amp;IF(DZ464,"","• Spell Focus (Enchantment, Illusion or Necromancy) feat.
")&amp;IF(DO464,"","• Pernicious Magic or Tenacious Magic Feat.
")&amp;IF(DP464,"","• Ability to cast 2rd-level divine spells.
")&amp;IF(DQ464,"","• Patron Deity: Shar.")</f>
        <v>• Must be of Neutral Evil Alignment.
• Base Attack bonus +3 or greater.
• 2 ranks in Bluff.
• 2 ranks in Hide.
• 2 ranks in Move Silently.
• 4 ranks in Perform.
• Iron Will Feat.
• Shadow Weave Magic Feat.
• Spell Focus (Enchantment, Illusion or Necromancy) feat.
• Pernicious Magic or Tenacious Magic Feat.
• Ability to cast 2rd-level divine spells.
• Patron Deity: Shar.</v>
      </c>
      <c r="ED464" s="11" t="s">
        <v>335</v>
      </c>
    </row>
    <row r="465" spans="1:134" ht="11.25" customHeight="1" x14ac:dyDescent="0.2">
      <c r="A465" s="1">
        <f t="shared" si="432"/>
        <v>462</v>
      </c>
      <c r="B465" s="1" t="s">
        <v>1169</v>
      </c>
      <c r="C465" s="1" t="s">
        <v>1170</v>
      </c>
      <c r="D465" s="1" t="s">
        <v>1170</v>
      </c>
      <c r="E465" s="1">
        <f t="shared" si="408"/>
        <v>0</v>
      </c>
      <c r="K465" s="1">
        <v>2</v>
      </c>
      <c r="L465" s="1">
        <v>6</v>
      </c>
      <c r="V465" s="1">
        <v>0.75</v>
      </c>
      <c r="W465" s="1">
        <v>0.5</v>
      </c>
      <c r="X465" s="1">
        <v>0.34</v>
      </c>
      <c r="Y465" s="1">
        <v>0.5</v>
      </c>
      <c r="Z465" s="1" t="b">
        <f>FALSE</f>
        <v>0</v>
      </c>
      <c r="AA465" s="1" t="str">
        <f t="shared" si="411"/>
        <v/>
      </c>
      <c r="AB465" s="1" t="str">
        <f t="shared" si="412"/>
        <v/>
      </c>
      <c r="AC465" s="1">
        <f t="shared" si="409"/>
        <v>0</v>
      </c>
      <c r="AD465" s="1" t="str">
        <f t="shared" si="413"/>
        <v/>
      </c>
      <c r="AE465" s="1" t="str">
        <f t="shared" si="414"/>
        <v/>
      </c>
      <c r="AF465" s="1">
        <f t="shared" si="410"/>
        <v>0</v>
      </c>
      <c r="AG465" s="1">
        <f t="shared" si="394"/>
        <v>5</v>
      </c>
      <c r="AH465" s="1" t="str">
        <f t="shared" si="393"/>
        <v/>
      </c>
      <c r="AI465" s="1">
        <v>1</v>
      </c>
      <c r="AJ465" s="1">
        <f t="shared" si="440"/>
        <v>0</v>
      </c>
      <c r="AK465" s="1">
        <v>1</v>
      </c>
      <c r="AL465" s="1">
        <v>1</v>
      </c>
      <c r="AM465" s="1">
        <v>1</v>
      </c>
      <c r="AN465" s="1">
        <f t="shared" si="433"/>
        <v>0</v>
      </c>
      <c r="AO465" s="1">
        <v>2</v>
      </c>
      <c r="AP465" s="1">
        <v>1</v>
      </c>
      <c r="AQ465" s="1">
        <v>1</v>
      </c>
      <c r="AR465" s="1">
        <v>1</v>
      </c>
      <c r="AS465" s="1">
        <v>1</v>
      </c>
      <c r="AT465" s="1">
        <v>1</v>
      </c>
      <c r="AU465" s="1">
        <v>1</v>
      </c>
      <c r="AV465" s="1">
        <v>1</v>
      </c>
      <c r="AW465" s="1">
        <v>1</v>
      </c>
      <c r="AX465" s="1">
        <v>2</v>
      </c>
      <c r="AY465" s="1">
        <v>1</v>
      </c>
      <c r="AZ465" s="1">
        <v>2</v>
      </c>
      <c r="BA465" s="1">
        <v>1</v>
      </c>
      <c r="BB465" s="1">
        <v>1</v>
      </c>
      <c r="BC465" s="1">
        <v>2</v>
      </c>
      <c r="BD465" s="1">
        <v>1</v>
      </c>
      <c r="BE465" s="1">
        <v>2</v>
      </c>
      <c r="BF465" s="1">
        <v>1</v>
      </c>
      <c r="BG465" s="1">
        <f t="shared" si="434"/>
        <v>0</v>
      </c>
      <c r="BH465" s="1">
        <f t="shared" si="435"/>
        <v>0</v>
      </c>
      <c r="BI465" s="1">
        <v>1</v>
      </c>
      <c r="BJ465" s="1">
        <v>1</v>
      </c>
      <c r="BK465" s="1">
        <v>1</v>
      </c>
      <c r="BL465" s="1">
        <v>1</v>
      </c>
      <c r="BM465" s="1">
        <v>1</v>
      </c>
      <c r="BN465" s="1">
        <v>1</v>
      </c>
      <c r="BO465" s="1">
        <v>1</v>
      </c>
      <c r="BP465" s="1">
        <v>1</v>
      </c>
      <c r="BQ465" s="1">
        <f>IF(HRRVL,1,0)</f>
        <v>0</v>
      </c>
      <c r="BR465" s="1">
        <v>1</v>
      </c>
      <c r="BS465" s="1">
        <v>1</v>
      </c>
      <c r="BT465" s="1">
        <f t="shared" si="442"/>
        <v>0</v>
      </c>
      <c r="BU465" s="1">
        <f t="shared" si="443"/>
        <v>0</v>
      </c>
      <c r="BV465" s="1">
        <v>2</v>
      </c>
      <c r="BW465" s="1">
        <v>1</v>
      </c>
      <c r="BX465" s="1">
        <v>1</v>
      </c>
      <c r="BY465" s="1">
        <v>1</v>
      </c>
      <c r="BZ465" s="1">
        <v>1</v>
      </c>
      <c r="CA465" s="1">
        <v>1</v>
      </c>
      <c r="CB465" s="1">
        <v>1</v>
      </c>
      <c r="CC465" s="1">
        <v>1</v>
      </c>
      <c r="CD465" s="1">
        <v>1</v>
      </c>
      <c r="CE465" s="1">
        <v>1</v>
      </c>
      <c r="CF465" s="1">
        <v>1</v>
      </c>
      <c r="CG465" s="1">
        <f t="shared" si="436"/>
        <v>0</v>
      </c>
      <c r="CH465" s="1">
        <v>1</v>
      </c>
      <c r="CI465" s="1">
        <v>1</v>
      </c>
      <c r="CJ465" s="1">
        <v>1</v>
      </c>
      <c r="CK465" s="1">
        <v>1</v>
      </c>
      <c r="CL465" s="1">
        <v>1</v>
      </c>
      <c r="CM465" s="1">
        <v>1</v>
      </c>
      <c r="CN465" s="1">
        <v>1</v>
      </c>
      <c r="CO465" s="1">
        <v>1</v>
      </c>
      <c r="CP465" s="1">
        <v>1</v>
      </c>
      <c r="CQ465" s="1">
        <v>1</v>
      </c>
      <c r="CR465" s="1">
        <v>1</v>
      </c>
      <c r="CS465" s="1">
        <v>1</v>
      </c>
      <c r="CT465" s="1">
        <v>1</v>
      </c>
      <c r="CU465" s="1">
        <v>1</v>
      </c>
      <c r="CV465" s="1">
        <f t="shared" si="437"/>
        <v>0</v>
      </c>
      <c r="CW465" s="1">
        <v>1</v>
      </c>
      <c r="CX465" s="1">
        <v>1</v>
      </c>
      <c r="CY465" s="1">
        <v>1</v>
      </c>
      <c r="CZ465" s="1">
        <f t="shared" si="441"/>
        <v>0</v>
      </c>
      <c r="DA465" s="1">
        <v>1</v>
      </c>
      <c r="DB465" s="1">
        <v>1</v>
      </c>
      <c r="DC465" s="1">
        <v>2</v>
      </c>
      <c r="DD465" s="1">
        <v>2</v>
      </c>
      <c r="DE465" s="1">
        <v>1</v>
      </c>
      <c r="DF465" s="1">
        <v>1</v>
      </c>
      <c r="DG465" s="1">
        <v>1</v>
      </c>
      <c r="DH465" s="1">
        <v>1</v>
      </c>
      <c r="DI465" s="1">
        <f t="shared" si="438"/>
        <v>0</v>
      </c>
      <c r="DJ465" s="1">
        <v>1</v>
      </c>
      <c r="DK465" s="1" t="s">
        <v>1153</v>
      </c>
      <c r="DL465" s="1" t="s">
        <v>170</v>
      </c>
      <c r="DR465" s="1" t="b">
        <v>1</v>
      </c>
      <c r="DS465" s="1" t="b">
        <f>AND(AlignmentNonChaotic,AlignmentEvil)</f>
        <v>0</v>
      </c>
      <c r="DT465" s="1" t="b">
        <f>BaseFort&gt;=4</f>
        <v>0</v>
      </c>
      <c r="DU465" s="1" t="b">
        <f>SkConcentrationRanks&gt;=8</f>
        <v>0</v>
      </c>
      <c r="DV465" s="1" t="b">
        <f>OR(FtEndurance,FtKoboldEndurance)</f>
        <v>0</v>
      </c>
      <c r="EA465" s="1" t="b">
        <f t="shared" si="439"/>
        <v>0</v>
      </c>
      <c r="EB465" s="11" t="s">
        <v>338</v>
      </c>
      <c r="EC465" s="1" t="str">
        <f>IF(DR465,"","• Must be of Any Humanoid or Monstrous Humanoid Race (not verified).
")&amp;IF(DS465,"","• Must be of Lawful Evil or Neutral Evil alignment.
")&amp;IF(DT465,"","• Base Fortitude Save bonus +4 or greater.
")&amp;IF(DU465,"","• 8 Ranks in Concentration.
")&amp;IF(DV465,"","• Endurance Feat.
")&amp;"• You must supplicate yourself before one or more beholders, pleading to be accepted into thier community as an occular adept. You must foreswear all allegiances to your previous deity and swear devotion to the Great Mother (not verified)."</f>
        <v>• Must be of Lawful Evil or Neutral Evil alignment.
• Base Fortitude Save bonus +4 or greater.
• 8 Ranks in Concentration.
• Endurance Feat.
• You must supplicate yourself before one or more beholders, pleading to be accepted into thier community as an occular adept. You must foreswear all allegiances to your previous deity and swear devotion to the Great Mother (not verified).</v>
      </c>
      <c r="ED465" s="11" t="s">
        <v>335</v>
      </c>
    </row>
    <row r="466" spans="1:134" ht="11.25" customHeight="1" x14ac:dyDescent="0.2">
      <c r="A466" s="1">
        <f t="shared" si="432"/>
        <v>463</v>
      </c>
      <c r="B466" s="1" t="s">
        <v>1171</v>
      </c>
      <c r="C466" s="1" t="s">
        <v>1172</v>
      </c>
      <c r="D466" s="1" t="s">
        <v>1172</v>
      </c>
      <c r="E466" s="1">
        <f t="shared" si="408"/>
        <v>0</v>
      </c>
      <c r="G466" s="1">
        <f>SvSLvl</f>
        <v>0</v>
      </c>
      <c r="K466" s="1">
        <v>2</v>
      </c>
      <c r="L466" s="1">
        <v>8</v>
      </c>
      <c r="V466" s="1">
        <v>0.75</v>
      </c>
      <c r="W466" s="1">
        <v>0.5</v>
      </c>
      <c r="X466" s="1">
        <v>0.34</v>
      </c>
      <c r="Y466" s="1">
        <v>0.5</v>
      </c>
      <c r="Z466" s="1" t="b">
        <f>FALSE</f>
        <v>0</v>
      </c>
      <c r="AA466" s="1" t="str">
        <f t="shared" si="411"/>
        <v/>
      </c>
      <c r="AB466" s="1" t="str">
        <f t="shared" si="412"/>
        <v/>
      </c>
      <c r="AC466" s="1">
        <f t="shared" si="409"/>
        <v>0</v>
      </c>
      <c r="AD466" s="1" t="str">
        <f t="shared" si="413"/>
        <v/>
      </c>
      <c r="AE466" s="1" t="str">
        <f t="shared" si="414"/>
        <v/>
      </c>
      <c r="AF466" s="1">
        <f t="shared" si="410"/>
        <v>0</v>
      </c>
      <c r="AG466" s="1">
        <f t="shared" si="394"/>
        <v>5</v>
      </c>
      <c r="AH466" s="1" t="str">
        <f t="shared" si="393"/>
        <v/>
      </c>
      <c r="AI466" s="1">
        <v>1</v>
      </c>
      <c r="AJ466" s="1">
        <f t="shared" si="440"/>
        <v>0</v>
      </c>
      <c r="AK466" s="1">
        <v>1</v>
      </c>
      <c r="AL466" s="1">
        <v>1</v>
      </c>
      <c r="AM466" s="1">
        <v>1</v>
      </c>
      <c r="AN466" s="1">
        <f t="shared" si="433"/>
        <v>0</v>
      </c>
      <c r="AO466" s="1">
        <v>2</v>
      </c>
      <c r="AP466" s="1">
        <v>2</v>
      </c>
      <c r="AQ466" s="1">
        <v>2</v>
      </c>
      <c r="AR466" s="1">
        <v>2</v>
      </c>
      <c r="AS466" s="1">
        <v>2</v>
      </c>
      <c r="AT466" s="1">
        <v>2</v>
      </c>
      <c r="AU466" s="1">
        <v>2</v>
      </c>
      <c r="AV466" s="1">
        <v>2</v>
      </c>
      <c r="AW466" s="1">
        <v>1</v>
      </c>
      <c r="AX466" s="1">
        <v>2</v>
      </c>
      <c r="AY466" s="1">
        <v>1</v>
      </c>
      <c r="AZ466" s="1">
        <v>1</v>
      </c>
      <c r="BA466" s="1">
        <v>1</v>
      </c>
      <c r="BB466" s="1">
        <v>1</v>
      </c>
      <c r="BC466" s="1">
        <v>1</v>
      </c>
      <c r="BD466" s="1">
        <v>1</v>
      </c>
      <c r="BE466" s="1">
        <v>2</v>
      </c>
      <c r="BF466" s="1">
        <v>1</v>
      </c>
      <c r="BG466" s="1">
        <f t="shared" si="434"/>
        <v>0</v>
      </c>
      <c r="BH466" s="1">
        <f t="shared" si="435"/>
        <v>0</v>
      </c>
      <c r="BI466" s="1">
        <v>1</v>
      </c>
      <c r="BJ466" s="1">
        <v>1</v>
      </c>
      <c r="BK466" s="1">
        <v>2</v>
      </c>
      <c r="BL466" s="1">
        <v>1</v>
      </c>
      <c r="BM466" s="1">
        <v>1</v>
      </c>
      <c r="BN466" s="1">
        <v>2</v>
      </c>
      <c r="BO466" s="1">
        <v>1</v>
      </c>
      <c r="BP466" s="1">
        <f>1+NOT(HRLivingGreyhawk)</f>
        <v>2</v>
      </c>
      <c r="BQ466" s="1">
        <f>IF(HRRVL,2,0)</f>
        <v>0</v>
      </c>
      <c r="BR466" s="1">
        <v>2</v>
      </c>
      <c r="BS466" s="1">
        <v>1</v>
      </c>
      <c r="BT466" s="1">
        <f t="shared" si="442"/>
        <v>0</v>
      </c>
      <c r="BU466" s="1">
        <f t="shared" si="443"/>
        <v>0</v>
      </c>
      <c r="BV466" s="1">
        <v>2</v>
      </c>
      <c r="BW466" s="1">
        <v>2</v>
      </c>
      <c r="BX466" s="1">
        <v>1</v>
      </c>
      <c r="BY466" s="1">
        <v>1</v>
      </c>
      <c r="BZ466" s="1">
        <v>1</v>
      </c>
      <c r="CA466" s="1">
        <v>1</v>
      </c>
      <c r="CB466" s="1">
        <v>1</v>
      </c>
      <c r="CC466" s="1">
        <v>1</v>
      </c>
      <c r="CD466" s="1">
        <v>1</v>
      </c>
      <c r="CE466" s="1">
        <v>1</v>
      </c>
      <c r="CF466" s="1">
        <v>1</v>
      </c>
      <c r="CG466" s="1">
        <f t="shared" si="436"/>
        <v>0</v>
      </c>
      <c r="CH466" s="1">
        <v>1</v>
      </c>
      <c r="CI466" s="1">
        <v>1</v>
      </c>
      <c r="CJ466" s="1">
        <v>1</v>
      </c>
      <c r="CK466" s="1">
        <v>1</v>
      </c>
      <c r="CL466" s="1">
        <v>1</v>
      </c>
      <c r="CM466" s="1">
        <v>1</v>
      </c>
      <c r="CN466" s="1">
        <v>1</v>
      </c>
      <c r="CO466" s="1">
        <v>1</v>
      </c>
      <c r="CP466" s="1">
        <v>2</v>
      </c>
      <c r="CQ466" s="1">
        <v>2</v>
      </c>
      <c r="CR466" s="1">
        <v>2</v>
      </c>
      <c r="CS466" s="1">
        <v>2</v>
      </c>
      <c r="CT466" s="1">
        <v>2</v>
      </c>
      <c r="CU466" s="1">
        <v>2</v>
      </c>
      <c r="CV466" s="1">
        <f t="shared" si="437"/>
        <v>0</v>
      </c>
      <c r="CW466" s="1">
        <v>1</v>
      </c>
      <c r="CX466" s="1">
        <v>1</v>
      </c>
      <c r="CY466" s="1">
        <v>2</v>
      </c>
      <c r="CZ466" s="1">
        <f t="shared" si="441"/>
        <v>0</v>
      </c>
      <c r="DA466" s="1">
        <v>1</v>
      </c>
      <c r="DB466" s="1">
        <v>1</v>
      </c>
      <c r="DC466" s="1">
        <v>2</v>
      </c>
      <c r="DD466" s="1">
        <v>1</v>
      </c>
      <c r="DE466" s="1">
        <v>2</v>
      </c>
      <c r="DF466" s="1">
        <v>1</v>
      </c>
      <c r="DG466" s="1">
        <v>1</v>
      </c>
      <c r="DH466" s="1">
        <v>1</v>
      </c>
      <c r="DI466" s="1">
        <f t="shared" si="438"/>
        <v>0</v>
      </c>
      <c r="DJ466" s="1">
        <v>1</v>
      </c>
      <c r="DK466" s="1" t="s">
        <v>1153</v>
      </c>
      <c r="DL466" s="1" t="s">
        <v>170</v>
      </c>
      <c r="DR466" s="1" t="b">
        <f>AND(AlignmentChaotic,AlignmentGood)</f>
        <v>0</v>
      </c>
      <c r="DS466" s="1" t="b">
        <f>BaseAtk&gt;=4</f>
        <v>0</v>
      </c>
      <c r="DT466" s="1" t="b">
        <f>SkSenseMotiveRanks&gt;=2</f>
        <v>0</v>
      </c>
      <c r="DU466" s="1" t="b">
        <f>FtBlindFight</f>
        <v>0</v>
      </c>
      <c r="DV466" s="1" t="b">
        <f>FtDodgeEquiv</f>
        <v>0</v>
      </c>
      <c r="DW466" s="1" t="b">
        <f>FtMobility</f>
        <v>0</v>
      </c>
      <c r="DX466" s="1" t="b">
        <f>FtSpringAttack</f>
        <v>0</v>
      </c>
      <c r="DY466" s="1" t="b">
        <f ca="1">MaxDivineSpellLevel&gt;=2</f>
        <v>0</v>
      </c>
      <c r="EA466" s="1" t="b">
        <f t="shared" ca="1" si="439"/>
        <v>0</v>
      </c>
      <c r="EB466" s="11" t="s">
        <v>334</v>
      </c>
      <c r="EC466" s="1" t="str">
        <f ca="1">IF(DR466,"","• Must be of Chaotic Good Alignment.
")&amp;IF(DS466,"","• Base Attack bonus +4 or greater.
")&amp;IF(DT466,"","• 2 ranks in Sense Motive.
")&amp;IF(DU466,"","• Blind-Fight feat.
")&amp;IF(DV466,"","• Dodge feat.
")&amp;IF(DW466,"","• Mobility feat.
")&amp;IF(DX466,"","• Spring Attack feat.
")&amp;IF(DY466,"","• Ability to cast 2nd level Divine spells.
")&amp;IF(DZ466,"","• Patron Deity: Selune.")</f>
        <v>• Must be of Chaotic Good Alignment.
• Base Attack bonus +4 or greater.
• 2 ranks in Sense Motive.
• Blind-Fight feat.
• Dodge feat.
• Mobility feat.
• Spring Attack feat.
• Ability to cast 2nd level Divine spells.
• Patron Deity: Selune.</v>
      </c>
      <c r="ED466" s="11" t="s">
        <v>335</v>
      </c>
    </row>
    <row r="467" spans="1:134" ht="11.25" customHeight="1" x14ac:dyDescent="0.2">
      <c r="A467" s="1">
        <f t="shared" si="432"/>
        <v>464</v>
      </c>
      <c r="B467" s="1" t="s">
        <v>1173</v>
      </c>
      <c r="C467" s="1" t="s">
        <v>1174</v>
      </c>
      <c r="D467" s="1" t="s">
        <v>1174</v>
      </c>
      <c r="E467" s="1">
        <f t="shared" si="408"/>
        <v>0</v>
      </c>
      <c r="G467" s="1">
        <f>SfLLvl-(SfLLvl&gt;=3)-(SfLLvl&gt;=6)-(SfLLvl&gt;=9)</f>
        <v>0</v>
      </c>
      <c r="K467" s="1">
        <v>2</v>
      </c>
      <c r="L467" s="1">
        <v>6</v>
      </c>
      <c r="V467" s="1">
        <v>0.75</v>
      </c>
      <c r="W467" s="1">
        <v>0.5</v>
      </c>
      <c r="X467" s="1">
        <v>0.34</v>
      </c>
      <c r="Y467" s="1">
        <v>0.5</v>
      </c>
      <c r="Z467" s="1" t="b">
        <f>FALSE</f>
        <v>0</v>
      </c>
      <c r="AA467" s="1" t="str">
        <f t="shared" si="411"/>
        <v/>
      </c>
      <c r="AB467" s="1" t="str">
        <f t="shared" si="412"/>
        <v/>
      </c>
      <c r="AC467" s="1">
        <f t="shared" si="409"/>
        <v>0</v>
      </c>
      <c r="AD467" s="1" t="str">
        <f t="shared" si="413"/>
        <v/>
      </c>
      <c r="AE467" s="1" t="str">
        <f t="shared" si="414"/>
        <v/>
      </c>
      <c r="AF467" s="1">
        <f t="shared" si="410"/>
        <v>0</v>
      </c>
      <c r="AG467" s="1">
        <f t="shared" si="394"/>
        <v>5</v>
      </c>
      <c r="AH467" s="1" t="str">
        <f t="shared" ref="AH467:AH530" si="444">IF(ROW()&gt;$AG$2,"",INDEX($B$5:$B$794,MATCH(ROW(),$AG$5:$AG$794,0)))</f>
        <v/>
      </c>
      <c r="AI467" s="1">
        <v>1</v>
      </c>
      <c r="AJ467" s="1">
        <f t="shared" si="440"/>
        <v>0</v>
      </c>
      <c r="AK467" s="1">
        <v>1</v>
      </c>
      <c r="AL467" s="1">
        <v>2</v>
      </c>
      <c r="AM467" s="1">
        <v>1</v>
      </c>
      <c r="AN467" s="1">
        <f t="shared" si="433"/>
        <v>0</v>
      </c>
      <c r="AO467" s="1">
        <v>2</v>
      </c>
      <c r="AP467" s="1">
        <v>1</v>
      </c>
      <c r="AQ467" s="1">
        <v>1</v>
      </c>
      <c r="AR467" s="1">
        <v>1</v>
      </c>
      <c r="AS467" s="1">
        <v>1</v>
      </c>
      <c r="AT467" s="1">
        <v>1</v>
      </c>
      <c r="AU467" s="1">
        <v>1</v>
      </c>
      <c r="AV467" s="1">
        <v>1</v>
      </c>
      <c r="AW467" s="1">
        <v>1</v>
      </c>
      <c r="AX467" s="1">
        <v>2</v>
      </c>
      <c r="AY467" s="1">
        <v>1</v>
      </c>
      <c r="AZ467" s="1">
        <v>2</v>
      </c>
      <c r="BA467" s="1">
        <v>1</v>
      </c>
      <c r="BB467" s="1">
        <v>1</v>
      </c>
      <c r="BC467" s="1">
        <v>2</v>
      </c>
      <c r="BD467" s="1">
        <v>1</v>
      </c>
      <c r="BE467" s="1">
        <v>1</v>
      </c>
      <c r="BF467" s="1">
        <v>2</v>
      </c>
      <c r="BG467" s="1">
        <f t="shared" si="434"/>
        <v>0</v>
      </c>
      <c r="BH467" s="1">
        <f t="shared" si="435"/>
        <v>0</v>
      </c>
      <c r="BI467" s="1">
        <v>2</v>
      </c>
      <c r="BJ467" s="1">
        <v>1</v>
      </c>
      <c r="BK467" s="1">
        <v>1</v>
      </c>
      <c r="BL467" s="1">
        <v>1</v>
      </c>
      <c r="BM467" s="1">
        <v>1</v>
      </c>
      <c r="BN467" s="1">
        <v>1</v>
      </c>
      <c r="BO467" s="1">
        <v>1</v>
      </c>
      <c r="BP467" s="1">
        <v>1</v>
      </c>
      <c r="BQ467" s="1">
        <f>IF(HRRVL,1,0)</f>
        <v>0</v>
      </c>
      <c r="BR467" s="1">
        <v>1</v>
      </c>
      <c r="BS467" s="1">
        <v>1</v>
      </c>
      <c r="BT467" s="1">
        <f t="shared" si="442"/>
        <v>0</v>
      </c>
      <c r="BU467" s="1">
        <f t="shared" si="443"/>
        <v>0</v>
      </c>
      <c r="BV467" s="1">
        <v>2</v>
      </c>
      <c r="BW467" s="1">
        <v>1</v>
      </c>
      <c r="BX467" s="1">
        <v>1</v>
      </c>
      <c r="BY467" s="1">
        <v>1</v>
      </c>
      <c r="BZ467" s="1">
        <v>1</v>
      </c>
      <c r="CA467" s="1">
        <v>1</v>
      </c>
      <c r="CB467" s="1">
        <v>1</v>
      </c>
      <c r="CC467" s="1">
        <v>1</v>
      </c>
      <c r="CD467" s="1">
        <v>1</v>
      </c>
      <c r="CE467" s="1">
        <v>1</v>
      </c>
      <c r="CF467" s="1">
        <v>1</v>
      </c>
      <c r="CG467" s="1">
        <f t="shared" si="436"/>
        <v>0</v>
      </c>
      <c r="CH467" s="1">
        <v>1</v>
      </c>
      <c r="CI467" s="1">
        <v>1</v>
      </c>
      <c r="CJ467" s="1">
        <v>1</v>
      </c>
      <c r="CK467" s="1">
        <v>1</v>
      </c>
      <c r="CL467" s="1">
        <v>1</v>
      </c>
      <c r="CM467" s="1">
        <v>1</v>
      </c>
      <c r="CN467" s="1">
        <v>1</v>
      </c>
      <c r="CO467" s="1">
        <v>1</v>
      </c>
      <c r="CP467" s="1">
        <v>1</v>
      </c>
      <c r="CQ467" s="1">
        <v>1</v>
      </c>
      <c r="CR467" s="1">
        <v>1</v>
      </c>
      <c r="CS467" s="1">
        <v>1</v>
      </c>
      <c r="CT467" s="1">
        <v>1</v>
      </c>
      <c r="CU467" s="1">
        <v>1</v>
      </c>
      <c r="CV467" s="1">
        <f t="shared" si="437"/>
        <v>0</v>
      </c>
      <c r="CW467" s="1">
        <v>1</v>
      </c>
      <c r="CX467" s="1">
        <v>1</v>
      </c>
      <c r="CY467" s="1">
        <v>2</v>
      </c>
      <c r="CZ467" s="1">
        <f t="shared" si="441"/>
        <v>0</v>
      </c>
      <c r="DA467" s="1">
        <v>1</v>
      </c>
      <c r="DB467" s="1">
        <v>1</v>
      </c>
      <c r="DC467" s="1">
        <v>1</v>
      </c>
      <c r="DD467" s="1">
        <v>1</v>
      </c>
      <c r="DE467" s="1">
        <v>1</v>
      </c>
      <c r="DF467" s="1">
        <v>1</v>
      </c>
      <c r="DG467" s="1">
        <v>1</v>
      </c>
      <c r="DH467" s="1">
        <v>1</v>
      </c>
      <c r="DI467" s="1">
        <f t="shared" si="438"/>
        <v>0</v>
      </c>
      <c r="DJ467" s="1">
        <v>1</v>
      </c>
      <c r="DK467" s="1" t="s">
        <v>1153</v>
      </c>
      <c r="DL467" s="1" t="s">
        <v>170</v>
      </c>
      <c r="DQ467" s="1" t="b">
        <f>SkDisguiseRanks&gt;=8</f>
        <v>0</v>
      </c>
      <c r="DR467" s="1" t="b">
        <f>SkBluffRanks&gt;=4</f>
        <v>0</v>
      </c>
      <c r="DS467" s="1" t="b">
        <f>SkIntimidateRanks&gt;=4</f>
        <v>0</v>
      </c>
      <c r="DT467" s="1" t="b">
        <f>NOT(ISNA(MATCH("Abyssal",TblLangKnown,0)))</f>
        <v>0</v>
      </c>
      <c r="DU467" s="1" t="b">
        <f>OR(FreeIronWill,FtIronWill)</f>
        <v>0</v>
      </c>
      <c r="DV467" s="1" t="b">
        <f>NOT(ISNA(MATCH("Illusion",TblSpellFocus,0)))</f>
        <v>0</v>
      </c>
      <c r="DW467" s="1" t="b">
        <f>NOT(ISNA(MATCH("Longsword",TblWeaponFocusFeat,0)))</f>
        <v>0</v>
      </c>
      <c r="DX467" s="1" t="b">
        <f ca="1">MaxDivineSpellLevel&gt;=3</f>
        <v>0</v>
      </c>
      <c r="DY467" s="1" t="b">
        <f>Deity="Cyric"</f>
        <v>0</v>
      </c>
      <c r="EA467" s="1" t="b">
        <f t="shared" ca="1" si="439"/>
        <v>0</v>
      </c>
      <c r="EB467" s="11" t="s">
        <v>338</v>
      </c>
      <c r="EC467" s="1" t="str">
        <f ca="1">IF(DQ467,"","• 8 ranks in Disguise.
")&amp;IF(DR467,"","• 4 ranks in Bluff.
")&amp;IF(DS467,"","• 4 ranks in Intimidate.
")&amp;IF(DT467,"","• Speak Language (abyssal).
")&amp;IF(DU467,"","• Iron Will Feat.
")&amp;IF(DV467,"","• Spell Focus (Illusion) Feat.
")&amp;IF(DW467,"","• Weapon Focus (Longsword).
")&amp;IF(DX467,"","• Ability to cast 3rd-level divine spells.
")&amp;IF(DY467,"","• Patron Deity: Cyric.
")&amp;"• You must have single-handedly slain an illusionist, a cleric of Cyric, or someone with the Spell Focus (illusion) feat (not verified)."</f>
        <v>• 8 ranks in Disguise.
• 4 ranks in Bluff.
• 4 ranks in Intimidate.
• Speak Language (abyssal).
• Iron Will Feat.
• Spell Focus (Illusion) Feat.
• Weapon Focus (Longsword).
• Ability to cast 3rd-level divine spells.
• Patron Deity: Cyric.
• You must have single-handedly slain an illusionist, a cleric of Cyric, or someone with the Spell Focus (illusion) feat (not verified).</v>
      </c>
      <c r="ED467" s="11" t="s">
        <v>335</v>
      </c>
    </row>
    <row r="468" spans="1:134" ht="11.25" customHeight="1" x14ac:dyDescent="0.2">
      <c r="A468" s="1">
        <f t="shared" si="432"/>
        <v>465</v>
      </c>
      <c r="B468" s="1" t="s">
        <v>1175</v>
      </c>
      <c r="C468" s="1" t="s">
        <v>1176</v>
      </c>
      <c r="D468" s="1" t="s">
        <v>1177</v>
      </c>
      <c r="E468" s="1">
        <f t="shared" si="408"/>
        <v>0</v>
      </c>
      <c r="G468" s="1">
        <f>SwDLvl</f>
        <v>0</v>
      </c>
      <c r="K468" s="1">
        <v>2</v>
      </c>
      <c r="L468" s="1">
        <v>8</v>
      </c>
      <c r="V468" s="1">
        <v>0.75</v>
      </c>
      <c r="W468" s="1">
        <v>0.34</v>
      </c>
      <c r="X468" s="1">
        <v>0.5</v>
      </c>
      <c r="Y468" s="1">
        <v>0.34</v>
      </c>
      <c r="Z468" s="1" t="b">
        <f>FALSE</f>
        <v>0</v>
      </c>
      <c r="AA468" s="1" t="str">
        <f t="shared" si="411"/>
        <v/>
      </c>
      <c r="AB468" s="1" t="str">
        <f t="shared" si="412"/>
        <v/>
      </c>
      <c r="AC468" s="1">
        <f t="shared" si="409"/>
        <v>0</v>
      </c>
      <c r="AD468" s="1" t="str">
        <f t="shared" si="413"/>
        <v/>
      </c>
      <c r="AE468" s="1" t="str">
        <f t="shared" si="414"/>
        <v/>
      </c>
      <c r="AF468" s="1">
        <f t="shared" si="410"/>
        <v>0</v>
      </c>
      <c r="AG468" s="1">
        <f t="shared" si="394"/>
        <v>5</v>
      </c>
      <c r="AH468" s="1" t="str">
        <f t="shared" si="444"/>
        <v/>
      </c>
      <c r="AI468" s="1">
        <v>1</v>
      </c>
      <c r="AJ468" s="1">
        <f t="shared" si="440"/>
        <v>0</v>
      </c>
      <c r="AK468" s="1">
        <v>2</v>
      </c>
      <c r="AL468" s="1">
        <v>1</v>
      </c>
      <c r="AM468" s="1">
        <v>1</v>
      </c>
      <c r="AN468" s="1">
        <f t="shared" si="433"/>
        <v>0</v>
      </c>
      <c r="AO468" s="1">
        <v>2</v>
      </c>
      <c r="AP468" s="1">
        <v>2</v>
      </c>
      <c r="AQ468" s="1">
        <v>2</v>
      </c>
      <c r="AR468" s="1">
        <v>2</v>
      </c>
      <c r="AS468" s="1">
        <v>2</v>
      </c>
      <c r="AT468" s="1">
        <v>2</v>
      </c>
      <c r="AU468" s="1">
        <v>2</v>
      </c>
      <c r="AV468" s="1">
        <v>2</v>
      </c>
      <c r="AW468" s="1">
        <v>1</v>
      </c>
      <c r="AX468" s="1">
        <v>2</v>
      </c>
      <c r="AY468" s="1">
        <v>1</v>
      </c>
      <c r="AZ468" s="1">
        <v>1</v>
      </c>
      <c r="BA468" s="1">
        <v>1</v>
      </c>
      <c r="BB468" s="1">
        <v>1</v>
      </c>
      <c r="BC468" s="1">
        <v>1</v>
      </c>
      <c r="BD468" s="1">
        <v>1</v>
      </c>
      <c r="BE468" s="1">
        <v>1</v>
      </c>
      <c r="BF468" s="1">
        <v>2</v>
      </c>
      <c r="BG468" s="1">
        <f t="shared" si="434"/>
        <v>0</v>
      </c>
      <c r="BH468" s="1">
        <f t="shared" si="435"/>
        <v>0</v>
      </c>
      <c r="BI468" s="1">
        <v>1</v>
      </c>
      <c r="BJ468" s="1">
        <v>1</v>
      </c>
      <c r="BK468" s="1">
        <v>1</v>
      </c>
      <c r="BL468" s="1">
        <v>1</v>
      </c>
      <c r="BM468" s="1">
        <v>1</v>
      </c>
      <c r="BN468" s="1">
        <v>1</v>
      </c>
      <c r="BO468" s="1">
        <v>2</v>
      </c>
      <c r="BP468" s="1">
        <f>1+NOT(HRLivingGreyhawk)</f>
        <v>2</v>
      </c>
      <c r="BQ468" s="1">
        <f>IF(HRRVL,2,0)</f>
        <v>0</v>
      </c>
      <c r="BR468" s="1">
        <v>2</v>
      </c>
      <c r="BS468" s="1">
        <v>1</v>
      </c>
      <c r="BT468" s="1">
        <f t="shared" si="442"/>
        <v>0</v>
      </c>
      <c r="BU468" s="1">
        <f t="shared" si="443"/>
        <v>0</v>
      </c>
      <c r="BV468" s="1">
        <v>2</v>
      </c>
      <c r="BW468" s="1">
        <v>1</v>
      </c>
      <c r="BX468" s="1">
        <v>1</v>
      </c>
      <c r="BY468" s="1">
        <v>1</v>
      </c>
      <c r="BZ468" s="1">
        <v>1</v>
      </c>
      <c r="CA468" s="1">
        <v>1</v>
      </c>
      <c r="CB468" s="1">
        <v>1</v>
      </c>
      <c r="CC468" s="1">
        <v>1</v>
      </c>
      <c r="CD468" s="1">
        <v>1</v>
      </c>
      <c r="CE468" s="1">
        <v>1</v>
      </c>
      <c r="CF468" s="1">
        <v>2</v>
      </c>
      <c r="CG468" s="1">
        <f t="shared" si="436"/>
        <v>0</v>
      </c>
      <c r="CH468" s="1">
        <v>2</v>
      </c>
      <c r="CI468" s="1">
        <v>1</v>
      </c>
      <c r="CJ468" s="1">
        <v>2</v>
      </c>
      <c r="CK468" s="1">
        <v>2</v>
      </c>
      <c r="CL468" s="1">
        <v>2</v>
      </c>
      <c r="CM468" s="1">
        <v>2</v>
      </c>
      <c r="CN468" s="1">
        <v>2</v>
      </c>
      <c r="CO468" s="1">
        <v>2</v>
      </c>
      <c r="CP468" s="1">
        <v>1</v>
      </c>
      <c r="CQ468" s="1">
        <v>1</v>
      </c>
      <c r="CR468" s="1">
        <v>1</v>
      </c>
      <c r="CS468" s="1">
        <v>1</v>
      </c>
      <c r="CT468" s="1">
        <v>1</v>
      </c>
      <c r="CU468" s="1">
        <v>1</v>
      </c>
      <c r="CV468" s="1">
        <f t="shared" si="437"/>
        <v>0</v>
      </c>
      <c r="CW468" s="1">
        <v>1</v>
      </c>
      <c r="CX468" s="1">
        <v>1</v>
      </c>
      <c r="CY468" s="1">
        <v>1</v>
      </c>
      <c r="CZ468" s="1">
        <f t="shared" si="441"/>
        <v>0</v>
      </c>
      <c r="DA468" s="1">
        <v>1</v>
      </c>
      <c r="DB468" s="1">
        <v>1</v>
      </c>
      <c r="DC468" s="1">
        <v>1</v>
      </c>
      <c r="DD468" s="1">
        <v>1</v>
      </c>
      <c r="DE468" s="1">
        <v>2</v>
      </c>
      <c r="DF468" s="1">
        <v>1</v>
      </c>
      <c r="DG468" s="1">
        <v>2</v>
      </c>
      <c r="DH468" s="1">
        <v>1</v>
      </c>
      <c r="DI468" s="1">
        <f t="shared" si="438"/>
        <v>0</v>
      </c>
      <c r="DJ468" s="1">
        <v>1</v>
      </c>
      <c r="DK468" s="1" t="s">
        <v>1153</v>
      </c>
      <c r="DL468" s="1" t="s">
        <v>170</v>
      </c>
      <c r="DO468" s="1" t="b">
        <f>OR(RaceCi="Elf",RaceCi="Half-Elf")</f>
        <v>0</v>
      </c>
      <c r="DP468" s="1" t="b">
        <f>Gender="Female"</f>
        <v>0</v>
      </c>
      <c r="DQ468" s="1" t="b">
        <f>BaseAtk&gt;=5</f>
        <v>0</v>
      </c>
      <c r="DR468" s="1" t="b">
        <f>SkDiplomacyRanks&gt;=5</f>
        <v>0</v>
      </c>
      <c r="DS468" s="1" t="b">
        <f>SkPerformRanks&gt;=5</f>
        <v>0</v>
      </c>
      <c r="DT468" s="1" t="b">
        <f>AND(NOT(ISNA(MATCH("Elven",TblLangKnown,0))),NOT(ISNA(MATCH("Undercommon",TblLangKnown,0))))</f>
        <v>0</v>
      </c>
      <c r="DU468" s="1" t="b">
        <f>FtDodgeEquiv</f>
        <v>0</v>
      </c>
      <c r="DV468" s="1" t="b">
        <f>OR(FreeCombatExpertise,FtCombatExpertise)</f>
        <v>0</v>
      </c>
      <c r="DW468" s="1" t="b">
        <f>NOT(ISERROR(SEARCH("Perform",SkillFocusList,1)))</f>
        <v>0</v>
      </c>
      <c r="DX468" s="1" t="b">
        <f>OR(NOT(ISERROR(FIND("sword",LOWER(WeaponFocusFree1),1))),
        NOT(ISERROR(FIND("sword",LOWER(WeaponFocusFree2),1))),
        NOT(ISERROR(FIND("sword",LOWER(WeaponFocus1),1))),
        NOT(ISERROR(FIND("sword",LOWER(WeaponFocus2),1))),
        NOT(ISERROR(FIND("sword",LOWER(WeaponFocus3),1))))</f>
        <v>0</v>
      </c>
      <c r="DY468" s="1" t="b">
        <f ca="1">MaxDivineSpellLevel&gt;=2</f>
        <v>0</v>
      </c>
      <c r="DZ468" s="1" t="b">
        <f>Deity="Eilistraee"</f>
        <v>0</v>
      </c>
      <c r="EA468" s="1" t="b">
        <f t="shared" ca="1" si="439"/>
        <v>0</v>
      </c>
      <c r="EB468" s="11" t="s">
        <v>338</v>
      </c>
      <c r="EC468" s="1" t="str">
        <f ca="1">IF(DO468,"","• Must be an Elf or Half-elf.
")&amp;IF(DP468,"","• Must be Female.
")&amp;IF(DQ468,"","• Base Attack bonus +5 or greater.
")&amp;IF(DR468,"","• 5 ranks in Diplomacy.
")&amp;IF(DS468,"","• 5 ranks in Perform.
")&amp;IF(DT468,"","• Must speak Elven and Undercommon.
")&amp;IF(DU468,"","• Dodge Feat.
")&amp;IF(DV468,"","• Combat Expertise Feat.
")&amp;IF(DW468,"","• Skill Focus (Perform) Feat.
")&amp;IF(DX468,"","• Weapon Focus (any sword) Feat.
")&amp;IF(DY468,"","• Ability to cast 2nd-level divine spells.
")&amp;IF(DZ468,"","• Patron Deity: Eilistraee.
")&amp;"• You must have seen the sunrise at least once and spent at least one continuous month living on the surface, dancing each night under the light of the moon (not verified)."</f>
        <v>• Must be an Elf or Half-elf.
• Must be Female.
• Base Attack bonus +5 or greater.
• 5 ranks in Diplomacy.
• 5 ranks in Perform.
• Must speak Elven and Undercommon.
• Dodge Feat.
• Combat Expertise Feat.
• Skill Focus (Perform) Feat.
• Weapon Focus (any sword) Feat.
• Ability to cast 2nd-level divine spells.
• Patron Deity: Eilistraee.
• You must have seen the sunrise at least once and spent at least one continuous month living on the surface, dancing each night under the light of the moon (not verified).</v>
      </c>
      <c r="ED468" s="11" t="s">
        <v>335</v>
      </c>
    </row>
    <row r="469" spans="1:134" ht="11.25" customHeight="1" x14ac:dyDescent="0.2">
      <c r="A469" s="1">
        <f t="shared" si="432"/>
        <v>466</v>
      </c>
      <c r="B469" s="1" t="s">
        <v>1178</v>
      </c>
      <c r="C469" s="1" t="s">
        <v>1179</v>
      </c>
      <c r="D469" s="1" t="s">
        <v>1179</v>
      </c>
      <c r="E469" s="1">
        <f t="shared" si="408"/>
        <v>0</v>
      </c>
      <c r="G469" s="1">
        <f>TecLvl</f>
        <v>0</v>
      </c>
      <c r="K469" s="1">
        <v>4</v>
      </c>
      <c r="L469" s="1">
        <v>6</v>
      </c>
      <c r="S469" s="1" t="b">
        <v>1</v>
      </c>
      <c r="V469" s="1">
        <v>0.5</v>
      </c>
      <c r="W469" s="1">
        <v>0.5</v>
      </c>
      <c r="X469" s="1">
        <v>0.34</v>
      </c>
      <c r="Y469" s="1">
        <v>0.5</v>
      </c>
      <c r="Z469" s="1" t="b">
        <f>FALSE</f>
        <v>0</v>
      </c>
      <c r="AA469" s="1" t="str">
        <f t="shared" si="411"/>
        <v/>
      </c>
      <c r="AB469" s="1" t="str">
        <f t="shared" si="412"/>
        <v/>
      </c>
      <c r="AC469" s="1">
        <f t="shared" si="409"/>
        <v>0</v>
      </c>
      <c r="AD469" s="1" t="str">
        <f t="shared" si="413"/>
        <v/>
      </c>
      <c r="AE469" s="1" t="str">
        <f t="shared" si="414"/>
        <v/>
      </c>
      <c r="AF469" s="1">
        <f t="shared" si="410"/>
        <v>0</v>
      </c>
      <c r="AG469" s="1">
        <f t="shared" ref="AG469:AG532" si="445">IF($AC469&gt;0,$AG468+1,$AG468)</f>
        <v>5</v>
      </c>
      <c r="AH469" s="1" t="str">
        <f t="shared" si="444"/>
        <v/>
      </c>
      <c r="AI469" s="1">
        <v>2</v>
      </c>
      <c r="AJ469" s="1">
        <f t="shared" si="440"/>
        <v>0</v>
      </c>
      <c r="AK469" s="1">
        <v>1</v>
      </c>
      <c r="AL469" s="1">
        <v>1</v>
      </c>
      <c r="AM469" s="1">
        <v>1</v>
      </c>
      <c r="AN469" s="1">
        <f t="shared" si="433"/>
        <v>0</v>
      </c>
      <c r="AO469" s="1">
        <v>2</v>
      </c>
      <c r="AP469" s="1">
        <v>2</v>
      </c>
      <c r="AQ469" s="1">
        <v>2</v>
      </c>
      <c r="AR469" s="1">
        <v>2</v>
      </c>
      <c r="AS469" s="1">
        <v>2</v>
      </c>
      <c r="AT469" s="1">
        <v>2</v>
      </c>
      <c r="AU469" s="1">
        <v>2</v>
      </c>
      <c r="AV469" s="1">
        <v>2</v>
      </c>
      <c r="AW469" s="1">
        <v>1</v>
      </c>
      <c r="AX469" s="1">
        <v>1</v>
      </c>
      <c r="AY469" s="1">
        <v>2</v>
      </c>
      <c r="AZ469" s="1">
        <v>1</v>
      </c>
      <c r="BA469" s="1">
        <v>1</v>
      </c>
      <c r="BB469" s="1">
        <v>1</v>
      </c>
      <c r="BC469" s="1">
        <v>1</v>
      </c>
      <c r="BD469" s="1">
        <v>1</v>
      </c>
      <c r="BE469" s="1">
        <v>1</v>
      </c>
      <c r="BF469" s="1">
        <v>1</v>
      </c>
      <c r="BG469" s="1">
        <f t="shared" si="434"/>
        <v>0</v>
      </c>
      <c r="BH469" s="1">
        <f t="shared" si="435"/>
        <v>0</v>
      </c>
      <c r="BI469" s="1">
        <v>1</v>
      </c>
      <c r="BJ469" s="1">
        <v>1</v>
      </c>
      <c r="BK469" s="1">
        <v>2</v>
      </c>
      <c r="BL469" s="1">
        <v>2</v>
      </c>
      <c r="BM469" s="1">
        <v>1</v>
      </c>
      <c r="BN469" s="1">
        <v>1</v>
      </c>
      <c r="BO469" s="1">
        <v>1</v>
      </c>
      <c r="BP469" s="1">
        <v>1</v>
      </c>
      <c r="BQ469" s="1">
        <f>IF(HRRVL,1,0)</f>
        <v>0</v>
      </c>
      <c r="BR469" s="1">
        <v>1</v>
      </c>
      <c r="BS469" s="1">
        <v>1</v>
      </c>
      <c r="BT469" s="1">
        <f t="shared" si="442"/>
        <v>0</v>
      </c>
      <c r="BU469" s="1">
        <f t="shared" si="443"/>
        <v>0</v>
      </c>
      <c r="BV469" s="1">
        <v>2</v>
      </c>
      <c r="BW469" s="1">
        <v>1</v>
      </c>
      <c r="BX469" s="1">
        <v>1</v>
      </c>
      <c r="BY469" s="1">
        <v>1</v>
      </c>
      <c r="BZ469" s="1">
        <v>1</v>
      </c>
      <c r="CA469" s="1">
        <v>1</v>
      </c>
      <c r="CB469" s="1">
        <v>1</v>
      </c>
      <c r="CC469" s="1">
        <v>1</v>
      </c>
      <c r="CD469" s="1">
        <v>1</v>
      </c>
      <c r="CE469" s="1">
        <v>1</v>
      </c>
      <c r="CF469" s="1">
        <v>1</v>
      </c>
      <c r="CG469" s="1">
        <f t="shared" si="436"/>
        <v>0</v>
      </c>
      <c r="CH469" s="1">
        <v>1</v>
      </c>
      <c r="CI469" s="1">
        <v>2</v>
      </c>
      <c r="CJ469" s="1">
        <v>1</v>
      </c>
      <c r="CK469" s="1">
        <v>1</v>
      </c>
      <c r="CL469" s="1">
        <v>1</v>
      </c>
      <c r="CM469" s="1">
        <v>1</v>
      </c>
      <c r="CN469" s="1">
        <v>1</v>
      </c>
      <c r="CO469" s="1">
        <v>1</v>
      </c>
      <c r="CP469" s="1">
        <v>1</v>
      </c>
      <c r="CQ469" s="1">
        <v>1</v>
      </c>
      <c r="CR469" s="1">
        <v>1</v>
      </c>
      <c r="CS469" s="1">
        <v>1</v>
      </c>
      <c r="CT469" s="1">
        <v>1</v>
      </c>
      <c r="CU469" s="1">
        <v>1</v>
      </c>
      <c r="CV469" s="1">
        <f t="shared" si="437"/>
        <v>0</v>
      </c>
      <c r="CW469" s="1">
        <v>1</v>
      </c>
      <c r="CX469" s="1">
        <v>1</v>
      </c>
      <c r="CY469" s="1">
        <v>1</v>
      </c>
      <c r="CZ469" s="1">
        <f t="shared" si="441"/>
        <v>0</v>
      </c>
      <c r="DA469" s="1">
        <v>1</v>
      </c>
      <c r="DB469" s="1">
        <v>1</v>
      </c>
      <c r="DC469" s="1">
        <v>2</v>
      </c>
      <c r="DD469" s="1">
        <v>1</v>
      </c>
      <c r="DE469" s="1">
        <v>1</v>
      </c>
      <c r="DF469" s="1">
        <v>1</v>
      </c>
      <c r="DG469" s="1">
        <v>1</v>
      </c>
      <c r="DH469" s="1">
        <v>1</v>
      </c>
      <c r="DI469" s="1">
        <f t="shared" si="438"/>
        <v>0</v>
      </c>
      <c r="DJ469" s="1">
        <v>1</v>
      </c>
      <c r="DK469" s="1" t="s">
        <v>1153</v>
      </c>
      <c r="DL469" s="1" t="s">
        <v>170</v>
      </c>
      <c r="DR469" s="1" t="b">
        <f>OR(IF(NOT(ISNA(MATCH("armorsmithing",TblCraftSkills,0))),INDEX(TblCraftRanks,MATCH("armorsmithing",TblCraftSkills,0),1)&gt;=9,FALSE),OR(IF(NOT(ISNA(MATCH("weaponsmithing",TblCraftSkills,0))),INDEX(TblCraftRanks,MATCH("weaponsmithing",TblCraftSkills,0),1)&gt;=9,FALSE),OR(IF(NOT(ISNA(MATCH("blacksmithing",TblCraftSkills,0))),INDEX(TblCraftRanks,MATCH("blacksmithing",TblCraftSkills,0),1)&gt;=9,FALSE),IF(NOT(ISNA(MATCH("metalworking",TblCraftSkills,0))),INDEX(TblCraftRanks,MATCH("metalworking",TblCraftSkills,0),1)&gt;=9,FALSE))))</f>
        <v>0</v>
      </c>
      <c r="DS469" s="1" t="b">
        <f>FtCraftWonderousItem</f>
        <v>0</v>
      </c>
      <c r="DT469" s="1" t="b">
        <f>NOT(ISERROR(SEARCH("Craft",SkillFocusList,1)))</f>
        <v>0</v>
      </c>
      <c r="DV469" s="1" t="b">
        <f>Deity="Gond"</f>
        <v>0</v>
      </c>
      <c r="EA469" s="1" t="b">
        <f t="shared" si="439"/>
        <v>0</v>
      </c>
      <c r="EB469" s="11" t="s">
        <v>338</v>
      </c>
      <c r="EC469" s="1" t="str">
        <f>IF(DR469,"","• 9 ranks in Craft (armorsmithing, weaponsmithing, blacksmithing or metalworking).
")&amp;IF(DS469,"","• Craft Wonderous Item Feat.
")&amp;IF(DT469,"","• Skill Focus (Craft) Feat.
")&amp;"• Ability to cast minor creation (not verified).
"&amp;IF(DV469,"","• Patron Deity: Gond.
")&amp;"• You must visit the High Holy Crafthouse of Inspiration in the city of Illhul on the island of latan (not verified)."</f>
        <v>• 9 ranks in Craft (armorsmithing, weaponsmithing, blacksmithing or metalworking).
• Craft Wonderous Item Feat.
• Skill Focus (Craft) Feat.
• Ability to cast minor creation (not verified).
• Patron Deity: Gond.
• You must visit the High Holy Crafthouse of Inspiration in the city of Illhul on the island of latan (not verified).</v>
      </c>
      <c r="ED469" s="11" t="s">
        <v>335</v>
      </c>
    </row>
    <row r="470" spans="1:134" ht="11.25" customHeight="1" x14ac:dyDescent="0.2">
      <c r="A470" s="1">
        <f t="shared" si="432"/>
        <v>467</v>
      </c>
      <c r="B470" s="1" t="s">
        <v>1180</v>
      </c>
      <c r="C470" s="1" t="s">
        <v>571</v>
      </c>
      <c r="D470" s="1" t="s">
        <v>571</v>
      </c>
      <c r="E470" s="1">
        <f t="shared" si="408"/>
        <v>0</v>
      </c>
      <c r="G470" s="1">
        <f>WvSLvl</f>
        <v>0</v>
      </c>
      <c r="K470" s="1">
        <v>2</v>
      </c>
      <c r="L470" s="1">
        <v>8</v>
      </c>
      <c r="V470" s="1">
        <v>0.75</v>
      </c>
      <c r="W470" s="1">
        <v>0.5</v>
      </c>
      <c r="X470" s="1">
        <v>0.34</v>
      </c>
      <c r="Y470" s="1">
        <v>0.5</v>
      </c>
      <c r="Z470" s="1" t="b">
        <f>FALSE</f>
        <v>0</v>
      </c>
      <c r="AA470" s="1" t="str">
        <f t="shared" si="411"/>
        <v/>
      </c>
      <c r="AB470" s="1" t="str">
        <f t="shared" si="412"/>
        <v/>
      </c>
      <c r="AC470" s="1">
        <f t="shared" si="409"/>
        <v>0</v>
      </c>
      <c r="AD470" s="1" t="str">
        <f t="shared" si="413"/>
        <v/>
      </c>
      <c r="AE470" s="1" t="str">
        <f t="shared" si="414"/>
        <v/>
      </c>
      <c r="AF470" s="1">
        <f t="shared" si="410"/>
        <v>0</v>
      </c>
      <c r="AG470" s="1">
        <f t="shared" si="445"/>
        <v>5</v>
      </c>
      <c r="AH470" s="1" t="str">
        <f t="shared" si="444"/>
        <v/>
      </c>
      <c r="AI470" s="1">
        <v>1</v>
      </c>
      <c r="AJ470" s="1">
        <f t="shared" si="440"/>
        <v>0</v>
      </c>
      <c r="AK470" s="1">
        <v>1</v>
      </c>
      <c r="AL470" s="1">
        <v>1</v>
      </c>
      <c r="AM470" s="1">
        <v>1</v>
      </c>
      <c r="AN470" s="1">
        <f t="shared" si="433"/>
        <v>0</v>
      </c>
      <c r="AO470" s="1">
        <v>2</v>
      </c>
      <c r="AP470" s="1">
        <v>2</v>
      </c>
      <c r="AQ470" s="1">
        <v>2</v>
      </c>
      <c r="AR470" s="1">
        <v>2</v>
      </c>
      <c r="AS470" s="1">
        <v>2</v>
      </c>
      <c r="AT470" s="1">
        <v>2</v>
      </c>
      <c r="AU470" s="1">
        <v>2</v>
      </c>
      <c r="AV470" s="1">
        <v>2</v>
      </c>
      <c r="AW470" s="1">
        <v>1</v>
      </c>
      <c r="AX470" s="1">
        <v>1</v>
      </c>
      <c r="AY470" s="1">
        <v>1</v>
      </c>
      <c r="AZ470" s="1">
        <v>1</v>
      </c>
      <c r="BA470" s="1">
        <v>1</v>
      </c>
      <c r="BB470" s="1">
        <v>1</v>
      </c>
      <c r="BC470" s="1">
        <v>1</v>
      </c>
      <c r="BD470" s="1">
        <v>1</v>
      </c>
      <c r="BE470" s="1">
        <v>2</v>
      </c>
      <c r="BF470" s="1">
        <v>1</v>
      </c>
      <c r="BG470" s="1">
        <f t="shared" si="434"/>
        <v>0</v>
      </c>
      <c r="BH470" s="1">
        <f t="shared" si="435"/>
        <v>0</v>
      </c>
      <c r="BI470" s="1">
        <v>1</v>
      </c>
      <c r="BJ470" s="1">
        <v>2</v>
      </c>
      <c r="BK470" s="1">
        <v>1</v>
      </c>
      <c r="BL470" s="1">
        <v>1</v>
      </c>
      <c r="BM470" s="1">
        <v>1</v>
      </c>
      <c r="BN470" s="1">
        <v>1</v>
      </c>
      <c r="BO470" s="1">
        <v>1</v>
      </c>
      <c r="BP470" s="1">
        <v>1</v>
      </c>
      <c r="BQ470" s="1">
        <f>IF(HRRVL,2,0)</f>
        <v>0</v>
      </c>
      <c r="BR470" s="1">
        <v>2</v>
      </c>
      <c r="BS470" s="1">
        <v>1</v>
      </c>
      <c r="BT470" s="1">
        <f t="shared" si="442"/>
        <v>0</v>
      </c>
      <c r="BU470" s="1">
        <f t="shared" si="443"/>
        <v>0</v>
      </c>
      <c r="BV470" s="1">
        <v>2</v>
      </c>
      <c r="BW470" s="1">
        <v>1</v>
      </c>
      <c r="BX470" s="1">
        <v>1</v>
      </c>
      <c r="BY470" s="1">
        <v>1</v>
      </c>
      <c r="BZ470" s="1">
        <v>1</v>
      </c>
      <c r="CA470" s="1">
        <v>1</v>
      </c>
      <c r="CB470" s="1">
        <v>1</v>
      </c>
      <c r="CC470" s="1">
        <v>1</v>
      </c>
      <c r="CD470" s="1">
        <v>1</v>
      </c>
      <c r="CE470" s="1">
        <v>1</v>
      </c>
      <c r="CF470" s="1">
        <v>1</v>
      </c>
      <c r="CG470" s="1">
        <f t="shared" si="436"/>
        <v>0</v>
      </c>
      <c r="CH470" s="1">
        <v>1</v>
      </c>
      <c r="CI470" s="1">
        <v>1</v>
      </c>
      <c r="CJ470" s="1">
        <v>1</v>
      </c>
      <c r="CK470" s="1">
        <v>1</v>
      </c>
      <c r="CL470" s="1">
        <v>1</v>
      </c>
      <c r="CM470" s="1">
        <v>1</v>
      </c>
      <c r="CN470" s="1">
        <v>1</v>
      </c>
      <c r="CO470" s="1">
        <v>1</v>
      </c>
      <c r="CP470" s="1">
        <v>2</v>
      </c>
      <c r="CQ470" s="1">
        <v>2</v>
      </c>
      <c r="CR470" s="1">
        <v>2</v>
      </c>
      <c r="CS470" s="1">
        <v>2</v>
      </c>
      <c r="CT470" s="1">
        <v>2</v>
      </c>
      <c r="CU470" s="1">
        <v>2</v>
      </c>
      <c r="CV470" s="1">
        <f t="shared" si="437"/>
        <v>0</v>
      </c>
      <c r="CW470" s="1">
        <v>1</v>
      </c>
      <c r="CX470" s="1">
        <v>1</v>
      </c>
      <c r="CY470" s="1">
        <v>1</v>
      </c>
      <c r="CZ470" s="1">
        <f t="shared" si="441"/>
        <v>0</v>
      </c>
      <c r="DA470" s="1">
        <v>1</v>
      </c>
      <c r="DB470" s="1">
        <v>1</v>
      </c>
      <c r="DC470" s="1">
        <v>1</v>
      </c>
      <c r="DD470" s="1">
        <v>1</v>
      </c>
      <c r="DE470" s="1">
        <v>2</v>
      </c>
      <c r="DF470" s="1">
        <v>2</v>
      </c>
      <c r="DG470" s="1">
        <v>1</v>
      </c>
      <c r="DH470" s="1">
        <v>1</v>
      </c>
      <c r="DI470" s="1">
        <f t="shared" si="438"/>
        <v>0</v>
      </c>
      <c r="DJ470" s="1">
        <v>1</v>
      </c>
      <c r="DK470" s="1" t="s">
        <v>1153</v>
      </c>
      <c r="DL470" s="1" t="s">
        <v>170</v>
      </c>
      <c r="DQ470" s="1" t="b">
        <f>BaseAtk&gt;=5</f>
        <v>0</v>
      </c>
      <c r="DR470" s="1" t="b">
        <f>SkIntimidateRanks&gt;=4</f>
        <v>0</v>
      </c>
      <c r="DS470" s="1" t="b">
        <f>SkKnowledgeNatureRanks&gt;=4</f>
        <v>0</v>
      </c>
      <c r="DT470" s="1" t="b">
        <f>NOT(ISNA(MATCH("Aquan",TblLangKnown,0)))</f>
        <v>0</v>
      </c>
      <c r="DU470" s="1" t="b">
        <f>SkSwimRanks&gt;=4</f>
        <v>0</v>
      </c>
      <c r="DV470" s="1" t="b">
        <f>OR(FtEndurance,FtKoboldEndurance)</f>
        <v>0</v>
      </c>
      <c r="DW470" s="1" t="b">
        <f>NOT(ISNA(MATCH("Trident",TblWeaponFocusFeat,0)))</f>
        <v>0</v>
      </c>
      <c r="DX470" s="1" t="b">
        <f ca="1">MaxDivineSpellLevel&gt;=2</f>
        <v>0</v>
      </c>
      <c r="DY470" s="1" t="b">
        <f>Deity="Umberlee"</f>
        <v>0</v>
      </c>
      <c r="EA470" s="1" t="b">
        <f t="shared" ca="1" si="439"/>
        <v>0</v>
      </c>
      <c r="EB470" s="11" t="s">
        <v>338</v>
      </c>
      <c r="EC470" s="1" t="str">
        <f ca="1">IF(DQ470,"","• Base Attack bonus +5 or greater.
")&amp;IF(DR470,"","• 4 ranks in Intimidate.
")&amp;IF(DS470,"","• 4 ranks in Knowledge (nature).
")&amp;IF(DT470,"","• Speak Language (Auqan).
")&amp;IF(DU470,"","• 4 ranks in Swim.
")&amp;IF(DV470,"","• Endurance Feat.
")&amp;IF(DW470,"","• Weapon Focus (greatsword) Feat.
")&amp;IF(DX470,"","• Ability to cast 2nd-level Divine spells.
")&amp;IF(DY470,"","• Patron Deity: Umberlee.
")&amp;"• Must have made peaceful contact with a water elemental, an evil creature of type outsider (water), or an evil aquatic creature of at least 6 HD. And you must have communicated with it through language or magic (not verified)."</f>
        <v>• Base Attack bonus +5 or greater.
• 4 ranks in Intimidate.
• 4 ranks in Knowledge (nature).
• Speak Language (Auqan).
• 4 ranks in Swim.
• Endurance Feat.
• Weapon Focus (greatsword) Feat.
• Ability to cast 2nd-level Divine spells.
• Patron Deity: Umberlee.
• Must have made peaceful contact with a water elemental, an evil creature of type outsider (water), or an evil aquatic creature of at least 6 HD. And you must have communicated with it through language or magic (not verified).</v>
      </c>
      <c r="ED470" s="11" t="s">
        <v>335</v>
      </c>
    </row>
    <row r="471" spans="1:134" ht="11.25" customHeight="1" x14ac:dyDescent="0.2">
      <c r="A471" s="1">
        <f t="shared" si="432"/>
        <v>468</v>
      </c>
      <c r="B471" s="1" t="s">
        <v>1181</v>
      </c>
      <c r="C471" s="1" t="s">
        <v>1182</v>
      </c>
      <c r="D471" s="1" t="s">
        <v>1182</v>
      </c>
      <c r="E471" s="1">
        <f t="shared" si="408"/>
        <v>0</v>
      </c>
      <c r="G471" s="1">
        <f>WoPLvl</f>
        <v>0</v>
      </c>
      <c r="K471" s="1">
        <v>2</v>
      </c>
      <c r="L471" s="1">
        <v>6</v>
      </c>
      <c r="V471" s="1">
        <v>0.5</v>
      </c>
      <c r="W471" s="1">
        <v>0.34</v>
      </c>
      <c r="X471" s="1">
        <v>0.34</v>
      </c>
      <c r="Y471" s="1">
        <v>0.5</v>
      </c>
      <c r="Z471" s="1" t="b">
        <f>FALSE</f>
        <v>0</v>
      </c>
      <c r="AA471" s="1" t="str">
        <f t="shared" si="411"/>
        <v/>
      </c>
      <c r="AB471" s="1" t="str">
        <f t="shared" si="412"/>
        <v/>
      </c>
      <c r="AC471" s="1">
        <f t="shared" si="409"/>
        <v>0</v>
      </c>
      <c r="AD471" s="1" t="str">
        <f t="shared" si="413"/>
        <v/>
      </c>
      <c r="AE471" s="1" t="str">
        <f t="shared" si="414"/>
        <v/>
      </c>
      <c r="AF471" s="1">
        <f t="shared" si="410"/>
        <v>0</v>
      </c>
      <c r="AG471" s="1">
        <f t="shared" si="445"/>
        <v>5</v>
      </c>
      <c r="AH471" s="1" t="str">
        <f t="shared" si="444"/>
        <v/>
      </c>
      <c r="AI471" s="1">
        <v>2</v>
      </c>
      <c r="AJ471" s="1">
        <f t="shared" si="440"/>
        <v>0</v>
      </c>
      <c r="AK471" s="1">
        <v>1</v>
      </c>
      <c r="AL471" s="1">
        <v>1</v>
      </c>
      <c r="AM471" s="1">
        <v>1</v>
      </c>
      <c r="AN471" s="1">
        <f t="shared" si="433"/>
        <v>0</v>
      </c>
      <c r="AO471" s="1">
        <v>1</v>
      </c>
      <c r="AP471" s="1">
        <v>1</v>
      </c>
      <c r="AQ471" s="1">
        <v>1</v>
      </c>
      <c r="AR471" s="1">
        <v>1</v>
      </c>
      <c r="AS471" s="1">
        <v>1</v>
      </c>
      <c r="AT471" s="1">
        <v>1</v>
      </c>
      <c r="AU471" s="1">
        <v>1</v>
      </c>
      <c r="AV471" s="1">
        <v>1</v>
      </c>
      <c r="AW471" s="1">
        <v>1</v>
      </c>
      <c r="AX471" s="1">
        <v>2</v>
      </c>
      <c r="AY471" s="1">
        <v>1</v>
      </c>
      <c r="AZ471" s="1">
        <v>1</v>
      </c>
      <c r="BA471" s="1">
        <v>1</v>
      </c>
      <c r="BB471" s="1">
        <v>1</v>
      </c>
      <c r="BC471" s="1">
        <v>2</v>
      </c>
      <c r="BD471" s="1">
        <v>1</v>
      </c>
      <c r="BE471" s="1">
        <v>1</v>
      </c>
      <c r="BF471" s="1">
        <v>1</v>
      </c>
      <c r="BG471" s="1">
        <f t="shared" si="434"/>
        <v>0</v>
      </c>
      <c r="BH471" s="1">
        <f t="shared" si="435"/>
        <v>0</v>
      </c>
      <c r="BI471" s="1">
        <v>1</v>
      </c>
      <c r="BJ471" s="1">
        <v>1</v>
      </c>
      <c r="BK471" s="1">
        <v>2</v>
      </c>
      <c r="BL471" s="1">
        <v>1</v>
      </c>
      <c r="BM471" s="1">
        <v>1</v>
      </c>
      <c r="BN471" s="1">
        <v>1</v>
      </c>
      <c r="BO471" s="1">
        <v>1</v>
      </c>
      <c r="BP471" s="1">
        <v>1</v>
      </c>
      <c r="BQ471" s="1">
        <f>IF(HRRVL,1,0)</f>
        <v>0</v>
      </c>
      <c r="BR471" s="1">
        <v>1</v>
      </c>
      <c r="BS471" s="1">
        <v>1</v>
      </c>
      <c r="BT471" s="1">
        <f t="shared" si="442"/>
        <v>0</v>
      </c>
      <c r="BU471" s="1">
        <f>IF(HRRVL,1,0)</f>
        <v>0</v>
      </c>
      <c r="BV471" s="1">
        <v>1</v>
      </c>
      <c r="BW471" s="1">
        <v>1</v>
      </c>
      <c r="BX471" s="1">
        <v>1</v>
      </c>
      <c r="BY471" s="1">
        <v>1</v>
      </c>
      <c r="BZ471" s="1">
        <v>1</v>
      </c>
      <c r="CA471" s="1">
        <v>1</v>
      </c>
      <c r="CB471" s="1">
        <v>1</v>
      </c>
      <c r="CC471" s="1">
        <v>1</v>
      </c>
      <c r="CD471" s="1">
        <v>1</v>
      </c>
      <c r="CE471" s="1">
        <v>1</v>
      </c>
      <c r="CF471" s="1">
        <v>1</v>
      </c>
      <c r="CG471" s="1">
        <f t="shared" si="436"/>
        <v>0</v>
      </c>
      <c r="CH471" s="1">
        <v>1</v>
      </c>
      <c r="CI471" s="1">
        <v>1</v>
      </c>
      <c r="CJ471" s="1">
        <v>1</v>
      </c>
      <c r="CK471" s="1">
        <v>1</v>
      </c>
      <c r="CL471" s="1">
        <v>1</v>
      </c>
      <c r="CM471" s="1">
        <v>1</v>
      </c>
      <c r="CN471" s="1">
        <v>1</v>
      </c>
      <c r="CO471" s="1">
        <v>1</v>
      </c>
      <c r="CP471" s="1">
        <v>1</v>
      </c>
      <c r="CQ471" s="1">
        <v>1</v>
      </c>
      <c r="CR471" s="1">
        <v>1</v>
      </c>
      <c r="CS471" s="1">
        <v>1</v>
      </c>
      <c r="CT471" s="1">
        <v>1</v>
      </c>
      <c r="CU471" s="1">
        <v>1</v>
      </c>
      <c r="CV471" s="1">
        <f t="shared" si="437"/>
        <v>0</v>
      </c>
      <c r="CW471" s="1">
        <v>2</v>
      </c>
      <c r="CX471" s="1">
        <v>1</v>
      </c>
      <c r="CY471" s="1">
        <v>1</v>
      </c>
      <c r="CZ471" s="1">
        <f t="shared" si="441"/>
        <v>0</v>
      </c>
      <c r="DA471" s="1">
        <v>1</v>
      </c>
      <c r="DB471" s="1">
        <v>1</v>
      </c>
      <c r="DC471" s="1">
        <v>1</v>
      </c>
      <c r="DD471" s="1">
        <v>1</v>
      </c>
      <c r="DE471" s="1">
        <v>1</v>
      </c>
      <c r="DF471" s="1">
        <v>1</v>
      </c>
      <c r="DG471" s="1">
        <v>1</v>
      </c>
      <c r="DH471" s="1">
        <v>1</v>
      </c>
      <c r="DI471" s="1">
        <f t="shared" si="438"/>
        <v>0</v>
      </c>
      <c r="DJ471" s="1">
        <v>1</v>
      </c>
      <c r="DK471" s="1" t="s">
        <v>1153</v>
      </c>
      <c r="DL471" s="1" t="s">
        <v>170</v>
      </c>
      <c r="DR471" s="1" t="b">
        <f>AlignmentEvil</f>
        <v>0</v>
      </c>
      <c r="DS471" s="1" t="b">
        <f>BaseWill&gt;=5</f>
        <v>0</v>
      </c>
      <c r="DT471" s="1" t="b">
        <f>SkDiplomacyRanks&gt;=4</f>
        <v>0</v>
      </c>
      <c r="DU471" s="1" t="b">
        <f>SkKnowledgeArcanaRanks&gt;=8</f>
        <v>0</v>
      </c>
      <c r="DV471" s="1" t="b">
        <f>SkKnowledgeLocalRanks&gt;=3</f>
        <v>0</v>
      </c>
      <c r="DW471" s="1" t="b">
        <f>NOT(ISNA(MATCH("Draconic",TblLangKnown,0)))</f>
        <v>0</v>
      </c>
      <c r="DX471" s="1" t="b">
        <f>OR(FreeIronWill,FtIronWill)</f>
        <v>0</v>
      </c>
      <c r="DY471" s="1" t="b">
        <f>NOT(ISNA(MATCH("Necromancy",TblSpellFocus,0)))</f>
        <v>0</v>
      </c>
      <c r="EA471" s="1" t="b">
        <f t="shared" si="439"/>
        <v>0</v>
      </c>
      <c r="EB471" s="11" t="s">
        <v>338</v>
      </c>
      <c r="EC471" s="1" t="str">
        <f>IF(DR471,"","• Must be of Any Evil Alignment.
")&amp;IF(DS471,"","• Base Will Save bonus of +5 or greater.
")&amp;IF(DT471,"","• 4 ranks in Diplomacy.
")&amp;IF(DU471,"","• 8 ranks in Knowledge (arcana).
")&amp;IF(DV471,"","• 3 ranks in Knowlege (local).
")&amp;IF(DW471,"","• Speak Language (draconic).
")&amp;IF(DX471,"","• Iron Will Feat.
")&amp;IF(DY471,"","• Spell Focus (Necromancy) Feat.
")&amp;"• Able to cast at least one necromantic spell (not verified).
"&amp;"• You must have made peaceful contact with a true dragon or dracolich (not verified)."</f>
        <v>• Must be of Any Evil Alignment.
• Base Will Save bonus of +5 or greater.
• 4 ranks in Diplomacy.
• 8 ranks in Knowledge (arcana).
• 3 ranks in Knowlege (local).
• Speak Language (draconic).
• Iron Will Feat.
• Spell Focus (Necromancy) Feat.
• Able to cast at least one necromantic spell (not verified).
• You must have made peaceful contact with a true dragon or dracolich (not verified).</v>
      </c>
      <c r="ED471" s="11" t="s">
        <v>335</v>
      </c>
    </row>
    <row r="472" spans="1:134" ht="11.25" customHeight="1" x14ac:dyDescent="0.2">
      <c r="A472" s="1">
        <f t="shared" si="432"/>
        <v>469</v>
      </c>
      <c r="B472" s="1" t="s">
        <v>1183</v>
      </c>
      <c r="C472" s="1" t="s">
        <v>1184</v>
      </c>
      <c r="D472" s="1" t="s">
        <v>1184</v>
      </c>
      <c r="E472" s="1">
        <f t="shared" si="408"/>
        <v>0</v>
      </c>
      <c r="G472" s="1">
        <f>WdWLvl</f>
        <v>0</v>
      </c>
      <c r="K472" s="1">
        <v>4</v>
      </c>
      <c r="L472" s="1">
        <v>8</v>
      </c>
      <c r="V472" s="1">
        <v>1</v>
      </c>
      <c r="W472" s="1">
        <v>0.34</v>
      </c>
      <c r="X472" s="1">
        <v>0.34</v>
      </c>
      <c r="Y472" s="1">
        <v>0.5</v>
      </c>
      <c r="Z472" s="1" t="b">
        <f>FALSE</f>
        <v>0</v>
      </c>
      <c r="AA472" s="1" t="str">
        <f t="shared" si="411"/>
        <v/>
      </c>
      <c r="AB472" s="1" t="str">
        <f t="shared" si="412"/>
        <v/>
      </c>
      <c r="AC472" s="1">
        <f t="shared" si="409"/>
        <v>0</v>
      </c>
      <c r="AD472" s="1" t="str">
        <f t="shared" si="413"/>
        <v/>
      </c>
      <c r="AE472" s="1" t="str">
        <f t="shared" si="414"/>
        <v/>
      </c>
      <c r="AF472" s="1">
        <f t="shared" si="410"/>
        <v>0</v>
      </c>
      <c r="AG472" s="1">
        <f t="shared" si="445"/>
        <v>5</v>
      </c>
      <c r="AH472" s="1" t="str">
        <f t="shared" si="444"/>
        <v/>
      </c>
      <c r="AI472" s="1">
        <v>1</v>
      </c>
      <c r="AJ472" s="1">
        <f t="shared" si="440"/>
        <v>0</v>
      </c>
      <c r="AK472" s="1">
        <v>1</v>
      </c>
      <c r="AL472" s="1">
        <v>1</v>
      </c>
      <c r="AM472" s="1">
        <v>2</v>
      </c>
      <c r="AN472" s="1">
        <f t="shared" si="433"/>
        <v>0</v>
      </c>
      <c r="AO472" s="1">
        <v>2</v>
      </c>
      <c r="AP472" s="1">
        <v>1</v>
      </c>
      <c r="AQ472" s="1">
        <v>1</v>
      </c>
      <c r="AR472" s="1">
        <v>1</v>
      </c>
      <c r="AS472" s="1">
        <v>1</v>
      </c>
      <c r="AT472" s="1">
        <v>1</v>
      </c>
      <c r="AU472" s="1">
        <v>1</v>
      </c>
      <c r="AV472" s="1">
        <v>1</v>
      </c>
      <c r="AW472" s="1">
        <v>1</v>
      </c>
      <c r="AX472" s="1">
        <v>2</v>
      </c>
      <c r="AY472" s="1">
        <v>1</v>
      </c>
      <c r="AZ472" s="1">
        <v>1</v>
      </c>
      <c r="BA472" s="1">
        <v>1</v>
      </c>
      <c r="BB472" s="1">
        <v>1</v>
      </c>
      <c r="BC472" s="1">
        <v>1</v>
      </c>
      <c r="BE472" s="1">
        <v>2</v>
      </c>
      <c r="BF472" s="1">
        <v>2</v>
      </c>
      <c r="BG472" s="1">
        <f t="shared" si="434"/>
        <v>0</v>
      </c>
      <c r="BH472" s="1">
        <f t="shared" si="435"/>
        <v>0</v>
      </c>
      <c r="BI472" s="1">
        <v>1</v>
      </c>
      <c r="BJ472" s="1">
        <v>2</v>
      </c>
      <c r="BK472" s="1">
        <v>1</v>
      </c>
      <c r="BL472" s="1">
        <v>1</v>
      </c>
      <c r="BM472" s="1">
        <v>1</v>
      </c>
      <c r="BN472" s="1">
        <v>1</v>
      </c>
      <c r="BO472" s="1">
        <v>1</v>
      </c>
      <c r="BP472" s="1">
        <v>1</v>
      </c>
      <c r="BQ472" s="1">
        <f>IF(HRRVL,2,0)</f>
        <v>0</v>
      </c>
      <c r="BR472" s="1">
        <v>2</v>
      </c>
      <c r="BS472" s="1">
        <v>1</v>
      </c>
      <c r="BT472" s="1">
        <f t="shared" si="442"/>
        <v>0</v>
      </c>
      <c r="BU472" s="1">
        <f>IF(HRRVL,2,0)</f>
        <v>0</v>
      </c>
      <c r="BV472" s="1">
        <v>2</v>
      </c>
      <c r="BW472" s="1">
        <v>1</v>
      </c>
      <c r="BX472" s="1">
        <v>1</v>
      </c>
      <c r="BY472" s="1">
        <v>1</v>
      </c>
      <c r="BZ472" s="1">
        <v>1</v>
      </c>
      <c r="CA472" s="1">
        <v>1</v>
      </c>
      <c r="CB472" s="1">
        <v>1</v>
      </c>
      <c r="CC472" s="1">
        <v>1</v>
      </c>
      <c r="CD472" s="1">
        <v>1</v>
      </c>
      <c r="CE472" s="1">
        <v>1</v>
      </c>
      <c r="CF472" s="1">
        <v>1</v>
      </c>
      <c r="CG472" s="1">
        <f t="shared" si="436"/>
        <v>0</v>
      </c>
      <c r="CH472" s="1">
        <v>2</v>
      </c>
      <c r="CI472" s="1">
        <v>1</v>
      </c>
      <c r="CJ472" s="1">
        <v>1</v>
      </c>
      <c r="CK472" s="1">
        <v>1</v>
      </c>
      <c r="CL472" s="1">
        <v>1</v>
      </c>
      <c r="CM472" s="1">
        <v>1</v>
      </c>
      <c r="CN472" s="1">
        <v>1</v>
      </c>
      <c r="CO472" s="1">
        <v>1</v>
      </c>
      <c r="CP472" s="1">
        <v>1</v>
      </c>
      <c r="CQ472" s="1">
        <v>1</v>
      </c>
      <c r="CR472" s="1">
        <v>1</v>
      </c>
      <c r="CS472" s="1">
        <v>1</v>
      </c>
      <c r="CT472" s="1">
        <v>1</v>
      </c>
      <c r="CU472" s="1">
        <v>1</v>
      </c>
      <c r="CV472" s="1">
        <f t="shared" si="437"/>
        <v>0</v>
      </c>
      <c r="CW472" s="1">
        <v>2</v>
      </c>
      <c r="CX472" s="1">
        <v>2</v>
      </c>
      <c r="CY472" s="1">
        <v>1</v>
      </c>
      <c r="CZ472" s="1">
        <f t="shared" si="441"/>
        <v>0</v>
      </c>
      <c r="DA472" s="1">
        <v>1</v>
      </c>
      <c r="DB472" s="1">
        <v>1</v>
      </c>
      <c r="DC472" s="1">
        <v>1</v>
      </c>
      <c r="DD472" s="1">
        <v>2</v>
      </c>
      <c r="DE472" s="1">
        <v>2</v>
      </c>
      <c r="DF472" s="1">
        <v>2</v>
      </c>
      <c r="DG472" s="1">
        <v>1</v>
      </c>
      <c r="DH472" s="1">
        <v>1</v>
      </c>
      <c r="DI472" s="1">
        <f t="shared" si="438"/>
        <v>0</v>
      </c>
      <c r="DJ472" s="1">
        <v>1</v>
      </c>
      <c r="DK472" s="1" t="s">
        <v>1153</v>
      </c>
      <c r="DL472" s="1" t="s">
        <v>170</v>
      </c>
      <c r="DP472" s="1" t="b">
        <f>OR(RaceCi="Human",OR(RaceCi="Half-Elf",RaceCi="Genasi, Air"))</f>
        <v>0</v>
      </c>
      <c r="DQ472" s="1" t="b">
        <f>BaseAtk&gt;=5</f>
        <v>0</v>
      </c>
      <c r="DR472" s="1" t="b">
        <f>SkHideRanks&gt;=5</f>
        <v>0</v>
      </c>
      <c r="DS472" s="1" t="b">
        <f>SkMoveSilentlyRanks&gt;=5</f>
        <v>0</v>
      </c>
      <c r="DT472" s="1" t="b">
        <f>SkSurvivalRanks&gt;=3</f>
        <v>0</v>
      </c>
      <c r="DU472" s="1" t="b">
        <f>OR(FreeLightningReflexes,FtLightningReflexes)</f>
        <v>0</v>
      </c>
      <c r="DV472" s="1" t="b">
        <f>OR(FreeTrack,FtTrack)</f>
        <v>0</v>
      </c>
      <c r="DW472" s="1" t="b">
        <f>NOT(ISNA(MATCH("Greatsword",TblWeaponFocusFeat,0)))</f>
        <v>0</v>
      </c>
      <c r="DX472" s="1" t="b">
        <f ca="1">MaxDivineSpellLevel&gt;=1</f>
        <v>0</v>
      </c>
      <c r="DY472" s="1" t="b">
        <f>Deity="Shaundakul"</f>
        <v>0</v>
      </c>
      <c r="EA472" s="1" t="b">
        <f t="shared" ca="1" si="439"/>
        <v>0</v>
      </c>
      <c r="EB472" s="11" t="s">
        <v>338</v>
      </c>
      <c r="EC472" s="1" t="str">
        <f>IF(DP472,"","• Must be Human, Half-Elf, or Air Genasi.
")&amp;IF(DQ472,"","• Base Attack bonus +5 or greater.
")&amp;IF(DR472,"","• 5 ranks in Hide.
")&amp;IF(DS472,"","• 5 ranks in Move Silently.
")&amp;IF(DT472,"","• 3 ranks in Survival.
")&amp;IF(DU472,"","• Lightning Reflexes Feat.
")&amp;IF(DV472,"","• Track Feat.
")&amp;IF(DW472,"","• Weapon Focus (greatsword) Feat.
")&amp;IF(DY472,"","• Patron Deity: Shaundakul.
")&amp;"• You must have visited at least three different regions in your lifetime
   (not verified).
• You mhast have flown at least once for an hour or more, whether by
   means of magic or an aerial mount (not verified)."</f>
        <v>• Must be Human, Half-Elf, or Air Genasi.
• Base Attack bonus +5 or greater.
• 5 ranks in Hide.
• 5 ranks in Move Silently.
• 3 ranks in Survival.
• Lightning Reflexes Feat.
• Track Feat.
• Weapon Focus (greatsword) Feat.
• Patron Deity: Shaundakul.
• You must have visited at least three different regions in your lifetime
   (not verified).
• You mhast have flown at least once for an hour or more, whether by
   means of magic or an aerial mount (not verified).</v>
      </c>
      <c r="ED472" s="11" t="s">
        <v>335</v>
      </c>
    </row>
    <row r="473" spans="1:134" ht="11.25" customHeight="1" x14ac:dyDescent="0.2">
      <c r="A473" s="1">
        <f t="shared" si="432"/>
        <v>470</v>
      </c>
      <c r="B473" s="1" t="s">
        <v>1185</v>
      </c>
      <c r="E473" s="1">
        <f t="shared" si="408"/>
        <v>0</v>
      </c>
      <c r="F473" s="1">
        <v>1</v>
      </c>
      <c r="Z473" s="1" t="b">
        <f>FALSE</f>
        <v>0</v>
      </c>
      <c r="AA473" s="1" t="str">
        <f t="shared" si="411"/>
        <v/>
      </c>
      <c r="AB473" s="1" t="str">
        <f t="shared" si="412"/>
        <v/>
      </c>
      <c r="AC473" s="1">
        <f t="shared" si="409"/>
        <v>0</v>
      </c>
      <c r="AD473" s="1" t="str">
        <f t="shared" si="413"/>
        <v/>
      </c>
      <c r="AE473" s="1" t="str">
        <f t="shared" si="414"/>
        <v/>
      </c>
      <c r="AF473" s="1">
        <f t="shared" si="410"/>
        <v>0</v>
      </c>
      <c r="AG473" s="1">
        <f t="shared" si="445"/>
        <v>5</v>
      </c>
      <c r="AH473" s="1" t="str">
        <f t="shared" si="444"/>
        <v/>
      </c>
      <c r="EB473" s="11"/>
      <c r="ED473" s="11" t="s">
        <v>335</v>
      </c>
    </row>
    <row r="474" spans="1:134" ht="11.25" customHeight="1" x14ac:dyDescent="0.2">
      <c r="A474" s="1">
        <f t="shared" si="432"/>
        <v>471</v>
      </c>
      <c r="B474" s="1" t="s">
        <v>1186</v>
      </c>
      <c r="C474" s="1" t="s">
        <v>1187</v>
      </c>
      <c r="D474" s="1" t="s">
        <v>1187</v>
      </c>
      <c r="E474" s="1">
        <f t="shared" si="408"/>
        <v>0</v>
      </c>
      <c r="K474" s="1">
        <v>4</v>
      </c>
      <c r="L474" s="1">
        <v>6</v>
      </c>
      <c r="N474" s="1" t="b">
        <v>1</v>
      </c>
      <c r="O474" s="1" t="b">
        <v>1</v>
      </c>
      <c r="Q474" s="1" t="b">
        <v>1</v>
      </c>
      <c r="S474" s="1" t="b">
        <v>1</v>
      </c>
      <c r="V474" s="1">
        <v>0.75</v>
      </c>
      <c r="W474" s="1">
        <v>0.34</v>
      </c>
      <c r="X474" s="1">
        <v>0.5</v>
      </c>
      <c r="Y474" s="1">
        <v>0.34</v>
      </c>
      <c r="Z474" s="1" t="b">
        <f>FALSE</f>
        <v>0</v>
      </c>
      <c r="AA474" s="1" t="str">
        <f t="shared" si="411"/>
        <v/>
      </c>
      <c r="AB474" s="1" t="str">
        <f t="shared" si="412"/>
        <v/>
      </c>
      <c r="AC474" s="1">
        <f t="shared" si="409"/>
        <v>0</v>
      </c>
      <c r="AD474" s="1" t="str">
        <f t="shared" si="413"/>
        <v/>
      </c>
      <c r="AE474" s="1" t="str">
        <f t="shared" si="414"/>
        <v/>
      </c>
      <c r="AF474" s="1">
        <f t="shared" si="410"/>
        <v>0</v>
      </c>
      <c r="AG474" s="1">
        <f t="shared" si="445"/>
        <v>5</v>
      </c>
      <c r="AH474" s="1" t="str">
        <f t="shared" si="444"/>
        <v/>
      </c>
      <c r="AI474" s="1">
        <v>2</v>
      </c>
      <c r="AJ474" s="1">
        <f t="shared" ref="AJ474:AJ483" si="446">IF(HRXPH,1,0)</f>
        <v>0</v>
      </c>
      <c r="AK474" s="1">
        <v>1</v>
      </c>
      <c r="AL474" s="1">
        <v>1</v>
      </c>
      <c r="AM474" s="1">
        <v>1</v>
      </c>
      <c r="AN474" s="1">
        <f t="shared" ref="AN474:AN483" si="447">IF(IsLycanthrope,2,0)</f>
        <v>0</v>
      </c>
      <c r="AO474" s="1">
        <v>2</v>
      </c>
      <c r="AP474" s="1">
        <v>2</v>
      </c>
      <c r="AQ474" s="1">
        <v>2</v>
      </c>
      <c r="AR474" s="1">
        <v>2</v>
      </c>
      <c r="AS474" s="1">
        <v>2</v>
      </c>
      <c r="AT474" s="1">
        <v>2</v>
      </c>
      <c r="AU474" s="1">
        <v>2</v>
      </c>
      <c r="AV474" s="1">
        <v>2</v>
      </c>
      <c r="AW474" s="1">
        <v>1</v>
      </c>
      <c r="AX474" s="1">
        <v>1</v>
      </c>
      <c r="AY474" s="1">
        <v>2</v>
      </c>
      <c r="AZ474" s="1">
        <v>1</v>
      </c>
      <c r="BA474" s="1">
        <v>1</v>
      </c>
      <c r="BB474" s="1">
        <v>1</v>
      </c>
      <c r="BC474" s="1">
        <v>1</v>
      </c>
      <c r="BD474" s="1">
        <v>1</v>
      </c>
      <c r="BE474" s="1">
        <v>1</v>
      </c>
      <c r="BF474" s="1">
        <v>1</v>
      </c>
      <c r="BG474" s="1">
        <f t="shared" ref="BG474:BG483" si="448">IF(HRRVL,1,0)</f>
        <v>0</v>
      </c>
      <c r="BH474" s="1">
        <f t="shared" ref="BH474:BH483" si="449">IF(HROA,1,0)</f>
        <v>0</v>
      </c>
      <c r="BI474" s="1">
        <v>1</v>
      </c>
      <c r="BJ474" s="1">
        <v>1</v>
      </c>
      <c r="BK474" s="1">
        <v>1</v>
      </c>
      <c r="BL474" s="1">
        <v>2</v>
      </c>
      <c r="BM474" s="1">
        <v>1</v>
      </c>
      <c r="BN474" s="1">
        <v>1</v>
      </c>
      <c r="BO474" s="1">
        <v>1</v>
      </c>
      <c r="BP474" s="1">
        <v>1</v>
      </c>
      <c r="BQ474" s="1">
        <f>IF(HRRVL,1,0)</f>
        <v>0</v>
      </c>
      <c r="BR474" s="1">
        <v>1</v>
      </c>
      <c r="BS474" s="1">
        <v>1</v>
      </c>
      <c r="BT474" s="1">
        <f>IF(HRXPH,1,0)</f>
        <v>0</v>
      </c>
      <c r="BU474" s="1">
        <f>IF(HRRVL,1,0)</f>
        <v>0</v>
      </c>
      <c r="BV474" s="1">
        <v>1</v>
      </c>
      <c r="BW474" s="1">
        <v>1</v>
      </c>
      <c r="BX474" s="1">
        <v>1</v>
      </c>
      <c r="BY474" s="1">
        <v>1</v>
      </c>
      <c r="BZ474" s="1">
        <v>1</v>
      </c>
      <c r="CA474" s="1">
        <v>1</v>
      </c>
      <c r="CB474" s="1">
        <v>1</v>
      </c>
      <c r="CC474" s="1">
        <v>1</v>
      </c>
      <c r="CD474" s="1">
        <v>1</v>
      </c>
      <c r="CE474" s="1">
        <v>1</v>
      </c>
      <c r="CF474" s="1">
        <v>2</v>
      </c>
      <c r="CG474" s="1">
        <f t="shared" ref="CG474:CG483" si="450">IF(HRToB,1,0)</f>
        <v>0</v>
      </c>
      <c r="CH474" s="1">
        <v>1</v>
      </c>
      <c r="CI474" s="1">
        <v>1</v>
      </c>
      <c r="CJ474" s="1">
        <v>1</v>
      </c>
      <c r="CK474" s="1">
        <v>1</v>
      </c>
      <c r="CL474" s="1">
        <v>1</v>
      </c>
      <c r="CM474" s="1">
        <v>1</v>
      </c>
      <c r="CN474" s="1">
        <v>1</v>
      </c>
      <c r="CO474" s="1">
        <v>1</v>
      </c>
      <c r="CP474" s="1">
        <v>2</v>
      </c>
      <c r="CQ474" s="1">
        <v>2</v>
      </c>
      <c r="CR474" s="1">
        <v>2</v>
      </c>
      <c r="CS474" s="1">
        <v>2</v>
      </c>
      <c r="CT474" s="1">
        <v>2</v>
      </c>
      <c r="CU474" s="1">
        <v>2</v>
      </c>
      <c r="CV474" s="1">
        <f t="shared" ref="CV474:CV483" si="451">IF(HRXPH,1,0)</f>
        <v>0</v>
      </c>
      <c r="CW474" s="1">
        <v>1</v>
      </c>
      <c r="CX474" s="1">
        <v>2</v>
      </c>
      <c r="CY474" s="1">
        <v>1</v>
      </c>
      <c r="CZ474" s="1">
        <f t="shared" ref="CZ474:CZ483" si="452">IF(HRCS,1,0)</f>
        <v>0</v>
      </c>
      <c r="DA474" s="1">
        <v>1</v>
      </c>
      <c r="DB474" s="1">
        <v>1</v>
      </c>
      <c r="DC474" s="1">
        <v>1</v>
      </c>
      <c r="DD474" s="1">
        <v>1</v>
      </c>
      <c r="DE474" s="1">
        <v>1</v>
      </c>
      <c r="DF474" s="1">
        <v>1</v>
      </c>
      <c r="DG474" s="1">
        <v>1</v>
      </c>
      <c r="DH474" s="1">
        <v>1</v>
      </c>
      <c r="DI474" s="1">
        <f t="shared" ref="DI474:DI483" si="453">IF(HRXPH,1,0)</f>
        <v>0</v>
      </c>
      <c r="DJ474" s="1">
        <v>2</v>
      </c>
      <c r="DK474" s="1" t="s">
        <v>1188</v>
      </c>
      <c r="DL474" s="1" t="s">
        <v>170</v>
      </c>
      <c r="DQ474" s="1" t="b">
        <f>OR(RaceCi="Gnome",AND(RaceCi="Human",Region="Lantan"))</f>
        <v>0</v>
      </c>
      <c r="DR474" s="1" t="b">
        <f>OR(IF(NOT(ISNA(MATCH("armorsmithing",TblCraftSkills,0))),INDEX(TblCraftRanks,MATCH("armorsmithing",TblCraftSkills,0),1)&gt;=8,FALSE),
OR(IF(NOT(ISNA(MATCH("weaponsmithing",TblCraftSkills,0))),INDEX(TblCraftRanks,MATCH("weaponsmithing",TblCraftSkills,0),1)&gt;=8,FALSE),
OR(IF(NOT(ISNA(MATCH("blacksmithing",TblCraftSkills,0))),INDEX(TblCraftRanks,MATCH("blacksmithing",TblCraftSkills,0),1)&gt;=8,FALSE),
OR(DS474))))</f>
        <v>0</v>
      </c>
      <c r="DS474" s="1" t="b">
        <f>OR(IF(NOT(ISNA(MATCH("gemcutting",TblCraftSkills,0))),INDEX(TblCraftRanks,MATCH("gemcutting",TblCraftSkills,0),1)&gt;=8,FALSE),
OR(IF(NOT(ISNA(MATCH("locksmithing",TblCraftSkills,0))),INDEX(TblCraftRanks,MATCH("locksmithing",TblCraftSkills,0),1)&gt;=8,FALSE),
OR(IF(NOT(ISNA(MATCH("trapmaking",TblCraftSkills,0))),INDEX(TblCraftRanks,MATCH("trapmaking",TblCraftSkills,0),1)&gt;=8,FALSE),
IF(NOT(ISNA(MATCH("metalworking",TblCraftSkills,0))),INDEX(TblCraftRanks,MATCH("metalworking",TblCraftSkills,0),1)&gt;=8,FALSE))))</f>
        <v>0</v>
      </c>
      <c r="DT474" s="1" t="b">
        <f>COUNTIF(TblCraftRanks,"&gt;=4")&gt;=3</f>
        <v>0</v>
      </c>
      <c r="DU474" s="1" t="b">
        <f>SkDisableDeviceRanks&gt;=2</f>
        <v>0</v>
      </c>
      <c r="DV474" s="1" t="b">
        <f>SkKnowledgeArchitectureRanks&gt;=4</f>
        <v>0</v>
      </c>
      <c r="DW474" s="1" t="b">
        <f>OR(IF(NOT(ISNA(MATCH("apothecary",TblProfessionSkills,0))),INDEX(TblProfessionRanks,MATCH("apothecary",TblProfessionSkills,0),1)&gt;=4,FALSE),
OR(IF(NOT(ISNA(MATCH("engineer",TblProfessionSkills,0))),INDEX(TblProfessionRanks,MATCH("engineer",TblProfessionSkills,0),1)&gt;=4,FALSE),
OR(IF(NOT(ISNA(MATCH("siege engineer",TblProfessionSkills,0))),INDEX(TblProfessionRanks,MATCH("siege engineer",TblProfessionSkills,0),1)&gt;=4,FALSE))))</f>
        <v>0</v>
      </c>
      <c r="DX474" s="1" t="b">
        <f>OR(FreeLightningReflexes,FtLightningReflexes)</f>
        <v>0</v>
      </c>
      <c r="DY474" s="1" t="b">
        <f>NOT(ISERROR(SEARCH("Craft",SkillFocusList,1)))</f>
        <v>0</v>
      </c>
      <c r="DZ474" s="1" t="b">
        <f ca="1">MaxArcaneSpellLevel&gt;=1</f>
        <v>0</v>
      </c>
      <c r="EA474" s="1" t="b">
        <f t="shared" ref="EA474:EA483" ca="1" si="454">AND(DM474:DZ474)</f>
        <v>0</v>
      </c>
      <c r="EB474" s="11" t="s">
        <v>334</v>
      </c>
      <c r="EC474" s="1" t="str">
        <f ca="1">IF(DQ474,"","• Race: Gnome or Race: Human &amp; Region: Lantan.
")&amp;IF(DR474,"","• 8 ranks in Craft (armorsmithing, weaponsmithing, blacksmithing, metalworking, gemcutting, locksmithing, or trapmaking).
")&amp;IF(DT474,"","• 4 ranks in any two other Craft skills from the previous list.
")&amp;IF(DU474,"","• 2 ranks in Disable Device.
")&amp;IF(DV474,"","• 4 ranks in Knowledge (Arch &amp; Eng).
")&amp;IF(DW474,"","• 3 ranks in Profession (Apothecary, Engineer, or Siege Engineer).
")&amp;IF(DX474,"","• Lightning Reflexes Feat.
")&amp;IF(DY474,"","• Skill Focus (Craft) Feat.
")&amp;IF(DZ474,"","• Able to cast 1st-level arcane spells.")</f>
        <v>• Race: Gnome or Race: Human &amp; Region: Lantan.
• 8 ranks in Craft (armorsmithing, weaponsmithing, blacksmithing, metalworking, gemcutting, locksmithing, or trapmaking).
• 4 ranks in any two other Craft skills from the previous list.
• 2 ranks in Disable Device.
• 4 ranks in Knowledge (Arch &amp; Eng).
• 3 ranks in Profession (Apothecary, Engineer, or Siege Engineer).
• Lightning Reflexes Feat.
• Skill Focus (Craft) Feat.
• Able to cast 1st-level arcane spells.</v>
      </c>
      <c r="ED474" s="11" t="s">
        <v>335</v>
      </c>
    </row>
    <row r="475" spans="1:134" ht="11.25" customHeight="1" x14ac:dyDescent="0.2">
      <c r="A475" s="1">
        <f t="shared" si="432"/>
        <v>472</v>
      </c>
      <c r="B475" s="1" t="s">
        <v>1189</v>
      </c>
      <c r="C475" s="1" t="s">
        <v>1190</v>
      </c>
      <c r="D475" s="1" t="s">
        <v>1190</v>
      </c>
      <c r="E475" s="1">
        <f t="shared" si="408"/>
        <v>0</v>
      </c>
      <c r="G475" s="1">
        <f>GWWLvl</f>
        <v>0</v>
      </c>
      <c r="K475" s="1">
        <v>4</v>
      </c>
      <c r="L475" s="1">
        <v>4</v>
      </c>
      <c r="V475" s="1">
        <v>0.5</v>
      </c>
      <c r="W475" s="1">
        <v>0.34</v>
      </c>
      <c r="X475" s="1">
        <v>0.34</v>
      </c>
      <c r="Y475" s="1">
        <v>0.5</v>
      </c>
      <c r="Z475" s="1" t="b">
        <f>FALSE</f>
        <v>0</v>
      </c>
      <c r="AA475" s="1" t="str">
        <f t="shared" si="411"/>
        <v/>
      </c>
      <c r="AB475" s="1" t="str">
        <f t="shared" si="412"/>
        <v/>
      </c>
      <c r="AC475" s="1">
        <f t="shared" si="409"/>
        <v>0</v>
      </c>
      <c r="AD475" s="1" t="str">
        <f t="shared" si="413"/>
        <v/>
      </c>
      <c r="AE475" s="1" t="str">
        <f t="shared" si="414"/>
        <v/>
      </c>
      <c r="AF475" s="1">
        <f t="shared" si="410"/>
        <v>0</v>
      </c>
      <c r="AG475" s="1">
        <f t="shared" si="445"/>
        <v>5</v>
      </c>
      <c r="AH475" s="1" t="str">
        <f t="shared" si="444"/>
        <v/>
      </c>
      <c r="AI475" s="1">
        <v>1</v>
      </c>
      <c r="AJ475" s="1">
        <f t="shared" si="446"/>
        <v>0</v>
      </c>
      <c r="AK475" s="1">
        <v>1</v>
      </c>
      <c r="AL475" s="1">
        <v>1</v>
      </c>
      <c r="AM475" s="1">
        <v>1</v>
      </c>
      <c r="AN475" s="1">
        <f t="shared" si="447"/>
        <v>0</v>
      </c>
      <c r="AO475" s="1">
        <v>2</v>
      </c>
      <c r="AP475" s="1">
        <v>2</v>
      </c>
      <c r="AQ475" s="1">
        <v>2</v>
      </c>
      <c r="AR475" s="1">
        <v>2</v>
      </c>
      <c r="AS475" s="1">
        <v>2</v>
      </c>
      <c r="AT475" s="1">
        <v>2</v>
      </c>
      <c r="AU475" s="1">
        <v>2</v>
      </c>
      <c r="AV475" s="1">
        <v>2</v>
      </c>
      <c r="AW475" s="1">
        <v>1</v>
      </c>
      <c r="AX475" s="1">
        <v>1</v>
      </c>
      <c r="AY475" s="1">
        <v>1</v>
      </c>
      <c r="AZ475" s="1">
        <v>1</v>
      </c>
      <c r="BA475" s="1">
        <v>1</v>
      </c>
      <c r="BB475" s="1">
        <v>1</v>
      </c>
      <c r="BC475" s="1">
        <v>1</v>
      </c>
      <c r="BD475" s="1">
        <v>1</v>
      </c>
      <c r="BE475" s="1">
        <v>1</v>
      </c>
      <c r="BF475" s="1">
        <v>1</v>
      </c>
      <c r="BG475" s="1">
        <f t="shared" si="448"/>
        <v>0</v>
      </c>
      <c r="BH475" s="1">
        <f t="shared" si="449"/>
        <v>0</v>
      </c>
      <c r="BI475" s="1">
        <v>1</v>
      </c>
      <c r="BJ475" s="1">
        <v>1</v>
      </c>
      <c r="BK475" s="1">
        <v>2</v>
      </c>
      <c r="BL475" s="1">
        <v>2</v>
      </c>
      <c r="BM475" s="1">
        <v>2</v>
      </c>
      <c r="BN475" s="1">
        <v>2</v>
      </c>
      <c r="BO475" s="1">
        <v>2</v>
      </c>
      <c r="BP475" s="1">
        <f>1+NOT(HRLivingGreyhawk)</f>
        <v>2</v>
      </c>
      <c r="BQ475" s="1">
        <f>IF(HRRVL,2,0)</f>
        <v>0</v>
      </c>
      <c r="BR475" s="1">
        <v>2</v>
      </c>
      <c r="BS475" s="1">
        <v>2</v>
      </c>
      <c r="BT475" s="1">
        <f>IF(HRXPH,2,0)</f>
        <v>0</v>
      </c>
      <c r="BU475" s="1">
        <f>IF(HRRVL,2,0)</f>
        <v>0</v>
      </c>
      <c r="BV475" s="1">
        <v>2</v>
      </c>
      <c r="BW475" s="1">
        <v>2</v>
      </c>
      <c r="BX475" s="1">
        <v>2</v>
      </c>
      <c r="BY475" s="1">
        <v>2</v>
      </c>
      <c r="BZ475" s="1">
        <v>2</v>
      </c>
      <c r="CA475" s="1">
        <v>2</v>
      </c>
      <c r="CB475" s="1">
        <v>2</v>
      </c>
      <c r="CC475" s="1">
        <v>2</v>
      </c>
      <c r="CD475" s="1">
        <v>2</v>
      </c>
      <c r="CE475" s="1">
        <v>2</v>
      </c>
      <c r="CF475" s="1">
        <v>1</v>
      </c>
      <c r="CG475" s="1">
        <f t="shared" si="450"/>
        <v>0</v>
      </c>
      <c r="CH475" s="1">
        <v>1</v>
      </c>
      <c r="CI475" s="1">
        <v>1</v>
      </c>
      <c r="CJ475" s="1">
        <v>1</v>
      </c>
      <c r="CK475" s="1">
        <v>1</v>
      </c>
      <c r="CL475" s="1">
        <v>1</v>
      </c>
      <c r="CM475" s="1">
        <v>1</v>
      </c>
      <c r="CN475" s="1">
        <v>1</v>
      </c>
      <c r="CO475" s="1">
        <v>1</v>
      </c>
      <c r="CP475" s="1">
        <v>2</v>
      </c>
      <c r="CQ475" s="1">
        <v>2</v>
      </c>
      <c r="CR475" s="1">
        <v>2</v>
      </c>
      <c r="CS475" s="1">
        <v>2</v>
      </c>
      <c r="CT475" s="1">
        <v>2</v>
      </c>
      <c r="CU475" s="1">
        <v>2</v>
      </c>
      <c r="CV475" s="1">
        <f t="shared" si="451"/>
        <v>0</v>
      </c>
      <c r="CW475" s="1">
        <v>1</v>
      </c>
      <c r="CX475" s="1">
        <v>1</v>
      </c>
      <c r="CY475" s="1">
        <v>1</v>
      </c>
      <c r="CZ475" s="1">
        <f t="shared" si="452"/>
        <v>0</v>
      </c>
      <c r="DA475" s="1">
        <v>1</v>
      </c>
      <c r="DB475" s="1">
        <v>1</v>
      </c>
      <c r="DC475" s="1">
        <v>2</v>
      </c>
      <c r="DD475" s="1">
        <v>1</v>
      </c>
      <c r="DE475" s="1">
        <v>1</v>
      </c>
      <c r="DF475" s="1">
        <v>1</v>
      </c>
      <c r="DG475" s="1">
        <v>1</v>
      </c>
      <c r="DH475" s="1">
        <v>1</v>
      </c>
      <c r="DI475" s="1">
        <f t="shared" si="453"/>
        <v>0</v>
      </c>
      <c r="DJ475" s="1">
        <v>1</v>
      </c>
      <c r="DK475" s="1" t="s">
        <v>1188</v>
      </c>
      <c r="DL475" s="1" t="s">
        <v>170</v>
      </c>
      <c r="DR475" s="1" t="b">
        <f>AlignmentNonEvil</f>
        <v>1</v>
      </c>
      <c r="DS475" s="1" t="b">
        <f>IF(NOT(ISNA(MATCH("Alchemy",TblCraftSkills,0))),INDEX(TblCraftRanks,MATCH("Alchemy",TblCraftSkills,0),1)&gt;=2,FALSE)</f>
        <v>0</v>
      </c>
      <c r="DT475" s="1" t="b">
        <f>SkKnowledgeArcanaRanks&gt;=8</f>
        <v>0</v>
      </c>
      <c r="DU475" s="1" t="b">
        <f>SkSpellcraftRanks&gt;=8</f>
        <v>0</v>
      </c>
      <c r="DV475" s="1" t="b">
        <f>FtScribeScroll</f>
        <v>1</v>
      </c>
      <c r="DW475" s="1" t="b">
        <f>MetamagicSelected&gt;=1</f>
        <v>0</v>
      </c>
      <c r="DX475" s="1" t="b">
        <f>OR(OR(FtSpellFocus1,FtSpellFocus2),FtSpellPenetration)</f>
        <v>0</v>
      </c>
      <c r="DY475" s="1" t="b">
        <f ca="1">MaxArcaneSpellLevel&gt;=3</f>
        <v>0</v>
      </c>
      <c r="EA475" s="1" t="b">
        <f t="shared" ca="1" si="454"/>
        <v>0</v>
      </c>
      <c r="EB475" s="11" t="s">
        <v>338</v>
      </c>
      <c r="EC475" s="1" t="str">
        <f ca="1">IF(DR475,"","• Must be of Any Non-Evil Alignment.
")&amp;IF(DS475,"","• 4 ranks in Craft (alchemy).
")&amp;IF(DT475,"","• 8 ranks in Knowledge (arcana).
")&amp;IF(DU475,"","• 8 ranks in Spellcraft.
")&amp;IF(DV475,"","• Scribe Scroll Feat.
")&amp;IF(DW475,"","• Any one metamagic feat.
")&amp;IF(DX475,"","• Either Spell Penetration or Spell Focus (choice of school) Feat.
")&amp;IF(DY475,"","• Ability to craft 3rd-level arcane spells.
")&amp;"• Prospective members must pay an initiation fee of 1,000gp (not verified)."</f>
        <v>• 4 ranks in Craft (alchemy).
• 8 ranks in Knowledge (arcana).
• 8 ranks in Spellcraft.
• Any one metamagic feat.
• Either Spell Penetration or Spell Focus (choice of school) Feat.
• Ability to craft 3rd-level arcane spells.
• Prospective members must pay an initiation fee of 1,000gp (not verified).</v>
      </c>
      <c r="ED475" s="11" t="s">
        <v>335</v>
      </c>
    </row>
    <row r="476" spans="1:134" ht="11.25" customHeight="1" x14ac:dyDescent="0.2">
      <c r="A476" s="1">
        <f t="shared" si="432"/>
        <v>473</v>
      </c>
      <c r="B476" s="1" t="s">
        <v>1191</v>
      </c>
      <c r="C476" s="1" t="s">
        <v>1192</v>
      </c>
      <c r="D476" s="1" t="s">
        <v>1192</v>
      </c>
      <c r="E476" s="1">
        <f t="shared" si="408"/>
        <v>0</v>
      </c>
      <c r="G476" s="1">
        <f>HpMLvl</f>
        <v>0</v>
      </c>
      <c r="K476" s="1">
        <v>4</v>
      </c>
      <c r="L476" s="1">
        <v>4</v>
      </c>
      <c r="S476" s="1" t="b">
        <v>1</v>
      </c>
      <c r="V476" s="1">
        <v>0.5</v>
      </c>
      <c r="W476" s="1">
        <v>0.34</v>
      </c>
      <c r="X476" s="1">
        <v>0.34</v>
      </c>
      <c r="Y476" s="1">
        <v>0.5</v>
      </c>
      <c r="Z476" s="1" t="b">
        <f>FALSE</f>
        <v>0</v>
      </c>
      <c r="AA476" s="1" t="str">
        <f t="shared" si="411"/>
        <v/>
      </c>
      <c r="AB476" s="1" t="str">
        <f t="shared" si="412"/>
        <v/>
      </c>
      <c r="AC476" s="1">
        <f t="shared" si="409"/>
        <v>0</v>
      </c>
      <c r="AD476" s="1" t="str">
        <f t="shared" si="413"/>
        <v/>
      </c>
      <c r="AE476" s="1" t="str">
        <f t="shared" si="414"/>
        <v/>
      </c>
      <c r="AF476" s="1">
        <f t="shared" si="410"/>
        <v>0</v>
      </c>
      <c r="AG476" s="1">
        <f t="shared" si="445"/>
        <v>5</v>
      </c>
      <c r="AH476" s="1" t="str">
        <f t="shared" si="444"/>
        <v/>
      </c>
      <c r="AI476" s="1">
        <v>1</v>
      </c>
      <c r="AJ476" s="1">
        <f t="shared" si="446"/>
        <v>0</v>
      </c>
      <c r="AK476" s="1">
        <v>1</v>
      </c>
      <c r="AL476" s="1">
        <v>2</v>
      </c>
      <c r="AM476" s="1">
        <v>1</v>
      </c>
      <c r="AN476" s="1">
        <f t="shared" si="447"/>
        <v>0</v>
      </c>
      <c r="AO476" s="1">
        <v>2</v>
      </c>
      <c r="AP476" s="1">
        <v>2</v>
      </c>
      <c r="AQ476" s="1">
        <v>2</v>
      </c>
      <c r="AR476" s="1">
        <v>2</v>
      </c>
      <c r="AS476" s="1">
        <v>2</v>
      </c>
      <c r="AT476" s="1">
        <v>2</v>
      </c>
      <c r="AU476" s="1">
        <v>2</v>
      </c>
      <c r="AV476" s="1">
        <v>2</v>
      </c>
      <c r="AW476" s="1">
        <v>2</v>
      </c>
      <c r="AX476" s="1">
        <v>2</v>
      </c>
      <c r="AY476" s="1">
        <v>1</v>
      </c>
      <c r="AZ476" s="1">
        <v>2</v>
      </c>
      <c r="BA476" s="1">
        <v>1</v>
      </c>
      <c r="BB476" s="1">
        <v>1</v>
      </c>
      <c r="BC476" s="1">
        <v>2</v>
      </c>
      <c r="BD476" s="1">
        <v>1</v>
      </c>
      <c r="BE476" s="1">
        <v>2</v>
      </c>
      <c r="BF476" s="1">
        <v>2</v>
      </c>
      <c r="BG476" s="1">
        <f t="shared" si="448"/>
        <v>0</v>
      </c>
      <c r="BH476" s="1">
        <f t="shared" si="449"/>
        <v>0</v>
      </c>
      <c r="BI476" s="1">
        <v>1</v>
      </c>
      <c r="BJ476" s="1">
        <v>1</v>
      </c>
      <c r="BK476" s="1">
        <v>2</v>
      </c>
      <c r="BL476" s="1">
        <v>2</v>
      </c>
      <c r="BM476" s="1">
        <v>2</v>
      </c>
      <c r="BN476" s="1">
        <v>2</v>
      </c>
      <c r="BO476" s="1">
        <v>2</v>
      </c>
      <c r="BP476" s="1">
        <f>1+NOT(HRLivingGreyhawk)</f>
        <v>2</v>
      </c>
      <c r="BQ476" s="1">
        <f>IF(HRRVL,2,0)</f>
        <v>0</v>
      </c>
      <c r="BR476" s="1">
        <v>2</v>
      </c>
      <c r="BS476" s="1">
        <v>2</v>
      </c>
      <c r="BT476" s="1">
        <f>IF(HRXPH,2,0)</f>
        <v>0</v>
      </c>
      <c r="BU476" s="1">
        <f>IF(HRRVL,2,0)</f>
        <v>0</v>
      </c>
      <c r="BV476" s="1">
        <v>2</v>
      </c>
      <c r="BW476" s="1">
        <v>2</v>
      </c>
      <c r="BX476" s="1">
        <v>2</v>
      </c>
      <c r="BY476" s="1">
        <v>2</v>
      </c>
      <c r="BZ476" s="1">
        <v>2</v>
      </c>
      <c r="CA476" s="1">
        <v>2</v>
      </c>
      <c r="CB476" s="1">
        <v>2</v>
      </c>
      <c r="CC476" s="1">
        <v>2</v>
      </c>
      <c r="CD476" s="1">
        <v>2</v>
      </c>
      <c r="CE476" s="1">
        <v>2</v>
      </c>
      <c r="CF476" s="1">
        <v>2</v>
      </c>
      <c r="CG476" s="1">
        <f t="shared" si="450"/>
        <v>0</v>
      </c>
      <c r="CH476" s="1">
        <v>2</v>
      </c>
      <c r="CI476" s="1">
        <v>1</v>
      </c>
      <c r="CJ476" s="1">
        <v>2</v>
      </c>
      <c r="CK476" s="1">
        <v>2</v>
      </c>
      <c r="CL476" s="1">
        <v>2</v>
      </c>
      <c r="CM476" s="1">
        <v>2</v>
      </c>
      <c r="CN476" s="1">
        <v>2</v>
      </c>
      <c r="CO476" s="1">
        <v>2</v>
      </c>
      <c r="CP476" s="1">
        <v>2</v>
      </c>
      <c r="CQ476" s="1">
        <v>2</v>
      </c>
      <c r="CR476" s="1">
        <v>2</v>
      </c>
      <c r="CS476" s="1">
        <v>2</v>
      </c>
      <c r="CT476" s="1">
        <v>2</v>
      </c>
      <c r="CU476" s="1">
        <v>2</v>
      </c>
      <c r="CV476" s="1">
        <f t="shared" si="451"/>
        <v>0</v>
      </c>
      <c r="CW476" s="1">
        <v>2</v>
      </c>
      <c r="CX476" s="1">
        <v>1</v>
      </c>
      <c r="CY476" s="1">
        <v>2</v>
      </c>
      <c r="CZ476" s="1">
        <f t="shared" si="452"/>
        <v>0</v>
      </c>
      <c r="DA476" s="1">
        <v>1</v>
      </c>
      <c r="DB476" s="1">
        <v>2</v>
      </c>
      <c r="DC476" s="1">
        <v>2</v>
      </c>
      <c r="DD476" s="1">
        <v>2</v>
      </c>
      <c r="DE476" s="1">
        <v>1</v>
      </c>
      <c r="DF476" s="1">
        <v>1</v>
      </c>
      <c r="DG476" s="1">
        <v>1</v>
      </c>
      <c r="DH476" s="1">
        <v>1</v>
      </c>
      <c r="DI476" s="1">
        <f t="shared" si="453"/>
        <v>0</v>
      </c>
      <c r="DJ476" s="1">
        <v>1</v>
      </c>
      <c r="DK476" s="1" t="s">
        <v>1188</v>
      </c>
      <c r="DL476" s="1" t="s">
        <v>170</v>
      </c>
      <c r="DQ476" s="1" t="b">
        <f>AlignmentNonEvil</f>
        <v>1</v>
      </c>
      <c r="DR476" s="1" t="b">
        <f>SkConcentrationRanks&gt;=4</f>
        <v>0</v>
      </c>
      <c r="DS476" s="1" t="b">
        <f>SkKnowledgeArcanaRanks&gt;=8</f>
        <v>0</v>
      </c>
      <c r="DT476" s="1" t="b">
        <f>COUNTIF(TblSkKnowRanks,"&gt;=4")&gt;=2</f>
        <v>0</v>
      </c>
      <c r="DU476" s="1" t="b">
        <f>SkSenseMotiveRanks&gt;=2</f>
        <v>0</v>
      </c>
      <c r="DV476" s="1" t="b">
        <f>SkSpellcraftRanks&gt;=8</f>
        <v>0</v>
      </c>
      <c r="DW476" s="1" t="b">
        <f>OR(FreeAlertness,FtAlertness)</f>
        <v>0</v>
      </c>
      <c r="DX476" s="1" t="b">
        <f>FtEducation</f>
        <v>0</v>
      </c>
      <c r="DY476" s="1" t="b">
        <f>FtExtendSpell</f>
        <v>0</v>
      </c>
      <c r="DZ476" s="1" t="b">
        <f ca="1">MaxArcaneSpellLevel&gt;=3</f>
        <v>0</v>
      </c>
      <c r="EA476" s="1" t="b">
        <f t="shared" ca="1" si="454"/>
        <v>0</v>
      </c>
      <c r="EB476" s="11" t="s">
        <v>334</v>
      </c>
      <c r="EC476" s="1" t="str">
        <f ca="1">IF(DQ476,"","• Must be of any Non-Evil Alignment.
")&amp;IF(DR476,"","• 4 ranks in Concentration.
")&amp;IF(DS476,"","• 8 ranks in Knowledge (arcana).
")&amp;IF(DT476,"","• 4 ranks in Knowledge (any other).
")&amp;IF(DU476,"","• 2 ranks in Sense Motive.
")&amp;IF(DV476,"","• 8 ranks in Spellcraft.
")&amp;IF(DW476,"","• Alertness Feat.
")&amp;IF(DX476,"","• Education Feat.
")&amp;IF(DY476,"","• Extend Spell Feat
")&amp;IF(DZ476,"","• Able to cast 3st-level arcane spells.")</f>
        <v>• 4 ranks in Concentration.
• 8 ranks in Knowledge (arcana).
• 4 ranks in Knowledge (any other).
• 2 ranks in Sense Motive.
• 8 ranks in Spellcraft.
• Alertness Feat.
• Education Feat.
• Extend Spell Feat
• Able to cast 3st-level arcane spells.</v>
      </c>
      <c r="ED476" s="11" t="s">
        <v>335</v>
      </c>
    </row>
    <row r="477" spans="1:134" ht="11.25" customHeight="1" x14ac:dyDescent="0.2">
      <c r="A477" s="1">
        <f t="shared" si="432"/>
        <v>474</v>
      </c>
      <c r="B477" s="1" t="s">
        <v>1193</v>
      </c>
      <c r="C477" s="1" t="s">
        <v>1194</v>
      </c>
      <c r="D477" s="1" t="s">
        <v>1194</v>
      </c>
      <c r="E477" s="1">
        <f t="shared" si="408"/>
        <v>0</v>
      </c>
      <c r="G477" s="1">
        <f>HpPLvl</f>
        <v>0</v>
      </c>
      <c r="K477" s="1">
        <v>4</v>
      </c>
      <c r="L477" s="1">
        <v>8</v>
      </c>
      <c r="N477" s="1" t="b">
        <v>1</v>
      </c>
      <c r="O477" s="1" t="b">
        <v>1</v>
      </c>
      <c r="P477" s="1" t="b">
        <v>1</v>
      </c>
      <c r="Q477" s="1" t="b">
        <v>1</v>
      </c>
      <c r="S477" s="1" t="b">
        <v>1</v>
      </c>
      <c r="V477" s="1">
        <v>0.75</v>
      </c>
      <c r="W477" s="1">
        <v>0.5</v>
      </c>
      <c r="X477" s="1">
        <v>0.34</v>
      </c>
      <c r="Y477" s="1">
        <v>0.5</v>
      </c>
      <c r="Z477" s="1" t="b">
        <f>FALSE</f>
        <v>0</v>
      </c>
      <c r="AA477" s="1" t="str">
        <f t="shared" si="411"/>
        <v/>
      </c>
      <c r="AB477" s="1" t="str">
        <f t="shared" si="412"/>
        <v/>
      </c>
      <c r="AC477" s="1">
        <f t="shared" si="409"/>
        <v>0</v>
      </c>
      <c r="AD477" s="1" t="str">
        <f t="shared" si="413"/>
        <v/>
      </c>
      <c r="AE477" s="1" t="str">
        <f t="shared" si="414"/>
        <v/>
      </c>
      <c r="AF477" s="1">
        <f t="shared" si="410"/>
        <v>0</v>
      </c>
      <c r="AG477" s="1">
        <f t="shared" si="445"/>
        <v>5</v>
      </c>
      <c r="AH477" s="1" t="str">
        <f t="shared" si="444"/>
        <v/>
      </c>
      <c r="AI477" s="1">
        <v>1</v>
      </c>
      <c r="AJ477" s="1">
        <f t="shared" si="446"/>
        <v>0</v>
      </c>
      <c r="AK477" s="1">
        <v>1</v>
      </c>
      <c r="AL477" s="1">
        <v>1</v>
      </c>
      <c r="AM477" s="1">
        <v>1</v>
      </c>
      <c r="AN477" s="1">
        <f t="shared" si="447"/>
        <v>0</v>
      </c>
      <c r="AO477" s="1">
        <v>2</v>
      </c>
      <c r="AP477" s="1">
        <v>2</v>
      </c>
      <c r="AQ477" s="1">
        <v>2</v>
      </c>
      <c r="AR477" s="1">
        <v>2</v>
      </c>
      <c r="AS477" s="1">
        <v>2</v>
      </c>
      <c r="AT477" s="1">
        <v>2</v>
      </c>
      <c r="AU477" s="1">
        <v>2</v>
      </c>
      <c r="AV477" s="1">
        <v>2</v>
      </c>
      <c r="AW477" s="1">
        <v>1</v>
      </c>
      <c r="AX477" s="1">
        <v>2</v>
      </c>
      <c r="AY477" s="1">
        <v>1</v>
      </c>
      <c r="AZ477" s="1">
        <v>1</v>
      </c>
      <c r="BA477" s="1">
        <v>1</v>
      </c>
      <c r="BB477" s="1">
        <v>1</v>
      </c>
      <c r="BC477" s="1">
        <v>1</v>
      </c>
      <c r="BD477" s="1">
        <v>2</v>
      </c>
      <c r="BE477" s="1">
        <v>2</v>
      </c>
      <c r="BF477" s="1">
        <v>1</v>
      </c>
      <c r="BG477" s="1">
        <f t="shared" si="448"/>
        <v>0</v>
      </c>
      <c r="BH477" s="1">
        <f t="shared" si="449"/>
        <v>0</v>
      </c>
      <c r="BI477" s="1">
        <v>1</v>
      </c>
      <c r="BJ477" s="1">
        <v>1</v>
      </c>
      <c r="BK477" s="1">
        <v>2</v>
      </c>
      <c r="BL477" s="1">
        <v>2</v>
      </c>
      <c r="BM477" s="1">
        <v>2</v>
      </c>
      <c r="BN477" s="1">
        <v>2</v>
      </c>
      <c r="BO477" s="1">
        <v>2</v>
      </c>
      <c r="BP477" s="1">
        <f>1+NOT(HRLivingGreyhawk)</f>
        <v>2</v>
      </c>
      <c r="BQ477" s="1">
        <f>IF(HRRVL,2,0)</f>
        <v>0</v>
      </c>
      <c r="BR477" s="1">
        <v>2</v>
      </c>
      <c r="BS477" s="1">
        <v>2</v>
      </c>
      <c r="BT477" s="1">
        <f>IF(HRXPH,2,0)</f>
        <v>0</v>
      </c>
      <c r="BU477" s="1">
        <f>IF(HRRVL,2,0)</f>
        <v>0</v>
      </c>
      <c r="BV477" s="1">
        <v>2</v>
      </c>
      <c r="BW477" s="1">
        <v>2</v>
      </c>
      <c r="BX477" s="1">
        <v>2</v>
      </c>
      <c r="BY477" s="1">
        <v>2</v>
      </c>
      <c r="BZ477" s="1">
        <v>2</v>
      </c>
      <c r="CA477" s="1">
        <v>2</v>
      </c>
      <c r="CB477" s="1">
        <v>2</v>
      </c>
      <c r="CC477" s="1">
        <v>2</v>
      </c>
      <c r="CD477" s="1">
        <v>2</v>
      </c>
      <c r="CE477" s="1">
        <v>2</v>
      </c>
      <c r="CF477" s="1">
        <v>2</v>
      </c>
      <c r="CG477" s="1">
        <f t="shared" si="450"/>
        <v>0</v>
      </c>
      <c r="CH477" s="1">
        <v>1</v>
      </c>
      <c r="CI477" s="1">
        <v>1</v>
      </c>
      <c r="CJ477" s="1">
        <v>2</v>
      </c>
      <c r="CK477" s="1">
        <v>2</v>
      </c>
      <c r="CL477" s="1">
        <v>2</v>
      </c>
      <c r="CM477" s="1">
        <v>2</v>
      </c>
      <c r="CN477" s="1">
        <v>2</v>
      </c>
      <c r="CO477" s="1">
        <v>2</v>
      </c>
      <c r="CP477" s="1">
        <v>2</v>
      </c>
      <c r="CQ477" s="1">
        <v>2</v>
      </c>
      <c r="CR477" s="1">
        <v>2</v>
      </c>
      <c r="CS477" s="1">
        <v>2</v>
      </c>
      <c r="CT477" s="1">
        <v>2</v>
      </c>
      <c r="CU477" s="1">
        <v>2</v>
      </c>
      <c r="CV477" s="1">
        <f t="shared" si="451"/>
        <v>0</v>
      </c>
      <c r="CW477" s="1">
        <v>1</v>
      </c>
      <c r="CX477" s="1">
        <v>1</v>
      </c>
      <c r="CY477" s="1">
        <v>2</v>
      </c>
      <c r="CZ477" s="1">
        <f t="shared" si="452"/>
        <v>0</v>
      </c>
      <c r="DA477" s="1">
        <v>1</v>
      </c>
      <c r="DB477" s="1">
        <v>1</v>
      </c>
      <c r="DC477" s="1">
        <v>2</v>
      </c>
      <c r="DD477" s="1">
        <v>2</v>
      </c>
      <c r="DE477" s="1">
        <v>2</v>
      </c>
      <c r="DF477" s="1">
        <v>2</v>
      </c>
      <c r="DG477" s="1">
        <v>1</v>
      </c>
      <c r="DH477" s="1">
        <v>1</v>
      </c>
      <c r="DI477" s="1">
        <f t="shared" si="453"/>
        <v>0</v>
      </c>
      <c r="DJ477" s="1">
        <v>1</v>
      </c>
      <c r="DK477" s="1" t="s">
        <v>1188</v>
      </c>
      <c r="DL477" s="1" t="s">
        <v>170</v>
      </c>
      <c r="DR477" s="1" t="b">
        <f>AlignmentNonEvil</f>
        <v>1</v>
      </c>
      <c r="DS477" s="1" t="b">
        <f>SkDiplomacyRanks&gt;=4</f>
        <v>0</v>
      </c>
      <c r="DT477" s="1" t="b">
        <f>SkKnowledgeArcanaRanks&gt;=4</f>
        <v>0</v>
      </c>
      <c r="DU477" s="1" t="b">
        <f>SkKnowledgeReligionRanks&gt;=8</f>
        <v>0</v>
      </c>
      <c r="DV477" s="1" t="b">
        <f>SkSpellcraftRanks&gt;=8</f>
        <v>0</v>
      </c>
      <c r="DW477" s="1" t="b">
        <f>OR(FreeAlertness,FtAlertness)</f>
        <v>0</v>
      </c>
      <c r="DX477" s="1" t="b">
        <f>OR(FreeIronWill,FtIronWill)</f>
        <v>0</v>
      </c>
      <c r="DY477" s="1" t="b">
        <f ca="1">MaxDivineSpellLevel&gt;=3</f>
        <v>0</v>
      </c>
      <c r="EA477" s="1" t="b">
        <f t="shared" ca="1" si="454"/>
        <v>0</v>
      </c>
      <c r="EB477" s="11" t="s">
        <v>338</v>
      </c>
      <c r="EC477" s="1" t="str">
        <f ca="1">IF(DR477,"","• Must be of any Non-Evil Alignment.
")&amp;IF(DS477,"","• 4 ranks in Diplomacy.
")&amp;IF(DT477,"","• 4 ranks in Knowledge (arcana).
")&amp;IF(DU477,"","• 8 ranks in Knowledge (religion).
")&amp;IF(DV477,"","• 8 ranks in Spellcraft.
")&amp;IF(DW477,"","• Alertness Feat.
")&amp;IF(DX477,"","• Iron Will Feat.
")&amp;IF(DY477,"","• Able to cast 3st-level arcane spells.
")&amp;"• Sponsorship by a member of the Harpers, approval of the High Harpers. Also, you patron deity must be nonevil and not one devoted to wanton destruction (not verified)."</f>
        <v>• 4 ranks in Diplomacy.
• 4 ranks in Knowledge (arcana).
• 8 ranks in Knowledge (religion).
• 8 ranks in Spellcraft.
• Alertness Feat.
• Iron Will Feat.
• Able to cast 3st-level arcane spells.
• Sponsorship by a member of the Harpers, approval of the High Harpers. Also, you patron deity must be nonevil and not one devoted to wanton destruction (not verified).</v>
      </c>
      <c r="ED477" s="11" t="s">
        <v>335</v>
      </c>
    </row>
    <row r="478" spans="1:134" ht="11.25" customHeight="1" x14ac:dyDescent="0.2">
      <c r="A478" s="1">
        <f t="shared" si="432"/>
        <v>475</v>
      </c>
      <c r="B478" s="1" t="s">
        <v>1195</v>
      </c>
      <c r="C478" s="1" t="s">
        <v>1196</v>
      </c>
      <c r="D478" s="1" t="s">
        <v>1196</v>
      </c>
      <c r="E478" s="1">
        <f t="shared" si="408"/>
        <v>0</v>
      </c>
      <c r="G478" s="1">
        <f>MgKLvl</f>
        <v>0</v>
      </c>
      <c r="K478" s="1">
        <v>2</v>
      </c>
      <c r="L478" s="1">
        <v>4</v>
      </c>
      <c r="V478" s="1">
        <v>0.5</v>
      </c>
      <c r="W478" s="1">
        <v>0.34</v>
      </c>
      <c r="X478" s="1">
        <v>0.34</v>
      </c>
      <c r="Y478" s="1">
        <v>0.5</v>
      </c>
      <c r="Z478" s="1" t="b">
        <f>FALSE</f>
        <v>0</v>
      </c>
      <c r="AA478" s="1" t="str">
        <f t="shared" si="411"/>
        <v/>
      </c>
      <c r="AB478" s="1" t="str">
        <f t="shared" si="412"/>
        <v/>
      </c>
      <c r="AC478" s="1">
        <f t="shared" si="409"/>
        <v>0</v>
      </c>
      <c r="AD478" s="1" t="str">
        <f t="shared" si="413"/>
        <v/>
      </c>
      <c r="AE478" s="1" t="str">
        <f t="shared" si="414"/>
        <v/>
      </c>
      <c r="AF478" s="1">
        <f t="shared" si="410"/>
        <v>0</v>
      </c>
      <c r="AG478" s="1">
        <f t="shared" si="445"/>
        <v>5</v>
      </c>
      <c r="AH478" s="1" t="str">
        <f t="shared" si="444"/>
        <v/>
      </c>
      <c r="AI478" s="1">
        <v>1</v>
      </c>
      <c r="AJ478" s="1">
        <f t="shared" si="446"/>
        <v>0</v>
      </c>
      <c r="AK478" s="1">
        <v>1</v>
      </c>
      <c r="AL478" s="1">
        <v>1</v>
      </c>
      <c r="AM478" s="1">
        <v>1</v>
      </c>
      <c r="AN478" s="1">
        <f t="shared" si="447"/>
        <v>0</v>
      </c>
      <c r="AO478" s="1">
        <v>2</v>
      </c>
      <c r="AP478" s="1">
        <v>2</v>
      </c>
      <c r="AQ478" s="1">
        <v>2</v>
      </c>
      <c r="AR478" s="1">
        <v>2</v>
      </c>
      <c r="AS478" s="1">
        <v>2</v>
      </c>
      <c r="AT478" s="1">
        <v>2</v>
      </c>
      <c r="AU478" s="1">
        <v>2</v>
      </c>
      <c r="AV478" s="1">
        <v>2</v>
      </c>
      <c r="AW478" s="1">
        <v>1</v>
      </c>
      <c r="AX478" s="1">
        <v>1</v>
      </c>
      <c r="AY478" s="1">
        <v>1</v>
      </c>
      <c r="AZ478" s="1">
        <v>1</v>
      </c>
      <c r="BA478" s="1">
        <v>1</v>
      </c>
      <c r="BB478" s="1">
        <v>1</v>
      </c>
      <c r="BC478" s="1">
        <v>2</v>
      </c>
      <c r="BD478" s="1">
        <v>1</v>
      </c>
      <c r="BE478" s="1">
        <v>1</v>
      </c>
      <c r="BF478" s="1">
        <v>1</v>
      </c>
      <c r="BG478" s="1">
        <f t="shared" si="448"/>
        <v>0</v>
      </c>
      <c r="BH478" s="1">
        <f t="shared" si="449"/>
        <v>0</v>
      </c>
      <c r="BI478" s="1">
        <v>2</v>
      </c>
      <c r="BJ478" s="1">
        <v>1</v>
      </c>
      <c r="BK478" s="1">
        <v>2</v>
      </c>
      <c r="BL478" s="1">
        <v>2</v>
      </c>
      <c r="BM478" s="1">
        <v>2</v>
      </c>
      <c r="BN478" s="1">
        <v>2</v>
      </c>
      <c r="BO478" s="1">
        <v>2</v>
      </c>
      <c r="BP478" s="1">
        <f>1+NOT(HRLivingGreyhawk)</f>
        <v>2</v>
      </c>
      <c r="BQ478" s="1">
        <f>IF(HRRVL,2,0)</f>
        <v>0</v>
      </c>
      <c r="BR478" s="1">
        <v>2</v>
      </c>
      <c r="BS478" s="1">
        <v>2</v>
      </c>
      <c r="BT478" s="1">
        <f>IF(HRXPH,2,0)</f>
        <v>0</v>
      </c>
      <c r="BU478" s="1">
        <f>IF(HRRVL,2,0)</f>
        <v>0</v>
      </c>
      <c r="BV478" s="1">
        <v>2</v>
      </c>
      <c r="BW478" s="1">
        <v>2</v>
      </c>
      <c r="BX478" s="1">
        <v>2</v>
      </c>
      <c r="BY478" s="1">
        <v>2</v>
      </c>
      <c r="BZ478" s="1">
        <v>2</v>
      </c>
      <c r="CA478" s="1">
        <v>2</v>
      </c>
      <c r="CB478" s="1">
        <v>2</v>
      </c>
      <c r="CC478" s="1">
        <v>2</v>
      </c>
      <c r="CD478" s="1">
        <v>2</v>
      </c>
      <c r="CE478" s="1">
        <v>2</v>
      </c>
      <c r="CF478" s="1">
        <v>1</v>
      </c>
      <c r="CG478" s="1">
        <f t="shared" si="450"/>
        <v>0</v>
      </c>
      <c r="CH478" s="1">
        <v>1</v>
      </c>
      <c r="CI478" s="1">
        <v>1</v>
      </c>
      <c r="CJ478" s="1">
        <v>1</v>
      </c>
      <c r="CK478" s="1">
        <v>1</v>
      </c>
      <c r="CL478" s="1">
        <v>1</v>
      </c>
      <c r="CM478" s="1">
        <v>1</v>
      </c>
      <c r="CN478" s="1">
        <v>1</v>
      </c>
      <c r="CO478" s="1">
        <v>1</v>
      </c>
      <c r="CP478" s="1">
        <v>1</v>
      </c>
      <c r="CQ478" s="1">
        <v>1</v>
      </c>
      <c r="CR478" s="1">
        <v>1</v>
      </c>
      <c r="CS478" s="1">
        <v>1</v>
      </c>
      <c r="CT478" s="1">
        <v>1</v>
      </c>
      <c r="CU478" s="1">
        <v>1</v>
      </c>
      <c r="CV478" s="1">
        <f t="shared" si="451"/>
        <v>0</v>
      </c>
      <c r="CW478" s="1">
        <v>1</v>
      </c>
      <c r="CX478" s="1">
        <v>1</v>
      </c>
      <c r="CY478" s="1">
        <v>1</v>
      </c>
      <c r="CZ478" s="1">
        <f t="shared" si="452"/>
        <v>0</v>
      </c>
      <c r="DA478" s="1">
        <v>1</v>
      </c>
      <c r="DB478" s="1">
        <v>1</v>
      </c>
      <c r="DC478" s="1">
        <v>2</v>
      </c>
      <c r="DD478" s="1">
        <v>1</v>
      </c>
      <c r="DE478" s="1">
        <v>1</v>
      </c>
      <c r="DF478" s="1">
        <v>1</v>
      </c>
      <c r="DG478" s="1">
        <v>1</v>
      </c>
      <c r="DH478" s="1">
        <v>1</v>
      </c>
      <c r="DI478" s="1">
        <f t="shared" si="453"/>
        <v>0</v>
      </c>
      <c r="DJ478" s="1">
        <v>1</v>
      </c>
      <c r="DK478" s="1" t="s">
        <v>1188</v>
      </c>
      <c r="DL478" s="1" t="s">
        <v>170</v>
      </c>
      <c r="DR478" s="1" t="b">
        <f>SkSpellcraftRanks&gt;=10</f>
        <v>0</v>
      </c>
      <c r="DS478" s="1" t="b">
        <f>OR(FreeGreatFortitude,FtGreatFortitude)</f>
        <v>0</v>
      </c>
      <c r="DT478" s="1" t="b">
        <f>OR(FreeLightningReflexes,FtLightningReflexes)</f>
        <v>0</v>
      </c>
      <c r="DU478" s="1" t="b">
        <f>FtCombatCasting</f>
        <v>0</v>
      </c>
      <c r="DV478" s="1" t="b">
        <f>MartialProf</f>
        <v>1</v>
      </c>
      <c r="DW478" s="1" t="b">
        <f ca="1">OR(MaxArcaneSpellLevel&gt;=4,MaxDivineSpellLevel&gt;=4)</f>
        <v>0</v>
      </c>
      <c r="EA478" s="1" t="b">
        <f t="shared" ca="1" si="454"/>
        <v>0</v>
      </c>
      <c r="EB478" s="11" t="s">
        <v>334</v>
      </c>
      <c r="EC478" s="1" t="str">
        <f ca="1">IF(DR478,"","• 10 ranks in Spellcraft.
")&amp;IF(DS478,"","• Great Fortitude Feat.
")&amp;IF(DT478,"","• Lightning Reflexes Feat.
")&amp;IF(DU478,"","• Combat Casting Feat.
")&amp;IF(DV478,"","• Martial Weapon Proficiency (any).
")&amp;IF(DW478,"","• Ability to cast 4th-level Arcane or Divine.")</f>
        <v>• 10 ranks in Spellcraft.
• Great Fortitude Feat.
• Lightning Reflexes Feat.
• Combat Casting Feat.
• Ability to cast 4th-level Arcane or Divine.</v>
      </c>
      <c r="ED478" s="11" t="s">
        <v>335</v>
      </c>
    </row>
    <row r="479" spans="1:134" ht="11.25" customHeight="1" x14ac:dyDescent="0.2">
      <c r="A479" s="1">
        <f t="shared" si="432"/>
        <v>476</v>
      </c>
      <c r="B479" s="1" t="s">
        <v>1197</v>
      </c>
      <c r="C479" s="1" t="s">
        <v>1198</v>
      </c>
      <c r="D479" s="1" t="s">
        <v>1198</v>
      </c>
      <c r="E479" s="1">
        <f t="shared" si="408"/>
        <v>0</v>
      </c>
      <c r="G479" s="1">
        <f>MsALvl</f>
        <v>0</v>
      </c>
      <c r="K479" s="1">
        <v>2</v>
      </c>
      <c r="L479" s="1">
        <v>4</v>
      </c>
      <c r="V479" s="1">
        <v>0.5</v>
      </c>
      <c r="W479" s="1">
        <v>0.34</v>
      </c>
      <c r="X479" s="1">
        <v>0.34</v>
      </c>
      <c r="Y479" s="1">
        <v>0.5</v>
      </c>
      <c r="Z479" s="1" t="b">
        <f>FALSE</f>
        <v>0</v>
      </c>
      <c r="AA479" s="1" t="str">
        <f t="shared" si="411"/>
        <v/>
      </c>
      <c r="AB479" s="1" t="str">
        <f t="shared" si="412"/>
        <v/>
      </c>
      <c r="AC479" s="1">
        <f t="shared" si="409"/>
        <v>0</v>
      </c>
      <c r="AD479" s="1" t="str">
        <f t="shared" si="413"/>
        <v/>
      </c>
      <c r="AE479" s="1" t="str">
        <f t="shared" si="414"/>
        <v/>
      </c>
      <c r="AF479" s="1">
        <f t="shared" si="410"/>
        <v>0</v>
      </c>
      <c r="AG479" s="1">
        <f t="shared" si="445"/>
        <v>5</v>
      </c>
      <c r="AH479" s="1" t="str">
        <f t="shared" si="444"/>
        <v/>
      </c>
      <c r="AI479" s="1">
        <v>1</v>
      </c>
      <c r="AJ479" s="1">
        <f t="shared" si="446"/>
        <v>0</v>
      </c>
      <c r="AK479" s="1">
        <v>1</v>
      </c>
      <c r="AL479" s="1">
        <v>1</v>
      </c>
      <c r="AM479" s="1">
        <v>1</v>
      </c>
      <c r="AN479" s="1">
        <f t="shared" si="447"/>
        <v>0</v>
      </c>
      <c r="AO479" s="1">
        <v>2</v>
      </c>
      <c r="AP479" s="1">
        <v>2</v>
      </c>
      <c r="AQ479" s="1">
        <v>2</v>
      </c>
      <c r="AR479" s="1">
        <v>2</v>
      </c>
      <c r="AS479" s="1">
        <v>2</v>
      </c>
      <c r="AT479" s="1">
        <v>2</v>
      </c>
      <c r="AU479" s="1">
        <v>2</v>
      </c>
      <c r="AV479" s="1">
        <v>2</v>
      </c>
      <c r="AW479" s="1">
        <v>1</v>
      </c>
      <c r="AX479" s="1">
        <v>1</v>
      </c>
      <c r="AY479" s="1">
        <v>1</v>
      </c>
      <c r="AZ479" s="1">
        <v>1</v>
      </c>
      <c r="BA479" s="1">
        <v>1</v>
      </c>
      <c r="BB479" s="1">
        <v>1</v>
      </c>
      <c r="BC479" s="1">
        <v>1</v>
      </c>
      <c r="BD479" s="1">
        <v>1</v>
      </c>
      <c r="BE479" s="1">
        <v>1</v>
      </c>
      <c r="BF479" s="1">
        <v>1</v>
      </c>
      <c r="BG479" s="1">
        <f t="shared" si="448"/>
        <v>0</v>
      </c>
      <c r="BH479" s="1">
        <f t="shared" si="449"/>
        <v>0</v>
      </c>
      <c r="BI479" s="1">
        <v>1</v>
      </c>
      <c r="BJ479" s="1">
        <v>1</v>
      </c>
      <c r="BK479" s="1">
        <v>2</v>
      </c>
      <c r="BL479" s="1">
        <v>1</v>
      </c>
      <c r="BM479" s="1">
        <v>1</v>
      </c>
      <c r="BN479" s="1">
        <v>1</v>
      </c>
      <c r="BO479" s="1">
        <v>1</v>
      </c>
      <c r="BP479" s="1">
        <v>1</v>
      </c>
      <c r="BQ479" s="1">
        <f>IF(HRRVL,1,0)</f>
        <v>0</v>
      </c>
      <c r="BR479" s="1">
        <v>1</v>
      </c>
      <c r="BS479" s="1">
        <v>1</v>
      </c>
      <c r="BT479" s="1">
        <f>IF(HRXPH,1,0)</f>
        <v>0</v>
      </c>
      <c r="BU479" s="1">
        <f>IF(HRRVL,1,0)</f>
        <v>0</v>
      </c>
      <c r="BV479" s="1">
        <v>1</v>
      </c>
      <c r="BW479" s="1">
        <v>1</v>
      </c>
      <c r="BX479" s="1">
        <v>1</v>
      </c>
      <c r="BY479" s="1">
        <v>1</v>
      </c>
      <c r="BZ479" s="1">
        <v>1</v>
      </c>
      <c r="CA479" s="1">
        <v>1</v>
      </c>
      <c r="CB479" s="1">
        <v>1</v>
      </c>
      <c r="CC479" s="1">
        <v>1</v>
      </c>
      <c r="CD479" s="1">
        <v>1</v>
      </c>
      <c r="CE479" s="1">
        <v>1</v>
      </c>
      <c r="CF479" s="1">
        <v>1</v>
      </c>
      <c r="CG479" s="1">
        <f t="shared" si="450"/>
        <v>0</v>
      </c>
      <c r="CH479" s="1">
        <v>1</v>
      </c>
      <c r="CI479" s="1">
        <v>1</v>
      </c>
      <c r="CJ479" s="1">
        <v>1</v>
      </c>
      <c r="CK479" s="1">
        <v>1</v>
      </c>
      <c r="CL479" s="1">
        <v>1</v>
      </c>
      <c r="CM479" s="1">
        <v>1</v>
      </c>
      <c r="CN479" s="1">
        <v>1</v>
      </c>
      <c r="CO479" s="1">
        <v>1</v>
      </c>
      <c r="CP479" s="1">
        <v>2</v>
      </c>
      <c r="CQ479" s="1">
        <v>2</v>
      </c>
      <c r="CR479" s="1">
        <v>2</v>
      </c>
      <c r="CS479" s="1">
        <v>2</v>
      </c>
      <c r="CT479" s="1">
        <v>2</v>
      </c>
      <c r="CU479" s="1">
        <v>2</v>
      </c>
      <c r="CV479" s="1">
        <f t="shared" si="451"/>
        <v>0</v>
      </c>
      <c r="CW479" s="1">
        <v>1</v>
      </c>
      <c r="CX479" s="1">
        <v>1</v>
      </c>
      <c r="CY479" s="1">
        <v>1</v>
      </c>
      <c r="CZ479" s="1">
        <f t="shared" si="452"/>
        <v>0</v>
      </c>
      <c r="DA479" s="1">
        <v>1</v>
      </c>
      <c r="DB479" s="1">
        <v>1</v>
      </c>
      <c r="DC479" s="1">
        <v>2</v>
      </c>
      <c r="DD479" s="1">
        <v>1</v>
      </c>
      <c r="DE479" s="1">
        <v>1</v>
      </c>
      <c r="DF479" s="1">
        <v>1</v>
      </c>
      <c r="DG479" s="1">
        <v>1</v>
      </c>
      <c r="DH479" s="1">
        <v>1</v>
      </c>
      <c r="DI479" s="1">
        <f t="shared" si="453"/>
        <v>0</v>
      </c>
      <c r="DJ479" s="1">
        <v>1</v>
      </c>
      <c r="DK479" s="1" t="s">
        <v>1188</v>
      </c>
      <c r="DL479" s="1" t="s">
        <v>170</v>
      </c>
      <c r="DR479" s="1" t="b">
        <f>IF(NOT(ISNA(MATCH("Alchemy",TblCraftSkills,0))),INDEX(TblCraftRanks,MATCH("Alchemy",TblCraftSkills,0),1)&gt;=10,FALSE)</f>
        <v>0</v>
      </c>
      <c r="DS479" s="1" t="b">
        <f>SkSpellcraftRanks&gt;=10</f>
        <v>0</v>
      </c>
      <c r="DT479" s="1" t="b">
        <f>FtBrewPotion</f>
        <v>0</v>
      </c>
      <c r="DU479" s="1" t="b">
        <f>NOT(ISNA(MATCH("Brew Potion",TblMagicalArtisan,0)))</f>
        <v>1</v>
      </c>
      <c r="DV479" s="1" t="b">
        <f>NOT(ISERROR(SEARCH("Craft",SkillFocusList,1)))</f>
        <v>0</v>
      </c>
      <c r="DW479" s="1" t="b">
        <f ca="1">OR(MaxArcaneSpellLevel&gt;=4,MaxDivineSpellLevel&gt;=4)</f>
        <v>0</v>
      </c>
      <c r="EA479" s="1" t="b">
        <f t="shared" ca="1" si="454"/>
        <v>0</v>
      </c>
      <c r="EB479" s="11" t="s">
        <v>334</v>
      </c>
      <c r="EC479" s="1" t="str">
        <f ca="1">IF(DR479,"","• 10 ranks in Craft (alchemy).
")&amp;IF(DS479,"","• 10 rank in Spellcraft.
")&amp;IF(DT479,"","• Brew Potion Feat.
")&amp;IF(DU479,"","• Magical Artisan (potions) Feat.
")&amp;IF(DV479,"","• Skill Focus (craft) Feat.
")&amp;IF(DW479,"","• Ability to cast 4th-level Arcane or Divine spells.")</f>
        <v>• 10 ranks in Craft (alchemy).
• 10 rank in Spellcraft.
• Brew Potion Feat.
• Skill Focus (craft) Feat.
• Ability to cast 4th-level Arcane or Divine spells.</v>
      </c>
      <c r="ED479" s="11" t="s">
        <v>335</v>
      </c>
    </row>
    <row r="480" spans="1:134" ht="11.25" customHeight="1" x14ac:dyDescent="0.2">
      <c r="A480" s="1">
        <f t="shared" si="432"/>
        <v>477</v>
      </c>
      <c r="B480" s="1" t="s">
        <v>1199</v>
      </c>
      <c r="C480" s="1" t="s">
        <v>1200</v>
      </c>
      <c r="D480" s="1" t="s">
        <v>1200</v>
      </c>
      <c r="E480" s="1">
        <f t="shared" si="408"/>
        <v>0</v>
      </c>
      <c r="G480" s="1">
        <f>MyWLvl</f>
        <v>0</v>
      </c>
      <c r="K480" s="1">
        <v>2</v>
      </c>
      <c r="L480" s="1">
        <v>8</v>
      </c>
      <c r="V480" s="1">
        <v>0.5</v>
      </c>
      <c r="W480" s="1">
        <v>0.34</v>
      </c>
      <c r="X480" s="1">
        <v>0.5</v>
      </c>
      <c r="Y480" s="1">
        <v>0.5</v>
      </c>
      <c r="Z480" s="1" t="b">
        <f>FALSE</f>
        <v>0</v>
      </c>
      <c r="AA480" s="1" t="str">
        <f t="shared" si="411"/>
        <v/>
      </c>
      <c r="AB480" s="1" t="str">
        <f t="shared" si="412"/>
        <v/>
      </c>
      <c r="AC480" s="1">
        <f t="shared" si="409"/>
        <v>0</v>
      </c>
      <c r="AD480" s="1" t="str">
        <f t="shared" si="413"/>
        <v/>
      </c>
      <c r="AE480" s="1" t="str">
        <f t="shared" si="414"/>
        <v/>
      </c>
      <c r="AF480" s="1">
        <f t="shared" si="410"/>
        <v>0</v>
      </c>
      <c r="AG480" s="1">
        <f t="shared" si="445"/>
        <v>5</v>
      </c>
      <c r="AH480" s="1" t="str">
        <f t="shared" si="444"/>
        <v/>
      </c>
      <c r="AI480" s="1">
        <v>1</v>
      </c>
      <c r="AJ480" s="1">
        <f t="shared" si="446"/>
        <v>0</v>
      </c>
      <c r="AK480" s="1">
        <v>1</v>
      </c>
      <c r="AL480" s="1">
        <v>1</v>
      </c>
      <c r="AM480" s="1">
        <v>1</v>
      </c>
      <c r="AN480" s="1">
        <f t="shared" si="447"/>
        <v>0</v>
      </c>
      <c r="AO480" s="1">
        <v>2</v>
      </c>
      <c r="AP480" s="1">
        <v>2</v>
      </c>
      <c r="AQ480" s="1">
        <v>2</v>
      </c>
      <c r="AR480" s="1">
        <v>2</v>
      </c>
      <c r="AS480" s="1">
        <v>2</v>
      </c>
      <c r="AT480" s="1">
        <v>2</v>
      </c>
      <c r="AU480" s="1">
        <v>2</v>
      </c>
      <c r="AV480" s="1">
        <v>2</v>
      </c>
      <c r="AW480" s="1">
        <v>1</v>
      </c>
      <c r="AX480" s="1">
        <v>2</v>
      </c>
      <c r="AY480" s="1">
        <v>1</v>
      </c>
      <c r="AZ480" s="1">
        <v>1</v>
      </c>
      <c r="BA480" s="1">
        <v>1</v>
      </c>
      <c r="BB480" s="1">
        <v>1</v>
      </c>
      <c r="BC480" s="1">
        <v>1</v>
      </c>
      <c r="BD480" s="1">
        <v>1</v>
      </c>
      <c r="BE480" s="1">
        <v>2</v>
      </c>
      <c r="BF480" s="1">
        <v>1</v>
      </c>
      <c r="BG480" s="1">
        <f t="shared" si="448"/>
        <v>0</v>
      </c>
      <c r="BH480" s="1">
        <f t="shared" si="449"/>
        <v>0</v>
      </c>
      <c r="BI480" s="1">
        <v>1</v>
      </c>
      <c r="BJ480" s="1">
        <v>1</v>
      </c>
      <c r="BK480" s="1">
        <v>2</v>
      </c>
      <c r="BL480" s="1">
        <v>1</v>
      </c>
      <c r="BM480" s="1">
        <v>1</v>
      </c>
      <c r="BN480" s="1">
        <v>1</v>
      </c>
      <c r="BO480" s="1">
        <v>1</v>
      </c>
      <c r="BP480" s="1">
        <v>1</v>
      </c>
      <c r="BQ480" s="1">
        <f>IF(HRRVL,2,0)</f>
        <v>0</v>
      </c>
      <c r="BR480" s="1">
        <v>2</v>
      </c>
      <c r="BS480" s="1">
        <v>1</v>
      </c>
      <c r="BT480" s="1">
        <f>IF(HRXPH,1,0)</f>
        <v>0</v>
      </c>
      <c r="BU480" s="1">
        <f>IF(HRRVL,2,0)</f>
        <v>0</v>
      </c>
      <c r="BV480" s="1">
        <v>2</v>
      </c>
      <c r="BW480" s="1">
        <v>1</v>
      </c>
      <c r="BX480" s="1">
        <v>1</v>
      </c>
      <c r="BY480" s="1">
        <v>1</v>
      </c>
      <c r="BZ480" s="1">
        <v>1</v>
      </c>
      <c r="CA480" s="1">
        <v>1</v>
      </c>
      <c r="CB480" s="1">
        <v>1</v>
      </c>
      <c r="CC480" s="1">
        <v>1</v>
      </c>
      <c r="CD480" s="1">
        <v>1</v>
      </c>
      <c r="CE480" s="1">
        <v>1</v>
      </c>
      <c r="CF480" s="1">
        <v>1</v>
      </c>
      <c r="CG480" s="1">
        <f t="shared" si="450"/>
        <v>0</v>
      </c>
      <c r="CH480" s="1">
        <v>1</v>
      </c>
      <c r="CI480" s="1">
        <v>1</v>
      </c>
      <c r="CJ480" s="1">
        <v>1</v>
      </c>
      <c r="CK480" s="1">
        <v>1</v>
      </c>
      <c r="CL480" s="1">
        <v>1</v>
      </c>
      <c r="CM480" s="1">
        <v>1</v>
      </c>
      <c r="CN480" s="1">
        <v>1</v>
      </c>
      <c r="CO480" s="1">
        <v>1</v>
      </c>
      <c r="CP480" s="1">
        <v>2</v>
      </c>
      <c r="CQ480" s="1">
        <v>2</v>
      </c>
      <c r="CR480" s="1">
        <v>2</v>
      </c>
      <c r="CS480" s="1">
        <v>2</v>
      </c>
      <c r="CT480" s="1">
        <v>2</v>
      </c>
      <c r="CU480" s="1">
        <v>2</v>
      </c>
      <c r="CV480" s="1">
        <f t="shared" si="451"/>
        <v>0</v>
      </c>
      <c r="CW480" s="1">
        <v>1</v>
      </c>
      <c r="CX480" s="1">
        <v>1</v>
      </c>
      <c r="CY480" s="1">
        <v>1</v>
      </c>
      <c r="CZ480" s="1">
        <f t="shared" si="452"/>
        <v>0</v>
      </c>
      <c r="DA480" s="1">
        <v>1</v>
      </c>
      <c r="DB480" s="1">
        <v>1</v>
      </c>
      <c r="DC480" s="1">
        <v>2</v>
      </c>
      <c r="DD480" s="1">
        <v>1</v>
      </c>
      <c r="DE480" s="1">
        <v>1</v>
      </c>
      <c r="DF480" s="1">
        <v>1</v>
      </c>
      <c r="DG480" s="1">
        <v>1</v>
      </c>
      <c r="DH480" s="1">
        <v>1</v>
      </c>
      <c r="DI480" s="1">
        <f t="shared" si="453"/>
        <v>0</v>
      </c>
      <c r="DJ480" s="1">
        <v>1</v>
      </c>
      <c r="DK480" s="1" t="s">
        <v>1188</v>
      </c>
      <c r="DL480" s="1" t="s">
        <v>170</v>
      </c>
      <c r="DR480" s="1" t="b">
        <f>AlignmentNonLawful</f>
        <v>0</v>
      </c>
      <c r="DS480" s="1" t="b">
        <f>IF(NOT(ISNA(MATCH("Alchemy",TblCraftSkills,0))),INDEX(TblCraftRanks,MATCH("Alchemy",TblCraftSkills,0),1)&gt;=3,FALSE)</f>
        <v>0</v>
      </c>
      <c r="DT480" s="1" t="b">
        <f>SkDiplomacyRanks&gt;=8</f>
        <v>0</v>
      </c>
      <c r="DU480" s="1" t="b">
        <f>SkKnowledgeNatureRanks&gt;=3</f>
        <v>0</v>
      </c>
      <c r="DV480" s="1" t="b">
        <f>SkPerformRanks&gt;=3</f>
        <v>0</v>
      </c>
      <c r="DW480" s="1" t="b">
        <f>IF(NOT(ISNA(MATCH("Herbalist",TblProfessionSkills,0))),INDEX(TblProfessionRanks,MATCH("Herbalist",TblProfessionSkills,0),1)&gt;=3,FALSE)</f>
        <v>0</v>
      </c>
      <c r="DX480" s="1" t="b">
        <f>OR(FreeIronWill,FtIronWill)</f>
        <v>0</v>
      </c>
      <c r="DY480" s="1" t="b">
        <f ca="1">MaxDivineSpellLevel&gt;=2</f>
        <v>0</v>
      </c>
      <c r="EA480" s="1" t="b">
        <f t="shared" ca="1" si="454"/>
        <v>0</v>
      </c>
      <c r="EB480" s="11" t="s">
        <v>334</v>
      </c>
      <c r="EC480" s="1" t="str">
        <f ca="1">IF(DR480,"","• Must be of Any Non-Lawful Alignment.
")&amp;IF(DS480,"","• 3 ranks in Craft (alchemy).
")&amp;IF(DT480,"","• 8 ranks in Diplomacy.
")&amp;IF(DU480,"","• 3 ranks in Knowledge (nature).
")&amp;IF(DV480,"","• 3 ranks in Perform.
")&amp;IF(DW480,"","• 3 ranks in Profession (herbalist).
")&amp;IF(DX480,"","• Iron Will Feat.
")&amp;IF(DY480,"","• Ability to cast 2th-level Divine Spells.")</f>
        <v>• Must be of Any Non-Lawful Alignment.
• 3 ranks in Craft (alchemy).
• 8 ranks in Diplomacy.
• 3 ranks in Knowledge (nature).
• 3 ranks in Perform.
• 3 ranks in Profession (herbalist).
• Iron Will Feat.
• Ability to cast 2th-level Divine Spells.</v>
      </c>
      <c r="ED480" s="11" t="s">
        <v>335</v>
      </c>
    </row>
    <row r="481" spans="1:134" ht="11.25" customHeight="1" x14ac:dyDescent="0.2">
      <c r="A481" s="1">
        <f t="shared" si="432"/>
        <v>478</v>
      </c>
      <c r="B481" s="1" t="s">
        <v>1201</v>
      </c>
      <c r="C481" s="1" t="s">
        <v>1202</v>
      </c>
      <c r="D481" s="1" t="s">
        <v>1202</v>
      </c>
      <c r="E481" s="1">
        <f t="shared" si="408"/>
        <v>0</v>
      </c>
      <c r="G481" s="1">
        <f>SpDLvl</f>
        <v>0</v>
      </c>
      <c r="K481" s="1">
        <v>4</v>
      </c>
      <c r="L481" s="1">
        <v>6</v>
      </c>
      <c r="S481" s="1" t="b">
        <v>1</v>
      </c>
      <c r="V481" s="1">
        <v>0.5</v>
      </c>
      <c r="W481" s="1">
        <v>0.34</v>
      </c>
      <c r="X481" s="1">
        <v>0.5</v>
      </c>
      <c r="Y481" s="1">
        <v>0.5</v>
      </c>
      <c r="Z481" s="1" t="b">
        <f>FALSE</f>
        <v>0</v>
      </c>
      <c r="AA481" s="1" t="str">
        <f t="shared" si="411"/>
        <v/>
      </c>
      <c r="AB481" s="1" t="str">
        <f t="shared" si="412"/>
        <v/>
      </c>
      <c r="AC481" s="1">
        <f t="shared" si="409"/>
        <v>0</v>
      </c>
      <c r="AD481" s="1" t="str">
        <f t="shared" si="413"/>
        <v/>
      </c>
      <c r="AE481" s="1" t="str">
        <f t="shared" si="414"/>
        <v/>
      </c>
      <c r="AF481" s="1">
        <f t="shared" si="410"/>
        <v>0</v>
      </c>
      <c r="AG481" s="1">
        <f t="shared" si="445"/>
        <v>5</v>
      </c>
      <c r="AH481" s="1" t="str">
        <f t="shared" si="444"/>
        <v/>
      </c>
      <c r="AI481" s="1">
        <v>1</v>
      </c>
      <c r="AJ481" s="1">
        <f t="shared" si="446"/>
        <v>0</v>
      </c>
      <c r="AK481" s="1">
        <v>1</v>
      </c>
      <c r="AL481" s="1">
        <v>1</v>
      </c>
      <c r="AM481" s="1">
        <v>1</v>
      </c>
      <c r="AN481" s="1">
        <f t="shared" si="447"/>
        <v>0</v>
      </c>
      <c r="AO481" s="1">
        <v>2</v>
      </c>
      <c r="AP481" s="1">
        <v>2</v>
      </c>
      <c r="AQ481" s="1">
        <v>2</v>
      </c>
      <c r="AR481" s="1">
        <v>2</v>
      </c>
      <c r="AS481" s="1">
        <v>2</v>
      </c>
      <c r="AT481" s="1">
        <v>2</v>
      </c>
      <c r="AU481" s="1">
        <v>2</v>
      </c>
      <c r="AV481" s="1">
        <v>2</v>
      </c>
      <c r="AW481" s="1">
        <v>1</v>
      </c>
      <c r="AX481" s="1">
        <v>1</v>
      </c>
      <c r="AY481" s="1">
        <v>1</v>
      </c>
      <c r="AZ481" s="1">
        <v>1</v>
      </c>
      <c r="BA481" s="1">
        <v>1</v>
      </c>
      <c r="BB481" s="1">
        <v>1</v>
      </c>
      <c r="BC481" s="1">
        <v>1</v>
      </c>
      <c r="BD481" s="1">
        <v>1</v>
      </c>
      <c r="BE481" s="1">
        <v>1</v>
      </c>
      <c r="BF481" s="1">
        <v>1</v>
      </c>
      <c r="BG481" s="1">
        <f t="shared" si="448"/>
        <v>0</v>
      </c>
      <c r="BH481" s="1">
        <f t="shared" si="449"/>
        <v>0</v>
      </c>
      <c r="BI481" s="1">
        <v>1</v>
      </c>
      <c r="BJ481" s="1">
        <v>2</v>
      </c>
      <c r="BK481" s="1">
        <v>2</v>
      </c>
      <c r="BL481" s="1">
        <v>1</v>
      </c>
      <c r="BM481" s="1">
        <v>1</v>
      </c>
      <c r="BN481" s="1">
        <v>1</v>
      </c>
      <c r="BO481" s="1">
        <v>1</v>
      </c>
      <c r="BP481" s="1">
        <v>1</v>
      </c>
      <c r="BQ481" s="1">
        <f>IF(HRRVL,1,0)</f>
        <v>0</v>
      </c>
      <c r="BR481" s="1">
        <v>1</v>
      </c>
      <c r="BS481" s="1">
        <v>1</v>
      </c>
      <c r="BT481" s="1">
        <f>IF(HRXPH,1,0)</f>
        <v>0</v>
      </c>
      <c r="BU481" s="1">
        <f>IF(HRRVL,1,0)</f>
        <v>0</v>
      </c>
      <c r="BV481" s="1">
        <v>1</v>
      </c>
      <c r="BW481" s="1">
        <v>1</v>
      </c>
      <c r="BX481" s="1">
        <v>1</v>
      </c>
      <c r="BY481" s="1">
        <v>1</v>
      </c>
      <c r="BZ481" s="1">
        <v>1</v>
      </c>
      <c r="CA481" s="1">
        <v>1</v>
      </c>
      <c r="CB481" s="1">
        <v>1</v>
      </c>
      <c r="CC481" s="1">
        <v>1</v>
      </c>
      <c r="CD481" s="1">
        <v>1</v>
      </c>
      <c r="CE481" s="1">
        <v>1</v>
      </c>
      <c r="CF481" s="1">
        <v>1</v>
      </c>
      <c r="CG481" s="1">
        <f t="shared" si="450"/>
        <v>0</v>
      </c>
      <c r="CH481" s="1">
        <v>1</v>
      </c>
      <c r="CI481" s="1">
        <v>1</v>
      </c>
      <c r="CJ481" s="1">
        <v>2</v>
      </c>
      <c r="CK481" s="1">
        <v>2</v>
      </c>
      <c r="CL481" s="1">
        <v>2</v>
      </c>
      <c r="CM481" s="1">
        <v>2</v>
      </c>
      <c r="CN481" s="1">
        <v>2</v>
      </c>
      <c r="CO481" s="1">
        <v>2</v>
      </c>
      <c r="CP481" s="1">
        <v>2</v>
      </c>
      <c r="CQ481" s="1">
        <v>2</v>
      </c>
      <c r="CR481" s="1">
        <v>2</v>
      </c>
      <c r="CS481" s="1">
        <v>2</v>
      </c>
      <c r="CT481" s="1">
        <v>2</v>
      </c>
      <c r="CU481" s="1">
        <v>2</v>
      </c>
      <c r="CV481" s="1">
        <f t="shared" si="451"/>
        <v>0</v>
      </c>
      <c r="CW481" s="1">
        <v>1</v>
      </c>
      <c r="CX481" s="1">
        <v>1</v>
      </c>
      <c r="CY481" s="1">
        <v>1</v>
      </c>
      <c r="CZ481" s="1">
        <f t="shared" si="452"/>
        <v>0</v>
      </c>
      <c r="DA481" s="1">
        <v>1</v>
      </c>
      <c r="DB481" s="1">
        <v>1</v>
      </c>
      <c r="DC481" s="1">
        <v>2</v>
      </c>
      <c r="DD481" s="1">
        <v>1</v>
      </c>
      <c r="DE481" s="1">
        <v>1</v>
      </c>
      <c r="DF481" s="1">
        <v>2</v>
      </c>
      <c r="DG481" s="1">
        <v>2</v>
      </c>
      <c r="DH481" s="1">
        <v>1</v>
      </c>
      <c r="DI481" s="1">
        <f t="shared" si="453"/>
        <v>0</v>
      </c>
      <c r="DJ481" s="1">
        <v>1</v>
      </c>
      <c r="DK481" s="1" t="s">
        <v>1188</v>
      </c>
      <c r="DL481" s="1" t="s">
        <v>170</v>
      </c>
      <c r="DR481" s="1" t="b">
        <f>SkConcentrationRanks&gt;=4</f>
        <v>0</v>
      </c>
      <c r="DS481" s="1" t="b">
        <f>SkPerformRanks&gt;=6</f>
        <v>0</v>
      </c>
      <c r="DT481" s="1" t="b">
        <f>SkTumbleRanks&gt;=4</f>
        <v>0</v>
      </c>
      <c r="DU481" s="1" t="b">
        <f>FtCombatCasting</f>
        <v>0</v>
      </c>
      <c r="DV481" s="1" t="b">
        <f>FtDodgeEquiv</f>
        <v>0</v>
      </c>
      <c r="DW481" s="1" t="b">
        <f>OR(FtEndurance,FtKoboldEndurance)</f>
        <v>0</v>
      </c>
      <c r="DX481" s="1" t="b">
        <f>FtMobility</f>
        <v>0</v>
      </c>
      <c r="DY481" s="1" t="b">
        <f ca="1">MaxArcaneSpellLevel&gt;=3</f>
        <v>0</v>
      </c>
      <c r="EA481" s="1" t="b">
        <f t="shared" ca="1" si="454"/>
        <v>0</v>
      </c>
      <c r="EB481" s="11" t="s">
        <v>334</v>
      </c>
      <c r="EC481" s="1" t="str">
        <f ca="1">IF(DR481,"","• 4 ranks in Concentration.
")&amp;IF(DS481,"","• 6 ranks in Perform (dance).
")&amp;IF(DT481,"","• 4 ranks in Tumble.
")&amp;IF(DU481,"","• Combat Casting Feat.
")&amp;IF(DV481,"","• Dodge Feat.
")&amp;IF(DW481,"","• Endurance Feat.
")&amp;IF(DX481,"","• Mobility Feat.
")&amp;IF(DY481,"","• Ability to cast 3rd-level Arcane Spells.")</f>
        <v>• 4 ranks in Concentration.
• 6 ranks in Perform (dance).
• 4 ranks in Tumble.
• Combat Casting Feat.
• Dodge Feat.
• Endurance Feat.
• Mobility Feat.
• Ability to cast 3rd-level Arcane Spells.</v>
      </c>
      <c r="ED481" s="11" t="s">
        <v>335</v>
      </c>
    </row>
    <row r="482" spans="1:134" ht="11.25" customHeight="1" x14ac:dyDescent="0.2">
      <c r="A482" s="1">
        <f t="shared" si="432"/>
        <v>479</v>
      </c>
      <c r="B482" s="1" t="s">
        <v>1203</v>
      </c>
      <c r="C482" s="1" t="s">
        <v>1204</v>
      </c>
      <c r="D482" s="1" t="s">
        <v>1204</v>
      </c>
      <c r="E482" s="1">
        <f t="shared" si="408"/>
        <v>0</v>
      </c>
      <c r="K482" s="1">
        <v>2</v>
      </c>
      <c r="L482" s="1">
        <v>4</v>
      </c>
      <c r="S482" s="1" t="b">
        <v>1</v>
      </c>
      <c r="V482" s="1">
        <v>0.5</v>
      </c>
      <c r="W482" s="1">
        <v>0.5</v>
      </c>
      <c r="X482" s="1">
        <v>0.34</v>
      </c>
      <c r="Y482" s="1">
        <v>0.5</v>
      </c>
      <c r="Z482" s="1" t="b">
        <f>FALSE</f>
        <v>0</v>
      </c>
      <c r="AA482" s="1" t="str">
        <f t="shared" si="411"/>
        <v/>
      </c>
      <c r="AB482" s="1" t="str">
        <f t="shared" si="412"/>
        <v/>
      </c>
      <c r="AC482" s="1">
        <f t="shared" si="409"/>
        <v>0</v>
      </c>
      <c r="AD482" s="1" t="str">
        <f t="shared" si="413"/>
        <v/>
      </c>
      <c r="AE482" s="1" t="str">
        <f t="shared" si="414"/>
        <v/>
      </c>
      <c r="AF482" s="1">
        <f t="shared" si="410"/>
        <v>0</v>
      </c>
      <c r="AG482" s="1">
        <f t="shared" si="445"/>
        <v>5</v>
      </c>
      <c r="AH482" s="1" t="str">
        <f t="shared" si="444"/>
        <v/>
      </c>
      <c r="AI482" s="1">
        <v>1</v>
      </c>
      <c r="AJ482" s="1">
        <f t="shared" si="446"/>
        <v>0</v>
      </c>
      <c r="AK482" s="1">
        <v>1</v>
      </c>
      <c r="AL482" s="1">
        <v>2</v>
      </c>
      <c r="AM482" s="1">
        <v>1</v>
      </c>
      <c r="AN482" s="1">
        <f t="shared" si="447"/>
        <v>0</v>
      </c>
      <c r="AO482" s="1">
        <v>2</v>
      </c>
      <c r="AP482" s="1">
        <v>2</v>
      </c>
      <c r="AQ482" s="1">
        <v>2</v>
      </c>
      <c r="AR482" s="1">
        <v>2</v>
      </c>
      <c r="AS482" s="1">
        <v>2</v>
      </c>
      <c r="AT482" s="1">
        <v>2</v>
      </c>
      <c r="AU482" s="1">
        <v>2</v>
      </c>
      <c r="AV482" s="1">
        <v>2</v>
      </c>
      <c r="AW482" s="1">
        <v>1</v>
      </c>
      <c r="AX482" s="1">
        <v>1</v>
      </c>
      <c r="AY482" s="1">
        <v>1</v>
      </c>
      <c r="AZ482" s="1">
        <v>2</v>
      </c>
      <c r="BA482" s="1">
        <v>1</v>
      </c>
      <c r="BB482" s="1">
        <v>1</v>
      </c>
      <c r="BC482" s="1">
        <v>1</v>
      </c>
      <c r="BD482" s="1">
        <v>1</v>
      </c>
      <c r="BE482" s="1">
        <v>2</v>
      </c>
      <c r="BF482" s="1">
        <v>1</v>
      </c>
      <c r="BG482" s="1">
        <f t="shared" si="448"/>
        <v>0</v>
      </c>
      <c r="BH482" s="1">
        <f t="shared" si="449"/>
        <v>0</v>
      </c>
      <c r="BI482" s="1">
        <v>2</v>
      </c>
      <c r="BJ482" s="1">
        <v>1</v>
      </c>
      <c r="BK482" s="1">
        <v>2</v>
      </c>
      <c r="BL482" s="1">
        <v>1</v>
      </c>
      <c r="BM482" s="1">
        <v>1</v>
      </c>
      <c r="BN482" s="1">
        <v>1</v>
      </c>
      <c r="BO482" s="1">
        <v>1</v>
      </c>
      <c r="BP482" s="1">
        <v>1</v>
      </c>
      <c r="BQ482" s="1">
        <f>IF(HRRVL,1,0)</f>
        <v>0</v>
      </c>
      <c r="BR482" s="1">
        <v>1</v>
      </c>
      <c r="BS482" s="1">
        <v>1</v>
      </c>
      <c r="BT482" s="1">
        <f>IF(HRXPH,1,0)</f>
        <v>0</v>
      </c>
      <c r="BU482" s="1">
        <f>IF(HRRVL,1,0)</f>
        <v>0</v>
      </c>
      <c r="BV482" s="1">
        <v>1</v>
      </c>
      <c r="BW482" s="1">
        <v>1</v>
      </c>
      <c r="BX482" s="1">
        <v>1</v>
      </c>
      <c r="BY482" s="1">
        <v>1</v>
      </c>
      <c r="BZ482" s="1">
        <v>1</v>
      </c>
      <c r="CA482" s="1">
        <v>1</v>
      </c>
      <c r="CB482" s="1">
        <v>1</v>
      </c>
      <c r="CC482" s="1">
        <v>1</v>
      </c>
      <c r="CD482" s="1">
        <v>1</v>
      </c>
      <c r="CE482" s="1">
        <v>1</v>
      </c>
      <c r="CF482" s="1">
        <v>1</v>
      </c>
      <c r="CG482" s="1">
        <f t="shared" si="450"/>
        <v>0</v>
      </c>
      <c r="CH482" s="1">
        <v>1</v>
      </c>
      <c r="CI482" s="1">
        <v>1</v>
      </c>
      <c r="CJ482" s="1">
        <v>1</v>
      </c>
      <c r="CK482" s="1">
        <v>1</v>
      </c>
      <c r="CL482" s="1">
        <v>1</v>
      </c>
      <c r="CM482" s="1">
        <v>1</v>
      </c>
      <c r="CN482" s="1">
        <v>1</v>
      </c>
      <c r="CO482" s="1">
        <v>1</v>
      </c>
      <c r="CP482" s="1">
        <v>2</v>
      </c>
      <c r="CQ482" s="1">
        <v>2</v>
      </c>
      <c r="CR482" s="1">
        <v>2</v>
      </c>
      <c r="CS482" s="1">
        <v>2</v>
      </c>
      <c r="CT482" s="1">
        <v>2</v>
      </c>
      <c r="CU482" s="1">
        <v>2</v>
      </c>
      <c r="CV482" s="1">
        <f t="shared" si="451"/>
        <v>0</v>
      </c>
      <c r="CW482" s="1">
        <v>1</v>
      </c>
      <c r="CX482" s="1">
        <v>1</v>
      </c>
      <c r="CY482" s="1">
        <v>2</v>
      </c>
      <c r="CZ482" s="1">
        <f t="shared" si="452"/>
        <v>0</v>
      </c>
      <c r="DA482" s="1">
        <v>1</v>
      </c>
      <c r="DB482" s="1">
        <v>1</v>
      </c>
      <c r="DC482" s="1">
        <v>2</v>
      </c>
      <c r="DD482" s="1">
        <v>1</v>
      </c>
      <c r="DE482" s="1">
        <v>2</v>
      </c>
      <c r="DF482" s="1">
        <v>1</v>
      </c>
      <c r="DG482" s="1">
        <v>1</v>
      </c>
      <c r="DH482" s="1">
        <v>1</v>
      </c>
      <c r="DI482" s="1">
        <f t="shared" si="453"/>
        <v>0</v>
      </c>
      <c r="DJ482" s="1">
        <v>1</v>
      </c>
      <c r="DK482" s="1" t="s">
        <v>1188</v>
      </c>
      <c r="DL482" s="1" t="s">
        <v>170</v>
      </c>
      <c r="DR482" s="1" t="b">
        <f>SkConcentrationRanks&gt;=8</f>
        <v>0</v>
      </c>
      <c r="DS482" s="1" t="b">
        <f>SkKnowledgeArcanaRanks&gt;=2</f>
        <v>0</v>
      </c>
      <c r="DT482" s="1" t="b">
        <f>SkSpellcraftRanks&gt;=2</f>
        <v>0</v>
      </c>
      <c r="DU482" s="1" t="b">
        <f>OR(FtEndurance,FtKoboldEndurance)</f>
        <v>0</v>
      </c>
      <c r="DV482" s="1" t="b">
        <f>FtSpellfireWielder</f>
        <v>0</v>
      </c>
      <c r="EA482" s="1" t="b">
        <f t="shared" si="454"/>
        <v>0</v>
      </c>
      <c r="EB482" s="11" t="s">
        <v>334</v>
      </c>
      <c r="EC482" s="1" t="str">
        <f>IF(DR482,"","• 8 ranks in Concentration.
")&amp;IF(DS482,"","• 2 ranks in Knowledge (arcana).
")&amp;IF(DT482,"","• 2 ranks in Spellcraft.
")&amp;IF(DU482,"","• Endurance Feat.
")&amp;IF(DV482,"","• Spellfire Wielder Feat.")</f>
        <v>• 8 ranks in Concentration.
• 2 ranks in Knowledge (arcana).
• 2 ranks in Spellcraft.
• Endurance Feat.
• Spellfire Wielder Feat.</v>
      </c>
      <c r="ED482" s="11" t="s">
        <v>335</v>
      </c>
    </row>
    <row r="483" spans="1:134" ht="11.25" customHeight="1" x14ac:dyDescent="0.2">
      <c r="A483" s="1">
        <f t="shared" si="432"/>
        <v>480</v>
      </c>
      <c r="B483" s="1" t="s">
        <v>1205</v>
      </c>
      <c r="C483" s="1" t="s">
        <v>1206</v>
      </c>
      <c r="D483" s="1" t="s">
        <v>1206</v>
      </c>
      <c r="E483" s="1">
        <f t="shared" si="408"/>
        <v>0</v>
      </c>
      <c r="G483" s="1">
        <f>WWCLvl</f>
        <v>0</v>
      </c>
      <c r="K483" s="1">
        <v>2</v>
      </c>
      <c r="L483" s="1">
        <v>4</v>
      </c>
      <c r="V483" s="1">
        <v>0.5</v>
      </c>
      <c r="W483" s="1">
        <v>0.5</v>
      </c>
      <c r="X483" s="1">
        <v>0.34</v>
      </c>
      <c r="Y483" s="1">
        <v>0.5</v>
      </c>
      <c r="Z483" s="1" t="b">
        <f>FALSE</f>
        <v>0</v>
      </c>
      <c r="AA483" s="1" t="str">
        <f t="shared" si="411"/>
        <v/>
      </c>
      <c r="AB483" s="1" t="str">
        <f t="shared" si="412"/>
        <v/>
      </c>
      <c r="AC483" s="1">
        <f t="shared" si="409"/>
        <v>0</v>
      </c>
      <c r="AD483" s="1" t="str">
        <f t="shared" si="413"/>
        <v/>
      </c>
      <c r="AE483" s="1" t="str">
        <f t="shared" si="414"/>
        <v/>
      </c>
      <c r="AF483" s="1">
        <f t="shared" si="410"/>
        <v>0</v>
      </c>
      <c r="AG483" s="1">
        <f t="shared" si="445"/>
        <v>5</v>
      </c>
      <c r="AH483" s="1" t="str">
        <f t="shared" si="444"/>
        <v/>
      </c>
      <c r="AI483" s="1">
        <v>1</v>
      </c>
      <c r="AJ483" s="1">
        <f t="shared" si="446"/>
        <v>0</v>
      </c>
      <c r="AK483" s="1">
        <v>1</v>
      </c>
      <c r="AL483" s="1">
        <v>1</v>
      </c>
      <c r="AM483" s="1">
        <v>1</v>
      </c>
      <c r="AN483" s="1">
        <f t="shared" si="447"/>
        <v>0</v>
      </c>
      <c r="AO483" s="1">
        <v>2</v>
      </c>
      <c r="AP483" s="1">
        <v>2</v>
      </c>
      <c r="AQ483" s="1">
        <v>2</v>
      </c>
      <c r="AR483" s="1">
        <v>2</v>
      </c>
      <c r="AS483" s="1">
        <v>2</v>
      </c>
      <c r="AT483" s="1">
        <v>2</v>
      </c>
      <c r="AU483" s="1">
        <v>2</v>
      </c>
      <c r="AV483" s="1">
        <v>2</v>
      </c>
      <c r="AW483" s="1">
        <v>1</v>
      </c>
      <c r="AX483" s="1">
        <v>1</v>
      </c>
      <c r="AY483" s="1">
        <v>1</v>
      </c>
      <c r="AZ483" s="1">
        <v>1</v>
      </c>
      <c r="BA483" s="1">
        <v>1</v>
      </c>
      <c r="BB483" s="1">
        <v>1</v>
      </c>
      <c r="BC483" s="1">
        <v>1</v>
      </c>
      <c r="BD483" s="1">
        <v>1</v>
      </c>
      <c r="BE483" s="1">
        <v>1</v>
      </c>
      <c r="BF483" s="1">
        <v>1</v>
      </c>
      <c r="BG483" s="1">
        <f t="shared" si="448"/>
        <v>0</v>
      </c>
      <c r="BH483" s="1">
        <f t="shared" si="449"/>
        <v>0</v>
      </c>
      <c r="BI483" s="1">
        <v>1</v>
      </c>
      <c r="BJ483" s="1">
        <v>1</v>
      </c>
      <c r="BK483" s="1">
        <v>2</v>
      </c>
      <c r="BL483" s="1">
        <v>2</v>
      </c>
      <c r="BM483" s="1">
        <v>2</v>
      </c>
      <c r="BN483" s="1">
        <v>2</v>
      </c>
      <c r="BO483" s="1">
        <v>2</v>
      </c>
      <c r="BP483" s="1">
        <f>1+NOT(HRLivingGreyhawk)</f>
        <v>2</v>
      </c>
      <c r="BQ483" s="1">
        <f>IF(HRRVL,2,0)</f>
        <v>0</v>
      </c>
      <c r="BR483" s="1">
        <v>2</v>
      </c>
      <c r="BS483" s="1">
        <v>2</v>
      </c>
      <c r="BT483" s="1">
        <f>IF(HRXPH,2,0)</f>
        <v>0</v>
      </c>
      <c r="BU483" s="1">
        <f>IF(HRRVL,2,0)</f>
        <v>0</v>
      </c>
      <c r="BV483" s="1">
        <v>2</v>
      </c>
      <c r="BW483" s="1">
        <v>2</v>
      </c>
      <c r="BX483" s="1">
        <v>2</v>
      </c>
      <c r="BY483" s="1">
        <v>2</v>
      </c>
      <c r="BZ483" s="1">
        <v>2</v>
      </c>
      <c r="CA483" s="1">
        <v>2</v>
      </c>
      <c r="CB483" s="1">
        <v>2</v>
      </c>
      <c r="CC483" s="1">
        <v>2</v>
      </c>
      <c r="CD483" s="1">
        <v>2</v>
      </c>
      <c r="CE483" s="1">
        <v>2</v>
      </c>
      <c r="CF483" s="1">
        <v>1</v>
      </c>
      <c r="CG483" s="1">
        <f t="shared" si="450"/>
        <v>0</v>
      </c>
      <c r="CH483" s="1">
        <v>1</v>
      </c>
      <c r="CI483" s="1">
        <v>1</v>
      </c>
      <c r="CJ483" s="1">
        <v>1</v>
      </c>
      <c r="CK483" s="1">
        <v>1</v>
      </c>
      <c r="CL483" s="1">
        <v>1</v>
      </c>
      <c r="CM483" s="1">
        <v>1</v>
      </c>
      <c r="CN483" s="1">
        <v>1</v>
      </c>
      <c r="CO483" s="1">
        <v>1</v>
      </c>
      <c r="CP483" s="1">
        <v>2</v>
      </c>
      <c r="CQ483" s="1">
        <v>2</v>
      </c>
      <c r="CR483" s="1">
        <v>2</v>
      </c>
      <c r="CS483" s="1">
        <v>2</v>
      </c>
      <c r="CT483" s="1">
        <v>2</v>
      </c>
      <c r="CU483" s="1">
        <v>2</v>
      </c>
      <c r="CV483" s="1">
        <f t="shared" si="451"/>
        <v>0</v>
      </c>
      <c r="CW483" s="1">
        <v>1</v>
      </c>
      <c r="CX483" s="1">
        <v>1</v>
      </c>
      <c r="CY483" s="1">
        <v>1</v>
      </c>
      <c r="CZ483" s="1">
        <f t="shared" si="452"/>
        <v>0</v>
      </c>
      <c r="DA483" s="1">
        <v>1</v>
      </c>
      <c r="DB483" s="1">
        <v>1</v>
      </c>
      <c r="DC483" s="1">
        <v>2</v>
      </c>
      <c r="DD483" s="1">
        <v>1</v>
      </c>
      <c r="DE483" s="1">
        <v>1</v>
      </c>
      <c r="DF483" s="1">
        <v>1</v>
      </c>
      <c r="DG483" s="1">
        <v>1</v>
      </c>
      <c r="DH483" s="1">
        <v>1</v>
      </c>
      <c r="DI483" s="1">
        <f t="shared" si="453"/>
        <v>0</v>
      </c>
      <c r="DJ483" s="1">
        <v>1</v>
      </c>
      <c r="DK483" s="1" t="s">
        <v>1188</v>
      </c>
      <c r="DL483" s="1" t="s">
        <v>170</v>
      </c>
      <c r="DR483" s="1" t="b">
        <f>AND(AlignmentNonChaotic,AlignmentNonEvil)</f>
        <v>1</v>
      </c>
      <c r="DS483" s="1" t="b">
        <f>SkSpellcraftRanks&gt;=10</f>
        <v>0</v>
      </c>
      <c r="DT483" s="1" t="b">
        <f>FtEnlargeSpell</f>
        <v>0</v>
      </c>
      <c r="DU483" s="1" t="b">
        <f>FtWidenSpell</f>
        <v>0</v>
      </c>
      <c r="DV483" s="1" t="b">
        <f>FtMartialWeapon</f>
        <v>0</v>
      </c>
      <c r="DW483" s="1" t="b">
        <f ca="1">MaxArcaneSpellLevel&gt;=4</f>
        <v>0</v>
      </c>
      <c r="EA483" s="1" t="b">
        <f t="shared" ca="1" si="454"/>
        <v>0</v>
      </c>
      <c r="EB483" s="11" t="s">
        <v>334</v>
      </c>
      <c r="EC483" s="1" t="str">
        <f ca="1">IF(DR483,"","• Must be of Any Non-Evil and Non-Chaotic Alignment.
")&amp;IF(DS483,"","• 10 ranks in Spellcraft.
")&amp;IF(DT483,"","• Enlarge Spell Feat.
")&amp;IF(DU483,"","• Widen Spell Feat.
")&amp;IF(DV483,"","• Martial Weapon Proficiency Feat.
")&amp;IF(DW483,"","• Ability to cast 4th-level arcane spells.")</f>
        <v>• 10 ranks in Spellcraft.
• Enlarge Spell Feat.
• Widen Spell Feat.
• Martial Weapon Proficiency Feat.
• Ability to cast 4th-level arcane spells.</v>
      </c>
      <c r="ED483" s="11" t="s">
        <v>335</v>
      </c>
    </row>
    <row r="484" spans="1:134" ht="11.25" customHeight="1" x14ac:dyDescent="0.2">
      <c r="A484" s="1">
        <f t="shared" si="432"/>
        <v>481</v>
      </c>
      <c r="B484" s="1" t="s">
        <v>1207</v>
      </c>
      <c r="E484" s="1">
        <f t="shared" si="408"/>
        <v>0</v>
      </c>
      <c r="F484" s="1">
        <v>1</v>
      </c>
      <c r="Z484" s="1" t="b">
        <f>FALSE</f>
        <v>0</v>
      </c>
      <c r="AA484" s="1" t="str">
        <f t="shared" si="411"/>
        <v/>
      </c>
      <c r="AB484" s="1" t="str">
        <f t="shared" si="412"/>
        <v/>
      </c>
      <c r="AC484" s="1">
        <f t="shared" si="409"/>
        <v>0</v>
      </c>
      <c r="AD484" s="1" t="str">
        <f t="shared" si="413"/>
        <v/>
      </c>
      <c r="AE484" s="1" t="str">
        <f t="shared" si="414"/>
        <v/>
      </c>
      <c r="AF484" s="1">
        <f t="shared" si="410"/>
        <v>0</v>
      </c>
      <c r="AG484" s="1">
        <f t="shared" si="445"/>
        <v>5</v>
      </c>
      <c r="AH484" s="1" t="str">
        <f t="shared" si="444"/>
        <v/>
      </c>
      <c r="EB484" s="11"/>
      <c r="ED484" s="11" t="s">
        <v>335</v>
      </c>
    </row>
    <row r="485" spans="1:134" ht="11.25" customHeight="1" x14ac:dyDescent="0.2">
      <c r="A485" s="1">
        <f t="shared" si="432"/>
        <v>482</v>
      </c>
      <c r="B485" s="1" t="s">
        <v>1208</v>
      </c>
      <c r="C485" s="1" t="s">
        <v>1209</v>
      </c>
      <c r="D485" s="1" t="s">
        <v>1209</v>
      </c>
      <c r="E485" s="1">
        <f t="shared" si="408"/>
        <v>0</v>
      </c>
      <c r="K485" s="1">
        <v>2</v>
      </c>
      <c r="L485" s="1">
        <v>12</v>
      </c>
      <c r="V485" s="1">
        <v>1</v>
      </c>
      <c r="W485" s="1">
        <v>0.5</v>
      </c>
      <c r="X485" s="1">
        <v>0.34</v>
      </c>
      <c r="Y485" s="1">
        <v>0.34</v>
      </c>
      <c r="Z485" s="1" t="b">
        <f>FALSE</f>
        <v>0</v>
      </c>
      <c r="AA485" s="1" t="str">
        <f t="shared" si="411"/>
        <v/>
      </c>
      <c r="AB485" s="1" t="str">
        <f t="shared" si="412"/>
        <v/>
      </c>
      <c r="AC485" s="1">
        <f t="shared" si="409"/>
        <v>0</v>
      </c>
      <c r="AD485" s="1" t="str">
        <f t="shared" si="413"/>
        <v/>
      </c>
      <c r="AE485" s="1" t="str">
        <f t="shared" si="414"/>
        <v/>
      </c>
      <c r="AF485" s="1">
        <f t="shared" si="410"/>
        <v>0</v>
      </c>
      <c r="AG485" s="1">
        <f t="shared" si="445"/>
        <v>5</v>
      </c>
      <c r="AH485" s="1" t="str">
        <f t="shared" si="444"/>
        <v/>
      </c>
      <c r="AI485" s="1">
        <v>1</v>
      </c>
      <c r="AJ485" s="1">
        <f t="shared" ref="AJ485:AJ529" si="455">IF(HRXPH,1,0)</f>
        <v>0</v>
      </c>
      <c r="AK485" s="1">
        <v>1</v>
      </c>
      <c r="AL485" s="1">
        <v>1</v>
      </c>
      <c r="AM485" s="1">
        <v>2</v>
      </c>
      <c r="AN485" s="1">
        <f t="shared" ref="AN485:AN492" si="456">IF(IsLycanthrope,2,0)</f>
        <v>0</v>
      </c>
      <c r="AO485" s="1">
        <v>1</v>
      </c>
      <c r="AP485" s="1">
        <v>2</v>
      </c>
      <c r="AQ485" s="1">
        <v>2</v>
      </c>
      <c r="AR485" s="1">
        <v>2</v>
      </c>
      <c r="AS485" s="1">
        <v>2</v>
      </c>
      <c r="AT485" s="1">
        <v>2</v>
      </c>
      <c r="AU485" s="1">
        <v>2</v>
      </c>
      <c r="AV485" s="1">
        <v>2</v>
      </c>
      <c r="AW485" s="1">
        <v>1</v>
      </c>
      <c r="AX485" s="1">
        <v>1</v>
      </c>
      <c r="AY485" s="1">
        <v>1</v>
      </c>
      <c r="AZ485" s="1">
        <v>1</v>
      </c>
      <c r="BA485" s="1">
        <v>1</v>
      </c>
      <c r="BB485" s="1">
        <v>1</v>
      </c>
      <c r="BC485" s="1">
        <v>1</v>
      </c>
      <c r="BD485" s="1">
        <v>2</v>
      </c>
      <c r="BE485" s="1">
        <v>1</v>
      </c>
      <c r="BF485" s="1">
        <v>1</v>
      </c>
      <c r="BG485" s="1">
        <f t="shared" ref="BG485:BG492" si="457">IF(HRRVL,1,0)</f>
        <v>0</v>
      </c>
      <c r="BH485" s="1">
        <f t="shared" ref="BH485:BH492" si="458">IF(HROA,1,0)</f>
        <v>0</v>
      </c>
      <c r="BI485" s="1">
        <v>2</v>
      </c>
      <c r="BJ485" s="1">
        <v>2</v>
      </c>
      <c r="BK485" s="1">
        <v>1</v>
      </c>
      <c r="BL485" s="1">
        <v>1</v>
      </c>
      <c r="BM485" s="1">
        <v>1</v>
      </c>
      <c r="BN485" s="1">
        <v>1</v>
      </c>
      <c r="BO485" s="1">
        <v>1</v>
      </c>
      <c r="BP485" s="1">
        <v>1</v>
      </c>
      <c r="BQ485" s="1">
        <f>IF(HRRVL,1,0)</f>
        <v>0</v>
      </c>
      <c r="BR485" s="1">
        <v>1</v>
      </c>
      <c r="BS485" s="1">
        <v>1</v>
      </c>
      <c r="BT485" s="1">
        <f>IF(HRXPH,1,0)</f>
        <v>0</v>
      </c>
      <c r="BU485" s="1">
        <f>IF(HRRVL,2,0)</f>
        <v>0</v>
      </c>
      <c r="BV485" s="1">
        <v>2</v>
      </c>
      <c r="BW485" s="1">
        <v>1</v>
      </c>
      <c r="BX485" s="1">
        <v>1</v>
      </c>
      <c r="BY485" s="1">
        <v>1</v>
      </c>
      <c r="BZ485" s="1">
        <v>1</v>
      </c>
      <c r="CA485" s="1">
        <v>1</v>
      </c>
      <c r="CB485" s="1">
        <v>1</v>
      </c>
      <c r="CC485" s="1">
        <v>1</v>
      </c>
      <c r="CD485" s="1">
        <v>1</v>
      </c>
      <c r="CE485" s="1">
        <v>1</v>
      </c>
      <c r="CF485" s="1">
        <v>2</v>
      </c>
      <c r="CG485" s="1">
        <f t="shared" ref="CG485:CG492" si="459">IF(HRToB,1,0)</f>
        <v>0</v>
      </c>
      <c r="CH485" s="1">
        <v>1</v>
      </c>
      <c r="CI485" s="1">
        <v>1</v>
      </c>
      <c r="CJ485" s="1">
        <v>2</v>
      </c>
      <c r="CK485" s="1">
        <v>2</v>
      </c>
      <c r="CL485" s="1">
        <v>2</v>
      </c>
      <c r="CM485" s="1">
        <v>2</v>
      </c>
      <c r="CN485" s="1">
        <v>2</v>
      </c>
      <c r="CO485" s="1">
        <v>2</v>
      </c>
      <c r="CP485" s="1">
        <v>1</v>
      </c>
      <c r="CQ485" s="1">
        <v>1</v>
      </c>
      <c r="CR485" s="1">
        <v>1</v>
      </c>
      <c r="CS485" s="1">
        <v>1</v>
      </c>
      <c r="CT485" s="1">
        <v>1</v>
      </c>
      <c r="CU485" s="1">
        <v>1</v>
      </c>
      <c r="CV485" s="1">
        <f t="shared" ref="CV485:CV529" si="460">IF(HRXPH,1,0)</f>
        <v>0</v>
      </c>
      <c r="CW485" s="1">
        <v>2</v>
      </c>
      <c r="CX485" s="1">
        <v>1</v>
      </c>
      <c r="CY485" s="1">
        <v>1</v>
      </c>
      <c r="CZ485" s="1">
        <f t="shared" ref="CZ485:CZ492" si="461">IF(HRCS,1,0)</f>
        <v>0</v>
      </c>
      <c r="DA485" s="1">
        <v>1</v>
      </c>
      <c r="DB485" s="1">
        <v>1</v>
      </c>
      <c r="DC485" s="1">
        <v>1</v>
      </c>
      <c r="DD485" s="1">
        <v>1</v>
      </c>
      <c r="DE485" s="1">
        <v>2</v>
      </c>
      <c r="DF485" s="1">
        <v>1</v>
      </c>
      <c r="DG485" s="1">
        <v>2</v>
      </c>
      <c r="DH485" s="1">
        <v>1</v>
      </c>
      <c r="DI485" s="1">
        <f t="shared" ref="DI485:DI529" si="462">IF(HRXPH,1,0)</f>
        <v>0</v>
      </c>
      <c r="DJ485" s="1">
        <v>1</v>
      </c>
      <c r="DK485" s="1" t="s">
        <v>1210</v>
      </c>
      <c r="DL485" s="1" t="s">
        <v>170</v>
      </c>
      <c r="DQ485" s="1" t="b">
        <f>RaceCi="Dwarf"</f>
        <v>1</v>
      </c>
      <c r="DR485" s="1" t="b">
        <f>AlignmentNonLawful</f>
        <v>0</v>
      </c>
      <c r="DS485" s="1" t="b">
        <f>BaseAtk&gt;=5</f>
        <v>0</v>
      </c>
      <c r="DT485" s="1" t="b">
        <f>SkIntimidateRanks&gt;=8</f>
        <v>0</v>
      </c>
      <c r="DU485" s="1" t="b">
        <f>SkKnowledgeReligionRanks&gt;=2</f>
        <v>0</v>
      </c>
      <c r="DV485" s="1" t="b">
        <f>SkPerformRanks&gt;=2</f>
        <v>0</v>
      </c>
      <c r="DW485" s="1" t="b">
        <f>FtCleave</f>
        <v>0</v>
      </c>
      <c r="DX485" s="1" t="b">
        <f>OR(FtEndurance,FtKoboldEndurance)</f>
        <v>0</v>
      </c>
      <c r="DY485" s="1" t="b">
        <f>FtPowerAttackEquiv</f>
        <v>0</v>
      </c>
      <c r="DZ485" s="1" t="b">
        <f>BbnLvl&gt;=1</f>
        <v>0</v>
      </c>
      <c r="EA485" s="1" t="b">
        <f t="shared" ref="EA485:EA492" si="463">AND(DM485:DZ485)</f>
        <v>0</v>
      </c>
      <c r="EB485" s="11" t="s">
        <v>334</v>
      </c>
      <c r="EC485" s="1" t="str">
        <f>IF(DQ485,"","• Must be a Dwarf.
")&amp;IF(DR485,"","• Must be of any Non-Lawful Alignment..
")&amp;IF(DS485,"","• Base attack bonus of +5 or greater.
")&amp;IF(DT485,"","• 8 ranks in Intimidate.
")&amp;IF(DU485,"","• 2 ranks in Knowledge (religion).
")&amp;IF(DV485,"","• 2 ranks in Perform.
")&amp;IF(DW485,"","• Cleave Feat.
")&amp;IF(DX485,"","• Endurance Feat.
")&amp;IF(DY485,"","• Power Attack Feat
")&amp;IF(DZ485,"","• Ability to rage.")</f>
        <v>• Must be of any Non-Lawful Alignment..
• Base attack bonus of +5 or greater.
• 8 ranks in Intimidate.
• 2 ranks in Knowledge (religion).
• 2 ranks in Perform.
• Cleave Feat.
• Endurance Feat.
• Power Attack Feat
• Ability to rage.</v>
      </c>
      <c r="ED485" s="11" t="s">
        <v>335</v>
      </c>
    </row>
    <row r="486" spans="1:134" ht="11.25" customHeight="1" x14ac:dyDescent="0.2">
      <c r="A486" s="1">
        <f t="shared" si="432"/>
        <v>483</v>
      </c>
      <c r="B486" s="1" t="s">
        <v>1211</v>
      </c>
      <c r="C486" s="1" t="s">
        <v>1212</v>
      </c>
      <c r="D486" s="1" t="s">
        <v>1212</v>
      </c>
      <c r="E486" s="1">
        <f t="shared" ref="E486:E549" si="464">$AC486+$AF486+IF(HasVirtualClasses,COUNTIF(TblVClassesAtLvlCS,$A486),0)</f>
        <v>0</v>
      </c>
      <c r="K486" s="1">
        <v>2</v>
      </c>
      <c r="L486" s="1">
        <v>10</v>
      </c>
      <c r="N486" s="1" t="b">
        <v>1</v>
      </c>
      <c r="O486" s="1" t="b">
        <v>1</v>
      </c>
      <c r="P486" s="1" t="b">
        <v>1</v>
      </c>
      <c r="Q486" s="1" t="b">
        <v>1</v>
      </c>
      <c r="R486" s="1" t="b">
        <v>1</v>
      </c>
      <c r="S486" s="1" t="b">
        <v>1</v>
      </c>
      <c r="T486" s="1" t="b">
        <v>1</v>
      </c>
      <c r="V486" s="1">
        <v>1</v>
      </c>
      <c r="W486" s="1">
        <v>0.34</v>
      </c>
      <c r="X486" s="1">
        <v>0.5</v>
      </c>
      <c r="Y486" s="1">
        <v>0.34</v>
      </c>
      <c r="Z486" s="1" t="b">
        <f>FALSE</f>
        <v>0</v>
      </c>
      <c r="AA486" s="1" t="str">
        <f t="shared" si="411"/>
        <v/>
      </c>
      <c r="AB486" s="1" t="str">
        <f t="shared" si="412"/>
        <v/>
      </c>
      <c r="AC486" s="1">
        <f t="shared" ref="AC486:AC549" si="465">COUNTIF(TblClassesAtLvlCS,$A486)</f>
        <v>0</v>
      </c>
      <c r="AD486" s="1" t="str">
        <f t="shared" si="413"/>
        <v/>
      </c>
      <c r="AE486" s="1" t="str">
        <f t="shared" si="414"/>
        <v/>
      </c>
      <c r="AF486" s="1">
        <f t="shared" ref="AF486:AF549" si="466">IF(HRGestalt,COUNTIF(TblGClassesAtLvlCS,$A486),0)</f>
        <v>0</v>
      </c>
      <c r="AG486" s="1">
        <f t="shared" si="445"/>
        <v>5</v>
      </c>
      <c r="AH486" s="1" t="str">
        <f t="shared" si="444"/>
        <v/>
      </c>
      <c r="AI486" s="1">
        <v>1</v>
      </c>
      <c r="AJ486" s="1">
        <f t="shared" si="455"/>
        <v>0</v>
      </c>
      <c r="AK486" s="1">
        <v>1</v>
      </c>
      <c r="AL486" s="1">
        <v>2</v>
      </c>
      <c r="AM486" s="1">
        <v>2</v>
      </c>
      <c r="AN486" s="1">
        <f t="shared" si="456"/>
        <v>0</v>
      </c>
      <c r="AO486" s="1">
        <v>2</v>
      </c>
      <c r="AP486" s="1">
        <v>2</v>
      </c>
      <c r="AQ486" s="1">
        <v>2</v>
      </c>
      <c r="AR486" s="1">
        <v>2</v>
      </c>
      <c r="AS486" s="1">
        <v>2</v>
      </c>
      <c r="AT486" s="1">
        <v>2</v>
      </c>
      <c r="AU486" s="1">
        <v>2</v>
      </c>
      <c r="AV486" s="1">
        <v>2</v>
      </c>
      <c r="AW486" s="1">
        <v>1</v>
      </c>
      <c r="AX486" s="1">
        <v>1</v>
      </c>
      <c r="AY486" s="1">
        <v>1</v>
      </c>
      <c r="AZ486" s="1">
        <v>1</v>
      </c>
      <c r="BA486" s="1">
        <v>1</v>
      </c>
      <c r="BB486" s="1">
        <v>1</v>
      </c>
      <c r="BC486" s="1">
        <v>1</v>
      </c>
      <c r="BD486" s="1">
        <v>2</v>
      </c>
      <c r="BE486" s="1">
        <v>1</v>
      </c>
      <c r="BF486" s="1">
        <v>2</v>
      </c>
      <c r="BG486" s="1">
        <f t="shared" si="457"/>
        <v>0</v>
      </c>
      <c r="BH486" s="1">
        <f t="shared" si="458"/>
        <v>0</v>
      </c>
      <c r="BI486" s="1">
        <v>1</v>
      </c>
      <c r="BJ486" s="1">
        <v>2</v>
      </c>
      <c r="BK486" s="1">
        <v>1</v>
      </c>
      <c r="BM486" s="1">
        <v>1</v>
      </c>
      <c r="BN486" s="1">
        <v>1</v>
      </c>
      <c r="BO486" s="1">
        <v>1</v>
      </c>
      <c r="BP486" s="1">
        <v>1</v>
      </c>
      <c r="BQ486" s="1">
        <f>IF(HRRVL,1,0)</f>
        <v>0</v>
      </c>
      <c r="BR486" s="1">
        <v>1</v>
      </c>
      <c r="BS486" s="1">
        <v>1</v>
      </c>
      <c r="BT486" s="1">
        <f>IF(HRXPH,1,0)</f>
        <v>0</v>
      </c>
      <c r="BU486" s="1">
        <f>IF(HRRVL,1,0)</f>
        <v>0</v>
      </c>
      <c r="BV486" s="1">
        <v>1</v>
      </c>
      <c r="BW486" s="1">
        <v>1</v>
      </c>
      <c r="BX486" s="1">
        <v>1</v>
      </c>
      <c r="BY486" s="1">
        <v>1</v>
      </c>
      <c r="BZ486" s="1">
        <v>1</v>
      </c>
      <c r="CA486" s="1">
        <v>1</v>
      </c>
      <c r="CB486" s="1">
        <v>1</v>
      </c>
      <c r="CC486" s="1">
        <v>1</v>
      </c>
      <c r="CD486" s="1">
        <v>1</v>
      </c>
      <c r="CE486" s="1">
        <v>1</v>
      </c>
      <c r="CF486" s="1">
        <v>2</v>
      </c>
      <c r="CG486" s="1">
        <f t="shared" si="459"/>
        <v>0</v>
      </c>
      <c r="CH486" s="1">
        <v>1</v>
      </c>
      <c r="CI486" s="1">
        <v>1</v>
      </c>
      <c r="CJ486" s="1">
        <v>1</v>
      </c>
      <c r="CK486" s="1">
        <v>1</v>
      </c>
      <c r="CL486" s="1">
        <v>1</v>
      </c>
      <c r="CM486" s="1">
        <v>1</v>
      </c>
      <c r="CN486" s="1">
        <v>1</v>
      </c>
      <c r="CO486" s="1">
        <v>1</v>
      </c>
      <c r="CP486" s="1">
        <v>1</v>
      </c>
      <c r="CQ486" s="1">
        <v>1</v>
      </c>
      <c r="CR486" s="1">
        <v>1</v>
      </c>
      <c r="CS486" s="1">
        <v>1</v>
      </c>
      <c r="CT486" s="1">
        <v>1</v>
      </c>
      <c r="CU486" s="1">
        <v>1</v>
      </c>
      <c r="CV486" s="1">
        <f t="shared" si="460"/>
        <v>0</v>
      </c>
      <c r="CW486" s="1">
        <v>1</v>
      </c>
      <c r="CX486" s="1">
        <v>1</v>
      </c>
      <c r="CY486" s="1">
        <v>1</v>
      </c>
      <c r="CZ486" s="1">
        <f t="shared" si="461"/>
        <v>0</v>
      </c>
      <c r="DA486" s="1">
        <v>1</v>
      </c>
      <c r="DB486" s="1">
        <v>1</v>
      </c>
      <c r="DC486" s="1">
        <v>1</v>
      </c>
      <c r="DD486" s="1">
        <v>2</v>
      </c>
      <c r="DE486" s="1">
        <v>1</v>
      </c>
      <c r="DF486" s="1">
        <v>2</v>
      </c>
      <c r="DG486" s="1">
        <v>1</v>
      </c>
      <c r="DH486" s="1">
        <v>1</v>
      </c>
      <c r="DI486" s="1">
        <f t="shared" si="462"/>
        <v>0</v>
      </c>
      <c r="DJ486" s="1">
        <v>1</v>
      </c>
      <c r="DK486" s="1" t="s">
        <v>1210</v>
      </c>
      <c r="DL486" s="1" t="s">
        <v>170</v>
      </c>
      <c r="DR486" s="1" t="b">
        <f>RaceCi="Gnome"</f>
        <v>0</v>
      </c>
      <c r="DS486" s="1" t="b">
        <f>AlignmentNonChaotic</f>
        <v>1</v>
      </c>
      <c r="DT486" s="1" t="b">
        <f>BaseAtk&gt;=5</f>
        <v>0</v>
      </c>
      <c r="DU486" s="1" t="b">
        <f>SkListenRanks&gt;=5</f>
        <v>0</v>
      </c>
      <c r="DV486" s="1" t="b">
        <f>SkSpotRanks&gt;=5</f>
        <v>0</v>
      </c>
      <c r="DW486" s="1" t="b">
        <f>OR(FtCombatReflexes,FtEvasiveReflexes)</f>
        <v>0</v>
      </c>
      <c r="DX486" s="1" t="b">
        <f>FtDodgeEquiv</f>
        <v>0</v>
      </c>
      <c r="DY486" s="1" t="b">
        <f>FtImprovedInitiative</f>
        <v>0</v>
      </c>
      <c r="EA486" s="1" t="b">
        <f t="shared" si="463"/>
        <v>0</v>
      </c>
      <c r="EB486" s="11" t="s">
        <v>334</v>
      </c>
      <c r="EC486" s="1" t="str">
        <f>IF(DR486,"","• Must be a Gnome.
")&amp;IF(DS486,"","• Must be of any Non-Chaotic Alignment.
")&amp;IF(DT486,"","• Base attack bonus of +5 or greater.
")&amp;IF(DU486,"","• 5 ranks in Listen.
")&amp;IF(DV486,"","• 5 ranks in Spot.
")&amp;IF(DW486,"","• Combat Reflexes Feat.
")&amp;IF(DX486,"","• Dodge Feat.
")&amp;IF(DY486,"","• Improved Initiative Feat.")</f>
        <v>• Must be a Gnome.
• Base attack bonus of +5 or greater.
• 5 ranks in Listen.
• 5 ranks in Spot.
• Combat Reflexes Feat.
• Dodge Feat.
• Improved Initiative Feat.</v>
      </c>
      <c r="ED486" s="11" t="s">
        <v>335</v>
      </c>
    </row>
    <row r="487" spans="1:134" ht="11.25" customHeight="1" x14ac:dyDescent="0.2">
      <c r="A487" s="1">
        <f t="shared" si="432"/>
        <v>484</v>
      </c>
      <c r="B487" s="1" t="s">
        <v>1213</v>
      </c>
      <c r="C487" s="1" t="s">
        <v>1214</v>
      </c>
      <c r="D487" s="1" t="s">
        <v>1214</v>
      </c>
      <c r="E487" s="1">
        <f t="shared" si="464"/>
        <v>0</v>
      </c>
      <c r="K487" s="1">
        <v>2</v>
      </c>
      <c r="L487" s="1">
        <v>4</v>
      </c>
      <c r="V487" s="1">
        <v>1</v>
      </c>
      <c r="W487" s="1">
        <v>0.5</v>
      </c>
      <c r="X487" s="1">
        <v>0.34</v>
      </c>
      <c r="Y487" s="1">
        <v>0.5</v>
      </c>
      <c r="Z487" s="1" t="b">
        <f>FALSE</f>
        <v>0</v>
      </c>
      <c r="AA487" s="1" t="str">
        <f t="shared" ref="AA487:AA550" si="467">IF($AC487=0,"",IF($Z487,"Ex-","")&amp;$B487)</f>
        <v/>
      </c>
      <c r="AB487" s="1" t="str">
        <f t="shared" ref="AB487:AB550" si="468">IF($AC487=0,"",IF($Z487,"Ex-","")&amp;$C487)</f>
        <v/>
      </c>
      <c r="AC487" s="1">
        <f t="shared" si="465"/>
        <v>0</v>
      </c>
      <c r="AD487" s="1" t="str">
        <f t="shared" ref="AD487:AD550" si="469">IF($AF487=0,"",IF($Z487,"Ex-","")&amp;$B487)</f>
        <v/>
      </c>
      <c r="AE487" s="1" t="str">
        <f t="shared" ref="AE487:AE550" si="470">IF($AF487=0,"",IF($Z487,"Ex-","")&amp;$C487)</f>
        <v/>
      </c>
      <c r="AF487" s="1">
        <f t="shared" si="466"/>
        <v>0</v>
      </c>
      <c r="AG487" s="1">
        <f t="shared" si="445"/>
        <v>5</v>
      </c>
      <c r="AH487" s="1" t="str">
        <f t="shared" si="444"/>
        <v/>
      </c>
      <c r="AI487" s="1">
        <v>1</v>
      </c>
      <c r="AJ487" s="1">
        <f t="shared" si="455"/>
        <v>0</v>
      </c>
      <c r="AK487" s="1">
        <v>1</v>
      </c>
      <c r="AL487" s="1">
        <v>1</v>
      </c>
      <c r="AM487" s="1">
        <v>1</v>
      </c>
      <c r="AN487" s="1">
        <f t="shared" si="456"/>
        <v>0</v>
      </c>
      <c r="AO487" s="1">
        <v>2</v>
      </c>
      <c r="AP487" s="1">
        <v>2</v>
      </c>
      <c r="AQ487" s="1">
        <v>2</v>
      </c>
      <c r="AR487" s="1">
        <v>2</v>
      </c>
      <c r="AS487" s="1">
        <v>2</v>
      </c>
      <c r="AT487" s="1">
        <v>2</v>
      </c>
      <c r="AU487" s="1">
        <v>2</v>
      </c>
      <c r="AV487" s="1">
        <v>2</v>
      </c>
      <c r="AW487" s="1">
        <v>2</v>
      </c>
      <c r="AX487" s="1">
        <v>2</v>
      </c>
      <c r="AY487" s="1">
        <v>1</v>
      </c>
      <c r="AZ487" s="1">
        <v>1</v>
      </c>
      <c r="BA487" s="1">
        <v>1</v>
      </c>
      <c r="BB487" s="1">
        <v>1</v>
      </c>
      <c r="BC487" s="1">
        <v>1</v>
      </c>
      <c r="BD487" s="1">
        <v>1</v>
      </c>
      <c r="BE487" s="1">
        <v>1</v>
      </c>
      <c r="BF487" s="1">
        <v>1</v>
      </c>
      <c r="BG487" s="1">
        <f t="shared" si="457"/>
        <v>0</v>
      </c>
      <c r="BH487" s="1">
        <f t="shared" si="458"/>
        <v>0</v>
      </c>
      <c r="BI487" s="1">
        <v>1</v>
      </c>
      <c r="BJ487" s="1">
        <v>1</v>
      </c>
      <c r="BK487" s="1">
        <v>2</v>
      </c>
      <c r="BL487" s="1">
        <v>2</v>
      </c>
      <c r="BM487" s="1">
        <v>2</v>
      </c>
      <c r="BN487" s="1">
        <v>2</v>
      </c>
      <c r="BO487" s="1">
        <v>2</v>
      </c>
      <c r="BP487" s="1">
        <f>1+NOT(HRLivingGreyhawk)</f>
        <v>2</v>
      </c>
      <c r="BQ487" s="1">
        <f>IF(HRRVL,2,0)</f>
        <v>0</v>
      </c>
      <c r="BR487" s="1">
        <v>2</v>
      </c>
      <c r="BS487" s="1">
        <v>2</v>
      </c>
      <c r="BT487" s="1">
        <f>IF(HRXPH,2,0)</f>
        <v>0</v>
      </c>
      <c r="BU487" s="1">
        <f>IF(HRRVL,2,0)</f>
        <v>0</v>
      </c>
      <c r="BV487" s="1">
        <v>2</v>
      </c>
      <c r="BW487" s="1">
        <v>2</v>
      </c>
      <c r="BX487" s="1">
        <v>2</v>
      </c>
      <c r="BY487" s="1">
        <v>2</v>
      </c>
      <c r="BZ487" s="1">
        <v>2</v>
      </c>
      <c r="CA487" s="1">
        <v>2</v>
      </c>
      <c r="CB487" s="1">
        <v>2</v>
      </c>
      <c r="CC487" s="1">
        <v>2</v>
      </c>
      <c r="CD487" s="1">
        <v>2</v>
      </c>
      <c r="CE487" s="1">
        <v>2</v>
      </c>
      <c r="CF487" s="1">
        <v>1</v>
      </c>
      <c r="CG487" s="1">
        <f t="shared" si="459"/>
        <v>0</v>
      </c>
      <c r="CH487" s="1">
        <v>1</v>
      </c>
      <c r="CI487" s="1">
        <v>1</v>
      </c>
      <c r="CJ487" s="1">
        <v>1</v>
      </c>
      <c r="CK487" s="1">
        <v>1</v>
      </c>
      <c r="CL487" s="1">
        <v>1</v>
      </c>
      <c r="CM487" s="1">
        <v>1</v>
      </c>
      <c r="CN487" s="1">
        <v>1</v>
      </c>
      <c r="CO487" s="1">
        <v>1</v>
      </c>
      <c r="CP487" s="1">
        <v>2</v>
      </c>
      <c r="CQ487" s="1">
        <v>2</v>
      </c>
      <c r="CR487" s="1">
        <v>2</v>
      </c>
      <c r="CS487" s="1">
        <v>2</v>
      </c>
      <c r="CT487" s="1">
        <v>2</v>
      </c>
      <c r="CU487" s="1">
        <v>2</v>
      </c>
      <c r="CV487" s="1">
        <f t="shared" si="460"/>
        <v>0</v>
      </c>
      <c r="CW487" s="1">
        <v>1</v>
      </c>
      <c r="CX487" s="1">
        <v>1</v>
      </c>
      <c r="CY487" s="1">
        <v>2</v>
      </c>
      <c r="CZ487" s="1">
        <f t="shared" si="461"/>
        <v>0</v>
      </c>
      <c r="DA487" s="1">
        <v>1</v>
      </c>
      <c r="DB487" s="1">
        <v>2</v>
      </c>
      <c r="DC487" s="1">
        <v>2</v>
      </c>
      <c r="DD487" s="1">
        <v>1</v>
      </c>
      <c r="DE487" s="1">
        <v>1</v>
      </c>
      <c r="DF487" s="1">
        <v>1</v>
      </c>
      <c r="DG487" s="1">
        <v>1</v>
      </c>
      <c r="DH487" s="1">
        <v>1</v>
      </c>
      <c r="DI487" s="1">
        <f t="shared" si="462"/>
        <v>0</v>
      </c>
      <c r="DJ487" s="1">
        <v>1</v>
      </c>
      <c r="DK487" s="1" t="s">
        <v>1210</v>
      </c>
      <c r="DL487" s="1" t="s">
        <v>170</v>
      </c>
      <c r="DS487" s="1" t="b">
        <v>0</v>
      </c>
      <c r="EA487" s="1" t="b">
        <f t="shared" si="463"/>
        <v>0</v>
      </c>
      <c r="EB487" s="11" t="s">
        <v>334</v>
      </c>
      <c r="EC487" s="1" t="str">
        <f>IF(DR487,"","• I'm not supporting the "&amp;B487&amp;", as Heroforge does not yet support Epic level characters.")</f>
        <v>• I'm not supporting the Elven High Mage, as Heroforge does not yet support Epic level characters.</v>
      </c>
      <c r="ED487" s="11" t="s">
        <v>335</v>
      </c>
    </row>
    <row r="488" spans="1:134" ht="11.25" customHeight="1" x14ac:dyDescent="0.2">
      <c r="A488" s="1">
        <f t="shared" si="432"/>
        <v>485</v>
      </c>
      <c r="B488" s="1" t="s">
        <v>1215</v>
      </c>
      <c r="C488" s="1" t="s">
        <v>1216</v>
      </c>
      <c r="D488" s="1" t="s">
        <v>1216</v>
      </c>
      <c r="E488" s="1">
        <f t="shared" si="464"/>
        <v>0</v>
      </c>
      <c r="K488" s="1">
        <v>2</v>
      </c>
      <c r="L488" s="1">
        <v>10</v>
      </c>
      <c r="N488" s="1" t="b">
        <v>1</v>
      </c>
      <c r="O488" s="1" t="b">
        <v>1</v>
      </c>
      <c r="Q488" s="1" t="b">
        <v>1</v>
      </c>
      <c r="T488" s="1" t="b">
        <v>1</v>
      </c>
      <c r="V488" s="1">
        <v>1</v>
      </c>
      <c r="W488" s="1">
        <v>0.5</v>
      </c>
      <c r="X488" s="1">
        <v>0.5</v>
      </c>
      <c r="Y488" s="1">
        <v>0.34</v>
      </c>
      <c r="Z488" s="1" t="b">
        <f>FALSE</f>
        <v>0</v>
      </c>
      <c r="AA488" s="1" t="str">
        <f t="shared" si="467"/>
        <v/>
      </c>
      <c r="AB488" s="1" t="str">
        <f t="shared" si="468"/>
        <v/>
      </c>
      <c r="AC488" s="1">
        <f t="shared" si="465"/>
        <v>0</v>
      </c>
      <c r="AD488" s="1" t="str">
        <f t="shared" si="469"/>
        <v/>
      </c>
      <c r="AE488" s="1" t="str">
        <f t="shared" si="470"/>
        <v/>
      </c>
      <c r="AF488" s="1">
        <f t="shared" si="466"/>
        <v>0</v>
      </c>
      <c r="AG488" s="1">
        <f t="shared" si="445"/>
        <v>5</v>
      </c>
      <c r="AH488" s="1" t="str">
        <f t="shared" si="444"/>
        <v/>
      </c>
      <c r="AI488" s="1">
        <v>1</v>
      </c>
      <c r="AJ488" s="1">
        <f t="shared" si="455"/>
        <v>0</v>
      </c>
      <c r="AK488" s="1">
        <v>1</v>
      </c>
      <c r="AL488" s="1">
        <v>1</v>
      </c>
      <c r="AM488" s="1">
        <v>2</v>
      </c>
      <c r="AN488" s="1">
        <f t="shared" si="456"/>
        <v>0</v>
      </c>
      <c r="AO488" s="1">
        <v>1</v>
      </c>
      <c r="AP488" s="1">
        <v>2</v>
      </c>
      <c r="AQ488" s="1">
        <v>2</v>
      </c>
      <c r="AR488" s="1">
        <v>2</v>
      </c>
      <c r="AS488" s="1">
        <v>2</v>
      </c>
      <c r="AT488" s="1">
        <v>2</v>
      </c>
      <c r="AU488" s="1">
        <v>2</v>
      </c>
      <c r="AV488" s="1">
        <v>2</v>
      </c>
      <c r="AW488" s="1">
        <v>1</v>
      </c>
      <c r="AX488" s="1">
        <v>1</v>
      </c>
      <c r="AY488" s="1">
        <v>1</v>
      </c>
      <c r="AZ488" s="1">
        <v>1</v>
      </c>
      <c r="BA488" s="1">
        <v>1</v>
      </c>
      <c r="BB488" s="1">
        <v>1</v>
      </c>
      <c r="BC488" s="1">
        <v>1</v>
      </c>
      <c r="BD488" s="1">
        <v>2</v>
      </c>
      <c r="BE488" s="1">
        <v>2</v>
      </c>
      <c r="BF488" s="1">
        <v>1</v>
      </c>
      <c r="BG488" s="1">
        <f t="shared" si="457"/>
        <v>0</v>
      </c>
      <c r="BH488" s="1">
        <f t="shared" si="458"/>
        <v>0</v>
      </c>
      <c r="BI488" s="1">
        <v>2</v>
      </c>
      <c r="BJ488" s="1">
        <v>2</v>
      </c>
      <c r="BK488" s="1">
        <v>1</v>
      </c>
      <c r="BL488" s="1">
        <v>1</v>
      </c>
      <c r="BM488" s="1">
        <v>1</v>
      </c>
      <c r="BN488" s="1">
        <v>1</v>
      </c>
      <c r="BO488" s="1">
        <v>1</v>
      </c>
      <c r="BP488" s="1">
        <v>1</v>
      </c>
      <c r="BQ488" s="1">
        <f>IF(HRRVL,1,0)</f>
        <v>0</v>
      </c>
      <c r="BR488" s="1">
        <v>1</v>
      </c>
      <c r="BS488" s="1">
        <v>1</v>
      </c>
      <c r="BT488" s="1">
        <f>IF(HRXPH,1,0)</f>
        <v>0</v>
      </c>
      <c r="BU488" s="1">
        <f>IF(HRRVL,1,0)</f>
        <v>0</v>
      </c>
      <c r="BV488" s="1">
        <v>1</v>
      </c>
      <c r="BW488" s="1">
        <v>1</v>
      </c>
      <c r="BX488" s="1">
        <v>1</v>
      </c>
      <c r="BY488" s="1">
        <v>1</v>
      </c>
      <c r="BZ488" s="1">
        <v>1</v>
      </c>
      <c r="CA488" s="1">
        <v>1</v>
      </c>
      <c r="CB488" s="1">
        <v>1</v>
      </c>
      <c r="CC488" s="1">
        <v>1</v>
      </c>
      <c r="CD488" s="1">
        <v>1</v>
      </c>
      <c r="CE488" s="1">
        <v>1</v>
      </c>
      <c r="CF488" s="1">
        <v>1</v>
      </c>
      <c r="CG488" s="1">
        <f t="shared" si="459"/>
        <v>0</v>
      </c>
      <c r="CH488" s="1">
        <v>1</v>
      </c>
      <c r="CI488" s="1">
        <v>1</v>
      </c>
      <c r="CJ488" s="1">
        <v>1</v>
      </c>
      <c r="CK488" s="1">
        <v>1</v>
      </c>
      <c r="CL488" s="1">
        <v>1</v>
      </c>
      <c r="CM488" s="1">
        <v>1</v>
      </c>
      <c r="CN488" s="1">
        <v>1</v>
      </c>
      <c r="CO488" s="1">
        <v>1</v>
      </c>
      <c r="CP488" s="1">
        <v>2</v>
      </c>
      <c r="CQ488" s="1">
        <v>2</v>
      </c>
      <c r="CR488" s="1">
        <v>2</v>
      </c>
      <c r="CS488" s="1">
        <v>2</v>
      </c>
      <c r="CT488" s="1">
        <v>2</v>
      </c>
      <c r="CU488" s="1">
        <v>2</v>
      </c>
      <c r="CV488" s="1">
        <f t="shared" si="460"/>
        <v>0</v>
      </c>
      <c r="CW488" s="1">
        <v>2</v>
      </c>
      <c r="CX488" s="1">
        <v>1</v>
      </c>
      <c r="CY488" s="1">
        <v>1</v>
      </c>
      <c r="CZ488" s="1">
        <f t="shared" si="461"/>
        <v>0</v>
      </c>
      <c r="DA488" s="1">
        <v>1</v>
      </c>
      <c r="DB488" s="1">
        <v>1</v>
      </c>
      <c r="DC488" s="1">
        <v>1</v>
      </c>
      <c r="DD488" s="1">
        <v>2</v>
      </c>
      <c r="DE488" s="1">
        <v>1</v>
      </c>
      <c r="DF488" s="1">
        <v>1</v>
      </c>
      <c r="DG488" s="1">
        <v>1</v>
      </c>
      <c r="DH488" s="1">
        <v>1</v>
      </c>
      <c r="DI488" s="1">
        <f t="shared" si="462"/>
        <v>0</v>
      </c>
      <c r="DJ488" s="1">
        <v>1</v>
      </c>
      <c r="DK488" s="1" t="s">
        <v>1210</v>
      </c>
      <c r="DL488" s="1" t="s">
        <v>170</v>
      </c>
      <c r="DR488" s="1" t="b">
        <f>RaceCi="Gold Dwarf"</f>
        <v>0</v>
      </c>
      <c r="DS488" s="1" t="b">
        <f>SkHandleAnimalRanks&gt;=4</f>
        <v>0</v>
      </c>
      <c r="DT488" s="1" t="b">
        <f>SkJumpRanks&gt;=4</f>
        <v>0</v>
      </c>
      <c r="DU488" s="1" t="b">
        <f>SkRideRanks&gt;=8</f>
        <v>0</v>
      </c>
      <c r="DV488" s="1" t="b">
        <f>FtMountedCombat</f>
        <v>0</v>
      </c>
      <c r="DW488" s="1" t="b">
        <f>FtToughnessEquiv</f>
        <v>0</v>
      </c>
      <c r="EA488" s="1" t="b">
        <f t="shared" si="463"/>
        <v>0</v>
      </c>
      <c r="EB488" s="11" t="s">
        <v>334</v>
      </c>
      <c r="EC488" s="1" t="str">
        <f>IF(DR488,"","• Must be a Gold Dwarf.
")&amp;IF(DS488,"","• 4 ranks in Handle Animal.
")&amp;IF(DT488,"","• 4 ranks in Jump.
")&amp;IF(DU488,"","• 8 ranks in Ride.
")&amp;IF(DV488,"","• Mounted Combat Feat.
")&amp;IF(DW488,"","• Toughness Feat.")</f>
        <v>• Must be a Gold Dwarf.
• 4 ranks in Handle Animal.
• 4 ranks in Jump.
• 8 ranks in Ride.
• Mounted Combat Feat.
• Toughness Feat.</v>
      </c>
      <c r="ED488" s="11" t="s">
        <v>335</v>
      </c>
    </row>
    <row r="489" spans="1:134" ht="11.25" customHeight="1" x14ac:dyDescent="0.2">
      <c r="A489" s="1">
        <f t="shared" si="432"/>
        <v>486</v>
      </c>
      <c r="B489" s="1" t="s">
        <v>1217</v>
      </c>
      <c r="C489" s="1" t="s">
        <v>1218</v>
      </c>
      <c r="D489" s="1" t="s">
        <v>1218</v>
      </c>
      <c r="E489" s="1">
        <f t="shared" si="464"/>
        <v>0</v>
      </c>
      <c r="K489" s="1">
        <v>2</v>
      </c>
      <c r="L489" s="1">
        <v>12</v>
      </c>
      <c r="V489" s="1">
        <v>1</v>
      </c>
      <c r="W489" s="1">
        <v>0.5</v>
      </c>
      <c r="X489" s="1">
        <v>0.34</v>
      </c>
      <c r="Y489" s="1">
        <v>0.5</v>
      </c>
      <c r="Z489" s="1" t="b">
        <f>FALSE</f>
        <v>0</v>
      </c>
      <c r="AA489" s="1" t="str">
        <f t="shared" si="467"/>
        <v/>
      </c>
      <c r="AB489" s="1" t="str">
        <f t="shared" si="468"/>
        <v/>
      </c>
      <c r="AC489" s="1">
        <f t="shared" si="465"/>
        <v>0</v>
      </c>
      <c r="AD489" s="1" t="str">
        <f t="shared" si="469"/>
        <v/>
      </c>
      <c r="AE489" s="1" t="str">
        <f t="shared" si="470"/>
        <v/>
      </c>
      <c r="AF489" s="1">
        <f t="shared" si="466"/>
        <v>0</v>
      </c>
      <c r="AG489" s="1">
        <f t="shared" si="445"/>
        <v>5</v>
      </c>
      <c r="AH489" s="1" t="str">
        <f t="shared" si="444"/>
        <v/>
      </c>
      <c r="AI489" s="1">
        <v>1</v>
      </c>
      <c r="AJ489" s="1">
        <f t="shared" si="455"/>
        <v>0</v>
      </c>
      <c r="AK489" s="1">
        <v>1</v>
      </c>
      <c r="AL489" s="1">
        <v>2</v>
      </c>
      <c r="AM489" s="1">
        <v>1</v>
      </c>
      <c r="AN489" s="1">
        <f t="shared" si="456"/>
        <v>0</v>
      </c>
      <c r="AO489" s="1">
        <v>1</v>
      </c>
      <c r="AP489" s="1">
        <v>2</v>
      </c>
      <c r="AQ489" s="1">
        <v>2</v>
      </c>
      <c r="AR489" s="1">
        <v>2</v>
      </c>
      <c r="AS489" s="1">
        <v>2</v>
      </c>
      <c r="AT489" s="1">
        <v>2</v>
      </c>
      <c r="AU489" s="1">
        <v>2</v>
      </c>
      <c r="AV489" s="1">
        <v>2</v>
      </c>
      <c r="AW489" s="1">
        <v>1</v>
      </c>
      <c r="AX489" s="1">
        <v>1</v>
      </c>
      <c r="AY489" s="1">
        <v>1</v>
      </c>
      <c r="AZ489" s="1">
        <v>1</v>
      </c>
      <c r="BA489" s="1">
        <v>1</v>
      </c>
      <c r="BB489" s="1">
        <v>1</v>
      </c>
      <c r="BC489" s="1">
        <v>1</v>
      </c>
      <c r="BD489" s="1">
        <v>1</v>
      </c>
      <c r="BE489" s="1">
        <v>1</v>
      </c>
      <c r="BF489" s="1">
        <v>1</v>
      </c>
      <c r="BG489" s="1">
        <f t="shared" si="457"/>
        <v>0</v>
      </c>
      <c r="BH489" s="1">
        <f t="shared" si="458"/>
        <v>0</v>
      </c>
      <c r="BI489" s="1">
        <v>2</v>
      </c>
      <c r="BJ489" s="1">
        <v>2</v>
      </c>
      <c r="BK489" s="1">
        <v>1</v>
      </c>
      <c r="BL489" s="1">
        <v>1</v>
      </c>
      <c r="BM489" s="1">
        <v>1</v>
      </c>
      <c r="BN489" s="1">
        <v>1</v>
      </c>
      <c r="BO489" s="1">
        <v>1</v>
      </c>
      <c r="BP489" s="1">
        <v>1</v>
      </c>
      <c r="BQ489" s="1">
        <f>IF(HRRVL,1,0)</f>
        <v>0</v>
      </c>
      <c r="BR489" s="1">
        <v>1</v>
      </c>
      <c r="BS489" s="1">
        <v>1</v>
      </c>
      <c r="BT489" s="1">
        <f>IF(HRXPH,1,0)</f>
        <v>0</v>
      </c>
      <c r="BU489" s="1">
        <f>IF(HRRVL,1,0)</f>
        <v>0</v>
      </c>
      <c r="BV489" s="1">
        <v>1</v>
      </c>
      <c r="BW489" s="1">
        <v>1</v>
      </c>
      <c r="BX489" s="1">
        <v>1</v>
      </c>
      <c r="BY489" s="1">
        <v>1</v>
      </c>
      <c r="BZ489" s="1">
        <v>1</v>
      </c>
      <c r="CA489" s="1">
        <v>1</v>
      </c>
      <c r="CB489" s="1">
        <v>1</v>
      </c>
      <c r="CC489" s="1">
        <v>1</v>
      </c>
      <c r="CD489" s="1">
        <v>1</v>
      </c>
      <c r="CE489" s="1">
        <v>1</v>
      </c>
      <c r="CF489" s="1">
        <v>2</v>
      </c>
      <c r="CG489" s="1">
        <f t="shared" si="459"/>
        <v>0</v>
      </c>
      <c r="CH489" s="1">
        <v>1</v>
      </c>
      <c r="CI489" s="1">
        <v>1</v>
      </c>
      <c r="CJ489" s="1">
        <v>1</v>
      </c>
      <c r="CK489" s="1">
        <v>1</v>
      </c>
      <c r="CL489" s="1">
        <v>1</v>
      </c>
      <c r="CM489" s="1">
        <v>1</v>
      </c>
      <c r="CN489" s="1">
        <v>1</v>
      </c>
      <c r="CO489" s="1">
        <v>1</v>
      </c>
      <c r="CP489" s="1">
        <v>1</v>
      </c>
      <c r="CQ489" s="1">
        <v>1</v>
      </c>
      <c r="CR489" s="1">
        <v>1</v>
      </c>
      <c r="CS489" s="1">
        <v>1</v>
      </c>
      <c r="CT489" s="1">
        <v>1</v>
      </c>
      <c r="CU489" s="1">
        <v>1</v>
      </c>
      <c r="CV489" s="1">
        <f t="shared" si="460"/>
        <v>0</v>
      </c>
      <c r="CW489" s="1">
        <v>2</v>
      </c>
      <c r="CX489" s="1">
        <v>1</v>
      </c>
      <c r="CY489" s="1">
        <v>2</v>
      </c>
      <c r="CZ489" s="1">
        <f t="shared" si="461"/>
        <v>0</v>
      </c>
      <c r="DA489" s="1">
        <v>1</v>
      </c>
      <c r="DB489" s="1">
        <v>1</v>
      </c>
      <c r="DC489" s="1">
        <v>1</v>
      </c>
      <c r="DD489" s="1">
        <v>2</v>
      </c>
      <c r="DE489" s="1">
        <v>2</v>
      </c>
      <c r="DF489" s="1">
        <v>1</v>
      </c>
      <c r="DG489" s="1">
        <v>1</v>
      </c>
      <c r="DH489" s="1">
        <v>1</v>
      </c>
      <c r="DI489" s="1">
        <f t="shared" si="462"/>
        <v>0</v>
      </c>
      <c r="DJ489" s="1">
        <v>1</v>
      </c>
      <c r="DK489" s="1" t="s">
        <v>1210</v>
      </c>
      <c r="DL489" s="1" t="s">
        <v>170</v>
      </c>
      <c r="DR489" s="1" t="b">
        <f>OR(RaceCi="Half-Orc",RaceCi="Orc")</f>
        <v>0</v>
      </c>
      <c r="DS489" s="1" t="b">
        <f>BaseAtk&gt;=5</f>
        <v>0</v>
      </c>
      <c r="DT489" s="1" t="b">
        <f>AlignmentNonGood</f>
        <v>0</v>
      </c>
      <c r="DU489" s="1" t="b">
        <f>SkIntimidateRanks&gt;=8</f>
        <v>0</v>
      </c>
      <c r="DV489" s="1" t="b">
        <f>SkRideRanks&gt;=5</f>
        <v>0</v>
      </c>
      <c r="DW489" s="1" t="b">
        <f>SkSurvivalRanks&gt;=5</f>
        <v>0</v>
      </c>
      <c r="DX489" s="1" t="b">
        <f>OR(FtBloodOfTheWarlord,FtMightMakesRight)</f>
        <v>0</v>
      </c>
      <c r="DY489" s="1" t="b">
        <f>FtLeadership</f>
        <v>0</v>
      </c>
      <c r="DZ489" s="1" t="b">
        <f>BbnLvl&gt;=1</f>
        <v>0</v>
      </c>
      <c r="EA489" s="1" t="b">
        <f t="shared" si="463"/>
        <v>0</v>
      </c>
      <c r="EB489" s="11" t="s">
        <v>334</v>
      </c>
      <c r="EC489" s="1" t="str">
        <f>IF(DR489,"","• Must be an Orc or Half-Orc.
")&amp;IF(DS489,"","• Base Attack Bonus of +5 or Greater.
")&amp;IF(DT489,"","• Must be of Any Non-Good Alignment.
")&amp;IF(DU489,"","• 8 ranks in Intimidate.
")&amp;IF(DV489,"","• 5 ranks in Ride.
")&amp;IF(DW489,"","• 5 ranks in Survival.
")&amp;IF(DX489,"","• Blood of the Warlord Feat or Might Makes Right Feat.
")&amp;IF(DY489,"","• Leadership Feat.
")&amp;IF(DZ489,"","• Barbarian Rage ability.")</f>
        <v>• Must be an Orc or Half-Orc.
• Base Attack Bonus of +5 or Greater.
• Must be of Any Non-Good Alignment.
• 8 ranks in Intimidate.
• 5 ranks in Ride.
• 5 ranks in Survival.
• Blood of the Warlord Feat or Might Makes Right Feat.
• Leadership Feat.
• Barbarian Rage ability.</v>
      </c>
      <c r="ED489" s="11" t="s">
        <v>335</v>
      </c>
    </row>
    <row r="490" spans="1:134" ht="11.25" customHeight="1" x14ac:dyDescent="0.2">
      <c r="A490" s="1">
        <f t="shared" si="432"/>
        <v>487</v>
      </c>
      <c r="B490" s="1" t="s">
        <v>1219</v>
      </c>
      <c r="C490" s="1" t="s">
        <v>1220</v>
      </c>
      <c r="D490" s="1" t="s">
        <v>1220</v>
      </c>
      <c r="E490" s="1">
        <f t="shared" si="464"/>
        <v>0</v>
      </c>
      <c r="G490" s="1">
        <f>SplSLvl</f>
        <v>0</v>
      </c>
      <c r="K490" s="1">
        <v>4</v>
      </c>
      <c r="L490" s="1">
        <v>6</v>
      </c>
      <c r="V490" s="1">
        <v>0.75</v>
      </c>
      <c r="W490" s="1">
        <v>0.34</v>
      </c>
      <c r="X490" s="1">
        <v>0.5</v>
      </c>
      <c r="Y490" s="1">
        <v>0.5</v>
      </c>
      <c r="Z490" s="1" t="b">
        <f>FALSE</f>
        <v>0</v>
      </c>
      <c r="AA490" s="1" t="str">
        <f t="shared" si="467"/>
        <v/>
      </c>
      <c r="AB490" s="1" t="str">
        <f t="shared" si="468"/>
        <v/>
      </c>
      <c r="AC490" s="1">
        <f t="shared" si="465"/>
        <v>0</v>
      </c>
      <c r="AD490" s="1" t="str">
        <f t="shared" si="469"/>
        <v/>
      </c>
      <c r="AE490" s="1" t="str">
        <f t="shared" si="470"/>
        <v/>
      </c>
      <c r="AF490" s="1">
        <f t="shared" si="466"/>
        <v>0</v>
      </c>
      <c r="AG490" s="1">
        <f t="shared" si="445"/>
        <v>5</v>
      </c>
      <c r="AH490" s="1" t="str">
        <f t="shared" si="444"/>
        <v/>
      </c>
      <c r="AI490" s="1">
        <v>1</v>
      </c>
      <c r="AJ490" s="1">
        <f t="shared" si="455"/>
        <v>0</v>
      </c>
      <c r="AK490" s="1">
        <v>1</v>
      </c>
      <c r="AL490" s="1">
        <v>2</v>
      </c>
      <c r="AM490" s="1">
        <v>1</v>
      </c>
      <c r="AN490" s="1">
        <f t="shared" si="456"/>
        <v>0</v>
      </c>
      <c r="AO490" s="1">
        <v>2</v>
      </c>
      <c r="AP490" s="1">
        <v>2</v>
      </c>
      <c r="AQ490" s="1">
        <v>2</v>
      </c>
      <c r="AR490" s="1">
        <v>2</v>
      </c>
      <c r="AS490" s="1">
        <v>2</v>
      </c>
      <c r="AT490" s="1">
        <v>2</v>
      </c>
      <c r="AU490" s="1">
        <v>2</v>
      </c>
      <c r="AV490" s="1">
        <v>2</v>
      </c>
      <c r="AW490" s="1">
        <v>2</v>
      </c>
      <c r="AX490" s="1">
        <v>2</v>
      </c>
      <c r="AY490" s="1">
        <v>1</v>
      </c>
      <c r="AZ490" s="1">
        <v>2</v>
      </c>
      <c r="BA490" s="1">
        <v>1</v>
      </c>
      <c r="BB490" s="1">
        <v>1</v>
      </c>
      <c r="BC490" s="1">
        <v>2</v>
      </c>
      <c r="BD490" s="1">
        <v>1</v>
      </c>
      <c r="BE490" s="1">
        <v>1</v>
      </c>
      <c r="BF490" s="1">
        <v>1</v>
      </c>
      <c r="BG490" s="1">
        <f t="shared" si="457"/>
        <v>0</v>
      </c>
      <c r="BH490" s="1">
        <f t="shared" si="458"/>
        <v>0</v>
      </c>
      <c r="BI490" s="1">
        <v>1</v>
      </c>
      <c r="BJ490" s="1">
        <v>1</v>
      </c>
      <c r="BK490" s="1">
        <v>2</v>
      </c>
      <c r="BL490" s="1">
        <v>2</v>
      </c>
      <c r="BM490" s="1">
        <v>2</v>
      </c>
      <c r="BN490" s="1">
        <v>2</v>
      </c>
      <c r="BO490" s="1">
        <v>2</v>
      </c>
      <c r="BP490" s="1">
        <f>1+NOT(HRLivingGreyhawk)</f>
        <v>2</v>
      </c>
      <c r="BQ490" s="1">
        <f>IF(HRRVL,2,0)</f>
        <v>0</v>
      </c>
      <c r="BR490" s="1">
        <v>2</v>
      </c>
      <c r="BS490" s="1">
        <v>2</v>
      </c>
      <c r="BT490" s="1">
        <f>IF(HRXPH,2,0)</f>
        <v>0</v>
      </c>
      <c r="BU490" s="1">
        <f>IF(HRRVL,2,0)</f>
        <v>0</v>
      </c>
      <c r="BV490" s="1">
        <v>2</v>
      </c>
      <c r="BW490" s="1">
        <v>2</v>
      </c>
      <c r="BX490" s="1">
        <v>2</v>
      </c>
      <c r="BY490" s="1">
        <v>2</v>
      </c>
      <c r="BZ490" s="1">
        <v>2</v>
      </c>
      <c r="CA490" s="1">
        <v>2</v>
      </c>
      <c r="CB490" s="1">
        <v>2</v>
      </c>
      <c r="CC490" s="1">
        <v>2</v>
      </c>
      <c r="CD490" s="1">
        <v>2</v>
      </c>
      <c r="CE490" s="1">
        <v>2</v>
      </c>
      <c r="CF490" s="1">
        <v>1</v>
      </c>
      <c r="CG490" s="1">
        <f t="shared" si="459"/>
        <v>0</v>
      </c>
      <c r="CH490" s="1">
        <v>1</v>
      </c>
      <c r="CI490" s="1">
        <v>1</v>
      </c>
      <c r="CJ490" s="1">
        <v>2</v>
      </c>
      <c r="CK490" s="1">
        <v>2</v>
      </c>
      <c r="CL490" s="1">
        <v>2</v>
      </c>
      <c r="CM490" s="1">
        <v>2</v>
      </c>
      <c r="CN490" s="1">
        <v>2</v>
      </c>
      <c r="CO490" s="1">
        <v>2</v>
      </c>
      <c r="CP490" s="1">
        <v>2</v>
      </c>
      <c r="CQ490" s="1">
        <v>2</v>
      </c>
      <c r="CR490" s="1">
        <v>2</v>
      </c>
      <c r="CS490" s="1">
        <v>2</v>
      </c>
      <c r="CT490" s="1">
        <v>2</v>
      </c>
      <c r="CU490" s="1">
        <v>2</v>
      </c>
      <c r="CV490" s="1">
        <f t="shared" si="460"/>
        <v>0</v>
      </c>
      <c r="CW490" s="1">
        <v>1</v>
      </c>
      <c r="CX490" s="1">
        <v>1</v>
      </c>
      <c r="CY490" s="1">
        <v>1</v>
      </c>
      <c r="CZ490" s="1">
        <f t="shared" si="461"/>
        <v>0</v>
      </c>
      <c r="DA490" s="1">
        <v>1</v>
      </c>
      <c r="DB490" s="1">
        <v>2</v>
      </c>
      <c r="DC490" s="1">
        <v>2</v>
      </c>
      <c r="DD490" s="1">
        <v>1</v>
      </c>
      <c r="DE490" s="1">
        <v>1</v>
      </c>
      <c r="DF490" s="1">
        <v>1</v>
      </c>
      <c r="DG490" s="1">
        <v>1</v>
      </c>
      <c r="DH490" s="1">
        <v>2</v>
      </c>
      <c r="DI490" s="1">
        <f t="shared" si="462"/>
        <v>0</v>
      </c>
      <c r="DJ490" s="1">
        <v>1</v>
      </c>
      <c r="DK490" s="1" t="s">
        <v>1210</v>
      </c>
      <c r="DL490" s="1" t="s">
        <v>170</v>
      </c>
      <c r="DS490" s="1" t="b">
        <f>SkKnowledgeArcanaRanks&gt;=8</f>
        <v>0</v>
      </c>
      <c r="DT490" s="1" t="b">
        <f>SkPerformRanks&gt;=8</f>
        <v>0</v>
      </c>
      <c r="DU490" s="1" t="b">
        <f>FtImprovedCounterspell</f>
        <v>0</v>
      </c>
      <c r="DV490" s="1" t="b">
        <f>NOT(ISERROR(SEARCH("Perform",SkillFocusList,1)))</f>
        <v>0</v>
      </c>
      <c r="DW490" s="1" t="b">
        <f ca="1">MaxSpontaneousLevel&gt;=1</f>
        <v>0</v>
      </c>
      <c r="EA490" s="1" t="b">
        <f ca="1">AND(DM490:DZ490)</f>
        <v>0</v>
      </c>
      <c r="EB490" s="11" t="s">
        <v>338</v>
      </c>
      <c r="EC490" s="1" t="str">
        <f ca="1">"• You must have at least 1/8th elven blood (not verified).
"&amp;IF(DS490,"","• 8 ranks in Knowledge (arcana).
")&amp;IF(DT490,"","• 8 ranks in Perform.
")&amp;IF(DU490,"","• Improved Counterspell Feat.
")&amp;IF(DV490,"","• Skill Focus (perform) Feat.
")&amp;IF(DW490,"","• Ability to cast 1st-level arcane spells without preparation.")</f>
        <v>• You must have at least 1/8th elven blood (not verified).
• 8 ranks in Knowledge (arcana).
• 8 ranks in Perform.
• Improved Counterspell Feat.
• Skill Focus (perform) Feat.
• Ability to cast 1st-level arcane spells without preparation.</v>
      </c>
      <c r="ED490" s="11" t="s">
        <v>335</v>
      </c>
    </row>
    <row r="491" spans="1:134" ht="11.25" customHeight="1" x14ac:dyDescent="0.2">
      <c r="A491" s="1">
        <f t="shared" si="432"/>
        <v>488</v>
      </c>
      <c r="B491" s="1" t="s">
        <v>1221</v>
      </c>
      <c r="C491" s="1" t="s">
        <v>1222</v>
      </c>
      <c r="D491" s="1" t="s">
        <v>1222</v>
      </c>
      <c r="E491" s="1">
        <f t="shared" si="464"/>
        <v>0</v>
      </c>
      <c r="K491" s="1">
        <v>4</v>
      </c>
      <c r="L491" s="1">
        <v>6</v>
      </c>
      <c r="N491" s="1" t="b">
        <v>1</v>
      </c>
      <c r="O491" s="1" t="b">
        <v>1</v>
      </c>
      <c r="P491" s="1" t="b">
        <v>1</v>
      </c>
      <c r="Q491" s="1" t="b">
        <v>1</v>
      </c>
      <c r="T491" s="1" t="b">
        <v>1</v>
      </c>
      <c r="V491" s="1">
        <v>1</v>
      </c>
      <c r="W491" s="1">
        <v>0.5</v>
      </c>
      <c r="X491" s="1">
        <v>0.5</v>
      </c>
      <c r="Y491" s="1">
        <v>0.34</v>
      </c>
      <c r="Z491" s="1" t="b">
        <f>FALSE</f>
        <v>0</v>
      </c>
      <c r="AA491" s="1" t="str">
        <f t="shared" si="467"/>
        <v/>
      </c>
      <c r="AB491" s="1" t="str">
        <f t="shared" si="468"/>
        <v/>
      </c>
      <c r="AC491" s="1">
        <f t="shared" si="465"/>
        <v>0</v>
      </c>
      <c r="AD491" s="1" t="str">
        <f t="shared" si="469"/>
        <v/>
      </c>
      <c r="AE491" s="1" t="str">
        <f t="shared" si="470"/>
        <v/>
      </c>
      <c r="AF491" s="1">
        <f t="shared" si="466"/>
        <v>0</v>
      </c>
      <c r="AG491" s="1">
        <f t="shared" si="445"/>
        <v>5</v>
      </c>
      <c r="AH491" s="1" t="str">
        <f t="shared" si="444"/>
        <v/>
      </c>
      <c r="AI491" s="1">
        <v>1</v>
      </c>
      <c r="AJ491" s="1">
        <f t="shared" si="455"/>
        <v>0</v>
      </c>
      <c r="AK491" s="1">
        <v>1</v>
      </c>
      <c r="AL491" s="1">
        <v>2</v>
      </c>
      <c r="AM491" s="1">
        <v>2</v>
      </c>
      <c r="AN491" s="1">
        <f t="shared" si="456"/>
        <v>0</v>
      </c>
      <c r="AO491" s="1">
        <v>2</v>
      </c>
      <c r="AP491" s="1">
        <v>2</v>
      </c>
      <c r="AQ491" s="1">
        <v>2</v>
      </c>
      <c r="AR491" s="1">
        <v>2</v>
      </c>
      <c r="AS491" s="1">
        <v>2</v>
      </c>
      <c r="AT491" s="1">
        <v>2</v>
      </c>
      <c r="AU491" s="1">
        <v>2</v>
      </c>
      <c r="AV491" s="1">
        <v>2</v>
      </c>
      <c r="AW491" s="1">
        <v>1</v>
      </c>
      <c r="AX491" s="1">
        <v>2</v>
      </c>
      <c r="AY491" s="1">
        <v>1</v>
      </c>
      <c r="AZ491" s="1">
        <v>1</v>
      </c>
      <c r="BA491" s="1">
        <v>2</v>
      </c>
      <c r="BB491" s="1">
        <v>1</v>
      </c>
      <c r="BC491" s="1">
        <v>1</v>
      </c>
      <c r="BD491" s="1">
        <v>1</v>
      </c>
      <c r="BE491" s="1">
        <v>1</v>
      </c>
      <c r="BF491" s="1">
        <v>2</v>
      </c>
      <c r="BG491" s="1">
        <f t="shared" si="457"/>
        <v>0</v>
      </c>
      <c r="BH491" s="1">
        <f t="shared" si="458"/>
        <v>0</v>
      </c>
      <c r="BI491" s="1">
        <v>1</v>
      </c>
      <c r="BJ491" s="1">
        <v>2</v>
      </c>
      <c r="BK491" s="1">
        <v>1</v>
      </c>
      <c r="BL491" s="1">
        <v>1</v>
      </c>
      <c r="BM491" s="1">
        <v>1</v>
      </c>
      <c r="BN491" s="1">
        <v>1</v>
      </c>
      <c r="BO491" s="1">
        <v>1</v>
      </c>
      <c r="BP491" s="1">
        <v>1</v>
      </c>
      <c r="BQ491" s="1">
        <f>IF(HRRVL,1,0)</f>
        <v>0</v>
      </c>
      <c r="BR491" s="1">
        <v>1</v>
      </c>
      <c r="BS491" s="1">
        <v>1</v>
      </c>
      <c r="BT491" s="1">
        <f>IF(HRXPH,1,0)</f>
        <v>0</v>
      </c>
      <c r="BU491" s="1">
        <f>IF(HRRVL,1,0)</f>
        <v>0</v>
      </c>
      <c r="BV491" s="1">
        <v>1</v>
      </c>
      <c r="BW491" s="1">
        <v>1</v>
      </c>
      <c r="BX491" s="1">
        <v>1</v>
      </c>
      <c r="BY491" s="1">
        <v>1</v>
      </c>
      <c r="BZ491" s="1">
        <v>1</v>
      </c>
      <c r="CA491" s="1">
        <v>1</v>
      </c>
      <c r="CB491" s="1">
        <v>1</v>
      </c>
      <c r="CC491" s="1">
        <v>1</v>
      </c>
      <c r="CD491" s="1">
        <v>1</v>
      </c>
      <c r="CE491" s="1">
        <v>1</v>
      </c>
      <c r="CF491" s="1">
        <v>2</v>
      </c>
      <c r="CG491" s="1">
        <f t="shared" si="459"/>
        <v>0</v>
      </c>
      <c r="CH491" s="1">
        <v>2</v>
      </c>
      <c r="CI491" s="1">
        <v>1</v>
      </c>
      <c r="CJ491" s="1">
        <v>2</v>
      </c>
      <c r="CK491" s="1">
        <v>2</v>
      </c>
      <c r="CL491" s="1">
        <v>2</v>
      </c>
      <c r="CM491" s="1">
        <v>2</v>
      </c>
      <c r="CN491" s="1">
        <v>2</v>
      </c>
      <c r="CO491" s="1">
        <v>2</v>
      </c>
      <c r="CP491" s="1">
        <v>2</v>
      </c>
      <c r="CQ491" s="1">
        <v>2</v>
      </c>
      <c r="CR491" s="1">
        <v>2</v>
      </c>
      <c r="CS491" s="1">
        <v>2</v>
      </c>
      <c r="CT491" s="1">
        <v>2</v>
      </c>
      <c r="CU491" s="1">
        <v>2</v>
      </c>
      <c r="CV491" s="1">
        <f t="shared" si="460"/>
        <v>0</v>
      </c>
      <c r="CW491" s="1">
        <v>1</v>
      </c>
      <c r="CX491" s="1">
        <v>1</v>
      </c>
      <c r="CY491" s="1">
        <v>2</v>
      </c>
      <c r="CZ491" s="1">
        <f t="shared" si="461"/>
        <v>0</v>
      </c>
      <c r="DA491" s="1">
        <v>1</v>
      </c>
      <c r="DB491" s="1">
        <v>2</v>
      </c>
      <c r="DC491" s="1">
        <v>1</v>
      </c>
      <c r="DD491" s="1">
        <v>1</v>
      </c>
      <c r="DE491" s="1">
        <v>1</v>
      </c>
      <c r="DF491" s="1">
        <v>2</v>
      </c>
      <c r="DG491" s="1">
        <v>1</v>
      </c>
      <c r="DH491" s="1">
        <v>1</v>
      </c>
      <c r="DI491" s="1">
        <f t="shared" si="462"/>
        <v>0</v>
      </c>
      <c r="DJ491" s="1">
        <v>1</v>
      </c>
      <c r="DK491" s="1" t="s">
        <v>1210</v>
      </c>
      <c r="DL491" s="1" t="s">
        <v>170</v>
      </c>
      <c r="DR491" s="1" t="b">
        <f>SkConcentrationRanks&gt;=6</f>
        <v>0</v>
      </c>
      <c r="DS491" s="1" t="b">
        <f>SkPerformRanks&gt;=9</f>
        <v>0</v>
      </c>
      <c r="DT491" s="1" t="b">
        <f>FtPowerAttackEquiv</f>
        <v>0</v>
      </c>
      <c r="DU491" s="1" t="b">
        <f>FtCleave</f>
        <v>0</v>
      </c>
      <c r="EA491" s="1" t="b">
        <f t="shared" si="463"/>
        <v>0</v>
      </c>
      <c r="EB491" s="11" t="s">
        <v>334</v>
      </c>
      <c r="EC491" s="1" t="str">
        <f>IF(DR491,"","• 6 ranks in Concentration.
")&amp;IF(DS491,"","• 9 ranks in Perform.
")&amp;IF(DT491,"","• Power Attack Feat.
")&amp;IF(DU491,"","• Cleave Feat.")</f>
        <v>• 6 ranks in Concentration.
• 9 ranks in Perform.
• Power Attack Feat.
• Cleave Feat.</v>
      </c>
      <c r="ED491" s="11" t="s">
        <v>335</v>
      </c>
    </row>
    <row r="492" spans="1:134" ht="11.25" customHeight="1" x14ac:dyDescent="0.2">
      <c r="A492" s="1">
        <f t="shared" si="432"/>
        <v>489</v>
      </c>
      <c r="B492" s="1" t="s">
        <v>1223</v>
      </c>
      <c r="C492" s="1" t="s">
        <v>1224</v>
      </c>
      <c r="D492" s="1" t="s">
        <v>1224</v>
      </c>
      <c r="E492" s="1">
        <f t="shared" si="464"/>
        <v>0</v>
      </c>
      <c r="K492" s="1">
        <v>2</v>
      </c>
      <c r="L492" s="1">
        <v>6</v>
      </c>
      <c r="V492" s="1">
        <v>1</v>
      </c>
      <c r="W492" s="1">
        <v>0.34</v>
      </c>
      <c r="X492" s="1">
        <v>0.5</v>
      </c>
      <c r="Y492" s="1">
        <v>0.34</v>
      </c>
      <c r="Z492" s="1" t="b">
        <f>FALSE</f>
        <v>0</v>
      </c>
      <c r="AA492" s="1" t="str">
        <f t="shared" si="467"/>
        <v/>
      </c>
      <c r="AB492" s="1" t="str">
        <f t="shared" si="468"/>
        <v/>
      </c>
      <c r="AC492" s="1">
        <f t="shared" si="465"/>
        <v>0</v>
      </c>
      <c r="AD492" s="1" t="str">
        <f t="shared" si="469"/>
        <v/>
      </c>
      <c r="AE492" s="1" t="str">
        <f t="shared" si="470"/>
        <v/>
      </c>
      <c r="AF492" s="1">
        <f t="shared" si="466"/>
        <v>0</v>
      </c>
      <c r="AG492" s="1">
        <f t="shared" si="445"/>
        <v>5</v>
      </c>
      <c r="AH492" s="1" t="str">
        <f t="shared" si="444"/>
        <v/>
      </c>
      <c r="AI492" s="1">
        <v>1</v>
      </c>
      <c r="AJ492" s="1">
        <f t="shared" si="455"/>
        <v>0</v>
      </c>
      <c r="AK492" s="1">
        <v>1</v>
      </c>
      <c r="AL492" s="1">
        <v>1</v>
      </c>
      <c r="AM492" s="1">
        <v>2</v>
      </c>
      <c r="AN492" s="1">
        <f t="shared" si="456"/>
        <v>0</v>
      </c>
      <c r="AO492" s="1">
        <v>1</v>
      </c>
      <c r="AP492" s="1">
        <v>2</v>
      </c>
      <c r="AQ492" s="1">
        <v>2</v>
      </c>
      <c r="AR492" s="1">
        <v>2</v>
      </c>
      <c r="AS492" s="1">
        <v>2</v>
      </c>
      <c r="AT492" s="1">
        <v>2</v>
      </c>
      <c r="AU492" s="1">
        <v>2</v>
      </c>
      <c r="AV492" s="1">
        <v>2</v>
      </c>
      <c r="AW492" s="1">
        <v>1</v>
      </c>
      <c r="AX492" s="1">
        <v>1</v>
      </c>
      <c r="AY492" s="1">
        <v>1</v>
      </c>
      <c r="AZ492" s="1">
        <v>1</v>
      </c>
      <c r="BA492" s="1">
        <v>1</v>
      </c>
      <c r="BB492" s="1">
        <v>1</v>
      </c>
      <c r="BC492" s="1">
        <v>1</v>
      </c>
      <c r="BD492" s="1">
        <v>1</v>
      </c>
      <c r="BE492" s="1">
        <v>1</v>
      </c>
      <c r="BF492" s="1">
        <v>2</v>
      </c>
      <c r="BG492" s="1">
        <f t="shared" si="457"/>
        <v>0</v>
      </c>
      <c r="BH492" s="1">
        <f t="shared" si="458"/>
        <v>0</v>
      </c>
      <c r="BI492" s="1">
        <v>1</v>
      </c>
      <c r="BJ492" s="1">
        <v>1</v>
      </c>
      <c r="BK492" s="1">
        <v>1</v>
      </c>
      <c r="BL492" s="1">
        <v>1</v>
      </c>
      <c r="BM492" s="1">
        <v>1</v>
      </c>
      <c r="BN492" s="1">
        <v>1</v>
      </c>
      <c r="BO492" s="1">
        <v>1</v>
      </c>
      <c r="BP492" s="1">
        <v>1</v>
      </c>
      <c r="BQ492" s="1">
        <f>IF(HRRVL,1,0)</f>
        <v>0</v>
      </c>
      <c r="BR492" s="1">
        <v>1</v>
      </c>
      <c r="BS492" s="1">
        <v>1</v>
      </c>
      <c r="BT492" s="1">
        <f>IF(HRXPH,1,0)</f>
        <v>0</v>
      </c>
      <c r="BU492" s="1">
        <f>IF(HRRVL,1,0)</f>
        <v>0</v>
      </c>
      <c r="BV492" s="1">
        <v>1</v>
      </c>
      <c r="BW492" s="1">
        <v>1</v>
      </c>
      <c r="BX492" s="1">
        <v>1</v>
      </c>
      <c r="BY492" s="1">
        <v>1</v>
      </c>
      <c r="BZ492" s="1">
        <v>1</v>
      </c>
      <c r="CA492" s="1">
        <v>1</v>
      </c>
      <c r="CB492" s="1">
        <v>1</v>
      </c>
      <c r="CC492" s="1">
        <v>1</v>
      </c>
      <c r="CD492" s="1">
        <v>1</v>
      </c>
      <c r="CE492" s="1">
        <v>1</v>
      </c>
      <c r="CF492" s="1">
        <v>1</v>
      </c>
      <c r="CG492" s="1">
        <f t="shared" si="459"/>
        <v>0</v>
      </c>
      <c r="CH492" s="1">
        <v>2</v>
      </c>
      <c r="CI492" s="1">
        <v>1</v>
      </c>
      <c r="CJ492" s="1">
        <v>1</v>
      </c>
      <c r="CK492" s="1">
        <v>1</v>
      </c>
      <c r="CL492" s="1">
        <v>1</v>
      </c>
      <c r="CM492" s="1">
        <v>1</v>
      </c>
      <c r="CN492" s="1">
        <v>1</v>
      </c>
      <c r="CO492" s="1">
        <v>1</v>
      </c>
      <c r="CP492" s="1">
        <v>2</v>
      </c>
      <c r="CQ492" s="1">
        <v>2</v>
      </c>
      <c r="CR492" s="1">
        <v>2</v>
      </c>
      <c r="CS492" s="1">
        <v>2</v>
      </c>
      <c r="CT492" s="1">
        <v>2</v>
      </c>
      <c r="CU492" s="1">
        <v>2</v>
      </c>
      <c r="CV492" s="1">
        <f t="shared" si="460"/>
        <v>0</v>
      </c>
      <c r="CW492" s="1">
        <v>1</v>
      </c>
      <c r="CX492" s="1">
        <v>1</v>
      </c>
      <c r="CY492" s="1">
        <v>2</v>
      </c>
      <c r="CZ492" s="1">
        <f t="shared" si="461"/>
        <v>0</v>
      </c>
      <c r="DA492" s="1">
        <v>1</v>
      </c>
      <c r="DB492" s="1">
        <v>1</v>
      </c>
      <c r="DC492" s="1">
        <v>1</v>
      </c>
      <c r="DD492" s="1">
        <v>2</v>
      </c>
      <c r="DE492" s="1">
        <v>1</v>
      </c>
      <c r="DF492" s="1">
        <v>1</v>
      </c>
      <c r="DG492" s="1">
        <v>1</v>
      </c>
      <c r="DH492" s="1">
        <v>1</v>
      </c>
      <c r="DI492" s="1">
        <f t="shared" si="462"/>
        <v>0</v>
      </c>
      <c r="DJ492" s="1">
        <v>1</v>
      </c>
      <c r="DK492" s="1" t="s">
        <v>1210</v>
      </c>
      <c r="DL492" s="1" t="s">
        <v>170</v>
      </c>
      <c r="DR492" s="1" t="b">
        <f>RaceCi="Halfling"</f>
        <v>0</v>
      </c>
      <c r="DS492" s="1" t="b">
        <f>BaseAtk&gt;=5</f>
        <v>0</v>
      </c>
      <c r="DT492" s="1" t="b">
        <f>IF(NOT(ISNA(MATCH("weaponsmith",TblCraftSkills,0))),INDEX(TblCraftRanks,MATCH("weaponsmith",TblCraftSkills,0),1)&gt;=2,FALSE)</f>
        <v>0</v>
      </c>
      <c r="DU492" s="1" t="b">
        <f>SkHideRanks&gt;=4</f>
        <v>0</v>
      </c>
      <c r="DV492" s="1" t="b">
        <f>SkSpotRanks&gt;=6</f>
        <v>0</v>
      </c>
      <c r="DW492" s="1" t="b">
        <f>NOT(ISNA(MATCH("sling, war",TblProfList,0)))</f>
        <v>0</v>
      </c>
      <c r="DX492" s="1" t="b">
        <f>NOT(ISNA(MATCH("skiprock",TblProfList,0)))</f>
        <v>0</v>
      </c>
      <c r="DY492" s="1" t="b">
        <f>FtPointBlankShot</f>
        <v>0</v>
      </c>
      <c r="DZ492" s="1" t="b">
        <f>FtPreciseShot</f>
        <v>0</v>
      </c>
      <c r="EA492" s="1" t="b">
        <f t="shared" si="463"/>
        <v>0</v>
      </c>
      <c r="EB492" s="11" t="s">
        <v>334</v>
      </c>
      <c r="EC492" s="1" t="str">
        <f>IF(DR492,"","• Must be a Halfling.
")&amp;IF(DS492,"","• Base attack bonus of +5 or greater.
")&amp;IF(DT492,"","• 3 ranks in Craft (weaponsmith).
")&amp;IF(DU492,"","• 4 ranks in Hide.
")&amp;IF(DV492,"","• 6 ranks in Spot.
")&amp;IF(DW492,"","• Exotic Weapon Proficiency (sling, war) Feat.
")&amp;IF(DX492,"","• Exotic Weapon Proficiency (skiprock) Feat.
")&amp;IF(DY492,"","• Point Blank Shot Feat.
")&amp;IF(DZ492,"","• Precise Shot Feat.")</f>
        <v>• Must be a Halfling.
• Base attack bonus of +5 or greater.
• 3 ranks in Craft (weaponsmith).
• 4 ranks in Hide.
• 6 ranks in Spot.
• Exotic Weapon Proficiency (sling, war) Feat.
• Exotic Weapon Proficiency (skiprock) Feat.
• Point Blank Shot Feat.
• Precise Shot Feat.</v>
      </c>
      <c r="ED492" s="11" t="s">
        <v>335</v>
      </c>
    </row>
    <row r="493" spans="1:134" ht="11.25" customHeight="1" x14ac:dyDescent="0.2">
      <c r="A493" s="1">
        <f t="shared" si="432"/>
        <v>490</v>
      </c>
      <c r="B493" s="1" t="s">
        <v>1225</v>
      </c>
      <c r="E493" s="1">
        <f t="shared" si="464"/>
        <v>0</v>
      </c>
      <c r="F493" s="1">
        <v>1</v>
      </c>
      <c r="Z493" s="1" t="b">
        <f>FALSE</f>
        <v>0</v>
      </c>
      <c r="AA493" s="1" t="str">
        <f t="shared" si="467"/>
        <v/>
      </c>
      <c r="AB493" s="1" t="str">
        <f t="shared" si="468"/>
        <v/>
      </c>
      <c r="AC493" s="1">
        <f t="shared" si="465"/>
        <v>0</v>
      </c>
      <c r="AD493" s="1" t="str">
        <f t="shared" si="469"/>
        <v/>
      </c>
      <c r="AE493" s="1" t="str">
        <f t="shared" si="470"/>
        <v/>
      </c>
      <c r="AF493" s="1">
        <f t="shared" si="466"/>
        <v>0</v>
      </c>
      <c r="AG493" s="1">
        <f t="shared" si="445"/>
        <v>5</v>
      </c>
      <c r="AH493" s="1" t="str">
        <f t="shared" si="444"/>
        <v/>
      </c>
      <c r="EB493" s="11"/>
      <c r="ED493" s="11" t="s">
        <v>335</v>
      </c>
    </row>
    <row r="494" spans="1:134" ht="11.25" customHeight="1" x14ac:dyDescent="0.2">
      <c r="A494" s="1">
        <f t="shared" si="432"/>
        <v>491</v>
      </c>
      <c r="B494" s="1" t="s">
        <v>1226</v>
      </c>
      <c r="C494" s="1" t="s">
        <v>1227</v>
      </c>
      <c r="D494" s="1" t="s">
        <v>1227</v>
      </c>
      <c r="E494" s="1">
        <f t="shared" si="464"/>
        <v>0</v>
      </c>
      <c r="G494" s="1">
        <f>(ANRLvl&gt;=1)+(ANRLvl&gt;=3)+(ANRLvl&gt;=4)+(ANRLvl&gt;=6)+(ANRLvl&gt;=7)+(ANRLvl&gt;=9)+(ANRLvl&gt;=10)</f>
        <v>0</v>
      </c>
      <c r="K494" s="1">
        <v>4</v>
      </c>
      <c r="L494" s="1">
        <v>6</v>
      </c>
      <c r="V494" s="1">
        <v>0.75</v>
      </c>
      <c r="W494" s="1">
        <v>0.34</v>
      </c>
      <c r="X494" s="1">
        <v>0.5</v>
      </c>
      <c r="Y494" s="1">
        <v>0.34</v>
      </c>
      <c r="Z494" s="1" t="b">
        <f>FALSE</f>
        <v>0</v>
      </c>
      <c r="AA494" s="1" t="str">
        <f t="shared" si="467"/>
        <v/>
      </c>
      <c r="AB494" s="1" t="str">
        <f t="shared" si="468"/>
        <v/>
      </c>
      <c r="AC494" s="1">
        <f t="shared" si="465"/>
        <v>0</v>
      </c>
      <c r="AD494" s="1" t="str">
        <f t="shared" si="469"/>
        <v/>
      </c>
      <c r="AE494" s="1" t="str">
        <f t="shared" si="470"/>
        <v/>
      </c>
      <c r="AF494" s="1">
        <f t="shared" si="466"/>
        <v>0</v>
      </c>
      <c r="AG494" s="1">
        <f t="shared" si="445"/>
        <v>5</v>
      </c>
      <c r="AH494" s="1" t="str">
        <f t="shared" si="444"/>
        <v/>
      </c>
      <c r="AI494" s="1">
        <v>1</v>
      </c>
      <c r="AJ494" s="1">
        <f t="shared" si="455"/>
        <v>0</v>
      </c>
      <c r="AK494" s="1">
        <v>1</v>
      </c>
      <c r="AL494" s="1">
        <v>1</v>
      </c>
      <c r="AM494" s="1">
        <v>2</v>
      </c>
      <c r="AN494" s="1">
        <f t="shared" ref="AN494:AN505" si="471">IF(IsLycanthrope,2,0)</f>
        <v>0</v>
      </c>
      <c r="AO494" s="1">
        <v>2</v>
      </c>
      <c r="AP494" s="1">
        <v>2</v>
      </c>
      <c r="AQ494" s="1">
        <v>2</v>
      </c>
      <c r="AR494" s="1">
        <v>2</v>
      </c>
      <c r="AS494" s="1">
        <v>2</v>
      </c>
      <c r="AT494" s="1">
        <v>2</v>
      </c>
      <c r="AU494" s="1">
        <v>2</v>
      </c>
      <c r="AV494" s="1">
        <v>2</v>
      </c>
      <c r="AW494" s="1">
        <v>1</v>
      </c>
      <c r="AX494" s="1">
        <v>1</v>
      </c>
      <c r="AY494" s="1">
        <v>1</v>
      </c>
      <c r="AZ494" s="1">
        <v>1</v>
      </c>
      <c r="BA494" s="1">
        <v>1</v>
      </c>
      <c r="BB494" s="1">
        <v>1</v>
      </c>
      <c r="BC494" s="1">
        <v>1</v>
      </c>
      <c r="BD494" s="1">
        <v>1</v>
      </c>
      <c r="BE494" s="1">
        <v>1</v>
      </c>
      <c r="BF494" s="1">
        <v>2</v>
      </c>
      <c r="BG494" s="1">
        <f t="shared" ref="BG494:BG505" si="472">IF(HRRVL,1,0)</f>
        <v>0</v>
      </c>
      <c r="BH494" s="1">
        <f t="shared" ref="BH494:BH505" si="473">IF(HROA,1,0)</f>
        <v>0</v>
      </c>
      <c r="BI494" s="1">
        <v>1</v>
      </c>
      <c r="BJ494" s="1">
        <v>1</v>
      </c>
      <c r="BK494" s="1">
        <v>2</v>
      </c>
      <c r="BL494" s="1">
        <v>1</v>
      </c>
      <c r="BM494" s="1">
        <v>1</v>
      </c>
      <c r="BN494" s="1">
        <v>1</v>
      </c>
      <c r="BO494" s="1">
        <v>1</v>
      </c>
      <c r="BP494" s="1">
        <v>1</v>
      </c>
      <c r="BQ494" s="1">
        <f>IF(HRRVL,1,0)</f>
        <v>0</v>
      </c>
      <c r="BR494" s="1">
        <v>2</v>
      </c>
      <c r="BS494" s="1">
        <v>1</v>
      </c>
      <c r="BT494" s="1">
        <f>IF(HRXPH,1,0)</f>
        <v>0</v>
      </c>
      <c r="BU494" s="1">
        <f>IF(HRRVL,1,0)</f>
        <v>0</v>
      </c>
      <c r="BV494" s="1">
        <v>1</v>
      </c>
      <c r="BW494" s="1">
        <v>1</v>
      </c>
      <c r="BX494" s="1">
        <v>1</v>
      </c>
      <c r="BY494" s="1">
        <f>IF(BY$2="Underdark local",2,1)</f>
        <v>1</v>
      </c>
      <c r="BZ494" s="1">
        <f t="shared" ref="BZ494:CE495" si="474">IF(BZ$2="Underdark local",2,1)</f>
        <v>1</v>
      </c>
      <c r="CA494" s="1">
        <f t="shared" si="474"/>
        <v>1</v>
      </c>
      <c r="CB494" s="1">
        <f t="shared" si="474"/>
        <v>1</v>
      </c>
      <c r="CC494" s="1">
        <f t="shared" si="474"/>
        <v>1</v>
      </c>
      <c r="CD494" s="1">
        <f t="shared" si="474"/>
        <v>1</v>
      </c>
      <c r="CE494" s="1">
        <f t="shared" si="474"/>
        <v>1</v>
      </c>
      <c r="CF494" s="1">
        <v>1</v>
      </c>
      <c r="CG494" s="1">
        <f t="shared" ref="CG494:CG505" si="475">IF(HRToB,1,0)</f>
        <v>0</v>
      </c>
      <c r="CH494" s="1">
        <v>2</v>
      </c>
      <c r="CI494" s="1">
        <v>1</v>
      </c>
      <c r="CJ494" s="1">
        <v>1</v>
      </c>
      <c r="CK494" s="1">
        <v>1</v>
      </c>
      <c r="CL494" s="1">
        <v>1</v>
      </c>
      <c r="CM494" s="1">
        <v>1</v>
      </c>
      <c r="CN494" s="1">
        <v>1</v>
      </c>
      <c r="CO494" s="1">
        <v>1</v>
      </c>
      <c r="CP494" s="1">
        <v>1</v>
      </c>
      <c r="CQ494" s="1">
        <v>1</v>
      </c>
      <c r="CR494" s="1">
        <v>1</v>
      </c>
      <c r="CS494" s="1">
        <v>1</v>
      </c>
      <c r="CT494" s="1">
        <v>1</v>
      </c>
      <c r="CU494" s="1">
        <v>1</v>
      </c>
      <c r="CV494" s="1">
        <f t="shared" si="460"/>
        <v>0</v>
      </c>
      <c r="CW494" s="1">
        <v>1</v>
      </c>
      <c r="CX494" s="1">
        <v>1</v>
      </c>
      <c r="CY494" s="1">
        <v>1</v>
      </c>
      <c r="CZ494" s="1">
        <f t="shared" ref="CZ494:CZ505" si="476">IF(HRCS,1,0)</f>
        <v>0</v>
      </c>
      <c r="DA494" s="1">
        <v>1</v>
      </c>
      <c r="DB494" s="1">
        <v>1</v>
      </c>
      <c r="DC494" s="1">
        <v>2</v>
      </c>
      <c r="DD494" s="1">
        <v>2</v>
      </c>
      <c r="DE494" s="1">
        <v>1</v>
      </c>
      <c r="DF494" s="1">
        <v>1</v>
      </c>
      <c r="DG494" s="1">
        <v>1</v>
      </c>
      <c r="DH494" s="1">
        <v>1</v>
      </c>
      <c r="DI494" s="1">
        <f t="shared" si="462"/>
        <v>0</v>
      </c>
      <c r="DJ494" s="1">
        <v>1</v>
      </c>
      <c r="DK494" s="1" t="s">
        <v>1228</v>
      </c>
      <c r="DL494" s="1" t="s">
        <v>170</v>
      </c>
      <c r="DW494" s="1" t="b">
        <f>AlignmentEvil</f>
        <v>0</v>
      </c>
      <c r="DX494" s="1" t="b">
        <f>FortSave&gt;=4</f>
        <v>0</v>
      </c>
      <c r="DY494" s="1" t="b">
        <f>SkClimbRanks&gt;=3</f>
        <v>0</v>
      </c>
      <c r="DZ494" s="1" t="b">
        <f>SkKnowledgeNatureRanks&gt;=4</f>
        <v>0</v>
      </c>
      <c r="EA494" s="1" t="b">
        <f t="shared" ref="EA494:EA505" si="477">AND(DM494:DZ494)</f>
        <v>0</v>
      </c>
      <c r="EB494" s="11" t="s">
        <v>338</v>
      </c>
      <c r="EC494" s="1" t="str">
        <f>IF(DW494,"","• Any evil.
")&amp;IF(DX494,"","• Base Fort save +4.
")&amp;IF(DY494,"","• Climb 3 ranks.
")&amp;IF(DZ494,"","• Knowledge (nature) 4 ranks.
")&amp;"• Ability to cast spider climb, summon swarm, and web
 as arcane spells (not verified)"
&amp;"• Must undergo a scarification ritual (not verified)."</f>
        <v>• Any evil.
• Base Fort save +4.
• Climb 3 ranks.
• Knowledge (nature) 4 ranks.
• Ability to cast spider climb, summon swarm, and web
 as arcane spells (not verified)• Must undergo a scarification ritual (not verified).</v>
      </c>
      <c r="ED494" s="11" t="s">
        <v>335</v>
      </c>
    </row>
    <row r="495" spans="1:134" ht="11.25" customHeight="1" x14ac:dyDescent="0.2">
      <c r="A495" s="1">
        <f t="shared" si="432"/>
        <v>492</v>
      </c>
      <c r="B495" s="1" t="s">
        <v>1229</v>
      </c>
      <c r="C495" s="1" t="s">
        <v>1230</v>
      </c>
      <c r="D495" s="1" t="s">
        <v>1230</v>
      </c>
      <c r="E495" s="1">
        <f t="shared" si="464"/>
        <v>0</v>
      </c>
      <c r="K495" s="1">
        <v>4</v>
      </c>
      <c r="L495" s="1">
        <v>10</v>
      </c>
      <c r="N495" s="1" t="b">
        <v>1</v>
      </c>
      <c r="O495" s="1" t="b">
        <v>1</v>
      </c>
      <c r="P495" s="1" t="b">
        <v>1</v>
      </c>
      <c r="Q495" s="1" t="b">
        <v>1</v>
      </c>
      <c r="S495" s="1" t="b">
        <v>1</v>
      </c>
      <c r="T495" s="1" t="b">
        <v>1</v>
      </c>
      <c r="V495" s="1">
        <v>1</v>
      </c>
      <c r="W495" s="1">
        <v>0.5</v>
      </c>
      <c r="X495" s="1">
        <v>0.5</v>
      </c>
      <c r="Y495" s="1">
        <v>0.34</v>
      </c>
      <c r="Z495" s="1" t="b">
        <f>FALSE</f>
        <v>0</v>
      </c>
      <c r="AA495" s="1" t="str">
        <f t="shared" si="467"/>
        <v/>
      </c>
      <c r="AB495" s="1" t="str">
        <f t="shared" si="468"/>
        <v/>
      </c>
      <c r="AC495" s="1">
        <f t="shared" si="465"/>
        <v>0</v>
      </c>
      <c r="AD495" s="1" t="str">
        <f t="shared" si="469"/>
        <v/>
      </c>
      <c r="AE495" s="1" t="str">
        <f t="shared" si="470"/>
        <v/>
      </c>
      <c r="AF495" s="1">
        <f t="shared" si="466"/>
        <v>0</v>
      </c>
      <c r="AG495" s="1">
        <f t="shared" si="445"/>
        <v>5</v>
      </c>
      <c r="AH495" s="1" t="str">
        <f t="shared" si="444"/>
        <v/>
      </c>
      <c r="AI495" s="1">
        <v>1</v>
      </c>
      <c r="AJ495" s="1">
        <f t="shared" si="455"/>
        <v>0</v>
      </c>
      <c r="AK495" s="1">
        <v>2</v>
      </c>
      <c r="AL495" s="1">
        <v>1</v>
      </c>
      <c r="AM495" s="1">
        <v>2</v>
      </c>
      <c r="AN495" s="1">
        <f t="shared" si="471"/>
        <v>0</v>
      </c>
      <c r="AO495" s="1">
        <v>1</v>
      </c>
      <c r="AP495" s="1">
        <v>2</v>
      </c>
      <c r="AQ495" s="1">
        <v>2</v>
      </c>
      <c r="AR495" s="1">
        <v>2</v>
      </c>
      <c r="AS495" s="1">
        <v>2</v>
      </c>
      <c r="AT495" s="1">
        <v>2</v>
      </c>
      <c r="AU495" s="1">
        <v>2</v>
      </c>
      <c r="AV495" s="1">
        <v>2</v>
      </c>
      <c r="AW495" s="1">
        <v>1</v>
      </c>
      <c r="AX495" s="1">
        <v>1</v>
      </c>
      <c r="AY495" s="1">
        <v>1</v>
      </c>
      <c r="AZ495" s="1">
        <v>1</v>
      </c>
      <c r="BA495" s="1">
        <v>1</v>
      </c>
      <c r="BB495" s="1">
        <v>1</v>
      </c>
      <c r="BC495" s="1">
        <v>1</v>
      </c>
      <c r="BD495" s="1">
        <v>2</v>
      </c>
      <c r="BE495" s="1">
        <v>1</v>
      </c>
      <c r="BF495" s="1">
        <v>2</v>
      </c>
      <c r="BG495" s="1">
        <f t="shared" si="472"/>
        <v>0</v>
      </c>
      <c r="BH495" s="1">
        <f t="shared" si="473"/>
        <v>0</v>
      </c>
      <c r="BI495" s="1">
        <v>1</v>
      </c>
      <c r="BJ495" s="1">
        <v>2</v>
      </c>
      <c r="BK495" s="1">
        <v>1</v>
      </c>
      <c r="BL495" s="1">
        <v>1</v>
      </c>
      <c r="BM495" s="1">
        <v>1</v>
      </c>
      <c r="BN495" s="1">
        <v>1</v>
      </c>
      <c r="BO495" s="1">
        <v>1</v>
      </c>
      <c r="BP495" s="1">
        <v>1</v>
      </c>
      <c r="BQ495" s="1">
        <f>IF(HRRVL,1,0)</f>
        <v>0</v>
      </c>
      <c r="BR495" s="1">
        <v>1</v>
      </c>
      <c r="BS495" s="1">
        <v>1</v>
      </c>
      <c r="BT495" s="1">
        <f>IF(HRXPH,1,0)</f>
        <v>0</v>
      </c>
      <c r="BU495" s="1">
        <f>IF(HRRVL,1,0)</f>
        <v>0</v>
      </c>
      <c r="BV495" s="1">
        <v>1</v>
      </c>
      <c r="BW495" s="1">
        <v>1</v>
      </c>
      <c r="BX495" s="1">
        <v>1</v>
      </c>
      <c r="BY495" s="1">
        <f>IF(BY$2="Underdark local",2,1)</f>
        <v>1</v>
      </c>
      <c r="BZ495" s="1">
        <f t="shared" si="474"/>
        <v>1</v>
      </c>
      <c r="CA495" s="1">
        <f t="shared" si="474"/>
        <v>1</v>
      </c>
      <c r="CB495" s="1">
        <f t="shared" si="474"/>
        <v>1</v>
      </c>
      <c r="CC495" s="1">
        <f t="shared" si="474"/>
        <v>1</v>
      </c>
      <c r="CD495" s="1">
        <f t="shared" si="474"/>
        <v>1</v>
      </c>
      <c r="CE495" s="1">
        <f t="shared" si="474"/>
        <v>1</v>
      </c>
      <c r="CF495" s="1">
        <v>2</v>
      </c>
      <c r="CG495" s="1">
        <f t="shared" si="475"/>
        <v>0</v>
      </c>
      <c r="CH495" s="1">
        <v>2</v>
      </c>
      <c r="CI495" s="1">
        <v>1</v>
      </c>
      <c r="CJ495" s="1">
        <v>1</v>
      </c>
      <c r="CK495" s="1">
        <v>1</v>
      </c>
      <c r="CL495" s="1">
        <v>1</v>
      </c>
      <c r="CM495" s="1">
        <v>1</v>
      </c>
      <c r="CN495" s="1">
        <v>1</v>
      </c>
      <c r="CO495" s="1">
        <v>1</v>
      </c>
      <c r="CP495" s="1">
        <v>2</v>
      </c>
      <c r="CQ495" s="1">
        <v>2</v>
      </c>
      <c r="CR495" s="1">
        <v>2</v>
      </c>
      <c r="CS495" s="1">
        <v>2</v>
      </c>
      <c r="CT495" s="1">
        <v>2</v>
      </c>
      <c r="CU495" s="1">
        <v>2</v>
      </c>
      <c r="CV495" s="1">
        <f t="shared" si="460"/>
        <v>0</v>
      </c>
      <c r="CW495" s="1">
        <v>1</v>
      </c>
      <c r="CX495" s="1">
        <v>2</v>
      </c>
      <c r="CY495" s="1">
        <v>2</v>
      </c>
      <c r="CZ495" s="1">
        <f t="shared" si="476"/>
        <v>0</v>
      </c>
      <c r="DA495" s="1">
        <v>1</v>
      </c>
      <c r="DB495" s="1">
        <v>1</v>
      </c>
      <c r="DC495" s="1">
        <v>1</v>
      </c>
      <c r="DD495" s="1">
        <v>2</v>
      </c>
      <c r="DE495" s="1">
        <v>2</v>
      </c>
      <c r="DF495" s="1">
        <v>2</v>
      </c>
      <c r="DG495" s="1">
        <v>1</v>
      </c>
      <c r="DH495" s="1">
        <v>1</v>
      </c>
      <c r="DI495" s="1">
        <f t="shared" si="462"/>
        <v>0</v>
      </c>
      <c r="DJ495" s="1">
        <v>1</v>
      </c>
      <c r="DK495" s="1" t="s">
        <v>1228</v>
      </c>
      <c r="DL495" s="1" t="s">
        <v>170</v>
      </c>
      <c r="DV495" s="1" t="b">
        <f>IF(NOT(ISNA(MATCH("Underdark local",TblKnowSkills,0))),INDEX(TblKnowRanks,MATCH("Underdark local",TblCraftSkills,0),1)&gt;=8,FALSE)</f>
        <v>0</v>
      </c>
      <c r="DW495" s="1" t="b">
        <f>SkSearchRanks&gt;=2</f>
        <v>0</v>
      </c>
      <c r="DX495" s="1" t="b">
        <f>SkSpotRanks&gt;=2</f>
        <v>0</v>
      </c>
      <c r="DY495" s="1" t="b">
        <f>SkSurvivalRanks&gt;=4</f>
        <v>0</v>
      </c>
      <c r="DZ495" s="1" t="b">
        <f>FtTrack</f>
        <v>0</v>
      </c>
      <c r="EA495" s="1" t="b">
        <f t="shared" si="477"/>
        <v>0</v>
      </c>
      <c r="EB495" s="11" t="s">
        <v>334</v>
      </c>
      <c r="EC495" s="1" t="str">
        <f>IF(DV495,"","• Knowledge (Underdark local) 8 ranks.
")&amp;IF(DW495,"","• Search 2 ranks.
")&amp;IF(DX495,"","• Spot 2 ranks.
")&amp;IF(DY495,"","• Survival 4 ranks.
")&amp;IF(DZ495,"","• Track feat.
")</f>
        <v xml:space="preserve">• Knowledge (Underdark local) 8 ranks.
• Search 2 ranks.
• Spot 2 ranks.
• Survival 4 ranks.
• Track feat.
</v>
      </c>
      <c r="ED495" s="11" t="s">
        <v>335</v>
      </c>
    </row>
    <row r="496" spans="1:134" ht="11.25" customHeight="1" x14ac:dyDescent="0.2">
      <c r="A496" s="1">
        <f t="shared" si="432"/>
        <v>493</v>
      </c>
      <c r="B496" s="1" t="s">
        <v>1231</v>
      </c>
      <c r="C496" s="1" t="s">
        <v>1232</v>
      </c>
      <c r="D496" s="1" t="s">
        <v>1232</v>
      </c>
      <c r="E496" s="1">
        <f t="shared" si="464"/>
        <v>0</v>
      </c>
      <c r="G496" s="1">
        <f>DDRLvl-INT(DDRLvl/6)</f>
        <v>0</v>
      </c>
      <c r="K496" s="1">
        <v>2</v>
      </c>
      <c r="L496" s="1">
        <v>4</v>
      </c>
      <c r="V496" s="1">
        <v>0.5</v>
      </c>
      <c r="W496" s="1">
        <v>0.34</v>
      </c>
      <c r="X496" s="1">
        <v>0.34</v>
      </c>
      <c r="Y496" s="1">
        <v>0.5</v>
      </c>
      <c r="Z496" s="1" t="b">
        <f>FALSE</f>
        <v>0</v>
      </c>
      <c r="AA496" s="1" t="str">
        <f t="shared" si="467"/>
        <v/>
      </c>
      <c r="AB496" s="1" t="str">
        <f t="shared" si="468"/>
        <v/>
      </c>
      <c r="AC496" s="1">
        <f t="shared" si="465"/>
        <v>0</v>
      </c>
      <c r="AD496" s="1" t="str">
        <f t="shared" si="469"/>
        <v/>
      </c>
      <c r="AE496" s="1" t="str">
        <f t="shared" si="470"/>
        <v/>
      </c>
      <c r="AF496" s="1">
        <f t="shared" si="466"/>
        <v>0</v>
      </c>
      <c r="AG496" s="1">
        <f t="shared" si="445"/>
        <v>5</v>
      </c>
      <c r="AH496" s="1" t="str">
        <f t="shared" si="444"/>
        <v/>
      </c>
      <c r="AI496" s="1">
        <v>1</v>
      </c>
      <c r="AJ496" s="1">
        <f t="shared" si="455"/>
        <v>0</v>
      </c>
      <c r="AK496" s="1">
        <v>1</v>
      </c>
      <c r="AL496" s="1">
        <v>1</v>
      </c>
      <c r="AM496" s="1">
        <v>2</v>
      </c>
      <c r="AN496" s="1">
        <f t="shared" si="471"/>
        <v>0</v>
      </c>
      <c r="AO496" s="1">
        <v>2</v>
      </c>
      <c r="AP496" s="1">
        <v>2</v>
      </c>
      <c r="AQ496" s="1">
        <v>2</v>
      </c>
      <c r="AR496" s="1">
        <v>2</v>
      </c>
      <c r="AS496" s="1">
        <v>2</v>
      </c>
      <c r="AT496" s="1">
        <v>2</v>
      </c>
      <c r="AU496" s="1">
        <v>2</v>
      </c>
      <c r="AV496" s="1">
        <v>2</v>
      </c>
      <c r="AW496" s="1">
        <v>1</v>
      </c>
      <c r="AX496" s="1">
        <v>1</v>
      </c>
      <c r="AY496" s="1">
        <v>1</v>
      </c>
      <c r="AZ496" s="1">
        <v>1</v>
      </c>
      <c r="BA496" s="1">
        <v>1</v>
      </c>
      <c r="BB496" s="1">
        <v>1</v>
      </c>
      <c r="BC496" s="1">
        <v>1</v>
      </c>
      <c r="BD496" s="1">
        <v>1</v>
      </c>
      <c r="BE496" s="1">
        <v>1</v>
      </c>
      <c r="BF496" s="1">
        <v>1</v>
      </c>
      <c r="BG496" s="1">
        <f t="shared" si="472"/>
        <v>0</v>
      </c>
      <c r="BH496" s="1">
        <f t="shared" si="473"/>
        <v>0</v>
      </c>
      <c r="BI496" s="1">
        <v>1</v>
      </c>
      <c r="BJ496" s="1">
        <v>1</v>
      </c>
      <c r="BK496" s="1">
        <v>2</v>
      </c>
      <c r="BL496" s="1">
        <v>2</v>
      </c>
      <c r="BM496" s="1">
        <v>2</v>
      </c>
      <c r="BN496" s="1">
        <v>2</v>
      </c>
      <c r="BO496" s="1">
        <v>2</v>
      </c>
      <c r="BP496" s="1">
        <v>2</v>
      </c>
      <c r="BQ496" s="1">
        <f>IF(HRRVL,2,0)</f>
        <v>0</v>
      </c>
      <c r="BR496" s="1">
        <v>2</v>
      </c>
      <c r="BS496" s="1">
        <v>2</v>
      </c>
      <c r="BT496" s="1">
        <f>IF(HRXPH,2,0)</f>
        <v>0</v>
      </c>
      <c r="BU496" s="1">
        <f>IF(HRRVL,2,0)</f>
        <v>0</v>
      </c>
      <c r="BV496" s="1">
        <v>2</v>
      </c>
      <c r="BW496" s="1">
        <v>2</v>
      </c>
      <c r="BX496" s="1">
        <v>2</v>
      </c>
      <c r="BY496" s="1">
        <v>2</v>
      </c>
      <c r="BZ496" s="1">
        <v>2</v>
      </c>
      <c r="CA496" s="1">
        <v>2</v>
      </c>
      <c r="CB496" s="1">
        <v>2</v>
      </c>
      <c r="CC496" s="1">
        <v>2</v>
      </c>
      <c r="CD496" s="1">
        <v>2</v>
      </c>
      <c r="CE496" s="1">
        <v>2</v>
      </c>
      <c r="CF496" s="1">
        <v>1</v>
      </c>
      <c r="CG496" s="1">
        <f t="shared" si="475"/>
        <v>0</v>
      </c>
      <c r="CH496" s="1">
        <v>1</v>
      </c>
      <c r="CI496" s="1">
        <v>1</v>
      </c>
      <c r="CJ496" s="1">
        <v>1</v>
      </c>
      <c r="CK496" s="1">
        <v>1</v>
      </c>
      <c r="CL496" s="1">
        <v>1</v>
      </c>
      <c r="CM496" s="1">
        <v>1</v>
      </c>
      <c r="CN496" s="1">
        <v>1</v>
      </c>
      <c r="CO496" s="1">
        <v>1</v>
      </c>
      <c r="CP496" s="1">
        <v>2</v>
      </c>
      <c r="CQ496" s="1">
        <v>2</v>
      </c>
      <c r="CR496" s="1">
        <v>2</v>
      </c>
      <c r="CS496" s="1">
        <v>2</v>
      </c>
      <c r="CT496" s="1">
        <v>2</v>
      </c>
      <c r="CU496" s="1">
        <v>2</v>
      </c>
      <c r="CV496" s="1">
        <f t="shared" si="460"/>
        <v>0</v>
      </c>
      <c r="CW496" s="1">
        <v>1</v>
      </c>
      <c r="CX496" s="1">
        <v>1</v>
      </c>
      <c r="CY496" s="1">
        <v>1</v>
      </c>
      <c r="CZ496" s="1">
        <f t="shared" si="476"/>
        <v>0</v>
      </c>
      <c r="DA496" s="1">
        <v>1</v>
      </c>
      <c r="DB496" s="1">
        <v>1</v>
      </c>
      <c r="DC496" s="1">
        <v>2</v>
      </c>
      <c r="DD496" s="1">
        <v>1</v>
      </c>
      <c r="DE496" s="1">
        <v>2</v>
      </c>
      <c r="DF496" s="1">
        <v>2</v>
      </c>
      <c r="DG496" s="1">
        <v>1</v>
      </c>
      <c r="DH496" s="1">
        <v>1</v>
      </c>
      <c r="DI496" s="1">
        <f t="shared" si="462"/>
        <v>0</v>
      </c>
      <c r="DJ496" s="1">
        <v>1</v>
      </c>
      <c r="DK496" s="1" t="s">
        <v>1228</v>
      </c>
      <c r="DL496" s="1" t="s">
        <v>170</v>
      </c>
      <c r="DW496" s="1" t="b">
        <f>IF(NOT(ISNA(MATCH("Underdark local",TblKnowSkills,0))),INDEX(TblKnowRanks,MATCH("Underdark local",TblCraftSkills,0),1)&gt;=8,FALSE)</f>
        <v>0</v>
      </c>
      <c r="DX496" s="1" t="b">
        <f>SkSurvivalRanks&gt;=2</f>
        <v>0</v>
      </c>
      <c r="DY496" s="1" t="b">
        <f>NOT(ISNA(MATCH("Divination",TblSpellFocus,0)))</f>
        <v>0</v>
      </c>
      <c r="DZ496" s="1" t="b">
        <f ca="1">MaxArcaneSpellLevel&gt;=2</f>
        <v>0</v>
      </c>
      <c r="EA496" s="1" t="b">
        <f ca="1">AND(DM496:DZ496)</f>
        <v>0</v>
      </c>
      <c r="EB496" s="11" t="s">
        <v>334</v>
      </c>
      <c r="EC496" s="1" t="str">
        <f ca="1">IF(DW496,"","• Knowledge (Underdark local) 8 ranks.
")&amp;IF(DX496,"","• Survival 2 ranks.
")&amp;IF(DY496,"","• Spell Focus (Divination) feat.
")&amp;IF(DZ496,"","• Ability to cast 2nd level arcane spells.
")</f>
        <v xml:space="preserve">• Knowledge (Underdark local) 8 ranks.
• Survival 2 ranks.
• Spell Focus (Divination) feat.
• Ability to cast 2nd level arcane spells.
</v>
      </c>
      <c r="ED496" s="11" t="s">
        <v>335</v>
      </c>
    </row>
    <row r="497" spans="1:134" ht="11.25" customHeight="1" x14ac:dyDescent="0.2">
      <c r="A497" s="1">
        <f t="shared" si="432"/>
        <v>494</v>
      </c>
      <c r="B497" s="1" t="s">
        <v>1233</v>
      </c>
      <c r="C497" s="1" t="s">
        <v>1234</v>
      </c>
      <c r="D497" s="1" t="s">
        <v>1234</v>
      </c>
      <c r="E497" s="1">
        <f t="shared" si="464"/>
        <v>0</v>
      </c>
      <c r="G497" s="1">
        <f>ROUNDDOWN(DWJLvl/3,0)</f>
        <v>0</v>
      </c>
      <c r="K497" s="1">
        <v>2</v>
      </c>
      <c r="L497" s="1">
        <v>8</v>
      </c>
      <c r="N497" s="1" t="b">
        <v>1</v>
      </c>
      <c r="O497" s="1" t="b">
        <v>1</v>
      </c>
      <c r="P497" s="1" t="b">
        <v>1</v>
      </c>
      <c r="Q497" s="1" t="b">
        <v>1</v>
      </c>
      <c r="S497" s="1" t="b">
        <v>1</v>
      </c>
      <c r="T497" s="1" t="b">
        <v>1</v>
      </c>
      <c r="V497" s="1">
        <v>1</v>
      </c>
      <c r="W497" s="1">
        <v>0.5</v>
      </c>
      <c r="X497" s="1">
        <v>0.34</v>
      </c>
      <c r="Y497" s="1">
        <v>0.34</v>
      </c>
      <c r="Z497" s="1" t="b">
        <f>FALSE</f>
        <v>0</v>
      </c>
      <c r="AA497" s="1" t="str">
        <f t="shared" si="467"/>
        <v/>
      </c>
      <c r="AB497" s="1" t="str">
        <f t="shared" si="468"/>
        <v/>
      </c>
      <c r="AC497" s="1">
        <f t="shared" si="465"/>
        <v>0</v>
      </c>
      <c r="AD497" s="1" t="str">
        <f t="shared" si="469"/>
        <v/>
      </c>
      <c r="AE497" s="1" t="str">
        <f t="shared" si="470"/>
        <v/>
      </c>
      <c r="AF497" s="1">
        <f t="shared" si="466"/>
        <v>0</v>
      </c>
      <c r="AG497" s="1">
        <f t="shared" si="445"/>
        <v>5</v>
      </c>
      <c r="AH497" s="1" t="str">
        <f t="shared" si="444"/>
        <v/>
      </c>
      <c r="AI497" s="1">
        <v>1</v>
      </c>
      <c r="AJ497" s="1">
        <f t="shared" si="455"/>
        <v>0</v>
      </c>
      <c r="AK497" s="1">
        <v>1</v>
      </c>
      <c r="AL497" s="1">
        <v>1</v>
      </c>
      <c r="AM497" s="1">
        <v>1</v>
      </c>
      <c r="AN497" s="1">
        <f t="shared" si="471"/>
        <v>0</v>
      </c>
      <c r="AO497" s="1">
        <v>2</v>
      </c>
      <c r="AP497" s="1">
        <v>2</v>
      </c>
      <c r="AQ497" s="1">
        <v>2</v>
      </c>
      <c r="AR497" s="1">
        <v>2</v>
      </c>
      <c r="AS497" s="1">
        <v>2</v>
      </c>
      <c r="AT497" s="1">
        <v>2</v>
      </c>
      <c r="AU497" s="1">
        <v>2</v>
      </c>
      <c r="AV497" s="1">
        <v>2</v>
      </c>
      <c r="AW497" s="1">
        <v>1</v>
      </c>
      <c r="AX497" s="1">
        <v>2</v>
      </c>
      <c r="AY497" s="1">
        <v>1</v>
      </c>
      <c r="AZ497" s="1">
        <v>1</v>
      </c>
      <c r="BA497" s="1">
        <v>1</v>
      </c>
      <c r="BB497" s="1">
        <v>1</v>
      </c>
      <c r="BC497" s="1">
        <v>1</v>
      </c>
      <c r="BD497" s="1">
        <v>2</v>
      </c>
      <c r="BE497" s="1">
        <v>2</v>
      </c>
      <c r="BF497" s="1">
        <v>1</v>
      </c>
      <c r="BG497" s="1">
        <f t="shared" si="472"/>
        <v>0</v>
      </c>
      <c r="BH497" s="1">
        <f t="shared" si="473"/>
        <v>0</v>
      </c>
      <c r="BI497" s="1">
        <v>2</v>
      </c>
      <c r="BJ497" s="1">
        <v>1</v>
      </c>
      <c r="BK497" s="1">
        <v>2</v>
      </c>
      <c r="BL497" s="1">
        <v>1</v>
      </c>
      <c r="BM497" s="1">
        <v>1</v>
      </c>
      <c r="BN497" s="1">
        <v>1</v>
      </c>
      <c r="BO497" s="1">
        <v>1</v>
      </c>
      <c r="BP497" s="1">
        <v>1</v>
      </c>
      <c r="BQ497" s="1">
        <f t="shared" ref="BQ497:BQ502" si="478">IF(HRRVL,1,0)</f>
        <v>0</v>
      </c>
      <c r="BR497" s="1">
        <v>1</v>
      </c>
      <c r="BS497" s="1">
        <v>1</v>
      </c>
      <c r="BT497" s="1">
        <f t="shared" ref="BT497:BT502" si="479">IF(HRXPH,1,0)</f>
        <v>0</v>
      </c>
      <c r="BU497" s="1">
        <f t="shared" ref="BU497:BU502" si="480">IF(HRRVL,1,0)</f>
        <v>0</v>
      </c>
      <c r="BV497" s="1">
        <v>2</v>
      </c>
      <c r="BW497" s="1">
        <v>1</v>
      </c>
      <c r="BX497" s="1">
        <v>1</v>
      </c>
      <c r="BY497" s="1">
        <v>1</v>
      </c>
      <c r="BZ497" s="1">
        <v>1</v>
      </c>
      <c r="CA497" s="1">
        <v>1</v>
      </c>
      <c r="CB497" s="1">
        <v>1</v>
      </c>
      <c r="CC497" s="1">
        <v>1</v>
      </c>
      <c r="CD497" s="1">
        <v>1</v>
      </c>
      <c r="CE497" s="1">
        <v>1</v>
      </c>
      <c r="CF497" s="1">
        <v>1</v>
      </c>
      <c r="CG497" s="1">
        <f t="shared" si="475"/>
        <v>0</v>
      </c>
      <c r="CH497" s="1">
        <v>1</v>
      </c>
      <c r="CI497" s="1">
        <v>1</v>
      </c>
      <c r="CJ497" s="1">
        <v>1</v>
      </c>
      <c r="CK497" s="1">
        <v>1</v>
      </c>
      <c r="CL497" s="1">
        <v>1</v>
      </c>
      <c r="CM497" s="1">
        <v>1</v>
      </c>
      <c r="CN497" s="1">
        <v>1</v>
      </c>
      <c r="CO497" s="1">
        <v>1</v>
      </c>
      <c r="CP497" s="1">
        <v>2</v>
      </c>
      <c r="CQ497" s="1">
        <v>2</v>
      </c>
      <c r="CR497" s="1">
        <v>2</v>
      </c>
      <c r="CS497" s="1">
        <v>2</v>
      </c>
      <c r="CT497" s="1">
        <v>2</v>
      </c>
      <c r="CU497" s="1">
        <v>2</v>
      </c>
      <c r="CV497" s="1">
        <f t="shared" si="460"/>
        <v>0</v>
      </c>
      <c r="CW497" s="1">
        <v>2</v>
      </c>
      <c r="CX497" s="1">
        <v>1</v>
      </c>
      <c r="CY497" s="1">
        <v>1</v>
      </c>
      <c r="CZ497" s="1">
        <f t="shared" si="476"/>
        <v>0</v>
      </c>
      <c r="DA497" s="1">
        <v>1</v>
      </c>
      <c r="DB497" s="1">
        <v>1</v>
      </c>
      <c r="DC497" s="1">
        <v>2</v>
      </c>
      <c r="DD497" s="1">
        <v>1</v>
      </c>
      <c r="DE497" s="1">
        <v>2</v>
      </c>
      <c r="DF497" s="1">
        <v>1</v>
      </c>
      <c r="DG497" s="1">
        <v>1</v>
      </c>
      <c r="DH497" s="1">
        <v>1</v>
      </c>
      <c r="DI497" s="1">
        <f t="shared" si="462"/>
        <v>0</v>
      </c>
      <c r="DJ497" s="1">
        <v>1</v>
      </c>
      <c r="DK497" s="1" t="s">
        <v>1228</v>
      </c>
      <c r="DL497" s="1" t="s">
        <v>170</v>
      </c>
      <c r="DS497" s="1" t="b">
        <f>Subrace="Drow"</f>
        <v>0</v>
      </c>
      <c r="DT497" s="1" t="b">
        <f>AlignmentEvil</f>
        <v>0</v>
      </c>
      <c r="DU497" s="1" t="b">
        <f>BaseAtk&gt;=5</f>
        <v>0</v>
      </c>
      <c r="DV497" s="1" t="b">
        <f>SkIntimidateRanks&gt;=4</f>
        <v>0</v>
      </c>
      <c r="DW497" s="1" t="b">
        <f>SkKnowledgeReligionRanks&gt;=4</f>
        <v>0</v>
      </c>
      <c r="DX497" s="1" t="b">
        <f>OR(FtCombatReflexes,FtEvasiveReflexes)</f>
        <v>0</v>
      </c>
      <c r="DY497" s="1" t="b">
        <f>FtLolthsMeat</f>
        <v>0</v>
      </c>
      <c r="DZ497" s="1" t="b">
        <f ca="1">MaxSpellLevel&gt;=1</f>
        <v>0</v>
      </c>
      <c r="EA497" s="1" t="b">
        <f ca="1">AND(DM497:DZ497)</f>
        <v>0</v>
      </c>
      <c r="EB497" s="11" t="s">
        <v>338</v>
      </c>
      <c r="EC497" s="1" t="str">
        <f ca="1">IF(DS497,"","• Drow.
")&amp;IF(DT497,"","• Any evil.
")&amp;IF(DU497,"","• Base attack bonus of +5.
")&amp;IF(DV497,"","• Intimidate 4 ranks.
")&amp;IF(DW497,"","• Knowledge (religion) 4 ranks.
")&amp;IF(DX497,"","• Combat Reflexes feat.
")&amp;IF(DY497,"","• Loth's Meat feat.
")&amp;IF(DZ497,"","• Ability to cast 1st level arcane or divine spells.
")&amp;"• Must survive the rights of enrty (not verified)."</f>
        <v>• Drow.
• Any evil.
• Base attack bonus of +5.
• Intimidate 4 ranks.
• Knowledge (religion) 4 ranks.
• Combat Reflexes feat.
• Loth's Meat feat.
• Ability to cast 1st level arcane or divine spells.
• Must survive the rights of enrty (not verified).</v>
      </c>
      <c r="ED497" s="11" t="s">
        <v>335</v>
      </c>
    </row>
    <row r="498" spans="1:134" ht="11.25" customHeight="1" x14ac:dyDescent="0.2">
      <c r="A498" s="1">
        <f t="shared" si="432"/>
        <v>495</v>
      </c>
      <c r="B498" s="1" t="s">
        <v>1235</v>
      </c>
      <c r="C498" s="1" t="s">
        <v>1236</v>
      </c>
      <c r="D498" s="1" t="s">
        <v>1236</v>
      </c>
      <c r="E498" s="1">
        <f t="shared" si="464"/>
        <v>0</v>
      </c>
      <c r="K498" s="1">
        <v>2</v>
      </c>
      <c r="L498" s="1">
        <v>10</v>
      </c>
      <c r="N498" s="1" t="b">
        <v>1</v>
      </c>
      <c r="O498" s="1" t="b">
        <v>1</v>
      </c>
      <c r="P498" s="1" t="b">
        <v>1</v>
      </c>
      <c r="Q498" s="1" t="b">
        <v>1</v>
      </c>
      <c r="S498" s="1" t="b">
        <v>1</v>
      </c>
      <c r="T498" s="1" t="b">
        <v>1</v>
      </c>
      <c r="V498" s="1">
        <v>1</v>
      </c>
      <c r="W498" s="1">
        <v>0.5</v>
      </c>
      <c r="X498" s="1">
        <v>0.5</v>
      </c>
      <c r="Y498" s="1">
        <v>0.34</v>
      </c>
      <c r="Z498" s="1" t="b">
        <f>FALSE</f>
        <v>0</v>
      </c>
      <c r="AA498" s="1" t="str">
        <f t="shared" si="467"/>
        <v/>
      </c>
      <c r="AB498" s="1" t="str">
        <f t="shared" si="468"/>
        <v/>
      </c>
      <c r="AC498" s="1">
        <f t="shared" si="465"/>
        <v>0</v>
      </c>
      <c r="AD498" s="1" t="str">
        <f t="shared" si="469"/>
        <v/>
      </c>
      <c r="AE498" s="1" t="str">
        <f t="shared" si="470"/>
        <v/>
      </c>
      <c r="AF498" s="1">
        <f t="shared" si="466"/>
        <v>0</v>
      </c>
      <c r="AG498" s="1">
        <f t="shared" si="445"/>
        <v>5</v>
      </c>
      <c r="AH498" s="1" t="str">
        <f t="shared" si="444"/>
        <v/>
      </c>
      <c r="AI498" s="1">
        <v>1</v>
      </c>
      <c r="AJ498" s="1">
        <f t="shared" si="455"/>
        <v>0</v>
      </c>
      <c r="AK498" s="1">
        <v>1</v>
      </c>
      <c r="AL498" s="1">
        <v>1</v>
      </c>
      <c r="AM498" s="1">
        <v>2</v>
      </c>
      <c r="AN498" s="1">
        <f t="shared" si="471"/>
        <v>0</v>
      </c>
      <c r="AO498" s="1">
        <v>1</v>
      </c>
      <c r="AP498" s="1">
        <v>2</v>
      </c>
      <c r="AQ498" s="1">
        <v>2</v>
      </c>
      <c r="AR498" s="1">
        <v>2</v>
      </c>
      <c r="AS498" s="1">
        <v>2</v>
      </c>
      <c r="AT498" s="1">
        <v>2</v>
      </c>
      <c r="AU498" s="1">
        <v>2</v>
      </c>
      <c r="AV498" s="1">
        <v>2</v>
      </c>
      <c r="AW498" s="1">
        <v>1</v>
      </c>
      <c r="AX498" s="1">
        <v>1</v>
      </c>
      <c r="AY498" s="1">
        <v>1</v>
      </c>
      <c r="AZ498" s="1">
        <v>1</v>
      </c>
      <c r="BA498" s="1">
        <v>2</v>
      </c>
      <c r="BB498" s="1">
        <v>1</v>
      </c>
      <c r="BC498" s="1">
        <v>1</v>
      </c>
      <c r="BD498" s="1">
        <v>2</v>
      </c>
      <c r="BE498" s="1">
        <v>1</v>
      </c>
      <c r="BF498" s="1">
        <v>1</v>
      </c>
      <c r="BG498" s="1">
        <f t="shared" si="472"/>
        <v>0</v>
      </c>
      <c r="BH498" s="1">
        <f t="shared" si="473"/>
        <v>0</v>
      </c>
      <c r="BI498" s="1">
        <v>1</v>
      </c>
      <c r="BJ498" s="1">
        <v>2</v>
      </c>
      <c r="BK498" s="1">
        <v>1</v>
      </c>
      <c r="BL498" s="1">
        <v>1</v>
      </c>
      <c r="BM498" s="1">
        <v>1</v>
      </c>
      <c r="BN498" s="1">
        <v>1</v>
      </c>
      <c r="BO498" s="1">
        <v>2</v>
      </c>
      <c r="BP498" s="1">
        <v>1</v>
      </c>
      <c r="BQ498" s="1">
        <f t="shared" si="478"/>
        <v>0</v>
      </c>
      <c r="BR498" s="1">
        <v>1</v>
      </c>
      <c r="BS498" s="1">
        <v>1</v>
      </c>
      <c r="BT498" s="1">
        <f t="shared" si="479"/>
        <v>0</v>
      </c>
      <c r="BU498" s="1">
        <f t="shared" si="480"/>
        <v>0</v>
      </c>
      <c r="BV498" s="1">
        <v>1</v>
      </c>
      <c r="BW498" s="1">
        <v>1</v>
      </c>
      <c r="BX498" s="1">
        <v>1</v>
      </c>
      <c r="BY498" s="1">
        <v>1</v>
      </c>
      <c r="BZ498" s="1">
        <v>1</v>
      </c>
      <c r="CA498" s="1">
        <v>1</v>
      </c>
      <c r="CB498" s="1">
        <v>1</v>
      </c>
      <c r="CC498" s="1">
        <v>1</v>
      </c>
      <c r="CD498" s="1">
        <v>1</v>
      </c>
      <c r="CE498" s="1">
        <v>1</v>
      </c>
      <c r="CF498" s="1">
        <v>2</v>
      </c>
      <c r="CG498" s="1">
        <f t="shared" si="475"/>
        <v>0</v>
      </c>
      <c r="CH498" s="1">
        <v>1</v>
      </c>
      <c r="CI498" s="1">
        <v>1</v>
      </c>
      <c r="CJ498" s="1">
        <v>1</v>
      </c>
      <c r="CK498" s="1">
        <v>1</v>
      </c>
      <c r="CL498" s="1">
        <v>1</v>
      </c>
      <c r="CM498" s="1">
        <v>1</v>
      </c>
      <c r="CN498" s="1">
        <v>1</v>
      </c>
      <c r="CO498" s="1">
        <v>1</v>
      </c>
      <c r="CP498" s="1">
        <v>1</v>
      </c>
      <c r="CQ498" s="1">
        <v>1</v>
      </c>
      <c r="CR498" s="1">
        <v>1</v>
      </c>
      <c r="CS498" s="1">
        <v>1</v>
      </c>
      <c r="CT498" s="1">
        <v>1</v>
      </c>
      <c r="CU498" s="1">
        <v>1</v>
      </c>
      <c r="CV498" s="1">
        <f t="shared" si="460"/>
        <v>0</v>
      </c>
      <c r="CW498" s="1">
        <v>2</v>
      </c>
      <c r="CX498" s="1">
        <v>1</v>
      </c>
      <c r="CY498" s="1">
        <v>1</v>
      </c>
      <c r="CZ498" s="1">
        <f t="shared" si="476"/>
        <v>0</v>
      </c>
      <c r="DA498" s="1">
        <v>1</v>
      </c>
      <c r="DB498" s="1">
        <v>1</v>
      </c>
      <c r="DC498" s="1">
        <v>1</v>
      </c>
      <c r="DD498" s="1">
        <v>2</v>
      </c>
      <c r="DE498" s="1">
        <v>1</v>
      </c>
      <c r="DF498" s="1">
        <v>1</v>
      </c>
      <c r="DG498" s="1">
        <v>2</v>
      </c>
      <c r="DH498" s="1">
        <v>1</v>
      </c>
      <c r="DI498" s="1">
        <f t="shared" si="462"/>
        <v>0</v>
      </c>
      <c r="DJ498" s="1">
        <v>1</v>
      </c>
      <c r="DK498" s="1" t="s">
        <v>1228</v>
      </c>
      <c r="DL498" s="1" t="s">
        <v>170</v>
      </c>
      <c r="DV498" s="1" t="b">
        <f>OR(RaceCi="Mind Flayer",HalfIllithidSelected)</f>
        <v>0</v>
      </c>
      <c r="DW498" s="1" t="b">
        <f>BaseAtk&gt;=6</f>
        <v>0</v>
      </c>
      <c r="DX498" s="1" t="b">
        <f>FtGreatFortitude</f>
        <v>0</v>
      </c>
      <c r="DY498" s="1" t="b">
        <f>FtPowerAttackEquiv</f>
        <v>0</v>
      </c>
      <c r="DZ498" s="1" t="b">
        <f>NOT(ISERROR(FIND("Tentacle",WeaponFocusList,1)))</f>
        <v>0</v>
      </c>
      <c r="EA498" s="1" t="b">
        <f t="shared" si="477"/>
        <v>0</v>
      </c>
      <c r="EB498" s="11" t="s">
        <v>334</v>
      </c>
      <c r="EC498" s="1" t="str">
        <f>IF(DV498,"","• Mind Flayer creature with the Half-Illithid template.
")&amp;IF(DW498,"","• Base Attack bonus +6.
")&amp;IF(DX498,"","• Great Fortitude feat.
")&amp;IF(DY498,"","• Power Attack feat.
")&amp;IF(DZ498,"","• Weapon Focus (tentacle).
")</f>
        <v xml:space="preserve">• Mind Flayer creature with the Half-Illithid template.
• Base Attack bonus +6.
• Great Fortitude feat.
• Power Attack feat.
• Weapon Focus (tentacle).
</v>
      </c>
      <c r="ED498" s="11" t="s">
        <v>335</v>
      </c>
    </row>
    <row r="499" spans="1:134" ht="11.25" customHeight="1" x14ac:dyDescent="0.2">
      <c r="A499" s="1">
        <f t="shared" si="432"/>
        <v>496</v>
      </c>
      <c r="B499" s="1" t="s">
        <v>1237</v>
      </c>
      <c r="C499" s="1" t="s">
        <v>1238</v>
      </c>
      <c r="D499" s="1" t="s">
        <v>1238</v>
      </c>
      <c r="E499" s="1">
        <f t="shared" si="464"/>
        <v>0</v>
      </c>
      <c r="G499" s="1">
        <f>IVTLvl/2</f>
        <v>0</v>
      </c>
      <c r="K499" s="1">
        <v>4</v>
      </c>
      <c r="L499" s="1">
        <v>6</v>
      </c>
      <c r="V499" s="1">
        <v>0.75</v>
      </c>
      <c r="W499" s="1">
        <v>0.34</v>
      </c>
      <c r="X499" s="1">
        <v>0.5</v>
      </c>
      <c r="Y499" s="1">
        <v>0.5</v>
      </c>
      <c r="Z499" s="1" t="b">
        <f>FALSE</f>
        <v>0</v>
      </c>
      <c r="AA499" s="1" t="str">
        <f t="shared" si="467"/>
        <v/>
      </c>
      <c r="AB499" s="1" t="str">
        <f t="shared" si="468"/>
        <v/>
      </c>
      <c r="AC499" s="1">
        <f t="shared" si="465"/>
        <v>0</v>
      </c>
      <c r="AD499" s="1" t="str">
        <f t="shared" si="469"/>
        <v/>
      </c>
      <c r="AE499" s="1" t="str">
        <f t="shared" si="470"/>
        <v/>
      </c>
      <c r="AF499" s="1">
        <f t="shared" si="466"/>
        <v>0</v>
      </c>
      <c r="AG499" s="1">
        <f t="shared" si="445"/>
        <v>5</v>
      </c>
      <c r="AH499" s="1" t="str">
        <f t="shared" si="444"/>
        <v/>
      </c>
      <c r="AI499" s="1">
        <v>1</v>
      </c>
      <c r="AJ499" s="1">
        <f t="shared" si="455"/>
        <v>0</v>
      </c>
      <c r="AK499" s="1">
        <v>2</v>
      </c>
      <c r="AL499" s="1">
        <v>2</v>
      </c>
      <c r="AM499" s="1">
        <v>2</v>
      </c>
      <c r="AN499" s="1">
        <f t="shared" si="471"/>
        <v>0</v>
      </c>
      <c r="AO499" s="1">
        <v>2</v>
      </c>
      <c r="AP499" s="1">
        <v>2</v>
      </c>
      <c r="AQ499" s="1">
        <v>2</v>
      </c>
      <c r="AR499" s="1">
        <v>2</v>
      </c>
      <c r="AS499" s="1">
        <v>2</v>
      </c>
      <c r="AT499" s="1">
        <v>2</v>
      </c>
      <c r="AU499" s="1">
        <v>2</v>
      </c>
      <c r="AV499" s="1">
        <v>2</v>
      </c>
      <c r="AW499" s="1">
        <v>1</v>
      </c>
      <c r="AX499" s="1">
        <v>1</v>
      </c>
      <c r="AY499" s="1">
        <v>1</v>
      </c>
      <c r="AZ499" s="1">
        <v>1</v>
      </c>
      <c r="BA499" s="1">
        <v>2</v>
      </c>
      <c r="BB499" s="1">
        <v>1</v>
      </c>
      <c r="BC499" s="1">
        <v>2</v>
      </c>
      <c r="BD499" s="1">
        <v>1</v>
      </c>
      <c r="BE499" s="1">
        <v>1</v>
      </c>
      <c r="BF499" s="1">
        <v>2</v>
      </c>
      <c r="BG499" s="1">
        <f t="shared" si="472"/>
        <v>0</v>
      </c>
      <c r="BH499" s="1">
        <f t="shared" si="473"/>
        <v>0</v>
      </c>
      <c r="BI499" s="1">
        <v>1</v>
      </c>
      <c r="BJ499" s="1">
        <v>2</v>
      </c>
      <c r="BK499" s="1">
        <v>2</v>
      </c>
      <c r="BL499" s="1">
        <v>1</v>
      </c>
      <c r="BM499" s="1">
        <v>1</v>
      </c>
      <c r="BN499" s="1">
        <v>1</v>
      </c>
      <c r="BO499" s="1">
        <v>1</v>
      </c>
      <c r="BP499" s="1">
        <v>1</v>
      </c>
      <c r="BQ499" s="1">
        <f t="shared" si="478"/>
        <v>0</v>
      </c>
      <c r="BR499" s="1">
        <v>1</v>
      </c>
      <c r="BS499" s="1">
        <v>1</v>
      </c>
      <c r="BT499" s="1">
        <f t="shared" si="479"/>
        <v>0</v>
      </c>
      <c r="BU499" s="1">
        <f t="shared" si="480"/>
        <v>0</v>
      </c>
      <c r="BV499" s="1">
        <v>1</v>
      </c>
      <c r="BW499" s="1">
        <v>1</v>
      </c>
      <c r="BX499" s="1">
        <v>1</v>
      </c>
      <c r="BY499" s="1">
        <v>1</v>
      </c>
      <c r="BZ499" s="1">
        <v>1</v>
      </c>
      <c r="CA499" s="1">
        <v>1</v>
      </c>
      <c r="CB499" s="1">
        <v>1</v>
      </c>
      <c r="CC499" s="1">
        <v>1</v>
      </c>
      <c r="CD499" s="1">
        <v>1</v>
      </c>
      <c r="CE499" s="1">
        <v>1</v>
      </c>
      <c r="CF499" s="1">
        <v>2</v>
      </c>
      <c r="CG499" s="1">
        <f t="shared" si="475"/>
        <v>0</v>
      </c>
      <c r="CH499" s="1">
        <v>2</v>
      </c>
      <c r="CI499" s="1">
        <v>2</v>
      </c>
      <c r="CJ499" s="1">
        <v>1</v>
      </c>
      <c r="CK499" s="1">
        <v>1</v>
      </c>
      <c r="CL499" s="1">
        <v>1</v>
      </c>
      <c r="CM499" s="1">
        <v>1</v>
      </c>
      <c r="CN499" s="1">
        <v>1</v>
      </c>
      <c r="CO499" s="1">
        <v>1</v>
      </c>
      <c r="CP499" s="1">
        <v>2</v>
      </c>
      <c r="CQ499" s="1">
        <v>2</v>
      </c>
      <c r="CR499" s="1">
        <v>2</v>
      </c>
      <c r="CS499" s="1">
        <v>2</v>
      </c>
      <c r="CT499" s="1">
        <v>2</v>
      </c>
      <c r="CU499" s="1">
        <v>2</v>
      </c>
      <c r="CV499" s="1">
        <f t="shared" si="460"/>
        <v>0</v>
      </c>
      <c r="CW499" s="1">
        <v>1</v>
      </c>
      <c r="CX499" s="1">
        <v>2</v>
      </c>
      <c r="CY499" s="1">
        <v>1</v>
      </c>
      <c r="CZ499" s="1">
        <f t="shared" si="476"/>
        <v>0</v>
      </c>
      <c r="DA499" s="1">
        <v>2</v>
      </c>
      <c r="DB499" s="1">
        <v>1</v>
      </c>
      <c r="DC499" s="1">
        <v>2</v>
      </c>
      <c r="DD499" s="1">
        <v>2</v>
      </c>
      <c r="DE499" s="1">
        <v>2</v>
      </c>
      <c r="DF499" s="1">
        <v>2</v>
      </c>
      <c r="DG499" s="1">
        <v>2</v>
      </c>
      <c r="DH499" s="1">
        <v>1</v>
      </c>
      <c r="DI499" s="1">
        <f t="shared" si="462"/>
        <v>0</v>
      </c>
      <c r="DJ499" s="1">
        <v>2</v>
      </c>
      <c r="DK499" s="1" t="s">
        <v>1228</v>
      </c>
      <c r="DL499" s="1" t="s">
        <v>170</v>
      </c>
      <c r="DU499" s="1" t="b">
        <f>AlignmentLawful</f>
        <v>1</v>
      </c>
      <c r="DV499" s="1" t="b">
        <f>SkHideRanks&gt;=4</f>
        <v>0</v>
      </c>
      <c r="DW499" s="1" t="b">
        <f>SkMoveSilentlyRanks&gt;=5</f>
        <v>0</v>
      </c>
      <c r="DX499" s="1" t="b">
        <f>SkSurvivalRanks&gt;=2</f>
        <v>0</v>
      </c>
      <c r="DY499" s="1" t="b">
        <f>FtTrack</f>
        <v>0</v>
      </c>
      <c r="DZ499" s="1" t="b">
        <f ca="1">MaxArcaneSpellLevel&gt;=3</f>
        <v>0</v>
      </c>
      <c r="EA499" s="1" t="b">
        <f ca="1">AND(DM499:DZ499)</f>
        <v>0</v>
      </c>
      <c r="EB499" s="11" t="s">
        <v>338</v>
      </c>
      <c r="EC499" s="1" t="str">
        <f ca="1">IF(DU499,"","• Any lawful.
")&amp;IF(DV499,"","• Hide 4 ranks.
")&amp;IF(DW499,"","• Move Silently 5 ranks.
")&amp;IF(DX499,"","• Survival 2 ranks.
")&amp;IF(DY499,"","• Track feat.
")&amp;IF(DZ499,"","• Ability to cast 3rd level arcane spells.
")&amp;"• Must have slain an enemy for revenge, must also swear oath
  to obey code (not verified)."</f>
        <v>• Hide 4 ranks.
• Move Silently 5 ranks.
• Survival 2 ranks.
• Track feat.
• Ability to cast 3rd level arcane spells.
• Must have slain an enemy for revenge, must also swear oath
  to obey code (not verified).</v>
      </c>
      <c r="ED499" s="11" t="s">
        <v>335</v>
      </c>
    </row>
    <row r="500" spans="1:134" ht="11.25" customHeight="1" x14ac:dyDescent="0.2">
      <c r="A500" s="1">
        <f t="shared" si="432"/>
        <v>497</v>
      </c>
      <c r="B500" s="1" t="s">
        <v>1239</v>
      </c>
      <c r="C500" s="1" t="s">
        <v>1240</v>
      </c>
      <c r="D500" s="1" t="s">
        <v>1241</v>
      </c>
      <c r="E500" s="1">
        <f t="shared" si="464"/>
        <v>0</v>
      </c>
      <c r="K500" s="1">
        <v>4</v>
      </c>
      <c r="L500" s="1">
        <v>8</v>
      </c>
      <c r="V500" s="1">
        <v>0.75</v>
      </c>
      <c r="W500" s="1">
        <v>0.5</v>
      </c>
      <c r="X500" s="1">
        <v>0.5</v>
      </c>
      <c r="Y500" s="1">
        <v>0.5</v>
      </c>
      <c r="Z500" s="1" t="b">
        <f>FALSE</f>
        <v>0</v>
      </c>
      <c r="AA500" s="1" t="str">
        <f t="shared" si="467"/>
        <v/>
      </c>
      <c r="AB500" s="1" t="str">
        <f t="shared" si="468"/>
        <v/>
      </c>
      <c r="AC500" s="1">
        <f t="shared" si="465"/>
        <v>0</v>
      </c>
      <c r="AD500" s="1" t="str">
        <f t="shared" si="469"/>
        <v/>
      </c>
      <c r="AE500" s="1" t="str">
        <f t="shared" si="470"/>
        <v/>
      </c>
      <c r="AF500" s="1">
        <f t="shared" si="466"/>
        <v>0</v>
      </c>
      <c r="AG500" s="1">
        <f t="shared" si="445"/>
        <v>5</v>
      </c>
      <c r="AH500" s="1" t="str">
        <f t="shared" si="444"/>
        <v/>
      </c>
      <c r="AI500" s="1">
        <v>1</v>
      </c>
      <c r="AJ500" s="1">
        <f t="shared" si="455"/>
        <v>0</v>
      </c>
      <c r="AK500" s="1">
        <v>1</v>
      </c>
      <c r="AL500" s="1">
        <v>2</v>
      </c>
      <c r="AM500" s="1">
        <v>1</v>
      </c>
      <c r="AN500" s="1">
        <f t="shared" si="471"/>
        <v>0</v>
      </c>
      <c r="AO500" s="1">
        <v>2</v>
      </c>
      <c r="AP500" s="1">
        <v>2</v>
      </c>
      <c r="AQ500" s="1">
        <v>2</v>
      </c>
      <c r="AR500" s="1">
        <v>2</v>
      </c>
      <c r="AS500" s="1">
        <v>2</v>
      </c>
      <c r="AT500" s="1">
        <v>2</v>
      </c>
      <c r="AU500" s="1">
        <v>2</v>
      </c>
      <c r="AV500" s="1">
        <v>2</v>
      </c>
      <c r="AW500" s="1">
        <v>1</v>
      </c>
      <c r="AX500" s="1">
        <v>2</v>
      </c>
      <c r="AY500" s="1">
        <v>1</v>
      </c>
      <c r="AZ500" s="1">
        <v>1</v>
      </c>
      <c r="BA500" s="1">
        <v>1</v>
      </c>
      <c r="BB500" s="1">
        <v>1</v>
      </c>
      <c r="BC500" s="1">
        <v>2</v>
      </c>
      <c r="BD500" s="1">
        <v>1</v>
      </c>
      <c r="BE500" s="1">
        <v>1</v>
      </c>
      <c r="BF500" s="1">
        <v>1</v>
      </c>
      <c r="BG500" s="1">
        <f t="shared" si="472"/>
        <v>0</v>
      </c>
      <c r="BH500" s="1">
        <f t="shared" si="473"/>
        <v>0</v>
      </c>
      <c r="BI500" s="1">
        <v>2</v>
      </c>
      <c r="BJ500" s="1">
        <v>1</v>
      </c>
      <c r="BK500" s="1">
        <v>2</v>
      </c>
      <c r="BL500" s="1">
        <v>1</v>
      </c>
      <c r="BM500" s="1">
        <v>1</v>
      </c>
      <c r="BN500" s="1">
        <v>1</v>
      </c>
      <c r="BO500" s="1">
        <v>1</v>
      </c>
      <c r="BP500" s="1">
        <v>1</v>
      </c>
      <c r="BQ500" s="1">
        <f t="shared" si="478"/>
        <v>0</v>
      </c>
      <c r="BR500" s="1">
        <v>1</v>
      </c>
      <c r="BS500" s="1">
        <v>1</v>
      </c>
      <c r="BT500" s="1">
        <f t="shared" si="479"/>
        <v>0</v>
      </c>
      <c r="BU500" s="1">
        <f t="shared" si="480"/>
        <v>0</v>
      </c>
      <c r="BV500" s="1">
        <v>2</v>
      </c>
      <c r="BW500" s="1">
        <v>1</v>
      </c>
      <c r="BX500" s="1">
        <v>1</v>
      </c>
      <c r="BY500" s="1">
        <v>1</v>
      </c>
      <c r="BZ500" s="1">
        <v>1</v>
      </c>
      <c r="CA500" s="1">
        <v>1</v>
      </c>
      <c r="CB500" s="1">
        <v>1</v>
      </c>
      <c r="CC500" s="1">
        <v>1</v>
      </c>
      <c r="CD500" s="1">
        <v>1</v>
      </c>
      <c r="CE500" s="1">
        <v>1</v>
      </c>
      <c r="CF500" s="1">
        <v>1</v>
      </c>
      <c r="CG500" s="1">
        <f t="shared" si="475"/>
        <v>0</v>
      </c>
      <c r="CH500" s="1">
        <v>1</v>
      </c>
      <c r="CI500" s="1">
        <v>1</v>
      </c>
      <c r="CJ500" s="1">
        <v>1</v>
      </c>
      <c r="CK500" s="1">
        <v>1</v>
      </c>
      <c r="CL500" s="1">
        <v>1</v>
      </c>
      <c r="CM500" s="1">
        <v>1</v>
      </c>
      <c r="CN500" s="1">
        <v>1</v>
      </c>
      <c r="CO500" s="1">
        <v>1</v>
      </c>
      <c r="CP500" s="1">
        <v>1</v>
      </c>
      <c r="CQ500" s="1">
        <v>1</v>
      </c>
      <c r="CR500" s="1">
        <v>1</v>
      </c>
      <c r="CS500" s="1">
        <v>1</v>
      </c>
      <c r="CT500" s="1">
        <v>1</v>
      </c>
      <c r="CU500" s="1">
        <v>1</v>
      </c>
      <c r="CV500" s="1">
        <f t="shared" si="460"/>
        <v>0</v>
      </c>
      <c r="CW500" s="1">
        <v>1</v>
      </c>
      <c r="CX500" s="1">
        <v>1</v>
      </c>
      <c r="CY500" s="1">
        <v>2</v>
      </c>
      <c r="CZ500" s="1">
        <f t="shared" si="476"/>
        <v>0</v>
      </c>
      <c r="DA500" s="1">
        <v>1</v>
      </c>
      <c r="DB500" s="1">
        <v>1</v>
      </c>
      <c r="DC500" s="1">
        <v>2</v>
      </c>
      <c r="DD500" s="1">
        <v>2</v>
      </c>
      <c r="DE500" s="1">
        <v>1</v>
      </c>
      <c r="DF500" s="1">
        <v>1</v>
      </c>
      <c r="DG500" s="1">
        <v>1</v>
      </c>
      <c r="DH500" s="1">
        <v>1</v>
      </c>
      <c r="DI500" s="1">
        <f t="shared" si="462"/>
        <v>0</v>
      </c>
      <c r="DJ500" s="1">
        <v>1</v>
      </c>
      <c r="DK500" s="1" t="s">
        <v>1228</v>
      </c>
      <c r="DL500" s="1" t="s">
        <v>170</v>
      </c>
      <c r="DU500" s="1" t="b">
        <f>RaceCi="Kuo-toa"</f>
        <v>0</v>
      </c>
      <c r="DV500" s="1" t="b">
        <f>AND(AlignmentLawful,AlignmentNonGood)</f>
        <v>0</v>
      </c>
      <c r="DW500" s="1" t="b">
        <f>SkConcentrationRanks&gt;=8</f>
        <v>0</v>
      </c>
      <c r="DX500" s="1" t="b">
        <f>SkKnowledgeReligionRanks&gt;=4</f>
        <v>0</v>
      </c>
      <c r="DY500" s="1" t="b">
        <f>FtImprovedUnarmed</f>
        <v>0</v>
      </c>
      <c r="DZ500" s="1" t="b">
        <f>Deity="Blibdoolpoolp"</f>
        <v>0</v>
      </c>
      <c r="EA500" s="1" t="b">
        <f t="shared" si="477"/>
        <v>0</v>
      </c>
      <c r="EB500" s="11" t="s">
        <v>334</v>
      </c>
      <c r="EC500" s="1" t="str">
        <f>IF(DU500,"","• Kuo-toa.
")&amp;IF(DV500,"","• Lawful evil or Lawful neutral.
")&amp;IF(DW500,"","• Concentration 8 ranks.
")&amp;IF(DX500,"","• Knowledge (religion) 4 ranks.
")&amp;IF(DY500,"","• Improved Unarmed Strike feat.
")&amp;IF(DZ500,"","• Patron Deity: Blibdoolpoolp.
")</f>
        <v xml:space="preserve">• Kuo-toa.
• Lawful evil or Lawful neutral.
• Concentration 8 ranks.
• Knowledge (religion) 4 ranks.
• Improved Unarmed Strike feat.
• Patron Deity: Blibdoolpoolp.
</v>
      </c>
      <c r="ED500" s="11" t="s">
        <v>335</v>
      </c>
    </row>
    <row r="501" spans="1:134" ht="11.25" customHeight="1" x14ac:dyDescent="0.2">
      <c r="A501" s="1">
        <f t="shared" si="432"/>
        <v>498</v>
      </c>
      <c r="B501" s="1" t="s">
        <v>1242</v>
      </c>
      <c r="C501" s="1" t="s">
        <v>1243</v>
      </c>
      <c r="D501" s="1" t="s">
        <v>1243</v>
      </c>
      <c r="E501" s="1">
        <f t="shared" si="464"/>
        <v>0</v>
      </c>
      <c r="K501" s="1">
        <v>4</v>
      </c>
      <c r="L501" s="1">
        <v>6</v>
      </c>
      <c r="V501" s="1">
        <v>0.75</v>
      </c>
      <c r="W501" s="1">
        <v>0.5</v>
      </c>
      <c r="X501" s="1">
        <v>0.5</v>
      </c>
      <c r="Y501" s="1">
        <v>0.34</v>
      </c>
      <c r="Z501" s="1" t="b">
        <f>FALSE</f>
        <v>0</v>
      </c>
      <c r="AA501" s="1" t="str">
        <f t="shared" si="467"/>
        <v/>
      </c>
      <c r="AB501" s="1" t="str">
        <f t="shared" si="468"/>
        <v/>
      </c>
      <c r="AC501" s="1">
        <f t="shared" si="465"/>
        <v>0</v>
      </c>
      <c r="AD501" s="1" t="str">
        <f t="shared" si="469"/>
        <v/>
      </c>
      <c r="AE501" s="1" t="str">
        <f t="shared" si="470"/>
        <v/>
      </c>
      <c r="AF501" s="1">
        <f t="shared" si="466"/>
        <v>0</v>
      </c>
      <c r="AG501" s="1">
        <f t="shared" si="445"/>
        <v>5</v>
      </c>
      <c r="AH501" s="1" t="str">
        <f t="shared" si="444"/>
        <v/>
      </c>
      <c r="AI501" s="1">
        <v>1</v>
      </c>
      <c r="AJ501" s="1">
        <f t="shared" si="455"/>
        <v>0</v>
      </c>
      <c r="AK501" s="1">
        <v>2</v>
      </c>
      <c r="AL501" s="1">
        <v>1</v>
      </c>
      <c r="AM501" s="1">
        <v>2</v>
      </c>
      <c r="AN501" s="1">
        <f t="shared" si="471"/>
        <v>0</v>
      </c>
      <c r="AO501" s="1">
        <v>2</v>
      </c>
      <c r="AP501" s="1">
        <v>2</v>
      </c>
      <c r="AQ501" s="1">
        <v>2</v>
      </c>
      <c r="AR501" s="1">
        <v>2</v>
      </c>
      <c r="AS501" s="1">
        <v>2</v>
      </c>
      <c r="AT501" s="1">
        <v>2</v>
      </c>
      <c r="AU501" s="1">
        <v>2</v>
      </c>
      <c r="AV501" s="1">
        <v>2</v>
      </c>
      <c r="AW501" s="1">
        <v>1</v>
      </c>
      <c r="AX501" s="1">
        <v>2</v>
      </c>
      <c r="AY501" s="1">
        <v>1</v>
      </c>
      <c r="AZ501" s="1">
        <v>1</v>
      </c>
      <c r="BA501" s="1">
        <v>2</v>
      </c>
      <c r="BB501" s="1">
        <v>1</v>
      </c>
      <c r="BC501" s="1">
        <v>2</v>
      </c>
      <c r="BD501" s="1">
        <v>1</v>
      </c>
      <c r="BE501" s="1">
        <v>2</v>
      </c>
      <c r="BF501" s="1">
        <v>2</v>
      </c>
      <c r="BG501" s="1">
        <f t="shared" si="472"/>
        <v>0</v>
      </c>
      <c r="BH501" s="1">
        <f t="shared" si="473"/>
        <v>0</v>
      </c>
      <c r="BI501" s="1">
        <v>1</v>
      </c>
      <c r="BJ501" s="1">
        <v>1</v>
      </c>
      <c r="BK501" s="1">
        <v>1</v>
      </c>
      <c r="BL501" s="1">
        <v>1</v>
      </c>
      <c r="BM501" s="1">
        <v>1</v>
      </c>
      <c r="BN501" s="1">
        <v>2</v>
      </c>
      <c r="BO501" s="1">
        <v>1</v>
      </c>
      <c r="BP501" s="1">
        <v>2</v>
      </c>
      <c r="BQ501" s="1">
        <f t="shared" si="478"/>
        <v>0</v>
      </c>
      <c r="BR501" s="1">
        <v>2</v>
      </c>
      <c r="BS501" s="1">
        <v>1</v>
      </c>
      <c r="BT501" s="1">
        <f t="shared" si="479"/>
        <v>0</v>
      </c>
      <c r="BU501" s="1">
        <f t="shared" si="480"/>
        <v>0</v>
      </c>
      <c r="BV501" s="1">
        <v>1</v>
      </c>
      <c r="BW501" s="1">
        <v>1</v>
      </c>
      <c r="BX501" s="1">
        <v>1</v>
      </c>
      <c r="BY501" s="1">
        <f>IF(BY$2="Underdark local",2,1)</f>
        <v>1</v>
      </c>
      <c r="BZ501" s="1">
        <f t="shared" ref="BZ501:CE501" si="481">IF(BZ$2="Underdark local",2,1)</f>
        <v>1</v>
      </c>
      <c r="CA501" s="1">
        <f t="shared" si="481"/>
        <v>1</v>
      </c>
      <c r="CB501" s="1">
        <f t="shared" si="481"/>
        <v>1</v>
      </c>
      <c r="CC501" s="1">
        <f t="shared" si="481"/>
        <v>1</v>
      </c>
      <c r="CD501" s="1">
        <f t="shared" si="481"/>
        <v>1</v>
      </c>
      <c r="CE501" s="1">
        <f t="shared" si="481"/>
        <v>1</v>
      </c>
      <c r="CF501" s="1">
        <v>2</v>
      </c>
      <c r="CG501" s="1">
        <f t="shared" si="475"/>
        <v>0</v>
      </c>
      <c r="CH501" s="1">
        <v>2</v>
      </c>
      <c r="CI501" s="1">
        <v>1</v>
      </c>
      <c r="CJ501" s="1">
        <v>1</v>
      </c>
      <c r="CK501" s="1">
        <v>1</v>
      </c>
      <c r="CL501" s="1">
        <v>1</v>
      </c>
      <c r="CM501" s="1">
        <v>1</v>
      </c>
      <c r="CN501" s="1">
        <v>1</v>
      </c>
      <c r="CO501" s="1">
        <v>1</v>
      </c>
      <c r="CP501" s="1">
        <v>1</v>
      </c>
      <c r="CQ501" s="1">
        <v>1</v>
      </c>
      <c r="CR501" s="1">
        <v>1</v>
      </c>
      <c r="CS501" s="1">
        <v>1</v>
      </c>
      <c r="CT501" s="1">
        <v>1</v>
      </c>
      <c r="CU501" s="1">
        <v>1</v>
      </c>
      <c r="CV501" s="1">
        <f t="shared" si="460"/>
        <v>0</v>
      </c>
      <c r="CW501" s="1">
        <v>1</v>
      </c>
      <c r="CX501" s="1">
        <v>1</v>
      </c>
      <c r="CY501" s="1">
        <v>2</v>
      </c>
      <c r="CZ501" s="1">
        <f t="shared" si="476"/>
        <v>0</v>
      </c>
      <c r="DA501" s="1">
        <v>1</v>
      </c>
      <c r="DB501" s="1">
        <v>2</v>
      </c>
      <c r="DC501" s="1">
        <v>2</v>
      </c>
      <c r="DD501" s="1">
        <v>2</v>
      </c>
      <c r="DE501" s="1">
        <v>2</v>
      </c>
      <c r="DF501" s="1">
        <v>1</v>
      </c>
      <c r="DG501" s="1">
        <v>2</v>
      </c>
      <c r="DH501" s="1">
        <v>1</v>
      </c>
      <c r="DI501" s="1">
        <f t="shared" si="462"/>
        <v>0</v>
      </c>
      <c r="DJ501" s="1">
        <v>2</v>
      </c>
      <c r="DK501" s="1" t="s">
        <v>1228</v>
      </c>
      <c r="DL501" s="1" t="s">
        <v>170</v>
      </c>
      <c r="DP501" s="1" t="b">
        <f>AlignmentNonEvil</f>
        <v>1</v>
      </c>
      <c r="DQ501" s="1" t="b">
        <f>SkBalanceRanks&gt;=2</f>
        <v>0</v>
      </c>
      <c r="DR501" s="1" t="b">
        <f>SkClimbRanks&gt;=8</f>
        <v>0</v>
      </c>
      <c r="DS501" s="1" t="b">
        <f>SkDiplomacyRanks&gt;=5</f>
        <v>0</v>
      </c>
      <c r="DT501" s="1" t="b">
        <f>SkGatherInformationRanks&gt;=5</f>
        <v>0</v>
      </c>
      <c r="DU501" s="1" t="b">
        <f>IF(NOT(ISNA(MATCH("Underdark local",TblKnowSkills,0))),INDEX(TblKnowRanks,MATCH("Underdark local",TblCraftSkills,0),1)&gt;=5,FALSE)</f>
        <v>0</v>
      </c>
      <c r="DV501" s="1" t="b">
        <f>SkSurvivalRanks&gt;=5</f>
        <v>0</v>
      </c>
      <c r="DW501" s="1" t="b">
        <f>SkUseRopeRanks&gt;=2</f>
        <v>0</v>
      </c>
      <c r="DX501" s="1" t="b">
        <f>FtAlertness</f>
        <v>0</v>
      </c>
      <c r="DY501" s="1" t="b">
        <f>FtTrack</f>
        <v>0</v>
      </c>
      <c r="DZ501" s="1" t="b">
        <f>LanguagesKnown&gt;=4</f>
        <v>0</v>
      </c>
      <c r="EA501" s="1" t="b">
        <f t="shared" si="477"/>
        <v>0</v>
      </c>
      <c r="EB501" s="11" t="s">
        <v>334</v>
      </c>
      <c r="EC501" s="1" t="str">
        <f>IF(DP501,"","• Any nonevil 
")&amp;IF(DQ501,"","• Balance 2 ranks.
")&amp;IF(DR501,"","• Climb 8 ranks.
")&amp;IF(DS501,"","• Diplomacy 5 ranks.
")&amp;IF(DT501,"","• Gather Information 5 ranks.
")&amp;IF(DU501,"","• Knowledge (Underdak local) 5 ranks.
")&amp;IF(DV501,"","• Survival 5 ranks.
")&amp;IF(DW501,"","• Use Rope 2 ranks.
")&amp;IF(DX501,"","• Alertness feat.
")&amp;IF(DY501,"","• Track feat
")&amp;IF(DZ501,"","• Must know 4 languages.")</f>
        <v>• Balance 2 ranks.
• Climb 8 ranks.
• Diplomacy 5 ranks.
• Gather Information 5 ranks.
• Knowledge (Underdak local) 5 ranks.
• Survival 5 ranks.
• Use Rope 2 ranks.
• Alertness feat.
• Track feat
• Must know 4 languages.</v>
      </c>
      <c r="ED501" s="11" t="s">
        <v>335</v>
      </c>
    </row>
    <row r="502" spans="1:134" ht="11.25" customHeight="1" x14ac:dyDescent="0.2">
      <c r="A502" s="1">
        <f t="shared" si="432"/>
        <v>499</v>
      </c>
      <c r="B502" s="1" t="s">
        <v>1244</v>
      </c>
      <c r="C502" s="1" t="s">
        <v>1245</v>
      </c>
      <c r="D502" s="1" t="s">
        <v>1245</v>
      </c>
      <c r="E502" s="1">
        <f t="shared" si="464"/>
        <v>0</v>
      </c>
      <c r="G502" s="1">
        <f>SMWLvl</f>
        <v>0</v>
      </c>
      <c r="K502" s="1">
        <v>2</v>
      </c>
      <c r="L502" s="1">
        <v>8</v>
      </c>
      <c r="V502" s="1">
        <v>0.75</v>
      </c>
      <c r="W502" s="1">
        <v>0.5</v>
      </c>
      <c r="X502" s="1">
        <v>0.34</v>
      </c>
      <c r="Y502" s="1">
        <v>0.5</v>
      </c>
      <c r="Z502" s="1" t="b">
        <f>FALSE</f>
        <v>0</v>
      </c>
      <c r="AA502" s="1" t="str">
        <f t="shared" si="467"/>
        <v/>
      </c>
      <c r="AB502" s="1" t="str">
        <f t="shared" si="468"/>
        <v/>
      </c>
      <c r="AC502" s="1">
        <f t="shared" si="465"/>
        <v>0</v>
      </c>
      <c r="AD502" s="1" t="str">
        <f t="shared" si="469"/>
        <v/>
      </c>
      <c r="AE502" s="1" t="str">
        <f t="shared" si="470"/>
        <v/>
      </c>
      <c r="AF502" s="1">
        <f t="shared" si="466"/>
        <v>0</v>
      </c>
      <c r="AG502" s="1">
        <f t="shared" si="445"/>
        <v>5</v>
      </c>
      <c r="AH502" s="1" t="str">
        <f t="shared" si="444"/>
        <v/>
      </c>
      <c r="AI502" s="1">
        <v>1</v>
      </c>
      <c r="AJ502" s="1">
        <f t="shared" si="455"/>
        <v>0</v>
      </c>
      <c r="AK502" s="1">
        <v>1</v>
      </c>
      <c r="AL502" s="1">
        <v>1</v>
      </c>
      <c r="AM502" s="1">
        <v>1</v>
      </c>
      <c r="AN502" s="1">
        <f t="shared" si="471"/>
        <v>0</v>
      </c>
      <c r="AO502" s="1">
        <v>2</v>
      </c>
      <c r="AP502" s="1">
        <v>2</v>
      </c>
      <c r="AQ502" s="1">
        <v>2</v>
      </c>
      <c r="AR502" s="1">
        <v>2</v>
      </c>
      <c r="AS502" s="1">
        <v>2</v>
      </c>
      <c r="AT502" s="1">
        <v>2</v>
      </c>
      <c r="AU502" s="1">
        <v>2</v>
      </c>
      <c r="AV502" s="1">
        <v>2</v>
      </c>
      <c r="AW502" s="1">
        <v>1</v>
      </c>
      <c r="AX502" s="1">
        <v>2</v>
      </c>
      <c r="AY502" s="1">
        <v>1</v>
      </c>
      <c r="AZ502" s="1">
        <v>1</v>
      </c>
      <c r="BA502" s="1">
        <v>1</v>
      </c>
      <c r="BB502" s="1">
        <v>1</v>
      </c>
      <c r="BC502" s="1">
        <v>1</v>
      </c>
      <c r="BD502" s="1">
        <v>1</v>
      </c>
      <c r="BE502" s="1">
        <v>2</v>
      </c>
      <c r="BF502" s="1">
        <v>1</v>
      </c>
      <c r="BG502" s="1">
        <f t="shared" si="472"/>
        <v>0</v>
      </c>
      <c r="BH502" s="1">
        <f t="shared" si="473"/>
        <v>0</v>
      </c>
      <c r="BI502" s="1">
        <v>1</v>
      </c>
      <c r="BJ502" s="1">
        <v>1</v>
      </c>
      <c r="BK502" s="1">
        <v>2</v>
      </c>
      <c r="BL502" s="1">
        <v>1</v>
      </c>
      <c r="BM502" s="1">
        <v>1</v>
      </c>
      <c r="BN502" s="1">
        <v>1</v>
      </c>
      <c r="BO502" s="1">
        <v>1</v>
      </c>
      <c r="BP502" s="1">
        <v>1</v>
      </c>
      <c r="BQ502" s="1">
        <f t="shared" si="478"/>
        <v>0</v>
      </c>
      <c r="BR502" s="1">
        <v>1</v>
      </c>
      <c r="BS502" s="1">
        <v>1</v>
      </c>
      <c r="BT502" s="1">
        <f t="shared" si="479"/>
        <v>0</v>
      </c>
      <c r="BU502" s="1">
        <f t="shared" si="480"/>
        <v>0</v>
      </c>
      <c r="BV502" s="1">
        <v>2</v>
      </c>
      <c r="BW502" s="1">
        <v>1</v>
      </c>
      <c r="BX502" s="1">
        <v>1</v>
      </c>
      <c r="BY502" s="1">
        <v>1</v>
      </c>
      <c r="BZ502" s="1">
        <v>1</v>
      </c>
      <c r="CA502" s="1">
        <v>1</v>
      </c>
      <c r="CB502" s="1">
        <v>1</v>
      </c>
      <c r="CC502" s="1">
        <v>1</v>
      </c>
      <c r="CD502" s="1">
        <v>1</v>
      </c>
      <c r="CE502" s="1">
        <v>1</v>
      </c>
      <c r="CF502" s="1">
        <v>1</v>
      </c>
      <c r="CG502" s="1">
        <f t="shared" si="475"/>
        <v>0</v>
      </c>
      <c r="CH502" s="1">
        <v>1</v>
      </c>
      <c r="CI502" s="1">
        <v>1</v>
      </c>
      <c r="CJ502" s="1">
        <v>1</v>
      </c>
      <c r="CK502" s="1">
        <v>1</v>
      </c>
      <c r="CL502" s="1">
        <v>1</v>
      </c>
      <c r="CM502" s="1">
        <v>1</v>
      </c>
      <c r="CN502" s="1">
        <v>1</v>
      </c>
      <c r="CO502" s="1">
        <v>1</v>
      </c>
      <c r="CP502" s="1">
        <v>2</v>
      </c>
      <c r="CQ502" s="1">
        <v>2</v>
      </c>
      <c r="CR502" s="1">
        <v>2</v>
      </c>
      <c r="CS502" s="1">
        <v>2</v>
      </c>
      <c r="CT502" s="1">
        <v>2</v>
      </c>
      <c r="CU502" s="1">
        <v>2</v>
      </c>
      <c r="CV502" s="1">
        <f t="shared" si="460"/>
        <v>0</v>
      </c>
      <c r="CW502" s="1">
        <v>1</v>
      </c>
      <c r="CX502" s="1">
        <v>1</v>
      </c>
      <c r="CY502" s="1">
        <v>1</v>
      </c>
      <c r="CZ502" s="1">
        <f t="shared" si="476"/>
        <v>0</v>
      </c>
      <c r="DA502" s="1">
        <v>1</v>
      </c>
      <c r="DB502" s="1">
        <v>1</v>
      </c>
      <c r="DC502" s="1">
        <v>2</v>
      </c>
      <c r="DD502" s="1">
        <v>1</v>
      </c>
      <c r="DE502" s="1">
        <v>1</v>
      </c>
      <c r="DF502" s="1">
        <v>1</v>
      </c>
      <c r="DG502" s="1">
        <v>1</v>
      </c>
      <c r="DH502" s="1">
        <v>1</v>
      </c>
      <c r="DI502" s="1">
        <f t="shared" si="462"/>
        <v>0</v>
      </c>
      <c r="DJ502" s="1">
        <v>1</v>
      </c>
      <c r="DK502" s="1" t="s">
        <v>1228</v>
      </c>
      <c r="DL502" s="1" t="s">
        <v>170</v>
      </c>
      <c r="DW502" s="1" t="b">
        <f>OR(AlignmentEvil,AlignmentTrueNeutral)</f>
        <v>0</v>
      </c>
      <c r="DX502" s="1" t="b">
        <f>SkKnowledgeReligionRanks&gt;=5</f>
        <v>0</v>
      </c>
      <c r="DY502" s="1" t="b">
        <f ca="1">MaxSpellLevel&gt;=3</f>
        <v>0</v>
      </c>
      <c r="DZ502" s="1" t="b">
        <f>Deity="Blibdoolpoolp"</f>
        <v>0</v>
      </c>
      <c r="EA502" s="1" t="b">
        <f ca="1">AND(DM502:DZ502)</f>
        <v>0</v>
      </c>
      <c r="EB502" s="11" t="s">
        <v>334</v>
      </c>
      <c r="EC502" s="1" t="str">
        <f ca="1">IF(DW502,"","• Lawful Evil, Neutral Evil, Chaotic Evil, or Neutral alignment.
")&amp;IF(DX502,"","• Knowledge (religion) 5 ranks.
")&amp;IF(DY502,"","• Ability to cast 3rd level spells.
")&amp;IF(DZ502,"","• Patron Deity: Blibdooloolp.
")</f>
        <v xml:space="preserve">• Lawful Evil, Neutral Evil, Chaotic Evil, or Neutral alignment.
• Knowledge (religion) 5 ranks.
• Ability to cast 3rd level spells.
• Patron Deity: Blibdooloolp.
</v>
      </c>
      <c r="ED502" s="11" t="s">
        <v>335</v>
      </c>
    </row>
    <row r="503" spans="1:134" ht="11.25" customHeight="1" x14ac:dyDescent="0.2">
      <c r="A503" s="1">
        <f t="shared" si="432"/>
        <v>500</v>
      </c>
      <c r="B503" s="1" t="s">
        <v>1246</v>
      </c>
      <c r="C503" s="1" t="s">
        <v>593</v>
      </c>
      <c r="D503" s="1" t="s">
        <v>593</v>
      </c>
      <c r="E503" s="1">
        <f t="shared" si="464"/>
        <v>0</v>
      </c>
      <c r="G503" s="1">
        <f>SDCLvl</f>
        <v>0</v>
      </c>
      <c r="K503" s="1">
        <v>2</v>
      </c>
      <c r="L503" s="1">
        <v>4</v>
      </c>
      <c r="V503" s="1">
        <v>0.75</v>
      </c>
      <c r="W503" s="1">
        <v>0.34</v>
      </c>
      <c r="X503" s="1">
        <v>0.34</v>
      </c>
      <c r="Y503" s="1">
        <v>0.5</v>
      </c>
      <c r="Z503" s="1" t="b">
        <f>FALSE</f>
        <v>0</v>
      </c>
      <c r="AA503" s="1" t="str">
        <f t="shared" si="467"/>
        <v/>
      </c>
      <c r="AB503" s="1" t="str">
        <f t="shared" si="468"/>
        <v/>
      </c>
      <c r="AC503" s="1">
        <f t="shared" si="465"/>
        <v>0</v>
      </c>
      <c r="AD503" s="1" t="str">
        <f t="shared" si="469"/>
        <v/>
      </c>
      <c r="AE503" s="1" t="str">
        <f t="shared" si="470"/>
        <v/>
      </c>
      <c r="AF503" s="1">
        <f t="shared" si="466"/>
        <v>0</v>
      </c>
      <c r="AG503" s="1">
        <f t="shared" si="445"/>
        <v>5</v>
      </c>
      <c r="AH503" s="1" t="str">
        <f t="shared" si="444"/>
        <v/>
      </c>
      <c r="AI503" s="1">
        <v>1</v>
      </c>
      <c r="AJ503" s="1">
        <f t="shared" si="455"/>
        <v>0</v>
      </c>
      <c r="AK503" s="1">
        <v>1</v>
      </c>
      <c r="AL503" s="1">
        <v>1</v>
      </c>
      <c r="AM503" s="1">
        <v>1</v>
      </c>
      <c r="AN503" s="1">
        <f t="shared" si="471"/>
        <v>0</v>
      </c>
      <c r="AO503" s="1">
        <v>2</v>
      </c>
      <c r="AP503" s="1">
        <v>2</v>
      </c>
      <c r="AQ503" s="1">
        <v>2</v>
      </c>
      <c r="AR503" s="1">
        <v>2</v>
      </c>
      <c r="AS503" s="1">
        <v>2</v>
      </c>
      <c r="AT503" s="1">
        <v>2</v>
      </c>
      <c r="AU503" s="1">
        <v>2</v>
      </c>
      <c r="AV503" s="1">
        <v>2</v>
      </c>
      <c r="AW503" s="1">
        <v>1</v>
      </c>
      <c r="AX503" s="1">
        <v>1</v>
      </c>
      <c r="AY503" s="1">
        <v>1</v>
      </c>
      <c r="AZ503" s="1">
        <v>2</v>
      </c>
      <c r="BA503" s="1">
        <v>1</v>
      </c>
      <c r="BB503" s="1">
        <v>1</v>
      </c>
      <c r="BC503" s="1">
        <v>1</v>
      </c>
      <c r="BD503" s="1">
        <v>1</v>
      </c>
      <c r="BE503" s="1">
        <v>1</v>
      </c>
      <c r="BF503" s="1">
        <v>1</v>
      </c>
      <c r="BG503" s="1">
        <f t="shared" si="472"/>
        <v>0</v>
      </c>
      <c r="BH503" s="1">
        <f t="shared" si="473"/>
        <v>0</v>
      </c>
      <c r="BI503" s="1">
        <v>1</v>
      </c>
      <c r="BJ503" s="1">
        <v>1</v>
      </c>
      <c r="BK503" s="1">
        <v>2</v>
      </c>
      <c r="BL503" s="1">
        <v>2</v>
      </c>
      <c r="BM503" s="1">
        <v>2</v>
      </c>
      <c r="BN503" s="1">
        <v>2</v>
      </c>
      <c r="BO503" s="1">
        <v>2</v>
      </c>
      <c r="BP503" s="1">
        <v>2</v>
      </c>
      <c r="BQ503" s="1">
        <f>IF(HRRVL,2,0)</f>
        <v>0</v>
      </c>
      <c r="BR503" s="1">
        <v>2</v>
      </c>
      <c r="BS503" s="1">
        <v>2</v>
      </c>
      <c r="BT503" s="1">
        <f>IF(HRXPH,2,0)</f>
        <v>0</v>
      </c>
      <c r="BU503" s="1">
        <f>IF(HRRVL,2,0)</f>
        <v>0</v>
      </c>
      <c r="BV503" s="1">
        <v>2</v>
      </c>
      <c r="BW503" s="1">
        <v>2</v>
      </c>
      <c r="BX503" s="1">
        <v>2</v>
      </c>
      <c r="BY503" s="1">
        <v>2</v>
      </c>
      <c r="BZ503" s="1">
        <v>2</v>
      </c>
      <c r="CA503" s="1">
        <v>2</v>
      </c>
      <c r="CB503" s="1">
        <v>2</v>
      </c>
      <c r="CC503" s="1">
        <v>2</v>
      </c>
      <c r="CD503" s="1">
        <v>2</v>
      </c>
      <c r="CE503" s="1">
        <v>2</v>
      </c>
      <c r="CF503" s="1">
        <v>1</v>
      </c>
      <c r="CG503" s="1">
        <f t="shared" si="475"/>
        <v>0</v>
      </c>
      <c r="CH503" s="1">
        <v>1</v>
      </c>
      <c r="CI503" s="1">
        <v>1</v>
      </c>
      <c r="CJ503" s="1">
        <v>1</v>
      </c>
      <c r="CK503" s="1">
        <v>1</v>
      </c>
      <c r="CL503" s="1">
        <v>1</v>
      </c>
      <c r="CM503" s="1">
        <v>1</v>
      </c>
      <c r="CN503" s="1">
        <v>1</v>
      </c>
      <c r="CO503" s="1">
        <v>1</v>
      </c>
      <c r="CP503" s="1">
        <v>2</v>
      </c>
      <c r="CQ503" s="1">
        <v>2</v>
      </c>
      <c r="CR503" s="1">
        <v>2</v>
      </c>
      <c r="CS503" s="1">
        <v>2</v>
      </c>
      <c r="CT503" s="1">
        <v>2</v>
      </c>
      <c r="CU503" s="1">
        <v>2</v>
      </c>
      <c r="CV503" s="1">
        <f t="shared" si="460"/>
        <v>0</v>
      </c>
      <c r="CW503" s="1">
        <v>1</v>
      </c>
      <c r="CX503" s="1">
        <v>1</v>
      </c>
      <c r="CY503" s="1">
        <v>1</v>
      </c>
      <c r="CZ503" s="1">
        <f t="shared" si="476"/>
        <v>0</v>
      </c>
      <c r="DA503" s="1">
        <v>1</v>
      </c>
      <c r="DB503" s="1">
        <v>1</v>
      </c>
      <c r="DC503" s="1">
        <v>2</v>
      </c>
      <c r="DD503" s="1">
        <v>2</v>
      </c>
      <c r="DE503" s="1">
        <v>1</v>
      </c>
      <c r="DF503" s="1">
        <v>1</v>
      </c>
      <c r="DG503" s="1">
        <v>1</v>
      </c>
      <c r="DH503" s="1">
        <v>1</v>
      </c>
      <c r="DI503" s="1">
        <f t="shared" si="462"/>
        <v>0</v>
      </c>
      <c r="DJ503" s="1">
        <v>1</v>
      </c>
      <c r="DK503" s="1" t="s">
        <v>1228</v>
      </c>
      <c r="DL503" s="1" t="s">
        <v>170</v>
      </c>
      <c r="DW503" s="1" t="b">
        <f>NOT(ISNA(MATCH("Illusion",TblSpellFocus,0)))</f>
        <v>0</v>
      </c>
      <c r="DX503" s="1" t="b">
        <f>NOT(ISNA(MATCH("Illusion",TblGreaterSpellFocus,0)))</f>
        <v>0</v>
      </c>
      <c r="DY503" s="1" t="b">
        <f>SkDisguiseRanks&gt;=4</f>
        <v>0</v>
      </c>
      <c r="DZ503" s="1" t="b">
        <f ca="1">MaxSpellLevel&gt;=3</f>
        <v>0</v>
      </c>
      <c r="EA503" s="1" t="b">
        <f ca="1">AND(DM503:DZ503)</f>
        <v>0</v>
      </c>
      <c r="EB503" s="11" t="s">
        <v>334</v>
      </c>
      <c r="EC503" s="1" t="str">
        <f ca="1">IF(DW503,"","• Spell Focus (Illusion).
")&amp;IF(DX503,"","• Greater Spell Focus (Illusion).
")&amp;IF(DY503,"","• Disguise 4 ranks.
")&amp;IF(DZ503,"","• Able to cast any 3rd level or higher spell with the illusion (shadow) descriptor.
")</f>
        <v xml:space="preserve">• Spell Focus (Illusion).
• Greater Spell Focus (Illusion).
• Disguise 4 ranks.
• Able to cast any 3rd level or higher spell with the illusion (shadow) descriptor.
</v>
      </c>
      <c r="ED503" s="11" t="s">
        <v>335</v>
      </c>
    </row>
    <row r="504" spans="1:134" ht="11.25" customHeight="1" x14ac:dyDescent="0.2">
      <c r="A504" s="1">
        <f t="shared" si="432"/>
        <v>501</v>
      </c>
      <c r="B504" s="1" t="s">
        <v>1247</v>
      </c>
      <c r="C504" s="1" t="s">
        <v>1248</v>
      </c>
      <c r="D504" s="1" t="s">
        <v>1248</v>
      </c>
      <c r="E504" s="1">
        <f t="shared" si="464"/>
        <v>0</v>
      </c>
      <c r="G504" s="1">
        <f>VKPLvl</f>
        <v>0</v>
      </c>
      <c r="K504" s="1">
        <v>4</v>
      </c>
      <c r="L504" s="1">
        <v>8</v>
      </c>
      <c r="V504" s="1">
        <v>0.75</v>
      </c>
      <c r="W504" s="1">
        <v>0.5</v>
      </c>
      <c r="X504" s="1">
        <v>0.34</v>
      </c>
      <c r="Y504" s="1">
        <v>0.5</v>
      </c>
      <c r="Z504" s="1" t="b">
        <f>FALSE</f>
        <v>0</v>
      </c>
      <c r="AA504" s="1" t="str">
        <f t="shared" si="467"/>
        <v/>
      </c>
      <c r="AB504" s="1" t="str">
        <f t="shared" si="468"/>
        <v/>
      </c>
      <c r="AC504" s="1">
        <f t="shared" si="465"/>
        <v>0</v>
      </c>
      <c r="AD504" s="1" t="str">
        <f t="shared" si="469"/>
        <v/>
      </c>
      <c r="AE504" s="1" t="str">
        <f t="shared" si="470"/>
        <v/>
      </c>
      <c r="AF504" s="1">
        <f t="shared" si="466"/>
        <v>0</v>
      </c>
      <c r="AG504" s="1">
        <f t="shared" si="445"/>
        <v>5</v>
      </c>
      <c r="AH504" s="1" t="str">
        <f t="shared" si="444"/>
        <v/>
      </c>
      <c r="AI504" s="1">
        <v>1</v>
      </c>
      <c r="AJ504" s="1">
        <f t="shared" si="455"/>
        <v>0</v>
      </c>
      <c r="AK504" s="1">
        <v>1</v>
      </c>
      <c r="AL504" s="1">
        <v>1</v>
      </c>
      <c r="AM504" s="1">
        <v>1</v>
      </c>
      <c r="AN504" s="1">
        <f t="shared" si="471"/>
        <v>0</v>
      </c>
      <c r="AO504" s="1">
        <v>2</v>
      </c>
      <c r="AP504" s="1">
        <v>2</v>
      </c>
      <c r="AQ504" s="1">
        <v>2</v>
      </c>
      <c r="AR504" s="1">
        <v>2</v>
      </c>
      <c r="AS504" s="1">
        <v>2</v>
      </c>
      <c r="AT504" s="1">
        <v>2</v>
      </c>
      <c r="AU504" s="1">
        <v>2</v>
      </c>
      <c r="AV504" s="1">
        <v>2</v>
      </c>
      <c r="AW504" s="1">
        <v>1</v>
      </c>
      <c r="AX504" s="1">
        <v>1</v>
      </c>
      <c r="AY504" s="1">
        <v>1</v>
      </c>
      <c r="AZ504" s="1">
        <v>1</v>
      </c>
      <c r="BA504" s="1">
        <v>1</v>
      </c>
      <c r="BB504" s="1">
        <v>1</v>
      </c>
      <c r="BC504" s="1">
        <v>1</v>
      </c>
      <c r="BD504" s="1">
        <v>2</v>
      </c>
      <c r="BE504" s="1">
        <v>1</v>
      </c>
      <c r="BF504" s="1">
        <v>1</v>
      </c>
      <c r="BG504" s="1">
        <f t="shared" si="472"/>
        <v>0</v>
      </c>
      <c r="BH504" s="1">
        <f t="shared" si="473"/>
        <v>0</v>
      </c>
      <c r="BI504" s="1">
        <v>1</v>
      </c>
      <c r="BJ504" s="1">
        <v>1</v>
      </c>
      <c r="BK504" s="1">
        <v>1</v>
      </c>
      <c r="BL504" s="1">
        <v>1</v>
      </c>
      <c r="BM504" s="1">
        <v>1</v>
      </c>
      <c r="BN504" s="1">
        <v>1</v>
      </c>
      <c r="BO504" s="1">
        <v>1</v>
      </c>
      <c r="BP504" s="1">
        <v>1</v>
      </c>
      <c r="BQ504" s="1">
        <f>IF(HRRVL,1,0)</f>
        <v>0</v>
      </c>
      <c r="BR504" s="1">
        <v>2</v>
      </c>
      <c r="BS504" s="1">
        <v>1</v>
      </c>
      <c r="BT504" s="1">
        <f>IF(HRXPH,1,0)</f>
        <v>0</v>
      </c>
      <c r="BU504" s="1">
        <f>IF(HRRVL,1,0)</f>
        <v>0</v>
      </c>
      <c r="BV504" s="1">
        <v>1</v>
      </c>
      <c r="BW504" s="1">
        <v>1</v>
      </c>
      <c r="BX504" s="1">
        <v>1</v>
      </c>
      <c r="BY504" s="1">
        <f>IF(BY$2="Underdark local",2,1)</f>
        <v>1</v>
      </c>
      <c r="BZ504" s="1">
        <f t="shared" ref="BZ504:CE504" si="482">IF(BZ$2="Underdark local",2,1)</f>
        <v>1</v>
      </c>
      <c r="CA504" s="1">
        <f t="shared" si="482"/>
        <v>1</v>
      </c>
      <c r="CB504" s="1">
        <f t="shared" si="482"/>
        <v>1</v>
      </c>
      <c r="CC504" s="1">
        <f t="shared" si="482"/>
        <v>1</v>
      </c>
      <c r="CD504" s="1">
        <f t="shared" si="482"/>
        <v>1</v>
      </c>
      <c r="CE504" s="1">
        <f t="shared" si="482"/>
        <v>1</v>
      </c>
      <c r="CF504" s="1">
        <v>1</v>
      </c>
      <c r="CG504" s="1">
        <f t="shared" si="475"/>
        <v>0</v>
      </c>
      <c r="CH504" s="1">
        <v>1</v>
      </c>
      <c r="CI504" s="1">
        <v>1</v>
      </c>
      <c r="CJ504" s="1">
        <v>1</v>
      </c>
      <c r="CK504" s="1">
        <v>1</v>
      </c>
      <c r="CL504" s="1">
        <v>1</v>
      </c>
      <c r="CM504" s="1">
        <v>1</v>
      </c>
      <c r="CN504" s="1">
        <v>1</v>
      </c>
      <c r="CO504" s="1">
        <v>1</v>
      </c>
      <c r="CP504" s="1">
        <v>2</v>
      </c>
      <c r="CQ504" s="1">
        <v>2</v>
      </c>
      <c r="CR504" s="1">
        <v>2</v>
      </c>
      <c r="CS504" s="1">
        <v>2</v>
      </c>
      <c r="CT504" s="1">
        <v>2</v>
      </c>
      <c r="CU504" s="1">
        <v>2</v>
      </c>
      <c r="CV504" s="1">
        <f t="shared" si="460"/>
        <v>0</v>
      </c>
      <c r="CW504" s="1">
        <v>1</v>
      </c>
      <c r="CX504" s="1">
        <v>1</v>
      </c>
      <c r="CY504" s="1">
        <v>1</v>
      </c>
      <c r="CZ504" s="1">
        <f t="shared" si="476"/>
        <v>0</v>
      </c>
      <c r="DA504" s="1">
        <v>1</v>
      </c>
      <c r="DB504" s="1">
        <v>1</v>
      </c>
      <c r="DC504" s="1">
        <v>2</v>
      </c>
      <c r="DD504" s="1">
        <v>2</v>
      </c>
      <c r="DE504" s="1">
        <v>2</v>
      </c>
      <c r="DF504" s="1">
        <v>2</v>
      </c>
      <c r="DG504" s="1">
        <v>1</v>
      </c>
      <c r="DH504" s="1">
        <v>1</v>
      </c>
      <c r="DI504" s="1">
        <f t="shared" si="462"/>
        <v>0</v>
      </c>
      <c r="DJ504" s="1">
        <v>1</v>
      </c>
      <c r="DK504" s="1" t="s">
        <v>1228</v>
      </c>
      <c r="DL504" s="1" t="s">
        <v>170</v>
      </c>
      <c r="DW504" s="1" t="b">
        <f>SkHandleAnimalRanks&gt;=8</f>
        <v>0</v>
      </c>
      <c r="DX504" s="1" t="b">
        <f>SkKnowledgeNatureRanks&gt;=8</f>
        <v>0</v>
      </c>
      <c r="DY504" s="1" t="b">
        <f>FtIronWill</f>
        <v>0</v>
      </c>
      <c r="DZ504" s="1" t="b">
        <f>WildShapeAmount&gt;=1</f>
        <v>0</v>
      </c>
      <c r="EA504" s="1" t="b">
        <f t="shared" si="477"/>
        <v>0</v>
      </c>
      <c r="EB504" s="11" t="s">
        <v>334</v>
      </c>
      <c r="EC504" s="1" t="str">
        <f>IF(DW504,"","• Handle Animal 8 ranks.
")&amp;IF(DX504,"","• Knowledge (nature) 8 ranks.
")&amp;IF(DY504,"","• Iron Will feat.
")&amp;IF(DZ504,"","• Wild Shape Ability.
")</f>
        <v xml:space="preserve">• Handle Animal 8 ranks.
• Knowledge (nature) 8 ranks.
• Iron Will feat.
• Wild Shape Ability.
</v>
      </c>
      <c r="ED504" s="11" t="s">
        <v>335</v>
      </c>
    </row>
    <row r="505" spans="1:134" ht="11.25" customHeight="1" x14ac:dyDescent="0.2">
      <c r="A505" s="1">
        <f t="shared" si="432"/>
        <v>502</v>
      </c>
      <c r="B505" s="1" t="s">
        <v>1249</v>
      </c>
      <c r="C505" s="1" t="s">
        <v>1250</v>
      </c>
      <c r="D505" s="1" t="s">
        <v>1250</v>
      </c>
      <c r="E505" s="1">
        <f t="shared" si="464"/>
        <v>0</v>
      </c>
      <c r="K505" s="1">
        <v>6</v>
      </c>
      <c r="L505" s="1">
        <v>8</v>
      </c>
      <c r="N505" s="1" t="b">
        <v>1</v>
      </c>
      <c r="V505" s="1">
        <v>0.75</v>
      </c>
      <c r="W505" s="1">
        <v>0.34</v>
      </c>
      <c r="X505" s="1">
        <v>0.5</v>
      </c>
      <c r="Y505" s="1">
        <v>0.34</v>
      </c>
      <c r="Z505" s="1" t="b">
        <f>FALSE</f>
        <v>0</v>
      </c>
      <c r="AA505" s="1" t="str">
        <f t="shared" si="467"/>
        <v/>
      </c>
      <c r="AB505" s="1" t="str">
        <f t="shared" si="468"/>
        <v/>
      </c>
      <c r="AC505" s="1">
        <f t="shared" si="465"/>
        <v>0</v>
      </c>
      <c r="AD505" s="1" t="str">
        <f t="shared" si="469"/>
        <v/>
      </c>
      <c r="AE505" s="1" t="str">
        <f t="shared" si="470"/>
        <v/>
      </c>
      <c r="AF505" s="1">
        <f t="shared" si="466"/>
        <v>0</v>
      </c>
      <c r="AG505" s="1">
        <f t="shared" si="445"/>
        <v>5</v>
      </c>
      <c r="AH505" s="1" t="str">
        <f t="shared" si="444"/>
        <v/>
      </c>
      <c r="AI505" s="1">
        <v>1</v>
      </c>
      <c r="AJ505" s="1">
        <f t="shared" si="455"/>
        <v>0</v>
      </c>
      <c r="AK505" s="1">
        <v>2</v>
      </c>
      <c r="AL505" s="1">
        <v>1</v>
      </c>
      <c r="AM505" s="1">
        <v>1</v>
      </c>
      <c r="AN505" s="1">
        <f t="shared" si="471"/>
        <v>0</v>
      </c>
      <c r="AO505" s="1">
        <v>1</v>
      </c>
      <c r="AP505" s="1">
        <v>1</v>
      </c>
      <c r="AQ505" s="1">
        <f t="shared" ref="AQ505:AV505" si="483">IF(AQ$2="Trapmaking",2,1)</f>
        <v>1</v>
      </c>
      <c r="AR505" s="1">
        <f t="shared" si="483"/>
        <v>1</v>
      </c>
      <c r="AS505" s="1">
        <f t="shared" si="483"/>
        <v>1</v>
      </c>
      <c r="AT505" s="1">
        <f t="shared" si="483"/>
        <v>1</v>
      </c>
      <c r="AU505" s="1">
        <f t="shared" si="483"/>
        <v>1</v>
      </c>
      <c r="AV505" s="1">
        <f t="shared" si="483"/>
        <v>1</v>
      </c>
      <c r="AW505" s="1">
        <v>1</v>
      </c>
      <c r="AX505" s="1">
        <v>1</v>
      </c>
      <c r="AY505" s="1">
        <v>1</v>
      </c>
      <c r="AZ505" s="1">
        <v>1</v>
      </c>
      <c r="BA505" s="1">
        <v>2</v>
      </c>
      <c r="BB505" s="1">
        <v>1</v>
      </c>
      <c r="BC505" s="1">
        <v>1</v>
      </c>
      <c r="BD505" s="1">
        <v>1</v>
      </c>
      <c r="BE505" s="1">
        <v>1</v>
      </c>
      <c r="BF505" s="1">
        <v>2</v>
      </c>
      <c r="BG505" s="1">
        <f t="shared" si="472"/>
        <v>0</v>
      </c>
      <c r="BH505" s="1">
        <f t="shared" si="473"/>
        <v>0</v>
      </c>
      <c r="BI505" s="1">
        <v>1</v>
      </c>
      <c r="BJ505" s="1">
        <v>2</v>
      </c>
      <c r="BK505" s="1">
        <v>2</v>
      </c>
      <c r="BL505" s="1">
        <v>1</v>
      </c>
      <c r="BM505" s="1">
        <v>1</v>
      </c>
      <c r="BN505" s="1">
        <v>1</v>
      </c>
      <c r="BO505" s="1">
        <v>1</v>
      </c>
      <c r="BP505" s="1">
        <v>1</v>
      </c>
      <c r="BQ505" s="1">
        <f>IF(HRRVL,1,0)</f>
        <v>0</v>
      </c>
      <c r="BR505" s="1">
        <v>1</v>
      </c>
      <c r="BS505" s="1">
        <v>1</v>
      </c>
      <c r="BT505" s="1">
        <f>IF(HRXPH,1,0)</f>
        <v>0</v>
      </c>
      <c r="BU505" s="1">
        <f>IF(HRRVL,1,0)</f>
        <v>0</v>
      </c>
      <c r="BV505" s="1">
        <v>1</v>
      </c>
      <c r="BW505" s="1">
        <v>1</v>
      </c>
      <c r="BX505" s="1">
        <v>1</v>
      </c>
      <c r="BY505" s="1">
        <v>1</v>
      </c>
      <c r="BZ505" s="1">
        <v>1</v>
      </c>
      <c r="CA505" s="1">
        <v>1</v>
      </c>
      <c r="CB505" s="1">
        <v>1</v>
      </c>
      <c r="CC505" s="1">
        <v>1</v>
      </c>
      <c r="CD505" s="1">
        <v>1</v>
      </c>
      <c r="CE505" s="1">
        <v>1</v>
      </c>
      <c r="CF505" s="1">
        <v>2</v>
      </c>
      <c r="CG505" s="1">
        <f t="shared" si="475"/>
        <v>0</v>
      </c>
      <c r="CH505" s="1">
        <v>2</v>
      </c>
      <c r="CI505" s="1">
        <v>1</v>
      </c>
      <c r="CJ505" s="1">
        <v>1</v>
      </c>
      <c r="CK505" s="1">
        <v>1</v>
      </c>
      <c r="CL505" s="1">
        <v>1</v>
      </c>
      <c r="CM505" s="1">
        <v>1</v>
      </c>
      <c r="CN505" s="1">
        <v>1</v>
      </c>
      <c r="CO505" s="1">
        <v>1</v>
      </c>
      <c r="CP505" s="1">
        <v>1</v>
      </c>
      <c r="CQ505" s="1">
        <v>1</v>
      </c>
      <c r="CR505" s="1">
        <v>1</v>
      </c>
      <c r="CS505" s="1">
        <v>1</v>
      </c>
      <c r="CT505" s="1">
        <v>1</v>
      </c>
      <c r="CU505" s="1">
        <v>1</v>
      </c>
      <c r="CV505" s="1">
        <f t="shared" si="460"/>
        <v>0</v>
      </c>
      <c r="CW505" s="1">
        <v>1</v>
      </c>
      <c r="CX505" s="1">
        <v>2</v>
      </c>
      <c r="CY505" s="1">
        <v>1</v>
      </c>
      <c r="CZ505" s="1">
        <f t="shared" si="476"/>
        <v>0</v>
      </c>
      <c r="DA505" s="1">
        <v>1</v>
      </c>
      <c r="DB505" s="1">
        <v>1</v>
      </c>
      <c r="DC505" s="1">
        <v>2</v>
      </c>
      <c r="DD505" s="1">
        <v>2</v>
      </c>
      <c r="DE505" s="1">
        <v>1</v>
      </c>
      <c r="DF505" s="1">
        <v>1</v>
      </c>
      <c r="DG505" s="1">
        <v>2</v>
      </c>
      <c r="DH505" s="1">
        <v>1</v>
      </c>
      <c r="DI505" s="1">
        <f t="shared" si="462"/>
        <v>0</v>
      </c>
      <c r="DJ505" s="1">
        <v>2</v>
      </c>
      <c r="DK505" s="1" t="s">
        <v>1228</v>
      </c>
      <c r="DL505" s="1" t="s">
        <v>170</v>
      </c>
      <c r="DV505" s="1" t="b">
        <f>SkHideRanks&gt;=8</f>
        <v>0</v>
      </c>
      <c r="DW505" s="1" t="b">
        <f>SkMoveSilentlyRanks&gt;=4</f>
        <v>0</v>
      </c>
      <c r="DX505" s="1" t="b">
        <f>FtDodgeEquiv</f>
        <v>0</v>
      </c>
      <c r="DY505" s="1" t="b">
        <f>FtMobility</f>
        <v>0</v>
      </c>
      <c r="DZ505" s="1" t="b">
        <f>NOT(ISNA(MATCH("Craft (Trapmaking)",TblSkillFocus,0)))</f>
        <v>0</v>
      </c>
      <c r="EA505" s="1" t="b">
        <f t="shared" si="477"/>
        <v>0</v>
      </c>
      <c r="EB505" s="11" t="s">
        <v>338</v>
      </c>
      <c r="EC505" s="1" t="str">
        <f>IF(DV505,"","• Hide 8 ranks.
")&amp;IF(DW505,"","• Move Silently 4 ranks.
")&amp;IF(DX505,"","• Dodge feat.
")&amp;IF(DY505,"","• Mobility feat.
")&amp;IF(DZ505,"","• Skill Focus Craft (Trapmaking).
")&amp;"• Chitin or any race that can spin a web from it's body,
  Characters that can prepare the web spell as either a spell
  or spell-like ability also qualify (not verified)."</f>
        <v>• Hide 8 ranks.
• Move Silently 4 ranks.
• Dodge feat.
• Mobility feat.
• Skill Focus Craft (Trapmaking).
• Chitin or any race that can spin a web from it's body,
  Characters that can prepare the web spell as either a spell
  or spell-like ability also qualify (not verified).</v>
      </c>
      <c r="ED505" s="11" t="s">
        <v>335</v>
      </c>
    </row>
    <row r="506" spans="1:134" ht="11.25" customHeight="1" x14ac:dyDescent="0.2">
      <c r="A506" s="1">
        <f t="shared" si="432"/>
        <v>503</v>
      </c>
      <c r="B506" s="1" t="s">
        <v>1251</v>
      </c>
      <c r="E506" s="1">
        <f t="shared" si="464"/>
        <v>0</v>
      </c>
      <c r="F506" s="1">
        <v>1</v>
      </c>
      <c r="Z506" s="1" t="b">
        <f>FALSE</f>
        <v>0</v>
      </c>
      <c r="AA506" s="1" t="str">
        <f t="shared" si="467"/>
        <v/>
      </c>
      <c r="AB506" s="1" t="str">
        <f t="shared" si="468"/>
        <v/>
      </c>
      <c r="AC506" s="1">
        <f t="shared" si="465"/>
        <v>0</v>
      </c>
      <c r="AD506" s="1" t="str">
        <f t="shared" si="469"/>
        <v/>
      </c>
      <c r="AE506" s="1" t="str">
        <f t="shared" si="470"/>
        <v/>
      </c>
      <c r="AF506" s="1">
        <f t="shared" si="466"/>
        <v>0</v>
      </c>
      <c r="AG506" s="1">
        <f t="shared" si="445"/>
        <v>5</v>
      </c>
      <c r="AH506" s="1" t="str">
        <f t="shared" si="444"/>
        <v/>
      </c>
      <c r="EB506" s="11"/>
      <c r="ED506" s="11" t="s">
        <v>335</v>
      </c>
    </row>
    <row r="507" spans="1:134" ht="11.25" customHeight="1" x14ac:dyDescent="0.2">
      <c r="A507" s="1">
        <f t="shared" si="432"/>
        <v>504</v>
      </c>
      <c r="B507" s="1" t="s">
        <v>1252</v>
      </c>
      <c r="C507" s="1" t="s">
        <v>1253</v>
      </c>
      <c r="D507" s="1" t="s">
        <v>1253</v>
      </c>
      <c r="E507" s="1">
        <f t="shared" si="464"/>
        <v>0</v>
      </c>
      <c r="K507" s="1">
        <v>4</v>
      </c>
      <c r="L507" s="1">
        <v>12</v>
      </c>
      <c r="V507" s="1">
        <v>0.75</v>
      </c>
      <c r="W507" s="1">
        <v>0.5</v>
      </c>
      <c r="X507" s="1">
        <v>0.5</v>
      </c>
      <c r="Y507" s="1">
        <v>0.34</v>
      </c>
      <c r="Z507" s="1" t="b">
        <f>FALSE</f>
        <v>0</v>
      </c>
      <c r="AA507" s="1" t="str">
        <f t="shared" si="467"/>
        <v/>
      </c>
      <c r="AB507" s="1" t="str">
        <f t="shared" si="468"/>
        <v/>
      </c>
      <c r="AC507" s="1">
        <f t="shared" si="465"/>
        <v>0</v>
      </c>
      <c r="AD507" s="1" t="str">
        <f t="shared" si="469"/>
        <v/>
      </c>
      <c r="AE507" s="1" t="str">
        <f t="shared" si="470"/>
        <v/>
      </c>
      <c r="AF507" s="1">
        <f t="shared" si="466"/>
        <v>0</v>
      </c>
      <c r="AG507" s="1">
        <f t="shared" si="445"/>
        <v>5</v>
      </c>
      <c r="AH507" s="1" t="str">
        <f t="shared" si="444"/>
        <v/>
      </c>
      <c r="AI507" s="1">
        <v>1</v>
      </c>
      <c r="AJ507" s="1">
        <f t="shared" si="455"/>
        <v>0</v>
      </c>
      <c r="AK507" s="1">
        <v>1</v>
      </c>
      <c r="AL507" s="1">
        <v>1</v>
      </c>
      <c r="AM507" s="1">
        <v>2</v>
      </c>
      <c r="AN507" s="1">
        <f t="shared" ref="AN507:AN512" si="484">IF(IsLycanthrope,2,0)</f>
        <v>0</v>
      </c>
      <c r="AO507" s="1">
        <v>1</v>
      </c>
      <c r="AP507" s="1">
        <v>1</v>
      </c>
      <c r="AQ507" s="1">
        <v>1</v>
      </c>
      <c r="AR507" s="1">
        <v>1</v>
      </c>
      <c r="AS507" s="1">
        <v>1</v>
      </c>
      <c r="AT507" s="1">
        <v>1</v>
      </c>
      <c r="AU507" s="1">
        <v>1</v>
      </c>
      <c r="AV507" s="1">
        <v>1</v>
      </c>
      <c r="AW507" s="1">
        <v>1</v>
      </c>
      <c r="AX507" s="1">
        <v>1</v>
      </c>
      <c r="AY507" s="1">
        <v>1</v>
      </c>
      <c r="AZ507" s="1">
        <v>1</v>
      </c>
      <c r="BA507" s="1">
        <v>1</v>
      </c>
      <c r="BB507" s="1">
        <v>1</v>
      </c>
      <c r="BC507" s="1">
        <v>1</v>
      </c>
      <c r="BD507" s="1">
        <v>2</v>
      </c>
      <c r="BE507" s="1">
        <v>1</v>
      </c>
      <c r="BF507" s="1">
        <v>1</v>
      </c>
      <c r="BG507" s="1">
        <f t="shared" ref="BG507:BG512" si="485">IF(HRRVL,1,0)</f>
        <v>0</v>
      </c>
      <c r="BH507" s="1">
        <f t="shared" ref="BH507:BH512" si="486">IF(HROA,1,0)</f>
        <v>0</v>
      </c>
      <c r="BI507" s="1">
        <v>2</v>
      </c>
      <c r="BJ507" s="1">
        <v>1</v>
      </c>
      <c r="BK507" s="1">
        <v>1</v>
      </c>
      <c r="BL507" s="1">
        <v>1</v>
      </c>
      <c r="BM507" s="1">
        <v>1</v>
      </c>
      <c r="BN507" s="1">
        <v>1</v>
      </c>
      <c r="BO507" s="1">
        <v>1</v>
      </c>
      <c r="BP507" s="1">
        <v>1</v>
      </c>
      <c r="BQ507" s="1">
        <f t="shared" ref="BQ507:BQ512" si="487">IF(HRRVL,1,0)</f>
        <v>0</v>
      </c>
      <c r="BR507" s="1">
        <v>2</v>
      </c>
      <c r="BS507" s="1">
        <v>1</v>
      </c>
      <c r="BT507" s="1">
        <f t="shared" ref="BT507:BT512" si="488">IF(HRXPH,1,0)</f>
        <v>0</v>
      </c>
      <c r="BU507" s="1">
        <f t="shared" ref="BU507:BU512" si="489">IF(HRRVL,1,0)</f>
        <v>0</v>
      </c>
      <c r="BV507" s="1">
        <v>1</v>
      </c>
      <c r="BW507" s="1">
        <v>1</v>
      </c>
      <c r="BX507" s="1">
        <v>1</v>
      </c>
      <c r="BY507" s="1">
        <v>1</v>
      </c>
      <c r="BZ507" s="1">
        <v>1</v>
      </c>
      <c r="CA507" s="1">
        <v>1</v>
      </c>
      <c r="CB507" s="1">
        <v>1</v>
      </c>
      <c r="CC507" s="1">
        <v>1</v>
      </c>
      <c r="CD507" s="1">
        <v>1</v>
      </c>
      <c r="CE507" s="1">
        <v>1</v>
      </c>
      <c r="CF507" s="1">
        <v>2</v>
      </c>
      <c r="CG507" s="1">
        <f t="shared" ref="CG507:CG512" si="490">IF(HRToB,1,0)</f>
        <v>0</v>
      </c>
      <c r="CH507" s="1">
        <v>2</v>
      </c>
      <c r="CI507" s="1">
        <v>1</v>
      </c>
      <c r="CJ507" s="1">
        <v>1</v>
      </c>
      <c r="CK507" s="1">
        <v>1</v>
      </c>
      <c r="CL507" s="1">
        <v>1</v>
      </c>
      <c r="CM507" s="1">
        <v>1</v>
      </c>
      <c r="CN507" s="1">
        <v>1</v>
      </c>
      <c r="CO507" s="1">
        <v>1</v>
      </c>
      <c r="CP507" s="1">
        <v>1</v>
      </c>
      <c r="CQ507" s="1">
        <v>1</v>
      </c>
      <c r="CR507" s="1">
        <v>1</v>
      </c>
      <c r="CS507" s="1">
        <v>1</v>
      </c>
      <c r="CT507" s="1">
        <v>1</v>
      </c>
      <c r="CU507" s="1">
        <v>1</v>
      </c>
      <c r="CV507" s="1">
        <f t="shared" si="460"/>
        <v>0</v>
      </c>
      <c r="CW507" s="1">
        <v>1</v>
      </c>
      <c r="CX507" s="1">
        <v>2</v>
      </c>
      <c r="CY507" s="1">
        <v>1</v>
      </c>
      <c r="CZ507" s="1">
        <f t="shared" ref="CZ507:CZ512" si="491">IF(HRCS,1,0)</f>
        <v>0</v>
      </c>
      <c r="DA507" s="1">
        <v>1</v>
      </c>
      <c r="DB507" s="1">
        <v>1</v>
      </c>
      <c r="DC507" s="1">
        <v>1</v>
      </c>
      <c r="DD507" s="1">
        <v>2</v>
      </c>
      <c r="DE507" s="1">
        <v>2</v>
      </c>
      <c r="DF507" s="1">
        <v>2</v>
      </c>
      <c r="DG507" s="1">
        <v>1</v>
      </c>
      <c r="DH507" s="1">
        <v>1</v>
      </c>
      <c r="DI507" s="1">
        <f t="shared" si="462"/>
        <v>0</v>
      </c>
      <c r="DJ507" s="1">
        <v>1</v>
      </c>
      <c r="DK507" s="1" t="s">
        <v>1254</v>
      </c>
      <c r="DL507" s="1" t="s">
        <v>101</v>
      </c>
      <c r="DP507" s="1" t="b">
        <f>AlignmentEvil</f>
        <v>0</v>
      </c>
      <c r="DT507" s="1" t="b">
        <f>SkKnowledgeNatureRanks&gt;=2</f>
        <v>0</v>
      </c>
      <c r="DU507" s="1" t="b">
        <f>SkSurvivalRanks&gt;=8</f>
        <v>0</v>
      </c>
      <c r="DV507" s="1" t="b">
        <f>FtImprovedUnarmed</f>
        <v>0</v>
      </c>
      <c r="DW507" s="1" t="b">
        <f>FtTrack</f>
        <v>0</v>
      </c>
      <c r="DX507" s="1" t="b">
        <f>RageAmount&gt;1</f>
        <v>0</v>
      </c>
      <c r="EA507" s="1" t="b">
        <f t="shared" ref="EA507:EA512" si="492">AND(DM507:DZ507)</f>
        <v>0</v>
      </c>
      <c r="EB507" s="11" t="s">
        <v>334</v>
      </c>
      <c r="EC507" s="1" t="str">
        <f>IF(DT507,"","• 2 ranks in Knowledge (nature).
")&amp;IF(DU507,"","• 8 ranks in Survival.
")&amp;IF(DV507,"","• Improved Unarmed Strike Feat.
")&amp;IF(DW507,"","• Track Feat.
")&amp;IF(DX507,"","• Rage class ability
")</f>
        <v xml:space="preserve">• 2 ranks in Knowledge (nature).
• 8 ranks in Survival.
• Improved Unarmed Strike Feat.
• Track Feat.
• Rage class ability
</v>
      </c>
      <c r="ED507" s="11" t="s">
        <v>335</v>
      </c>
    </row>
    <row r="508" spans="1:134" ht="11.25" customHeight="1" x14ac:dyDescent="0.2">
      <c r="A508" s="1">
        <f t="shared" si="432"/>
        <v>505</v>
      </c>
      <c r="B508" s="1" t="s">
        <v>1255</v>
      </c>
      <c r="C508" s="1" t="s">
        <v>1256</v>
      </c>
      <c r="D508" s="1" t="s">
        <v>1256</v>
      </c>
      <c r="E508" s="1">
        <f t="shared" si="464"/>
        <v>0</v>
      </c>
      <c r="K508" s="1">
        <v>4</v>
      </c>
      <c r="L508" s="1">
        <v>8</v>
      </c>
      <c r="V508" s="1">
        <v>0.75</v>
      </c>
      <c r="W508" s="1">
        <v>0.5</v>
      </c>
      <c r="X508" s="1">
        <v>0.5</v>
      </c>
      <c r="Y508" s="1">
        <v>0.34</v>
      </c>
      <c r="Z508" s="1" t="b">
        <f>FALSE</f>
        <v>0</v>
      </c>
      <c r="AA508" s="1" t="str">
        <f t="shared" si="467"/>
        <v/>
      </c>
      <c r="AB508" s="1" t="str">
        <f t="shared" si="468"/>
        <v/>
      </c>
      <c r="AC508" s="1">
        <f t="shared" si="465"/>
        <v>0</v>
      </c>
      <c r="AD508" s="1" t="str">
        <f t="shared" si="469"/>
        <v/>
      </c>
      <c r="AE508" s="1" t="str">
        <f t="shared" si="470"/>
        <v/>
      </c>
      <c r="AF508" s="1">
        <f t="shared" si="466"/>
        <v>0</v>
      </c>
      <c r="AG508" s="1">
        <f t="shared" si="445"/>
        <v>5</v>
      </c>
      <c r="AH508" s="1" t="str">
        <f t="shared" si="444"/>
        <v/>
      </c>
      <c r="AI508" s="1">
        <v>1</v>
      </c>
      <c r="AJ508" s="1">
        <f t="shared" si="455"/>
        <v>0</v>
      </c>
      <c r="AK508" s="1">
        <v>2</v>
      </c>
      <c r="AL508" s="1">
        <v>2</v>
      </c>
      <c r="AM508" s="1">
        <v>2</v>
      </c>
      <c r="AN508" s="1">
        <f t="shared" si="484"/>
        <v>0</v>
      </c>
      <c r="AO508" s="1">
        <v>2</v>
      </c>
      <c r="AP508" s="1">
        <v>2</v>
      </c>
      <c r="AQ508" s="1">
        <v>2</v>
      </c>
      <c r="AR508" s="1">
        <v>2</v>
      </c>
      <c r="AS508" s="1">
        <v>2</v>
      </c>
      <c r="AT508" s="1">
        <v>2</v>
      </c>
      <c r="AU508" s="1">
        <v>2</v>
      </c>
      <c r="AV508" s="1">
        <v>2</v>
      </c>
      <c r="AW508" s="1">
        <v>1</v>
      </c>
      <c r="AX508" s="1">
        <v>1</v>
      </c>
      <c r="AY508" s="1">
        <v>1</v>
      </c>
      <c r="AZ508" s="1">
        <v>2</v>
      </c>
      <c r="BA508" s="1">
        <v>2</v>
      </c>
      <c r="BB508" s="1">
        <v>1</v>
      </c>
      <c r="BC508" s="1">
        <v>2</v>
      </c>
      <c r="BD508" s="1">
        <v>2</v>
      </c>
      <c r="BE508" s="1">
        <v>1</v>
      </c>
      <c r="BF508" s="1">
        <v>2</v>
      </c>
      <c r="BG508" s="1">
        <f t="shared" si="485"/>
        <v>0</v>
      </c>
      <c r="BH508" s="1">
        <f t="shared" si="486"/>
        <v>0</v>
      </c>
      <c r="BI508" s="1">
        <v>2</v>
      </c>
      <c r="BJ508" s="1">
        <v>2</v>
      </c>
      <c r="BK508" s="1">
        <v>1</v>
      </c>
      <c r="BL508" s="1">
        <v>1</v>
      </c>
      <c r="BM508" s="1">
        <v>1</v>
      </c>
      <c r="BN508" s="1">
        <v>1</v>
      </c>
      <c r="BO508" s="1">
        <v>1</v>
      </c>
      <c r="BP508" s="1">
        <v>2</v>
      </c>
      <c r="BQ508" s="1">
        <f t="shared" si="487"/>
        <v>0</v>
      </c>
      <c r="BR508" s="1">
        <v>2</v>
      </c>
      <c r="BS508" s="1">
        <v>1</v>
      </c>
      <c r="BT508" s="1">
        <f t="shared" si="488"/>
        <v>0</v>
      </c>
      <c r="BU508" s="1">
        <f t="shared" si="489"/>
        <v>0</v>
      </c>
      <c r="BV508" s="1">
        <v>2</v>
      </c>
      <c r="BW508" s="1">
        <v>1</v>
      </c>
      <c r="BX508" s="1">
        <v>1</v>
      </c>
      <c r="BY508" s="1">
        <v>1</v>
      </c>
      <c r="BZ508" s="1">
        <v>1</v>
      </c>
      <c r="CA508" s="1">
        <v>1</v>
      </c>
      <c r="CB508" s="1">
        <v>1</v>
      </c>
      <c r="CC508" s="1">
        <v>1</v>
      </c>
      <c r="CD508" s="1">
        <v>1</v>
      </c>
      <c r="CE508" s="1">
        <v>1</v>
      </c>
      <c r="CF508" s="1">
        <v>2</v>
      </c>
      <c r="CG508" s="1">
        <f t="shared" si="490"/>
        <v>0</v>
      </c>
      <c r="CH508" s="1">
        <v>1</v>
      </c>
      <c r="CI508" s="1">
        <v>1</v>
      </c>
      <c r="CJ508" s="1">
        <v>1</v>
      </c>
      <c r="CK508" s="1">
        <v>1</v>
      </c>
      <c r="CL508" s="1">
        <v>1</v>
      </c>
      <c r="CM508" s="1">
        <v>1</v>
      </c>
      <c r="CN508" s="1">
        <v>1</v>
      </c>
      <c r="CO508" s="1">
        <v>1</v>
      </c>
      <c r="CP508" s="1">
        <v>1</v>
      </c>
      <c r="CQ508" s="1">
        <v>1</v>
      </c>
      <c r="CR508" s="1">
        <v>1</v>
      </c>
      <c r="CS508" s="1">
        <v>1</v>
      </c>
      <c r="CT508" s="1">
        <v>1</v>
      </c>
      <c r="CU508" s="1">
        <v>1</v>
      </c>
      <c r="CV508" s="1">
        <f t="shared" si="460"/>
        <v>0</v>
      </c>
      <c r="CW508" s="1">
        <v>1</v>
      </c>
      <c r="CX508" s="1">
        <v>1</v>
      </c>
      <c r="CY508" s="1">
        <v>2</v>
      </c>
      <c r="CZ508" s="1">
        <f t="shared" si="491"/>
        <v>0</v>
      </c>
      <c r="DA508" s="1">
        <v>1</v>
      </c>
      <c r="DB508" s="1">
        <v>1</v>
      </c>
      <c r="DC508" s="1">
        <v>1</v>
      </c>
      <c r="DD508" s="1">
        <v>2</v>
      </c>
      <c r="DE508" s="1">
        <v>2</v>
      </c>
      <c r="DF508" s="1">
        <v>2</v>
      </c>
      <c r="DG508" s="1">
        <v>2</v>
      </c>
      <c r="DH508" s="1">
        <v>1</v>
      </c>
      <c r="DI508" s="1">
        <f t="shared" si="462"/>
        <v>0</v>
      </c>
      <c r="DJ508" s="1">
        <v>1</v>
      </c>
      <c r="DK508" s="1" t="s">
        <v>1254</v>
      </c>
      <c r="DL508" s="1" t="s">
        <v>101</v>
      </c>
      <c r="DS508" s="1" t="b">
        <f>IF(NOT(ISNA(MATCH("Bowmaking",TblCraftSkills,0))),INDEX(TblCraftRanks,MATCH("Bowmaking",TblCraftSkills,0),1)&gt;=8,FALSE)</f>
        <v>0</v>
      </c>
      <c r="DT508" s="1" t="b">
        <f>SkHideRanks&gt;=8</f>
        <v>0</v>
      </c>
      <c r="DU508" s="1" t="b">
        <f>SkKnowledgeNatureRanks&gt;=4</f>
        <v>0</v>
      </c>
      <c r="DV508" s="1" t="b">
        <f>SkMoveSilentlyRanks&gt;=8</f>
        <v>0</v>
      </c>
      <c r="DW508" s="1" t="b">
        <f>SkSurvivalRanks&gt;=8</f>
        <v>0</v>
      </c>
      <c r="DX508" s="1" t="b">
        <f>FtPointBlankShot</f>
        <v>0</v>
      </c>
      <c r="DY508" s="1" t="b">
        <f>OR(NOT(ISERROR(FIND("Longbow",WeaponFocusList,1))))</f>
        <v>0</v>
      </c>
      <c r="EA508" s="1" t="b">
        <f t="shared" si="492"/>
        <v>0</v>
      </c>
      <c r="EB508" s="11" t="s">
        <v>334</v>
      </c>
      <c r="EC508" s="1" t="str">
        <f>IF(DS508,"","• 8 ranks in Craft (bowmaking).
")&amp;IF(DT508,"","• 8 Ranks in Hide.
")&amp;IF(DU508,"","• 4 ranks in Knowledge (nature).
")&amp;IF(DV508,"","• 8 ranks in Move Silently.
")&amp;IF(DW508,"","• 8 Ranks in Survival.
")&amp;IF(DX508,"","• Point Blank Shot Feat.
")&amp;IF(DY508,"","• Weapon Focus (longbow) Feat.
")</f>
        <v xml:space="preserve">• 8 ranks in Craft (bowmaking).
• 8 Ranks in Hide.
• 4 ranks in Knowledge (nature).
• 8 ranks in Move Silently.
• 8 Ranks in Survival.
• Point Blank Shot Feat.
• Weapon Focus (longbow) Feat.
</v>
      </c>
      <c r="ED508" s="11" t="s">
        <v>335</v>
      </c>
    </row>
    <row r="509" spans="1:134" ht="11.25" customHeight="1" x14ac:dyDescent="0.2">
      <c r="A509" s="1">
        <f t="shared" si="432"/>
        <v>506</v>
      </c>
      <c r="B509" s="1" t="s">
        <v>1257</v>
      </c>
      <c r="C509" s="1" t="s">
        <v>1258</v>
      </c>
      <c r="D509" s="1" t="s">
        <v>1258</v>
      </c>
      <c r="E509" s="1">
        <f t="shared" si="464"/>
        <v>0</v>
      </c>
      <c r="K509" s="1">
        <v>8</v>
      </c>
      <c r="L509" s="1">
        <v>6</v>
      </c>
      <c r="V509" s="1">
        <v>0.75</v>
      </c>
      <c r="W509" s="1">
        <v>0.34</v>
      </c>
      <c r="X509" s="1">
        <v>0.5</v>
      </c>
      <c r="Y509" s="1">
        <v>0.34</v>
      </c>
      <c r="Z509" s="1" t="b">
        <f>FALSE</f>
        <v>0</v>
      </c>
      <c r="AA509" s="1" t="str">
        <f t="shared" si="467"/>
        <v/>
      </c>
      <c r="AB509" s="1" t="str">
        <f t="shared" si="468"/>
        <v/>
      </c>
      <c r="AC509" s="1">
        <f t="shared" si="465"/>
        <v>0</v>
      </c>
      <c r="AD509" s="1" t="str">
        <f t="shared" si="469"/>
        <v/>
      </c>
      <c r="AE509" s="1" t="str">
        <f t="shared" si="470"/>
        <v/>
      </c>
      <c r="AF509" s="1">
        <f t="shared" si="466"/>
        <v>0</v>
      </c>
      <c r="AG509" s="1">
        <f t="shared" si="445"/>
        <v>5</v>
      </c>
      <c r="AH509" s="1" t="str">
        <f t="shared" si="444"/>
        <v/>
      </c>
      <c r="AI509" s="1">
        <v>1</v>
      </c>
      <c r="AJ509" s="1">
        <f t="shared" si="455"/>
        <v>0</v>
      </c>
      <c r="AK509" s="1">
        <v>2</v>
      </c>
      <c r="AL509" s="1">
        <v>2</v>
      </c>
      <c r="AM509" s="1">
        <v>2</v>
      </c>
      <c r="AN509" s="1">
        <f t="shared" si="484"/>
        <v>0</v>
      </c>
      <c r="AO509" s="1">
        <v>1</v>
      </c>
      <c r="AP509" s="1">
        <v>2</v>
      </c>
      <c r="AQ509" s="1">
        <v>2</v>
      </c>
      <c r="AR509" s="1">
        <v>2</v>
      </c>
      <c r="AS509" s="1">
        <v>2</v>
      </c>
      <c r="AT509" s="1">
        <v>2</v>
      </c>
      <c r="AU509" s="1">
        <v>2</v>
      </c>
      <c r="AV509" s="1">
        <v>2</v>
      </c>
      <c r="AW509" s="1">
        <v>2</v>
      </c>
      <c r="AX509" s="1">
        <v>2</v>
      </c>
      <c r="AY509" s="1">
        <v>2</v>
      </c>
      <c r="AZ509" s="1">
        <v>2</v>
      </c>
      <c r="BA509" s="1">
        <v>2</v>
      </c>
      <c r="BB509" s="1">
        <v>2</v>
      </c>
      <c r="BC509" s="1">
        <v>2</v>
      </c>
      <c r="BD509" s="1">
        <v>1</v>
      </c>
      <c r="BE509" s="1">
        <v>1</v>
      </c>
      <c r="BF509" s="1">
        <v>2</v>
      </c>
      <c r="BG509" s="1">
        <f t="shared" si="485"/>
        <v>0</v>
      </c>
      <c r="BH509" s="1">
        <f t="shared" si="486"/>
        <v>0</v>
      </c>
      <c r="BI509" s="1">
        <v>2</v>
      </c>
      <c r="BJ509" s="1">
        <v>2</v>
      </c>
      <c r="BK509" s="1">
        <v>1</v>
      </c>
      <c r="BL509" s="1">
        <v>1</v>
      </c>
      <c r="BM509" s="1">
        <v>1</v>
      </c>
      <c r="BN509" s="1">
        <v>1</v>
      </c>
      <c r="BO509" s="1">
        <v>1</v>
      </c>
      <c r="BP509" s="1">
        <v>2</v>
      </c>
      <c r="BQ509" s="1">
        <f t="shared" si="487"/>
        <v>0</v>
      </c>
      <c r="BR509" s="1">
        <v>1</v>
      </c>
      <c r="BS509" s="1">
        <v>1</v>
      </c>
      <c r="BT509" s="1">
        <f t="shared" si="488"/>
        <v>0</v>
      </c>
      <c r="BU509" s="1">
        <f t="shared" si="489"/>
        <v>0</v>
      </c>
      <c r="BV509" s="1">
        <v>1</v>
      </c>
      <c r="BW509" s="1">
        <v>1</v>
      </c>
      <c r="BX509" s="1">
        <v>1</v>
      </c>
      <c r="BY509" s="1">
        <v>1</v>
      </c>
      <c r="BZ509" s="1">
        <v>1</v>
      </c>
      <c r="CA509" s="1">
        <v>1</v>
      </c>
      <c r="CB509" s="1">
        <v>1</v>
      </c>
      <c r="CC509" s="1">
        <v>1</v>
      </c>
      <c r="CD509" s="1">
        <v>1</v>
      </c>
      <c r="CE509" s="1">
        <v>1</v>
      </c>
      <c r="CF509" s="1">
        <v>2</v>
      </c>
      <c r="CG509" s="1">
        <f t="shared" si="490"/>
        <v>0</v>
      </c>
      <c r="CH509" s="1">
        <v>2</v>
      </c>
      <c r="CI509" s="1">
        <v>2</v>
      </c>
      <c r="CJ509" s="1">
        <v>2</v>
      </c>
      <c r="CK509" s="1">
        <v>2</v>
      </c>
      <c r="CL509" s="1">
        <v>2</v>
      </c>
      <c r="CM509" s="1">
        <v>2</v>
      </c>
      <c r="CN509" s="1">
        <v>2</v>
      </c>
      <c r="CO509" s="1">
        <v>2</v>
      </c>
      <c r="CP509" s="1">
        <v>2</v>
      </c>
      <c r="CQ509" s="1">
        <v>2</v>
      </c>
      <c r="CR509" s="1">
        <v>2</v>
      </c>
      <c r="CS509" s="1">
        <v>2</v>
      </c>
      <c r="CT509" s="1">
        <v>2</v>
      </c>
      <c r="CU509" s="1">
        <v>2</v>
      </c>
      <c r="CV509" s="1">
        <f t="shared" si="460"/>
        <v>0</v>
      </c>
      <c r="CW509" s="1">
        <v>1</v>
      </c>
      <c r="CX509" s="1">
        <v>2</v>
      </c>
      <c r="CY509" s="1">
        <v>2</v>
      </c>
      <c r="CZ509" s="1">
        <f t="shared" si="491"/>
        <v>0</v>
      </c>
      <c r="DA509" s="1">
        <v>2</v>
      </c>
      <c r="DB509" s="1">
        <v>1</v>
      </c>
      <c r="DC509" s="1">
        <v>1</v>
      </c>
      <c r="DD509" s="1">
        <v>2</v>
      </c>
      <c r="DE509" s="1">
        <v>1</v>
      </c>
      <c r="DF509" s="1">
        <v>2</v>
      </c>
      <c r="DG509" s="1">
        <v>2</v>
      </c>
      <c r="DH509" s="1">
        <v>2</v>
      </c>
      <c r="DI509" s="1">
        <f t="shared" si="462"/>
        <v>0</v>
      </c>
      <c r="DJ509" s="1">
        <v>2</v>
      </c>
      <c r="DK509" s="1" t="s">
        <v>1254</v>
      </c>
      <c r="DL509" s="1" t="s">
        <v>101</v>
      </c>
      <c r="DS509" s="1" t="b">
        <f>AlignmentEvil</f>
        <v>0</v>
      </c>
      <c r="DT509" s="1" t="b">
        <f>SkHideRanks&gt;=8</f>
        <v>0</v>
      </c>
      <c r="DU509" s="1" t="b">
        <f>SkKnowledgeLocalRanks&gt;=3</f>
        <v>0</v>
      </c>
      <c r="DV509" s="1" t="b">
        <f>SkMoveSilentlyRanks&gt;=8</f>
        <v>0</v>
      </c>
      <c r="DW509" s="1" t="b">
        <f>FtGreatFortitude</f>
        <v>0</v>
      </c>
      <c r="DX509" s="1" t="b">
        <f>hasEvasion</f>
        <v>0</v>
      </c>
      <c r="DY509" s="1" t="b">
        <f>UncannyDodge</f>
        <v>0</v>
      </c>
      <c r="EA509" s="1" t="b">
        <f t="shared" si="492"/>
        <v>0</v>
      </c>
      <c r="EB509" s="11" t="s">
        <v>334</v>
      </c>
      <c r="EC509" s="1" t="str">
        <f>IF(DS509,"","• Any Evil.
")&amp;IF(DT509,"","• 8 ranks in Hide
")&amp;IF(DU509,"","• 3 ranks in Knowledge (local).
")&amp;IF(DV509,"","• 8 ranks in Move Silently.
")&amp;IF(DW509,"","Great Fortitude Feat
")&amp;IF(DX509,"","Evasion class feature.
")&amp;IF(DY509,"","Uncanny dodge class feature.
")</f>
        <v xml:space="preserve">• Any Evil.
• 8 ranks in Hide
• 3 ranks in Knowledge (local).
• 8 ranks in Move Silently.
Great Fortitude Feat
Evasion class feature.
Uncanny dodge class feature.
</v>
      </c>
      <c r="ED509" s="11" t="s">
        <v>335</v>
      </c>
    </row>
    <row r="510" spans="1:134" ht="11.25" customHeight="1" x14ac:dyDescent="0.2">
      <c r="A510" s="1">
        <f t="shared" si="432"/>
        <v>507</v>
      </c>
      <c r="B510" s="1" t="s">
        <v>1259</v>
      </c>
      <c r="C510" s="1" t="s">
        <v>1260</v>
      </c>
      <c r="D510" s="1" t="s">
        <v>1260</v>
      </c>
      <c r="E510" s="1">
        <f t="shared" si="464"/>
        <v>0</v>
      </c>
      <c r="K510" s="1">
        <v>8</v>
      </c>
      <c r="L510" s="1">
        <v>8</v>
      </c>
      <c r="V510" s="1">
        <v>0.75</v>
      </c>
      <c r="W510" s="1">
        <v>0.34</v>
      </c>
      <c r="X510" s="1">
        <v>0.5</v>
      </c>
      <c r="Y510" s="1">
        <v>0.5</v>
      </c>
      <c r="Z510" s="1" t="b">
        <f>FALSE</f>
        <v>0</v>
      </c>
      <c r="AA510" s="1" t="str">
        <f t="shared" si="467"/>
        <v/>
      </c>
      <c r="AB510" s="1" t="str">
        <f t="shared" si="468"/>
        <v/>
      </c>
      <c r="AC510" s="1">
        <f t="shared" si="465"/>
        <v>0</v>
      </c>
      <c r="AD510" s="1" t="str">
        <f t="shared" si="469"/>
        <v/>
      </c>
      <c r="AE510" s="1" t="str">
        <f t="shared" si="470"/>
        <v/>
      </c>
      <c r="AF510" s="1">
        <f t="shared" si="466"/>
        <v>0</v>
      </c>
      <c r="AG510" s="1">
        <f t="shared" si="445"/>
        <v>5</v>
      </c>
      <c r="AH510" s="1" t="str">
        <f t="shared" si="444"/>
        <v/>
      </c>
      <c r="AI510" s="1">
        <v>1</v>
      </c>
      <c r="AJ510" s="1">
        <f t="shared" si="455"/>
        <v>0</v>
      </c>
      <c r="AK510" s="1">
        <v>2</v>
      </c>
      <c r="AL510" s="1">
        <v>1</v>
      </c>
      <c r="AM510" s="1">
        <v>2</v>
      </c>
      <c r="AN510" s="1">
        <f t="shared" si="484"/>
        <v>0</v>
      </c>
      <c r="AO510" s="1">
        <v>2</v>
      </c>
      <c r="AP510" s="1">
        <v>1</v>
      </c>
      <c r="AQ510" s="1">
        <v>1</v>
      </c>
      <c r="AR510" s="1">
        <v>1</v>
      </c>
      <c r="AS510" s="1">
        <v>1</v>
      </c>
      <c r="AT510" s="1">
        <v>1</v>
      </c>
      <c r="AU510" s="1">
        <v>1</v>
      </c>
      <c r="AV510" s="1">
        <v>1</v>
      </c>
      <c r="AW510" s="1">
        <v>2</v>
      </c>
      <c r="AX510" s="1">
        <v>1</v>
      </c>
      <c r="AY510" s="1">
        <v>2</v>
      </c>
      <c r="AZ510" s="1">
        <v>2</v>
      </c>
      <c r="BA510" s="1">
        <v>1</v>
      </c>
      <c r="BB510" s="1">
        <v>1</v>
      </c>
      <c r="BC510" s="1">
        <v>2</v>
      </c>
      <c r="BD510" s="1">
        <v>1</v>
      </c>
      <c r="BE510" s="1">
        <v>1</v>
      </c>
      <c r="BF510" s="1">
        <v>2</v>
      </c>
      <c r="BG510" s="1">
        <f t="shared" si="485"/>
        <v>0</v>
      </c>
      <c r="BH510" s="1">
        <f t="shared" si="486"/>
        <v>0</v>
      </c>
      <c r="BI510" s="1">
        <v>1</v>
      </c>
      <c r="BJ510" s="1">
        <v>2</v>
      </c>
      <c r="BK510" s="1">
        <v>2</v>
      </c>
      <c r="BL510" s="1">
        <v>1</v>
      </c>
      <c r="BM510" s="1">
        <v>2</v>
      </c>
      <c r="BN510" s="1">
        <v>2</v>
      </c>
      <c r="BO510" s="1">
        <v>2</v>
      </c>
      <c r="BP510" s="1">
        <v>2</v>
      </c>
      <c r="BQ510" s="1">
        <f t="shared" si="487"/>
        <v>0</v>
      </c>
      <c r="BR510" s="1">
        <v>1</v>
      </c>
      <c r="BS510" s="1">
        <v>1</v>
      </c>
      <c r="BT510" s="1">
        <f t="shared" si="488"/>
        <v>0</v>
      </c>
      <c r="BU510" s="1">
        <f t="shared" si="489"/>
        <v>0</v>
      </c>
      <c r="BV510" s="1">
        <v>1</v>
      </c>
      <c r="BW510" s="1">
        <v>1</v>
      </c>
      <c r="BX510" s="1">
        <v>1</v>
      </c>
      <c r="BY510" s="1">
        <v>1</v>
      </c>
      <c r="BZ510" s="1">
        <v>1</v>
      </c>
      <c r="CA510" s="1">
        <v>1</v>
      </c>
      <c r="CB510" s="1">
        <v>1</v>
      </c>
      <c r="CC510" s="1">
        <v>1</v>
      </c>
      <c r="CD510" s="1">
        <v>1</v>
      </c>
      <c r="CE510" s="1">
        <v>1</v>
      </c>
      <c r="CF510" s="1">
        <v>2</v>
      </c>
      <c r="CG510" s="1">
        <f t="shared" si="490"/>
        <v>0</v>
      </c>
      <c r="CH510" s="1">
        <v>2</v>
      </c>
      <c r="CI510" s="1">
        <v>2</v>
      </c>
      <c r="CJ510" s="1">
        <v>1</v>
      </c>
      <c r="CK510" s="1">
        <v>1</v>
      </c>
      <c r="CL510" s="1">
        <v>1</v>
      </c>
      <c r="CM510" s="1">
        <v>1</v>
      </c>
      <c r="CN510" s="1">
        <v>1</v>
      </c>
      <c r="CO510" s="1">
        <v>1</v>
      </c>
      <c r="CP510" s="1">
        <v>2</v>
      </c>
      <c r="CQ510" s="1">
        <v>1</v>
      </c>
      <c r="CR510" s="1">
        <v>1</v>
      </c>
      <c r="CS510" s="1">
        <v>1</v>
      </c>
      <c r="CT510" s="1">
        <v>1</v>
      </c>
      <c r="CU510" s="1">
        <v>1</v>
      </c>
      <c r="CV510" s="1">
        <f t="shared" si="460"/>
        <v>0</v>
      </c>
      <c r="CW510" s="1">
        <v>2</v>
      </c>
      <c r="CX510" s="1">
        <v>2</v>
      </c>
      <c r="CY510" s="1">
        <v>1</v>
      </c>
      <c r="CZ510" s="1">
        <f t="shared" si="491"/>
        <v>0</v>
      </c>
      <c r="DA510" s="1">
        <v>1</v>
      </c>
      <c r="DB510" s="1">
        <v>1</v>
      </c>
      <c r="DC510" s="1">
        <v>1</v>
      </c>
      <c r="DD510" s="1">
        <v>2</v>
      </c>
      <c r="DE510" s="1">
        <v>2</v>
      </c>
      <c r="DF510" s="1">
        <v>2</v>
      </c>
      <c r="DG510" s="1">
        <v>2</v>
      </c>
      <c r="DH510" s="1">
        <v>2</v>
      </c>
      <c r="DI510" s="1">
        <f t="shared" si="462"/>
        <v>0</v>
      </c>
      <c r="DJ510" s="1">
        <v>2</v>
      </c>
      <c r="DK510" s="1" t="s">
        <v>1254</v>
      </c>
      <c r="DL510" s="1" t="s">
        <v>101</v>
      </c>
      <c r="DO510" s="1" t="b">
        <f>AlignmentEvil</f>
        <v>0</v>
      </c>
      <c r="DP510" s="1" t="b">
        <f>SkClimbRanks&gt;=4</f>
        <v>0</v>
      </c>
      <c r="DQ510" s="1" t="b">
        <f>SkDecipherScriptRanks&gt;=4</f>
        <v>0</v>
      </c>
      <c r="DR510" s="1" t="b">
        <f>SkDisableDeviceRanks&gt;=5</f>
        <v>0</v>
      </c>
      <c r="DS510" s="1" t="b">
        <f>SkJumpRanks&gt;=4</f>
        <v>0</v>
      </c>
      <c r="DT510" s="1" t="b">
        <f>SkKnowledgeDungeoneeringRanks&gt;=6</f>
        <v>0</v>
      </c>
      <c r="DU510" s="1" t="b">
        <f>SkKnowledgeHistoryRanks&gt;=2</f>
        <v>0</v>
      </c>
      <c r="DV510" s="1" t="b">
        <f>SkSearchRanks&gt;=8</f>
        <v>0</v>
      </c>
      <c r="DW510" s="1" t="b">
        <f>NOT(ISNA(MATCH("Netherese",TblLangKnown,0)))</f>
        <v>0</v>
      </c>
      <c r="DX510" s="1" t="b">
        <f>SkSurvivalRanks&gt;=6</f>
        <v>0</v>
      </c>
      <c r="DY510" s="1" t="b">
        <f>SkUseMagicDeviceRanks&gt;=5</f>
        <v>0</v>
      </c>
      <c r="DZ510" s="1" t="b">
        <f>FtTrack</f>
        <v>0</v>
      </c>
      <c r="EA510" s="1" t="b">
        <f t="shared" si="492"/>
        <v>0</v>
      </c>
      <c r="EB510" s="11" t="s">
        <v>334</v>
      </c>
      <c r="EC510" s="1" t="str">
        <f>IF(DO510,"","• Any evil alignment.
")&amp;IF(DP510,"","• 4 ranks in Climb.
")&amp;IF(DQ510,"","• 4 ranks in Decipher Script.
")&amp;IF(DR510,"","• 5 ranks in Disable Device.
")&amp;IF(DS510,"","• 4 ranks in Jump.
")&amp;IF(DT510,"","• 6 ranks in Knowledge (dungeoneering).
")&amp;IF(DU510,"","• 2 ranks in Knowledge (history).
")&amp;IF(DV510,"","• 8 ranks in Search.
")&amp;IF(DW510,"","• Speak Language (Netherese).
")&amp;IF(DX510,"","• 6 ranks in Survival.
")&amp;IF(DY510,"","• 5 ranks in Use Magic Device.
")&amp;IF(DZ510,"","• Track Feat
")</f>
        <v xml:space="preserve">• Any evil alignment.
• 4 ranks in Climb.
• 4 ranks in Decipher Script.
• 5 ranks in Disable Device.
• 4 ranks in Jump.
• 6 ranks in Knowledge (dungeoneering).
• 2 ranks in Knowledge (history).
• 8 ranks in Search.
• Speak Language (Netherese).
• 6 ranks in Survival.
• 5 ranks in Use Magic Device.
• Track Feat
</v>
      </c>
      <c r="ED510" s="11" t="s">
        <v>335</v>
      </c>
    </row>
    <row r="511" spans="1:134" ht="11.25" customHeight="1" x14ac:dyDescent="0.2">
      <c r="A511" s="1">
        <f t="shared" si="432"/>
        <v>508</v>
      </c>
      <c r="B511" s="1" t="s">
        <v>1261</v>
      </c>
      <c r="C511" s="1" t="s">
        <v>1262</v>
      </c>
      <c r="D511" s="1" t="s">
        <v>1262</v>
      </c>
      <c r="E511" s="1">
        <f t="shared" si="464"/>
        <v>0</v>
      </c>
      <c r="K511" s="1">
        <v>2</v>
      </c>
      <c r="L511" s="1">
        <v>12</v>
      </c>
      <c r="V511" s="1">
        <v>1</v>
      </c>
      <c r="W511" s="1">
        <v>0.5</v>
      </c>
      <c r="X511" s="1">
        <v>0.34</v>
      </c>
      <c r="Y511" s="1">
        <v>0.34</v>
      </c>
      <c r="Z511" s="1" t="b">
        <f>FALSE</f>
        <v>0</v>
      </c>
      <c r="AA511" s="1" t="str">
        <f t="shared" si="467"/>
        <v/>
      </c>
      <c r="AB511" s="1" t="str">
        <f t="shared" si="468"/>
        <v/>
      </c>
      <c r="AC511" s="1">
        <f t="shared" si="465"/>
        <v>0</v>
      </c>
      <c r="AD511" s="1" t="str">
        <f t="shared" si="469"/>
        <v/>
      </c>
      <c r="AE511" s="1" t="str">
        <f t="shared" si="470"/>
        <v/>
      </c>
      <c r="AF511" s="1">
        <f t="shared" si="466"/>
        <v>0</v>
      </c>
      <c r="AG511" s="1">
        <f t="shared" si="445"/>
        <v>5</v>
      </c>
      <c r="AH511" s="1" t="str">
        <f t="shared" si="444"/>
        <v/>
      </c>
      <c r="AI511" s="1">
        <v>1</v>
      </c>
      <c r="AJ511" s="1">
        <f t="shared" si="455"/>
        <v>0</v>
      </c>
      <c r="AK511" s="1">
        <v>1</v>
      </c>
      <c r="AL511" s="1">
        <v>2</v>
      </c>
      <c r="AM511" s="1">
        <v>2</v>
      </c>
      <c r="AN511" s="1">
        <f t="shared" si="484"/>
        <v>0</v>
      </c>
      <c r="AO511" s="1">
        <v>1</v>
      </c>
      <c r="AP511" s="1">
        <v>1</v>
      </c>
      <c r="AQ511" s="1">
        <v>1</v>
      </c>
      <c r="AR511" s="1">
        <v>1</v>
      </c>
      <c r="AS511" s="1">
        <v>1</v>
      </c>
      <c r="AT511" s="1">
        <v>1</v>
      </c>
      <c r="AU511" s="1">
        <v>1</v>
      </c>
      <c r="AV511" s="1">
        <v>1</v>
      </c>
      <c r="AW511" s="1">
        <v>1</v>
      </c>
      <c r="AX511" s="1">
        <v>1</v>
      </c>
      <c r="AY511" s="1">
        <v>1</v>
      </c>
      <c r="AZ511" s="1">
        <v>1</v>
      </c>
      <c r="BA511" s="1">
        <v>1</v>
      </c>
      <c r="BB511" s="1">
        <v>1</v>
      </c>
      <c r="BC511" s="1">
        <v>1</v>
      </c>
      <c r="BD511" s="1">
        <v>1</v>
      </c>
      <c r="BE511" s="1">
        <v>1</v>
      </c>
      <c r="BF511" s="1">
        <v>1</v>
      </c>
      <c r="BG511" s="1">
        <f t="shared" si="485"/>
        <v>0</v>
      </c>
      <c r="BH511" s="1">
        <f t="shared" si="486"/>
        <v>0</v>
      </c>
      <c r="BI511" s="1">
        <v>2</v>
      </c>
      <c r="BJ511" s="1">
        <v>2</v>
      </c>
      <c r="BK511" s="1">
        <v>1</v>
      </c>
      <c r="BL511" s="1">
        <v>1</v>
      </c>
      <c r="BM511" s="1">
        <v>1</v>
      </c>
      <c r="BN511" s="1">
        <v>1</v>
      </c>
      <c r="BO511" s="1">
        <v>1</v>
      </c>
      <c r="BP511" s="1">
        <v>1</v>
      </c>
      <c r="BQ511" s="1">
        <f t="shared" si="487"/>
        <v>0</v>
      </c>
      <c r="BR511" s="1">
        <v>1</v>
      </c>
      <c r="BS511" s="1">
        <v>1</v>
      </c>
      <c r="BT511" s="1">
        <f t="shared" si="488"/>
        <v>0</v>
      </c>
      <c r="BU511" s="1">
        <f t="shared" si="489"/>
        <v>0</v>
      </c>
      <c r="BV511" s="1">
        <v>1</v>
      </c>
      <c r="BW511" s="1">
        <v>1</v>
      </c>
      <c r="BX511" s="1">
        <v>1</v>
      </c>
      <c r="BY511" s="1">
        <v>1</v>
      </c>
      <c r="BZ511" s="1">
        <v>1</v>
      </c>
      <c r="CA511" s="1">
        <v>1</v>
      </c>
      <c r="CB511" s="1">
        <v>1</v>
      </c>
      <c r="CC511" s="1">
        <v>1</v>
      </c>
      <c r="CD511" s="1">
        <v>1</v>
      </c>
      <c r="CE511" s="1">
        <v>1</v>
      </c>
      <c r="CF511" s="1">
        <v>1</v>
      </c>
      <c r="CG511" s="1">
        <f t="shared" si="490"/>
        <v>0</v>
      </c>
      <c r="CH511" s="1">
        <v>1</v>
      </c>
      <c r="CI511" s="1">
        <v>1</v>
      </c>
      <c r="CJ511" s="1">
        <v>1</v>
      </c>
      <c r="CK511" s="1">
        <v>1</v>
      </c>
      <c r="CL511" s="1">
        <v>1</v>
      </c>
      <c r="CM511" s="1">
        <v>1</v>
      </c>
      <c r="CN511" s="1">
        <v>1</v>
      </c>
      <c r="CO511" s="1">
        <v>1</v>
      </c>
      <c r="CP511" s="1">
        <v>1</v>
      </c>
      <c r="CQ511" s="1">
        <v>1</v>
      </c>
      <c r="CR511" s="1">
        <v>1</v>
      </c>
      <c r="CS511" s="1">
        <v>1</v>
      </c>
      <c r="CT511" s="1">
        <v>1</v>
      </c>
      <c r="CU511" s="1">
        <v>1</v>
      </c>
      <c r="CV511" s="1">
        <f t="shared" si="460"/>
        <v>0</v>
      </c>
      <c r="CW511" s="1">
        <v>1</v>
      </c>
      <c r="CX511" s="1">
        <v>1</v>
      </c>
      <c r="CY511" s="1">
        <v>2</v>
      </c>
      <c r="CZ511" s="1">
        <f t="shared" si="491"/>
        <v>0</v>
      </c>
      <c r="DA511" s="1">
        <v>1</v>
      </c>
      <c r="DB511" s="1">
        <v>1</v>
      </c>
      <c r="DC511" s="1">
        <v>1</v>
      </c>
      <c r="DD511" s="1">
        <v>2</v>
      </c>
      <c r="DE511" s="1">
        <v>1</v>
      </c>
      <c r="DF511" s="1">
        <v>1</v>
      </c>
      <c r="DG511" s="1">
        <v>1</v>
      </c>
      <c r="DH511" s="1">
        <v>1</v>
      </c>
      <c r="DI511" s="1">
        <f t="shared" si="462"/>
        <v>0</v>
      </c>
      <c r="DJ511" s="1">
        <v>1</v>
      </c>
      <c r="DK511" s="1" t="s">
        <v>1254</v>
      </c>
      <c r="DL511" s="1" t="s">
        <v>101</v>
      </c>
      <c r="DU511" s="1" t="b">
        <f>AlignmentEvil</f>
        <v>0</v>
      </c>
      <c r="DV511" s="1" t="b">
        <f>BaseAtk&gt;=5</f>
        <v>0</v>
      </c>
      <c r="DW511" s="1" t="b">
        <f>FtToughnessEquiv</f>
        <v>0</v>
      </c>
      <c r="DX511" s="1" t="b">
        <f>OR(AND(NOT(ISERROR(FIND("sword",WeaponFocusFree1,1)))),AND(NOT(ISERROR(FIND("sword",WeaponFocusFree2,1)))),AND(NOT(ISERROR(FIND("sword",WeaponFocus3,1)))))</f>
        <v>0</v>
      </c>
      <c r="EA511" s="1" t="b">
        <f t="shared" si="492"/>
        <v>0</v>
      </c>
      <c r="EB511" s="11" t="s">
        <v>334</v>
      </c>
      <c r="EC511" s="1" t="str">
        <f>IF(DU511,"","• Any evil alignment.
")&amp;IF(DV511,"","• Base attack bonus +5.
")&amp;IF(DW511,"","• Toughnes Feat.
")&amp;IF(DX511,"","• Weapon Focus (any natural attack).
")</f>
        <v xml:space="preserve">• Any evil alignment.
• Base attack bonus +5.
• Toughnes Feat.
• Weapon Focus (any natural attack).
</v>
      </c>
      <c r="ED511" s="11" t="s">
        <v>335</v>
      </c>
    </row>
    <row r="512" spans="1:134" ht="11.25" customHeight="1" x14ac:dyDescent="0.2">
      <c r="A512" s="1">
        <f t="shared" si="432"/>
        <v>509</v>
      </c>
      <c r="B512" s="1" t="s">
        <v>1263</v>
      </c>
      <c r="C512" s="1" t="s">
        <v>1264</v>
      </c>
      <c r="D512" s="1" t="s">
        <v>1264</v>
      </c>
      <c r="E512" s="1">
        <f t="shared" si="464"/>
        <v>0</v>
      </c>
      <c r="K512" s="1">
        <v>2</v>
      </c>
      <c r="L512" s="1">
        <v>10</v>
      </c>
      <c r="V512" s="1">
        <v>1</v>
      </c>
      <c r="W512" s="1">
        <v>0.5</v>
      </c>
      <c r="X512" s="1">
        <v>0.34</v>
      </c>
      <c r="Y512" s="1">
        <v>0.34</v>
      </c>
      <c r="Z512" s="1" t="b">
        <f>FALSE</f>
        <v>0</v>
      </c>
      <c r="AA512" s="1" t="str">
        <f t="shared" si="467"/>
        <v/>
      </c>
      <c r="AB512" s="1" t="str">
        <f t="shared" si="468"/>
        <v/>
      </c>
      <c r="AC512" s="1">
        <f t="shared" si="465"/>
        <v>0</v>
      </c>
      <c r="AD512" s="1" t="str">
        <f t="shared" si="469"/>
        <v/>
      </c>
      <c r="AE512" s="1" t="str">
        <f t="shared" si="470"/>
        <v/>
      </c>
      <c r="AF512" s="1">
        <f t="shared" si="466"/>
        <v>0</v>
      </c>
      <c r="AG512" s="1">
        <f t="shared" si="445"/>
        <v>5</v>
      </c>
      <c r="AH512" s="1" t="str">
        <f t="shared" si="444"/>
        <v/>
      </c>
      <c r="AI512" s="1">
        <v>1</v>
      </c>
      <c r="AJ512" s="1">
        <f t="shared" si="455"/>
        <v>0</v>
      </c>
      <c r="AK512" s="1">
        <v>1</v>
      </c>
      <c r="AL512" s="1">
        <v>1</v>
      </c>
      <c r="AM512" s="1">
        <v>2</v>
      </c>
      <c r="AN512" s="1">
        <f t="shared" si="484"/>
        <v>0</v>
      </c>
      <c r="AO512" s="1">
        <v>1</v>
      </c>
      <c r="AP512" s="1">
        <v>2</v>
      </c>
      <c r="AQ512" s="1">
        <v>2</v>
      </c>
      <c r="AR512" s="1">
        <v>2</v>
      </c>
      <c r="AS512" s="1">
        <v>2</v>
      </c>
      <c r="AT512" s="1">
        <v>2</v>
      </c>
      <c r="AU512" s="1">
        <v>2</v>
      </c>
      <c r="AV512" s="1">
        <v>2</v>
      </c>
      <c r="AW512" s="1">
        <v>1</v>
      </c>
      <c r="AX512" s="1">
        <v>1</v>
      </c>
      <c r="AY512" s="1">
        <v>1</v>
      </c>
      <c r="AZ512" s="1">
        <v>1</v>
      </c>
      <c r="BA512" s="1">
        <v>1</v>
      </c>
      <c r="BB512" s="1">
        <v>1</v>
      </c>
      <c r="BC512" s="1">
        <v>2</v>
      </c>
      <c r="BD512" s="1">
        <v>1</v>
      </c>
      <c r="BE512" s="1">
        <v>1</v>
      </c>
      <c r="BF512" s="1">
        <v>1</v>
      </c>
      <c r="BG512" s="1">
        <f t="shared" si="485"/>
        <v>0</v>
      </c>
      <c r="BH512" s="1">
        <f t="shared" si="486"/>
        <v>0</v>
      </c>
      <c r="BI512" s="1">
        <v>2</v>
      </c>
      <c r="BJ512" s="1">
        <v>2</v>
      </c>
      <c r="BK512" s="1">
        <v>1</v>
      </c>
      <c r="BL512" s="1">
        <v>1</v>
      </c>
      <c r="BM512" s="1">
        <v>1</v>
      </c>
      <c r="BN512" s="1">
        <v>1</v>
      </c>
      <c r="BO512" s="1">
        <v>1</v>
      </c>
      <c r="BP512" s="1">
        <v>2</v>
      </c>
      <c r="BQ512" s="1">
        <f t="shared" si="487"/>
        <v>0</v>
      </c>
      <c r="BR512" s="1">
        <v>1</v>
      </c>
      <c r="BS512" s="1">
        <v>1</v>
      </c>
      <c r="BT512" s="1">
        <f t="shared" si="488"/>
        <v>0</v>
      </c>
      <c r="BU512" s="1">
        <f t="shared" si="489"/>
        <v>0</v>
      </c>
      <c r="BV512" s="1">
        <v>1</v>
      </c>
      <c r="BW512" s="1">
        <v>1</v>
      </c>
      <c r="BX512" s="1">
        <v>1</v>
      </c>
      <c r="BY512" s="1">
        <v>1</v>
      </c>
      <c r="BZ512" s="1">
        <v>1</v>
      </c>
      <c r="CA512" s="1">
        <v>1</v>
      </c>
      <c r="CB512" s="1">
        <v>1</v>
      </c>
      <c r="CC512" s="1">
        <v>1</v>
      </c>
      <c r="CD512" s="1">
        <v>1</v>
      </c>
      <c r="CE512" s="1">
        <v>1</v>
      </c>
      <c r="CF512" s="1">
        <v>1</v>
      </c>
      <c r="CG512" s="1">
        <f t="shared" si="490"/>
        <v>0</v>
      </c>
      <c r="CH512" s="1">
        <v>1</v>
      </c>
      <c r="CI512" s="1">
        <v>1</v>
      </c>
      <c r="CJ512" s="1">
        <v>1</v>
      </c>
      <c r="CK512" s="1">
        <v>1</v>
      </c>
      <c r="CL512" s="1">
        <v>1</v>
      </c>
      <c r="CM512" s="1">
        <v>1</v>
      </c>
      <c r="CN512" s="1">
        <v>1</v>
      </c>
      <c r="CO512" s="1">
        <v>1</v>
      </c>
      <c r="CP512" s="1">
        <v>1</v>
      </c>
      <c r="CQ512" s="1">
        <v>1</v>
      </c>
      <c r="CR512" s="1">
        <v>1</v>
      </c>
      <c r="CS512" s="1">
        <v>1</v>
      </c>
      <c r="CT512" s="1">
        <v>1</v>
      </c>
      <c r="CU512" s="1">
        <v>1</v>
      </c>
      <c r="CV512" s="1">
        <f t="shared" si="460"/>
        <v>0</v>
      </c>
      <c r="CW512" s="1">
        <v>2</v>
      </c>
      <c r="CX512" s="1">
        <v>2</v>
      </c>
      <c r="CY512" s="1">
        <v>2</v>
      </c>
      <c r="CZ512" s="1">
        <f t="shared" si="491"/>
        <v>0</v>
      </c>
      <c r="DA512" s="1">
        <v>1</v>
      </c>
      <c r="DB512" s="1">
        <v>1</v>
      </c>
      <c r="DC512" s="1">
        <v>1</v>
      </c>
      <c r="DD512" s="1">
        <v>2</v>
      </c>
      <c r="DE512" s="1">
        <v>1</v>
      </c>
      <c r="DF512" s="1">
        <v>1</v>
      </c>
      <c r="DG512" s="1">
        <v>1</v>
      </c>
      <c r="DH512" s="1">
        <v>1</v>
      </c>
      <c r="DI512" s="1">
        <f t="shared" si="462"/>
        <v>0</v>
      </c>
      <c r="DJ512" s="1">
        <v>1</v>
      </c>
      <c r="DK512" s="1" t="s">
        <v>1254</v>
      </c>
      <c r="DL512" s="1" t="s">
        <v>101</v>
      </c>
      <c r="DR512" s="1" t="b">
        <f>OR(AND(AlignmentLawful,AlignmentEvil),AND(AlignmentLawful,AlignmentNeutral),AND(AlignmentNeutral,AlignmentEvil))</f>
        <v>0</v>
      </c>
      <c r="DS512" s="1" t="b">
        <f>BaseAtk&gt;=5</f>
        <v>0</v>
      </c>
      <c r="DT512" s="1" t="b">
        <f>SkIntimidateRanks&gt;=6</f>
        <v>0</v>
      </c>
      <c r="DU512" s="1" t="b">
        <f>SkRideRanks&gt;=4</f>
        <v>0</v>
      </c>
      <c r="DV512" s="1" t="b">
        <f>SkSenseMotiveRanks&gt;=2</f>
        <v>0</v>
      </c>
      <c r="DW512" s="1" t="b">
        <f>FtIronWill</f>
        <v>0</v>
      </c>
      <c r="DX512" s="1" t="b">
        <f>OR(AND(NOT(ISERROR(FIND("sword",WeaponFocusFree1,1)))),AND(NOT(ISERROR(FIND("sword",WeaponFocusFree2,1)))),AND(NOT(ISERROR(FIND("sword",WeaponFocus1,1)))),AND(NOT(ISERROR(FIND("sword",WeaponFocus2,1)))),AND(NOT(ISERROR(FIND("sword",WeaponFocus3,1)))))</f>
        <v>0</v>
      </c>
      <c r="DY512" s="1" t="b">
        <f>OR(FtArmorHeavy,FtShieldProficiency)</f>
        <v>0</v>
      </c>
      <c r="EA512" s="1" t="b">
        <f t="shared" si="492"/>
        <v>0</v>
      </c>
      <c r="EB512" s="11" t="s">
        <v>334</v>
      </c>
      <c r="EC512" s="1" t="str">
        <f>IF(DR512,"","• Lawful evil, lawful neutral or neutral evil alignment.
")&amp;IF(DS512,"","• Base attack bonus +5.
")&amp;IF(DT512,"","• 6 ranks in Intimidate.
")&amp;IF(DU512,"","• 4 ranks in Ride.
")&amp;IF(DV512,"","• 2 ranks in Sense Motive.
")&amp;IF(DW512,"","• Iron Will Feat.
")&amp;IF(DX512,"","• Weapon Focus (any sword).
")&amp;IF(DY512,"","• Proficiency with heavy armor or heavy shields.
")</f>
        <v xml:space="preserve">• Lawful evil, lawful neutral or neutral evil alignment.
• Base attack bonus +5.
• 6 ranks in Intimidate.
• 4 ranks in Ride.
• 2 ranks in Sense Motive.
• Iron Will Feat.
• Weapon Focus (any sword).
• Proficiency with heavy armor or heavy shields.
</v>
      </c>
      <c r="ED512" s="11" t="s">
        <v>335</v>
      </c>
    </row>
    <row r="513" spans="1:134" ht="11.25" customHeight="1" x14ac:dyDescent="0.2">
      <c r="A513" s="1">
        <f t="shared" si="432"/>
        <v>510</v>
      </c>
      <c r="B513" s="1" t="s">
        <v>1265</v>
      </c>
      <c r="E513" s="1">
        <f t="shared" si="464"/>
        <v>0</v>
      </c>
      <c r="F513" s="1">
        <v>1</v>
      </c>
      <c r="Z513" s="1" t="b">
        <f>FALSE</f>
        <v>0</v>
      </c>
      <c r="AA513" s="1" t="str">
        <f t="shared" si="467"/>
        <v/>
      </c>
      <c r="AB513" s="1" t="str">
        <f t="shared" si="468"/>
        <v/>
      </c>
      <c r="AC513" s="1">
        <f t="shared" si="465"/>
        <v>0</v>
      </c>
      <c r="AD513" s="1" t="str">
        <f t="shared" si="469"/>
        <v/>
      </c>
      <c r="AE513" s="1" t="str">
        <f t="shared" si="470"/>
        <v/>
      </c>
      <c r="AF513" s="1">
        <f t="shared" si="466"/>
        <v>0</v>
      </c>
      <c r="AG513" s="1">
        <f t="shared" si="445"/>
        <v>5</v>
      </c>
      <c r="AH513" s="1" t="str">
        <f t="shared" si="444"/>
        <v/>
      </c>
      <c r="EB513" s="11"/>
      <c r="ED513" s="11" t="s">
        <v>335</v>
      </c>
    </row>
    <row r="514" spans="1:134" ht="11.25" customHeight="1" x14ac:dyDescent="0.2">
      <c r="A514" s="1">
        <f t="shared" si="432"/>
        <v>511</v>
      </c>
      <c r="B514" s="1" t="s">
        <v>1266</v>
      </c>
      <c r="C514" s="1" t="s">
        <v>1267</v>
      </c>
      <c r="D514" s="1" t="s">
        <v>1267</v>
      </c>
      <c r="E514" s="1">
        <f t="shared" si="464"/>
        <v>0</v>
      </c>
      <c r="K514" s="1">
        <v>2</v>
      </c>
      <c r="L514" s="1">
        <v>10</v>
      </c>
      <c r="N514" s="1" t="b">
        <v>1</v>
      </c>
      <c r="O514" s="1" t="b">
        <v>1</v>
      </c>
      <c r="P514" s="1" t="b">
        <v>1</v>
      </c>
      <c r="V514" s="1">
        <v>1</v>
      </c>
      <c r="W514" s="1">
        <v>0.5</v>
      </c>
      <c r="X514" s="1">
        <v>0.34</v>
      </c>
      <c r="Y514" s="1">
        <v>0.5</v>
      </c>
      <c r="Z514" s="1" t="b">
        <f>FALSE</f>
        <v>0</v>
      </c>
      <c r="AA514" s="1" t="str">
        <f t="shared" si="467"/>
        <v/>
      </c>
      <c r="AB514" s="1" t="str">
        <f t="shared" si="468"/>
        <v/>
      </c>
      <c r="AC514" s="1">
        <f t="shared" si="465"/>
        <v>0</v>
      </c>
      <c r="AD514" s="1" t="str">
        <f t="shared" si="469"/>
        <v/>
      </c>
      <c r="AE514" s="1" t="str">
        <f t="shared" si="470"/>
        <v/>
      </c>
      <c r="AF514" s="1">
        <f t="shared" si="466"/>
        <v>0</v>
      </c>
      <c r="AG514" s="1">
        <f t="shared" si="445"/>
        <v>5</v>
      </c>
      <c r="AH514" s="1" t="str">
        <f t="shared" si="444"/>
        <v/>
      </c>
      <c r="AI514" s="1">
        <v>1</v>
      </c>
      <c r="AJ514" s="1">
        <f t="shared" si="455"/>
        <v>0</v>
      </c>
      <c r="AK514" s="1">
        <v>1</v>
      </c>
      <c r="AL514" s="1">
        <v>1</v>
      </c>
      <c r="AM514" s="1">
        <v>1</v>
      </c>
      <c r="AN514" s="1">
        <f>IF(IsLycanthrope,2,0)</f>
        <v>0</v>
      </c>
      <c r="AO514" s="1">
        <v>1</v>
      </c>
      <c r="AP514" s="1">
        <v>1</v>
      </c>
      <c r="AQ514" s="1">
        <v>1</v>
      </c>
      <c r="AR514" s="1">
        <v>1</v>
      </c>
      <c r="AS514" s="1">
        <v>1</v>
      </c>
      <c r="AT514" s="1">
        <v>1</v>
      </c>
      <c r="AU514" s="1">
        <v>1</v>
      </c>
      <c r="AV514" s="1">
        <v>1</v>
      </c>
      <c r="AW514" s="1">
        <v>1</v>
      </c>
      <c r="AX514" s="1">
        <v>2</v>
      </c>
      <c r="AY514" s="1">
        <v>1</v>
      </c>
      <c r="AZ514" s="1">
        <v>1</v>
      </c>
      <c r="BA514" s="1">
        <v>1</v>
      </c>
      <c r="BB514" s="1">
        <v>1</v>
      </c>
      <c r="BC514" s="1">
        <v>1</v>
      </c>
      <c r="BD514" s="1">
        <v>2</v>
      </c>
      <c r="BE514" s="1">
        <v>1</v>
      </c>
      <c r="BF514" s="1">
        <v>1</v>
      </c>
      <c r="BG514" s="1">
        <f>IF(HRRVL,1,0)</f>
        <v>0</v>
      </c>
      <c r="BH514" s="1">
        <f>IF(HROA,1,0)</f>
        <v>0</v>
      </c>
      <c r="BI514" s="1">
        <v>2</v>
      </c>
      <c r="BJ514" s="1">
        <v>2</v>
      </c>
      <c r="BK514" s="1">
        <v>1</v>
      </c>
      <c r="BL514" s="1">
        <v>1</v>
      </c>
      <c r="BM514" s="1">
        <v>1</v>
      </c>
      <c r="BN514" s="1">
        <v>1</v>
      </c>
      <c r="BO514" s="1">
        <v>1</v>
      </c>
      <c r="BP514" s="1">
        <v>1</v>
      </c>
      <c r="BQ514" s="1">
        <f>IF(HRRVL,1,0)</f>
        <v>0</v>
      </c>
      <c r="BR514" s="1">
        <v>1</v>
      </c>
      <c r="BS514" s="1">
        <v>1</v>
      </c>
      <c r="BT514" s="1">
        <f>IF(HRXPH,1,0)</f>
        <v>0</v>
      </c>
      <c r="BU514" s="1">
        <f>IF(HRRVL,1,0)</f>
        <v>0</v>
      </c>
      <c r="BV514" s="1">
        <v>1</v>
      </c>
      <c r="BW514" s="1">
        <v>1</v>
      </c>
      <c r="BX514" s="1">
        <v>1</v>
      </c>
      <c r="BY514" s="1">
        <v>1</v>
      </c>
      <c r="BZ514" s="1">
        <v>1</v>
      </c>
      <c r="CA514" s="1">
        <v>1</v>
      </c>
      <c r="CB514" s="1">
        <v>1</v>
      </c>
      <c r="CC514" s="1">
        <v>1</v>
      </c>
      <c r="CD514" s="1">
        <v>1</v>
      </c>
      <c r="CE514" s="1">
        <v>1</v>
      </c>
      <c r="CF514" s="1">
        <v>1</v>
      </c>
      <c r="CG514" s="1">
        <f>IF(HRToB,1,0)</f>
        <v>0</v>
      </c>
      <c r="CH514" s="1">
        <v>1</v>
      </c>
      <c r="CI514" s="1">
        <v>1</v>
      </c>
      <c r="CJ514" s="1">
        <v>1</v>
      </c>
      <c r="CK514" s="1">
        <v>1</v>
      </c>
      <c r="CL514" s="1">
        <v>1</v>
      </c>
      <c r="CM514" s="1">
        <v>1</v>
      </c>
      <c r="CN514" s="1">
        <v>1</v>
      </c>
      <c r="CO514" s="1">
        <v>1</v>
      </c>
      <c r="CP514" s="1">
        <v>1</v>
      </c>
      <c r="CQ514" s="1">
        <v>1</v>
      </c>
      <c r="CR514" s="1">
        <v>1</v>
      </c>
      <c r="CS514" s="1">
        <v>1</v>
      </c>
      <c r="CT514" s="1">
        <v>1</v>
      </c>
      <c r="CU514" s="1">
        <v>1</v>
      </c>
      <c r="CV514" s="1">
        <f t="shared" si="460"/>
        <v>0</v>
      </c>
      <c r="CW514" s="1">
        <v>2</v>
      </c>
      <c r="CX514" s="1">
        <v>2</v>
      </c>
      <c r="CY514" s="1">
        <v>1</v>
      </c>
      <c r="CZ514" s="1">
        <f>IF(HRCS,1,0)</f>
        <v>0</v>
      </c>
      <c r="DA514" s="1">
        <v>1</v>
      </c>
      <c r="DB514" s="1">
        <v>1</v>
      </c>
      <c r="DC514" s="1">
        <v>1</v>
      </c>
      <c r="DD514" s="1">
        <v>2</v>
      </c>
      <c r="DE514" s="1">
        <v>1</v>
      </c>
      <c r="DF514" s="1">
        <v>2</v>
      </c>
      <c r="DG514" s="1">
        <v>1</v>
      </c>
      <c r="DH514" s="1">
        <v>1</v>
      </c>
      <c r="DI514" s="1">
        <f t="shared" si="462"/>
        <v>0</v>
      </c>
      <c r="DJ514" s="1">
        <v>1</v>
      </c>
      <c r="DK514" s="1" t="s">
        <v>1268</v>
      </c>
      <c r="DL514" s="1" t="s">
        <v>101</v>
      </c>
      <c r="DS514" s="1" t="b">
        <f>OR(Subtype="Human",Race="Half-elf")</f>
        <v>0</v>
      </c>
      <c r="DT514" s="1" t="b">
        <f>BaseAtk&gt;=7</f>
        <v>0</v>
      </c>
      <c r="DU514" s="1" t="b">
        <f>SkHandleAnimalRanks&gt;=8</f>
        <v>0</v>
      </c>
      <c r="DV514" s="1" t="b">
        <f>SkRideRanks&gt;=8</f>
        <v>0</v>
      </c>
      <c r="DW514" s="1" t="b">
        <f>FtMountedCombat</f>
        <v>0</v>
      </c>
      <c r="DX514" s="1" t="b">
        <f>NOT(ISNA(MATCH("Lance",TblWeaponFocusFeat,0)))</f>
        <v>0</v>
      </c>
      <c r="DY514" s="1" t="b">
        <f>OR(AND(AlignmentLawful,AlignmentEvil),AND(AlignmentLawful,AlignmentGood),AND(AlignmentNeutral,AlignmentGood))</f>
        <v>1</v>
      </c>
      <c r="EA514" s="1" t="b">
        <f>AND(DM514:DZ514)</f>
        <v>0</v>
      </c>
      <c r="EB514" s="11" t="s">
        <v>338</v>
      </c>
      <c r="EC514" s="1" t="str">
        <f>"• Native or permanent resident of Nimbral (not verified)
"&amp;"• Membership in the Knights of th Flying Hunt (not verified)
"&amp;IF(DS514,"","• Human or Half-moon elf
")&amp;IF(DT514,"","• Base attack bonus +7
")&amp;IF(DU514,"","• 8 ranks in Handle Animal
")&amp;IF(DV514,"","• 8 ranks in Ride
")&amp;IF(DW514,"","• Mounted Combat Feat
")&amp;IF(DX514,"","• Weapon Focus (lance) Feat
")&amp;IF(DY514,"","• Lawful Good, Lawful Neutral, Neutral Good Alignment
")</f>
        <v xml:space="preserve">• Native or permanent resident of Nimbral (not verified)
• Membership in the Knights of th Flying Hunt (not verified)
• Human or Half-moon elf
• Base attack bonus +7
• 8 ranks in Handle Animal
• 8 ranks in Ride
• Mounted Combat Feat
• Weapon Focus (lance) Feat
</v>
      </c>
      <c r="ED514" s="11" t="s">
        <v>335</v>
      </c>
    </row>
    <row r="515" spans="1:134" ht="11.25" customHeight="1" x14ac:dyDescent="0.2">
      <c r="A515" s="1">
        <f t="shared" si="432"/>
        <v>512</v>
      </c>
      <c r="B515" s="1" t="s">
        <v>1269</v>
      </c>
      <c r="C515" s="1" t="s">
        <v>1270</v>
      </c>
      <c r="D515" s="1" t="s">
        <v>1270</v>
      </c>
      <c r="E515" s="1">
        <f t="shared" si="464"/>
        <v>0</v>
      </c>
      <c r="K515" s="1">
        <v>2</v>
      </c>
      <c r="L515" s="1">
        <v>8</v>
      </c>
      <c r="V515" s="1">
        <v>0.75</v>
      </c>
      <c r="W515" s="1">
        <v>0.5</v>
      </c>
      <c r="X515" s="1">
        <v>0.34</v>
      </c>
      <c r="Y515" s="1">
        <v>0.5</v>
      </c>
      <c r="Z515" s="1" t="b">
        <f>FALSE</f>
        <v>0</v>
      </c>
      <c r="AA515" s="1" t="str">
        <f t="shared" si="467"/>
        <v/>
      </c>
      <c r="AB515" s="1" t="str">
        <f t="shared" si="468"/>
        <v/>
      </c>
      <c r="AC515" s="1">
        <f t="shared" si="465"/>
        <v>0</v>
      </c>
      <c r="AD515" s="1" t="str">
        <f t="shared" si="469"/>
        <v/>
      </c>
      <c r="AE515" s="1" t="str">
        <f t="shared" si="470"/>
        <v/>
      </c>
      <c r="AF515" s="1">
        <f t="shared" si="466"/>
        <v>0</v>
      </c>
      <c r="AG515" s="1">
        <f t="shared" si="445"/>
        <v>5</v>
      </c>
      <c r="AH515" s="1" t="str">
        <f t="shared" si="444"/>
        <v/>
      </c>
      <c r="AI515" s="1">
        <v>1</v>
      </c>
      <c r="AJ515" s="1">
        <f t="shared" si="455"/>
        <v>0</v>
      </c>
      <c r="AK515" s="1">
        <v>1</v>
      </c>
      <c r="AL515" s="1">
        <v>1</v>
      </c>
      <c r="AM515" s="1">
        <v>1</v>
      </c>
      <c r="AN515" s="1">
        <f>IF(IsLycanthrope,2,0)</f>
        <v>0</v>
      </c>
      <c r="AO515" s="1">
        <v>2</v>
      </c>
      <c r="AP515" s="1">
        <v>2</v>
      </c>
      <c r="AQ515" s="1">
        <v>2</v>
      </c>
      <c r="AR515" s="1">
        <v>2</v>
      </c>
      <c r="AS515" s="1">
        <v>2</v>
      </c>
      <c r="AT515" s="1">
        <v>2</v>
      </c>
      <c r="AU515" s="1">
        <v>2</v>
      </c>
      <c r="AV515" s="1">
        <v>2</v>
      </c>
      <c r="AW515" s="1">
        <v>1</v>
      </c>
      <c r="AX515" s="1">
        <v>2</v>
      </c>
      <c r="AY515" s="1">
        <v>1</v>
      </c>
      <c r="AZ515" s="1">
        <v>1</v>
      </c>
      <c r="BA515" s="1">
        <v>1</v>
      </c>
      <c r="BB515" s="1">
        <v>1</v>
      </c>
      <c r="BC515" s="1">
        <v>1</v>
      </c>
      <c r="BD515" s="1">
        <v>1</v>
      </c>
      <c r="BE515" s="1">
        <v>1</v>
      </c>
      <c r="BF515" s="1">
        <v>1</v>
      </c>
      <c r="BG515" s="1">
        <f>IF(HRRVL,1,0)</f>
        <v>0</v>
      </c>
      <c r="BH515" s="1">
        <f>IF(HROA,1,0)</f>
        <v>0</v>
      </c>
      <c r="BI515" s="1">
        <v>2</v>
      </c>
      <c r="BJ515" s="1">
        <v>1</v>
      </c>
      <c r="BK515" s="1">
        <v>2</v>
      </c>
      <c r="BL515" s="1">
        <v>1</v>
      </c>
      <c r="BM515" s="1">
        <v>1</v>
      </c>
      <c r="BN515" s="1">
        <v>1</v>
      </c>
      <c r="BO515" s="1">
        <v>2</v>
      </c>
      <c r="BP515" s="1">
        <v>1</v>
      </c>
      <c r="BQ515" s="1">
        <f>IF(HRRVL,1,0)</f>
        <v>0</v>
      </c>
      <c r="BR515" s="1">
        <v>1</v>
      </c>
      <c r="BS515" s="1">
        <v>1</v>
      </c>
      <c r="BT515" s="1">
        <f>IF(HRXPH,1,0)</f>
        <v>0</v>
      </c>
      <c r="BU515" s="1">
        <f>IF(HRRVL,1,0)</f>
        <v>0</v>
      </c>
      <c r="BV515" s="1">
        <v>1</v>
      </c>
      <c r="BW515" s="1">
        <v>1</v>
      </c>
      <c r="BX515" s="1">
        <v>1</v>
      </c>
      <c r="BY515" s="1">
        <v>1</v>
      </c>
      <c r="BZ515" s="1">
        <v>1</v>
      </c>
      <c r="CA515" s="1">
        <v>1</v>
      </c>
      <c r="CB515" s="1">
        <v>1</v>
      </c>
      <c r="CC515" s="1">
        <v>1</v>
      </c>
      <c r="CD515" s="1">
        <v>1</v>
      </c>
      <c r="CE515" s="1">
        <v>1</v>
      </c>
      <c r="CF515" s="1">
        <v>1</v>
      </c>
      <c r="CG515" s="1">
        <f>IF(HRToB,1,0)</f>
        <v>0</v>
      </c>
      <c r="CH515" s="1">
        <v>1</v>
      </c>
      <c r="CI515" s="1">
        <v>1</v>
      </c>
      <c r="CJ515" s="1">
        <v>1</v>
      </c>
      <c r="CK515" s="1">
        <v>1</v>
      </c>
      <c r="CL515" s="1">
        <v>1</v>
      </c>
      <c r="CM515" s="1">
        <v>1</v>
      </c>
      <c r="CN515" s="1">
        <v>1</v>
      </c>
      <c r="CO515" s="1">
        <v>1</v>
      </c>
      <c r="CP515" s="1">
        <v>2</v>
      </c>
      <c r="CQ515" s="1">
        <v>2</v>
      </c>
      <c r="CR515" s="1">
        <v>2</v>
      </c>
      <c r="CS515" s="1">
        <v>2</v>
      </c>
      <c r="CT515" s="1">
        <v>2</v>
      </c>
      <c r="CU515" s="1">
        <v>2</v>
      </c>
      <c r="CV515" s="1">
        <f t="shared" si="460"/>
        <v>0</v>
      </c>
      <c r="CW515" s="1">
        <v>1</v>
      </c>
      <c r="CX515" s="1">
        <v>1</v>
      </c>
      <c r="CY515" s="1">
        <v>1</v>
      </c>
      <c r="CZ515" s="1">
        <f>IF(HRCS,1,0)</f>
        <v>0</v>
      </c>
      <c r="DA515" s="1">
        <v>1</v>
      </c>
      <c r="DB515" s="1">
        <v>1</v>
      </c>
      <c r="DC515" s="1">
        <v>2</v>
      </c>
      <c r="DD515" s="1">
        <v>2</v>
      </c>
      <c r="DE515" s="1">
        <v>1</v>
      </c>
      <c r="DF515" s="1">
        <v>1</v>
      </c>
      <c r="DG515" s="1">
        <v>1</v>
      </c>
      <c r="DH515" s="1">
        <v>2</v>
      </c>
      <c r="DI515" s="1">
        <f t="shared" si="462"/>
        <v>0</v>
      </c>
      <c r="DJ515" s="1">
        <v>1</v>
      </c>
      <c r="DK515" s="1" t="s">
        <v>1268</v>
      </c>
      <c r="DL515" s="1" t="s">
        <v>101</v>
      </c>
      <c r="DU515" s="1" t="b">
        <f>AlignmentNonEvil</f>
        <v>1</v>
      </c>
      <c r="DV515" s="1" t="b">
        <f ca="1">OR(BaseAtk&gt;=5,AND(MaxSpontaneousLevel&gt;=3,MaxArcaneSpellLevel&gt;=3))</f>
        <v>0</v>
      </c>
      <c r="DW515" s="1" t="b">
        <f>SkKnowledgeArcanaRanks&gt;=1</f>
        <v>0</v>
      </c>
      <c r="DX515" s="1" t="b">
        <f>SkKnowledgeHistoryRanks&gt;=1</f>
        <v>0</v>
      </c>
      <c r="DY515" s="1" t="b">
        <f>SkSpellcraftRanks&gt;=1</f>
        <v>0</v>
      </c>
      <c r="EA515" s="1" t="b">
        <f ca="1">AND(DM515:DZ515)</f>
        <v>0</v>
      </c>
      <c r="EB515" s="11" t="s">
        <v>338</v>
      </c>
      <c r="EC515" s="1" t="str">
        <f ca="1">"• Cannot be a Shadow Weave user (not verified)
"&amp;"• Oath to the Weave (not verified)
"&amp;IF(DU515,"","• Any non-evil
")&amp;IF(DV515,"","• +5 base attack bonus or ability to spontaneously cast 3rd level arcane spells
")&amp;IF(DW515,"","• 1 rank in Knowledge (arcana)
")&amp;IF(DX515,"","• 1 rank in Knowledge (history)
")&amp;IF(DY515,"","• 1 rank in Spellcraft
")</f>
        <v xml:space="preserve">• Cannot be a Shadow Weave user (not verified)
• Oath to the Weave (not verified)
• +5 base attack bonus or ability to spontaneously cast 3rd level arcane spells
• 1 rank in Knowledge (arcana)
• 1 rank in Knowledge (history)
• 1 rank in Spellcraft
</v>
      </c>
      <c r="ED515" s="11" t="s">
        <v>335</v>
      </c>
    </row>
    <row r="516" spans="1:134" ht="11.25" customHeight="1" x14ac:dyDescent="0.2">
      <c r="A516" s="1">
        <f t="shared" si="432"/>
        <v>513</v>
      </c>
      <c r="B516" s="1" t="s">
        <v>1271</v>
      </c>
      <c r="C516" s="1" t="s">
        <v>1272</v>
      </c>
      <c r="D516" s="1" t="s">
        <v>1272</v>
      </c>
      <c r="E516" s="1">
        <f t="shared" si="464"/>
        <v>0</v>
      </c>
      <c r="K516" s="1">
        <v>2</v>
      </c>
      <c r="L516" s="1">
        <v>8</v>
      </c>
      <c r="V516" s="1">
        <v>1</v>
      </c>
      <c r="W516" s="1">
        <v>0.5</v>
      </c>
      <c r="X516" s="1">
        <v>0.34</v>
      </c>
      <c r="Y516" s="1">
        <v>0.34</v>
      </c>
      <c r="Z516" s="1" t="b">
        <f>FALSE</f>
        <v>0</v>
      </c>
      <c r="AA516" s="1" t="str">
        <f t="shared" si="467"/>
        <v/>
      </c>
      <c r="AB516" s="1" t="str">
        <f t="shared" si="468"/>
        <v/>
      </c>
      <c r="AC516" s="1">
        <f t="shared" si="465"/>
        <v>0</v>
      </c>
      <c r="AD516" s="1" t="str">
        <f t="shared" si="469"/>
        <v/>
      </c>
      <c r="AE516" s="1" t="str">
        <f t="shared" si="470"/>
        <v/>
      </c>
      <c r="AF516" s="1">
        <f t="shared" si="466"/>
        <v>0</v>
      </c>
      <c r="AG516" s="1">
        <f t="shared" si="445"/>
        <v>5</v>
      </c>
      <c r="AH516" s="1" t="str">
        <f t="shared" si="444"/>
        <v/>
      </c>
      <c r="AI516" s="1">
        <v>1</v>
      </c>
      <c r="AJ516" s="1">
        <f t="shared" si="455"/>
        <v>0</v>
      </c>
      <c r="AK516" s="1">
        <v>1</v>
      </c>
      <c r="AL516" s="1">
        <v>1</v>
      </c>
      <c r="AM516" s="1">
        <v>2</v>
      </c>
      <c r="AN516" s="1">
        <f>IF(IsLycanthrope,2,0)</f>
        <v>0</v>
      </c>
      <c r="AO516" s="1">
        <v>1</v>
      </c>
      <c r="AP516" s="1">
        <v>2</v>
      </c>
      <c r="AQ516" s="1">
        <v>2</v>
      </c>
      <c r="AR516" s="1">
        <v>2</v>
      </c>
      <c r="AS516" s="1">
        <v>2</v>
      </c>
      <c r="AT516" s="1">
        <v>2</v>
      </c>
      <c r="AU516" s="1">
        <v>2</v>
      </c>
      <c r="AV516" s="1">
        <v>2</v>
      </c>
      <c r="AW516" s="1">
        <v>2</v>
      </c>
      <c r="AX516" s="1">
        <v>1</v>
      </c>
      <c r="AY516" s="1">
        <v>1</v>
      </c>
      <c r="AZ516" s="1">
        <v>1</v>
      </c>
      <c r="BA516" s="1">
        <v>1</v>
      </c>
      <c r="BB516" s="1">
        <v>1</v>
      </c>
      <c r="BC516" s="1">
        <v>1</v>
      </c>
      <c r="BD516" s="1">
        <v>2</v>
      </c>
      <c r="BE516" s="1">
        <v>1</v>
      </c>
      <c r="BF516" s="1">
        <v>1</v>
      </c>
      <c r="BG516" s="1">
        <f>IF(HRRVL,1,0)</f>
        <v>0</v>
      </c>
      <c r="BH516" s="1">
        <f>IF(HROA,1,0)</f>
        <v>0</v>
      </c>
      <c r="BI516" s="1">
        <v>2</v>
      </c>
      <c r="BJ516" s="1">
        <v>2</v>
      </c>
      <c r="BK516" s="1">
        <v>1</v>
      </c>
      <c r="BL516" s="1">
        <v>1</v>
      </c>
      <c r="BM516" s="1">
        <v>1</v>
      </c>
      <c r="BN516" s="1">
        <v>2</v>
      </c>
      <c r="BO516" s="1">
        <v>1</v>
      </c>
      <c r="BP516" s="1">
        <v>1</v>
      </c>
      <c r="BQ516" s="1">
        <f>IF(HRRVL,1,0)</f>
        <v>0</v>
      </c>
      <c r="BR516" s="1">
        <v>1</v>
      </c>
      <c r="BS516" s="1">
        <v>1</v>
      </c>
      <c r="BT516" s="1">
        <f>IF(HRXPH,1,0)</f>
        <v>0</v>
      </c>
      <c r="BU516" s="1">
        <f>IF(HRRVL,1,0)</f>
        <v>0</v>
      </c>
      <c r="BV516" s="1">
        <v>1</v>
      </c>
      <c r="BW516" s="1">
        <v>1</v>
      </c>
      <c r="BX516" s="1">
        <v>1</v>
      </c>
      <c r="BY516" s="1">
        <v>1</v>
      </c>
      <c r="BZ516" s="1">
        <v>1</v>
      </c>
      <c r="CA516" s="1">
        <v>1</v>
      </c>
      <c r="CB516" s="1">
        <v>1</v>
      </c>
      <c r="CC516" s="1">
        <v>1</v>
      </c>
      <c r="CD516" s="1">
        <v>1</v>
      </c>
      <c r="CE516" s="1">
        <v>1</v>
      </c>
      <c r="CF516" s="1">
        <v>1</v>
      </c>
      <c r="CG516" s="1">
        <f>IF(HRToB,1,0)</f>
        <v>0</v>
      </c>
      <c r="CH516" s="1">
        <v>1</v>
      </c>
      <c r="CI516" s="1">
        <v>1</v>
      </c>
      <c r="CJ516" s="1">
        <v>1</v>
      </c>
      <c r="CK516" s="1">
        <v>1</v>
      </c>
      <c r="CL516" s="1">
        <v>1</v>
      </c>
      <c r="CM516" s="1">
        <v>1</v>
      </c>
      <c r="CN516" s="1">
        <v>1</v>
      </c>
      <c r="CO516" s="1">
        <v>1</v>
      </c>
      <c r="CP516" s="1">
        <v>1</v>
      </c>
      <c r="CQ516" s="1">
        <v>1</v>
      </c>
      <c r="CR516" s="1">
        <v>1</v>
      </c>
      <c r="CS516" s="1">
        <v>1</v>
      </c>
      <c r="CT516" s="1">
        <v>1</v>
      </c>
      <c r="CU516" s="1">
        <v>1</v>
      </c>
      <c r="CV516" s="1">
        <f t="shared" si="460"/>
        <v>0</v>
      </c>
      <c r="CW516" s="1">
        <v>2</v>
      </c>
      <c r="CX516" s="1">
        <v>1</v>
      </c>
      <c r="CY516" s="1">
        <v>1</v>
      </c>
      <c r="CZ516" s="1">
        <f>IF(HRCS,1,0)</f>
        <v>0</v>
      </c>
      <c r="DA516" s="1">
        <v>1</v>
      </c>
      <c r="DB516" s="1">
        <v>1</v>
      </c>
      <c r="DC516" s="1">
        <v>1</v>
      </c>
      <c r="DD516" s="1">
        <v>2</v>
      </c>
      <c r="DE516" s="1">
        <v>1</v>
      </c>
      <c r="DF516" s="1">
        <v>1</v>
      </c>
      <c r="DG516" s="1">
        <v>1</v>
      </c>
      <c r="DH516" s="1">
        <v>1</v>
      </c>
      <c r="DI516" s="1">
        <f t="shared" si="462"/>
        <v>0</v>
      </c>
      <c r="DJ516" s="1">
        <v>1</v>
      </c>
      <c r="DK516" s="1" t="s">
        <v>1268</v>
      </c>
      <c r="DL516" s="1" t="s">
        <v>101</v>
      </c>
      <c r="DV516" s="1" t="b">
        <f>BaseAtk&gt;=5</f>
        <v>0</v>
      </c>
      <c r="DW516" s="1" t="b">
        <f>SkHandleAnimalRanks&gt;=8</f>
        <v>0</v>
      </c>
      <c r="DX516" s="1" t="b">
        <f>SkRideRanks&gt;=8</f>
        <v>0</v>
      </c>
      <c r="DY516" s="1" t="b">
        <f>FtMountedCombat</f>
        <v>0</v>
      </c>
      <c r="EA516" s="1" t="b">
        <f>AND(DM516:DZ516)</f>
        <v>0</v>
      </c>
      <c r="EB516" s="11" t="s">
        <v>338</v>
      </c>
      <c r="EC516" s="1" t="str">
        <f>"• Membership in the Knights of the North (not verified)
"&amp;IF(DV516,"","• +5 base attack bonus.
")&amp;IF(DW516,"","• 8 ranks in Handle Animal.
")&amp;IF(DX516,"","• 8 ranks in Ride.
")&amp;IF(DY516,"","• Mounted Combat Feat
")</f>
        <v xml:space="preserve">• Membership in the Knights of the North (not verified)
• +5 base attack bonus.
• 8 ranks in Handle Animal.
• 8 ranks in Ride.
• Mounted Combat Feat
</v>
      </c>
      <c r="ED516" s="11" t="s">
        <v>335</v>
      </c>
    </row>
    <row r="517" spans="1:134" ht="11.25" customHeight="1" x14ac:dyDescent="0.2">
      <c r="A517" s="1">
        <f t="shared" si="432"/>
        <v>514</v>
      </c>
      <c r="B517" s="1" t="s">
        <v>1273</v>
      </c>
      <c r="C517" s="1" t="s">
        <v>1274</v>
      </c>
      <c r="D517" s="1" t="s">
        <v>1274</v>
      </c>
      <c r="E517" s="1">
        <f t="shared" si="464"/>
        <v>0</v>
      </c>
      <c r="G517" s="1">
        <f>MIN(MAX(TriKLvl-1,0),7)</f>
        <v>0</v>
      </c>
      <c r="K517" s="1">
        <v>2</v>
      </c>
      <c r="L517" s="1">
        <v>10</v>
      </c>
      <c r="V517" s="1">
        <v>1</v>
      </c>
      <c r="W517" s="1">
        <v>0.5</v>
      </c>
      <c r="X517" s="1">
        <v>0.34</v>
      </c>
      <c r="Y517" s="1">
        <v>0.34</v>
      </c>
      <c r="Z517" s="1" t="b">
        <f>FALSE</f>
        <v>0</v>
      </c>
      <c r="AA517" s="1" t="str">
        <f t="shared" si="467"/>
        <v/>
      </c>
      <c r="AB517" s="1" t="str">
        <f t="shared" si="468"/>
        <v/>
      </c>
      <c r="AC517" s="1">
        <f t="shared" si="465"/>
        <v>0</v>
      </c>
      <c r="AD517" s="1" t="str">
        <f t="shared" si="469"/>
        <v/>
      </c>
      <c r="AE517" s="1" t="str">
        <f t="shared" si="470"/>
        <v/>
      </c>
      <c r="AF517" s="1">
        <f t="shared" si="466"/>
        <v>0</v>
      </c>
      <c r="AG517" s="1">
        <f t="shared" si="445"/>
        <v>5</v>
      </c>
      <c r="AH517" s="1" t="str">
        <f t="shared" si="444"/>
        <v/>
      </c>
      <c r="AI517" s="1">
        <v>1</v>
      </c>
      <c r="AJ517" s="1">
        <f t="shared" si="455"/>
        <v>0</v>
      </c>
      <c r="AK517" s="1">
        <v>1</v>
      </c>
      <c r="AL517" s="1">
        <v>1</v>
      </c>
      <c r="AM517" s="1">
        <v>1</v>
      </c>
      <c r="AN517" s="1">
        <f>IF(IsLycanthrope,2,0)</f>
        <v>0</v>
      </c>
      <c r="AO517" s="1">
        <v>2</v>
      </c>
      <c r="AP517" s="1">
        <v>2</v>
      </c>
      <c r="AQ517" s="1">
        <v>2</v>
      </c>
      <c r="AR517" s="1">
        <v>2</v>
      </c>
      <c r="AS517" s="1">
        <v>2</v>
      </c>
      <c r="AT517" s="1">
        <v>2</v>
      </c>
      <c r="AU517" s="1">
        <v>2</v>
      </c>
      <c r="AV517" s="1">
        <v>2</v>
      </c>
      <c r="AW517" s="1">
        <v>1</v>
      </c>
      <c r="AX517" s="1">
        <v>2</v>
      </c>
      <c r="AY517" s="1">
        <v>1</v>
      </c>
      <c r="AZ517" s="1">
        <v>1</v>
      </c>
      <c r="BA517" s="1">
        <v>1</v>
      </c>
      <c r="BB517" s="1">
        <v>1</v>
      </c>
      <c r="BC517" s="1">
        <v>1</v>
      </c>
      <c r="BD517" s="1">
        <v>2</v>
      </c>
      <c r="BE517" s="1">
        <v>2</v>
      </c>
      <c r="BF517" s="1">
        <v>1</v>
      </c>
      <c r="BG517" s="1">
        <f>IF(HRRVL,1,0)</f>
        <v>0</v>
      </c>
      <c r="BH517" s="1">
        <f>IF(HROA,1,0)</f>
        <v>0</v>
      </c>
      <c r="BI517" s="1">
        <v>1</v>
      </c>
      <c r="BJ517" s="1">
        <v>1</v>
      </c>
      <c r="BK517" s="1">
        <v>1</v>
      </c>
      <c r="BL517" s="1">
        <v>1</v>
      </c>
      <c r="BM517" s="1">
        <v>1</v>
      </c>
      <c r="BN517" s="1">
        <v>1</v>
      </c>
      <c r="BO517" s="1">
        <v>1</v>
      </c>
      <c r="BP517" s="1">
        <v>2</v>
      </c>
      <c r="BQ517" s="1">
        <f>IF(HRRVL,1,0)</f>
        <v>0</v>
      </c>
      <c r="BR517" s="1">
        <v>1</v>
      </c>
      <c r="BS517" s="1">
        <v>2</v>
      </c>
      <c r="BT517" s="1">
        <f>IF(HRXPH,1,0)</f>
        <v>0</v>
      </c>
      <c r="BU517" s="1">
        <f>IF(HRRVL,1,0)</f>
        <v>0</v>
      </c>
      <c r="BV517" s="1">
        <v>2</v>
      </c>
      <c r="BW517" s="1">
        <v>2</v>
      </c>
      <c r="BX517" s="1">
        <v>1</v>
      </c>
      <c r="BY517" s="1">
        <v>1</v>
      </c>
      <c r="BZ517" s="1">
        <v>1</v>
      </c>
      <c r="CA517" s="1">
        <v>1</v>
      </c>
      <c r="CB517" s="1">
        <v>1</v>
      </c>
      <c r="CC517" s="1">
        <v>1</v>
      </c>
      <c r="CD517" s="1">
        <v>1</v>
      </c>
      <c r="CE517" s="1">
        <v>1</v>
      </c>
      <c r="CF517" s="1">
        <v>1</v>
      </c>
      <c r="CG517" s="1">
        <f>IF(HRToB,1,0)</f>
        <v>0</v>
      </c>
      <c r="CH517" s="1">
        <v>1</v>
      </c>
      <c r="CI517" s="1">
        <v>1</v>
      </c>
      <c r="CJ517" s="1">
        <v>1</v>
      </c>
      <c r="CK517" s="1">
        <v>1</v>
      </c>
      <c r="CL517" s="1">
        <v>1</v>
      </c>
      <c r="CM517" s="1">
        <v>1</v>
      </c>
      <c r="CN517" s="1">
        <v>1</v>
      </c>
      <c r="CO517" s="1">
        <v>1</v>
      </c>
      <c r="CP517" s="1">
        <v>2</v>
      </c>
      <c r="CQ517" s="1">
        <v>2</v>
      </c>
      <c r="CR517" s="1">
        <v>2</v>
      </c>
      <c r="CS517" s="1">
        <v>2</v>
      </c>
      <c r="CT517" s="1">
        <v>2</v>
      </c>
      <c r="CU517" s="1">
        <v>2</v>
      </c>
      <c r="CV517" s="1">
        <f t="shared" si="460"/>
        <v>0</v>
      </c>
      <c r="CW517" s="1">
        <v>2</v>
      </c>
      <c r="CX517" s="1">
        <v>1</v>
      </c>
      <c r="CY517" s="1">
        <v>2</v>
      </c>
      <c r="CZ517" s="1">
        <f>IF(HRCS,1,0)</f>
        <v>0</v>
      </c>
      <c r="DA517" s="1">
        <v>1</v>
      </c>
      <c r="DB517" s="1">
        <v>1</v>
      </c>
      <c r="DC517" s="1">
        <v>1</v>
      </c>
      <c r="DD517" s="1">
        <v>1</v>
      </c>
      <c r="DE517" s="1">
        <v>1</v>
      </c>
      <c r="DF517" s="1">
        <v>1</v>
      </c>
      <c r="DG517" s="1">
        <v>1</v>
      </c>
      <c r="DH517" s="1">
        <v>1</v>
      </c>
      <c r="DI517" s="1">
        <f t="shared" si="462"/>
        <v>0</v>
      </c>
      <c r="DJ517" s="1">
        <v>1</v>
      </c>
      <c r="DK517" s="1" t="s">
        <v>1268</v>
      </c>
      <c r="DL517" s="1" t="s">
        <v>101</v>
      </c>
      <c r="DS517" s="1" t="b">
        <f>(OR(Deity="Ilmater",Deity="Torm",Deity="Tyr"))</f>
        <v>0</v>
      </c>
      <c r="DT517" s="1" t="b">
        <f>AND(AlignmentLawful,AlignmentGood)</f>
        <v>1</v>
      </c>
      <c r="DU517" s="1" t="b">
        <f>BaseAtk&gt;=5</f>
        <v>0</v>
      </c>
      <c r="DV517" s="1" t="b">
        <f>(OR(FtInitiateOfIlmater,FtInitiateOfTorm,FtInitiateOfTyr))</f>
        <v>0</v>
      </c>
      <c r="DW517" s="1" t="b">
        <f>FtEndurance</f>
        <v>0</v>
      </c>
      <c r="DX517" s="1" t="b">
        <f>(AND(SkKnowledgeLocalRanks&gt;=4,SkKnowledgeReligionRanks&gt;=4,SkKnowledgePlanesRanks&gt;=2))</f>
        <v>0</v>
      </c>
      <c r="DY517" s="1" t="b">
        <f>OR(AND(PalLvl&gt;=1,AND(AlignmentLawful,AlignmentGood)),SaELvl&gt;=2,HoLLvl&gt;=1,TriKLvl&gt;=1)</f>
        <v>0</v>
      </c>
      <c r="EA517" s="1" t="b">
        <f>AND(DM517:DZ517)</f>
        <v>0</v>
      </c>
      <c r="EB517" s="11" t="s">
        <v>334</v>
      </c>
      <c r="EC517" s="1" t="str">
        <f>IF(DS517,"","• Patron deity Ilmater, Torm and/or Tyr.
")&amp;IF(DT517,"","• Lawful Good alignment.
")&amp;IF(DU517,"","• +5 base attack bonus.
")&amp;IF(DV517,"","• Initiate of Ilmater, Torm or Tyr feat.
")&amp;IF(DW517,"","• Endurance feat.
")&amp;IF(DX517,"","• Knowledge (local) 4 ranks, Knowledge (religion) 4 ranks, and Knowledge (planes) 2 ranks.
")&amp;IF(DY517,"","• Aura of good class feature.
")</f>
        <v xml:space="preserve">• Patron deity Ilmater, Torm and/or Tyr.
• +5 base attack bonus.
• Initiate of Ilmater, Torm or Tyr feat.
• Endurance feat.
• Knowledge (local) 4 ranks, Knowledge (religion) 4 ranks, and Knowledge (planes) 2 ranks.
• Aura of good class feature.
</v>
      </c>
      <c r="ED517" s="11" t="s">
        <v>335</v>
      </c>
    </row>
    <row r="518" spans="1:134" ht="11.25" customHeight="1" x14ac:dyDescent="0.2">
      <c r="A518" s="1">
        <f t="shared" ref="A518:A581" si="493">A517+1</f>
        <v>515</v>
      </c>
      <c r="B518" s="1" t="s">
        <v>1275</v>
      </c>
      <c r="E518" s="1">
        <f t="shared" si="464"/>
        <v>0</v>
      </c>
      <c r="F518" s="1">
        <v>1</v>
      </c>
      <c r="Z518" s="1" t="b">
        <f>FALSE</f>
        <v>0</v>
      </c>
      <c r="AA518" s="1" t="str">
        <f t="shared" si="467"/>
        <v/>
      </c>
      <c r="AB518" s="1" t="str">
        <f t="shared" si="468"/>
        <v/>
      </c>
      <c r="AC518" s="1">
        <f t="shared" si="465"/>
        <v>0</v>
      </c>
      <c r="AD518" s="1" t="str">
        <f t="shared" si="469"/>
        <v/>
      </c>
      <c r="AE518" s="1" t="str">
        <f t="shared" si="470"/>
        <v/>
      </c>
      <c r="AF518" s="1">
        <f t="shared" si="466"/>
        <v>0</v>
      </c>
      <c r="AG518" s="1">
        <f t="shared" si="445"/>
        <v>5</v>
      </c>
      <c r="AH518" s="1" t="str">
        <f t="shared" si="444"/>
        <v/>
      </c>
      <c r="EB518" s="11"/>
      <c r="ED518" s="11" t="s">
        <v>335</v>
      </c>
    </row>
    <row r="519" spans="1:134" ht="11.25" customHeight="1" x14ac:dyDescent="0.2">
      <c r="A519" s="1">
        <f t="shared" si="493"/>
        <v>516</v>
      </c>
      <c r="B519" s="1" t="s">
        <v>1276</v>
      </c>
      <c r="C519" s="1" t="s">
        <v>1277</v>
      </c>
      <c r="D519" s="1" t="s">
        <v>1277</v>
      </c>
      <c r="E519" s="1">
        <f t="shared" si="464"/>
        <v>0</v>
      </c>
      <c r="K519" s="1">
        <v>2</v>
      </c>
      <c r="L519" s="1">
        <v>10</v>
      </c>
      <c r="S519" s="1" t="b">
        <v>1</v>
      </c>
      <c r="T519" s="1" t="b">
        <v>1</v>
      </c>
      <c r="V519" s="1">
        <v>1</v>
      </c>
      <c r="W519" s="1">
        <v>0.5</v>
      </c>
      <c r="X519" s="1">
        <v>0.34</v>
      </c>
      <c r="Y519" s="1">
        <v>0.34</v>
      </c>
      <c r="Z519" s="1" t="b">
        <f>FALSE</f>
        <v>0</v>
      </c>
      <c r="AA519" s="1" t="str">
        <f t="shared" si="467"/>
        <v/>
      </c>
      <c r="AB519" s="1" t="str">
        <f t="shared" si="468"/>
        <v/>
      </c>
      <c r="AC519" s="1">
        <f t="shared" si="465"/>
        <v>0</v>
      </c>
      <c r="AD519" s="1" t="str">
        <f t="shared" si="469"/>
        <v/>
      </c>
      <c r="AE519" s="1" t="str">
        <f t="shared" si="470"/>
        <v/>
      </c>
      <c r="AF519" s="1">
        <f t="shared" si="466"/>
        <v>0</v>
      </c>
      <c r="AG519" s="1">
        <f t="shared" si="445"/>
        <v>5</v>
      </c>
      <c r="AH519" s="1" t="str">
        <f t="shared" si="444"/>
        <v/>
      </c>
      <c r="AI519" s="1">
        <v>1</v>
      </c>
      <c r="AJ519" s="1">
        <f t="shared" si="455"/>
        <v>0</v>
      </c>
      <c r="AK519" s="1">
        <v>1</v>
      </c>
      <c r="AL519" s="1">
        <v>1</v>
      </c>
      <c r="AM519" s="1">
        <v>2</v>
      </c>
      <c r="AN519" s="1">
        <f t="shared" ref="AN519:AN524" si="494">IF(IsLycanthrope,2,0)</f>
        <v>0</v>
      </c>
      <c r="AO519" s="1">
        <v>1</v>
      </c>
      <c r="AP519" s="1">
        <v>1</v>
      </c>
      <c r="AQ519" s="1">
        <v>1</v>
      </c>
      <c r="AR519" s="1">
        <v>1</v>
      </c>
      <c r="AS519" s="1">
        <v>1</v>
      </c>
      <c r="AT519" s="1">
        <v>1</v>
      </c>
      <c r="AU519" s="1">
        <v>1</v>
      </c>
      <c r="AV519" s="1">
        <v>1</v>
      </c>
      <c r="AW519" s="1">
        <v>1</v>
      </c>
      <c r="AX519" s="1">
        <v>1</v>
      </c>
      <c r="AY519" s="1">
        <v>1</v>
      </c>
      <c r="AZ519" s="1">
        <v>1</v>
      </c>
      <c r="BA519" s="1">
        <v>1</v>
      </c>
      <c r="BB519" s="1">
        <v>1</v>
      </c>
      <c r="BC519" s="1">
        <v>1</v>
      </c>
      <c r="BD519" s="1">
        <v>1</v>
      </c>
      <c r="BE519" s="1">
        <v>1</v>
      </c>
      <c r="BF519" s="1">
        <v>2</v>
      </c>
      <c r="BG519" s="1">
        <f t="shared" ref="BG519:BG529" si="495">IF(HRRVL,1,0)</f>
        <v>0</v>
      </c>
      <c r="BH519" s="1">
        <f t="shared" ref="BH519:BH524" si="496">IF(HROA,1,0)</f>
        <v>0</v>
      </c>
      <c r="BI519" s="1">
        <v>1</v>
      </c>
      <c r="BJ519" s="1">
        <v>1</v>
      </c>
      <c r="BK519" s="1">
        <v>2</v>
      </c>
      <c r="BL519" s="1">
        <v>1</v>
      </c>
      <c r="BM519" s="1">
        <v>1</v>
      </c>
      <c r="BN519" s="1">
        <v>1</v>
      </c>
      <c r="BO519" s="1">
        <v>1</v>
      </c>
      <c r="BP519" s="1">
        <v>1</v>
      </c>
      <c r="BQ519" s="1">
        <f>IF(HRRVL,1,0)</f>
        <v>0</v>
      </c>
      <c r="BR519" s="1">
        <v>1</v>
      </c>
      <c r="BS519" s="1">
        <v>1</v>
      </c>
      <c r="BT519" s="1">
        <f t="shared" ref="BT519:BT529" si="497">IF(HRXPH,1,0)</f>
        <v>0</v>
      </c>
      <c r="BU519" s="1">
        <f>IF(HRRVL,1,0)</f>
        <v>0</v>
      </c>
      <c r="BV519" s="1">
        <v>1</v>
      </c>
      <c r="BW519" s="1">
        <v>1</v>
      </c>
      <c r="BX519" s="1">
        <v>1</v>
      </c>
      <c r="BY519" s="1">
        <v>1</v>
      </c>
      <c r="BZ519" s="1">
        <v>1</v>
      </c>
      <c r="CA519" s="1">
        <v>1</v>
      </c>
      <c r="CB519" s="1">
        <v>1</v>
      </c>
      <c r="CC519" s="1">
        <v>1</v>
      </c>
      <c r="CD519" s="1">
        <v>1</v>
      </c>
      <c r="CE519" s="1">
        <v>1</v>
      </c>
      <c r="CF519" s="1">
        <v>1</v>
      </c>
      <c r="CG519" s="1">
        <f t="shared" ref="CG519:CG524" si="498">IF(HRToB,1,0)</f>
        <v>0</v>
      </c>
      <c r="CH519" s="1">
        <v>2</v>
      </c>
      <c r="CI519" s="1">
        <v>1</v>
      </c>
      <c r="CJ519" s="1">
        <v>1</v>
      </c>
      <c r="CK519" s="1">
        <v>1</v>
      </c>
      <c r="CL519" s="1">
        <v>1</v>
      </c>
      <c r="CM519" s="1">
        <v>1</v>
      </c>
      <c r="CN519" s="1">
        <v>1</v>
      </c>
      <c r="CO519" s="1">
        <v>1</v>
      </c>
      <c r="CP519" s="1">
        <v>1</v>
      </c>
      <c r="CQ519" s="1">
        <v>1</v>
      </c>
      <c r="CR519" s="1">
        <v>1</v>
      </c>
      <c r="CS519" s="1">
        <v>1</v>
      </c>
      <c r="CT519" s="1">
        <v>1</v>
      </c>
      <c r="CU519" s="1">
        <v>1</v>
      </c>
      <c r="CV519" s="1">
        <f t="shared" si="460"/>
        <v>0</v>
      </c>
      <c r="CW519" s="1">
        <v>1</v>
      </c>
      <c r="CX519" s="1">
        <v>1</v>
      </c>
      <c r="CY519" s="1">
        <v>1</v>
      </c>
      <c r="CZ519" s="1">
        <f t="shared" ref="CZ519:CZ524" si="499">IF(HRCS,1,0)</f>
        <v>0</v>
      </c>
      <c r="DA519" s="1">
        <v>1</v>
      </c>
      <c r="DB519" s="1">
        <v>1</v>
      </c>
      <c r="DC519" s="1">
        <v>1</v>
      </c>
      <c r="DD519" s="1">
        <v>1</v>
      </c>
      <c r="DE519" s="1">
        <v>2</v>
      </c>
      <c r="DF519" s="1">
        <v>1</v>
      </c>
      <c r="DG519" s="1">
        <v>2</v>
      </c>
      <c r="DH519" s="1">
        <v>1</v>
      </c>
      <c r="DI519" s="1">
        <f t="shared" si="462"/>
        <v>0</v>
      </c>
      <c r="DJ519" s="1">
        <v>1</v>
      </c>
      <c r="DK519" s="1" t="s">
        <v>1278</v>
      </c>
      <c r="DL519" s="1" t="s">
        <v>170</v>
      </c>
      <c r="DU519" s="1" t="b">
        <f>BaseAtk&gt;=5</f>
        <v>0</v>
      </c>
      <c r="DV519" s="1" t="b">
        <f>FtDodgeEquiv</f>
        <v>0</v>
      </c>
      <c r="DW519" s="1" t="b">
        <f>FtMobility</f>
        <v>0</v>
      </c>
      <c r="DX519" s="1" t="b">
        <f>FtToughnessEquiv</f>
        <v>0</v>
      </c>
      <c r="DY519" s="1" t="b">
        <f>SkHideRanks&gt;=2</f>
        <v>0</v>
      </c>
      <c r="DZ519" s="1" t="b">
        <f>SkSurvivalRanks&gt;=4</f>
        <v>0</v>
      </c>
      <c r="EA519" s="1" t="b">
        <f t="shared" ref="EA519:EA524" si="500">AND(DM519:DZ519)</f>
        <v>0</v>
      </c>
      <c r="EB519" s="11" t="s">
        <v>334</v>
      </c>
      <c r="EC519" s="1" t="str">
        <f>IF(DU519,"","• +5 base attack bonus.
")&amp;IF(DV519,"","• Dodge feat.
")&amp;IF(DW519,"","• Mobility feat.
")&amp;IF(DX519,"","• Toughness feat.
")&amp;IF(DY519,"","• Hide 2 ranks.
")&amp;IF(DZ519,"","• Survivial 4 ranks.
")</f>
        <v xml:space="preserve">• +5 base attack bonus.
• Dodge feat.
• Mobility feat.
• Toughness feat.
• Hide 2 ranks.
• Survivial 4 ranks.
</v>
      </c>
      <c r="ED519" s="11" t="s">
        <v>335</v>
      </c>
    </row>
    <row r="520" spans="1:134" ht="11.25" customHeight="1" x14ac:dyDescent="0.2">
      <c r="A520" s="1">
        <f t="shared" si="493"/>
        <v>517</v>
      </c>
      <c r="B520" s="1" t="s">
        <v>1279</v>
      </c>
      <c r="C520" s="1" t="s">
        <v>1280</v>
      </c>
      <c r="D520" s="1" t="s">
        <v>1280</v>
      </c>
      <c r="E520" s="1">
        <f t="shared" si="464"/>
        <v>0</v>
      </c>
      <c r="K520" s="1">
        <v>2</v>
      </c>
      <c r="L520" s="1">
        <v>12</v>
      </c>
      <c r="V520" s="1">
        <v>1</v>
      </c>
      <c r="W520" s="1">
        <v>0.5</v>
      </c>
      <c r="X520" s="1">
        <v>0.34</v>
      </c>
      <c r="Y520" s="1">
        <v>0.34</v>
      </c>
      <c r="Z520" s="1" t="b">
        <f>FALSE</f>
        <v>0</v>
      </c>
      <c r="AA520" s="1" t="str">
        <f t="shared" si="467"/>
        <v/>
      </c>
      <c r="AB520" s="1" t="str">
        <f t="shared" si="468"/>
        <v/>
      </c>
      <c r="AC520" s="1">
        <f t="shared" si="465"/>
        <v>0</v>
      </c>
      <c r="AD520" s="1" t="str">
        <f t="shared" si="469"/>
        <v/>
      </c>
      <c r="AE520" s="1" t="str">
        <f t="shared" si="470"/>
        <v/>
      </c>
      <c r="AF520" s="1">
        <f t="shared" si="466"/>
        <v>0</v>
      </c>
      <c r="AG520" s="1">
        <f t="shared" si="445"/>
        <v>5</v>
      </c>
      <c r="AH520" s="1" t="str">
        <f t="shared" si="444"/>
        <v/>
      </c>
      <c r="AI520" s="1">
        <v>1</v>
      </c>
      <c r="AJ520" s="1">
        <f t="shared" si="455"/>
        <v>0</v>
      </c>
      <c r="AK520" s="1">
        <v>1</v>
      </c>
      <c r="AL520" s="1">
        <v>1</v>
      </c>
      <c r="AM520" s="1">
        <v>2</v>
      </c>
      <c r="AN520" s="1">
        <f t="shared" si="494"/>
        <v>0</v>
      </c>
      <c r="AO520" s="1">
        <v>1</v>
      </c>
      <c r="AP520" s="1">
        <v>1</v>
      </c>
      <c r="AQ520" s="1">
        <v>1</v>
      </c>
      <c r="AR520" s="1">
        <v>1</v>
      </c>
      <c r="AS520" s="1">
        <v>1</v>
      </c>
      <c r="AT520" s="1">
        <v>1</v>
      </c>
      <c r="AU520" s="1">
        <v>1</v>
      </c>
      <c r="AV520" s="1">
        <v>1</v>
      </c>
      <c r="AW520" s="1">
        <v>1</v>
      </c>
      <c r="AX520" s="1">
        <v>1</v>
      </c>
      <c r="AY520" s="1">
        <v>1</v>
      </c>
      <c r="AZ520" s="1">
        <v>1</v>
      </c>
      <c r="BA520" s="1">
        <v>1</v>
      </c>
      <c r="BB520" s="1">
        <v>1</v>
      </c>
      <c r="BC520" s="1">
        <v>1</v>
      </c>
      <c r="BD520" s="1">
        <v>1</v>
      </c>
      <c r="BE520" s="1">
        <v>1</v>
      </c>
      <c r="BF520" s="1">
        <v>1</v>
      </c>
      <c r="BG520" s="1">
        <f t="shared" si="495"/>
        <v>0</v>
      </c>
      <c r="BH520" s="1">
        <f t="shared" si="496"/>
        <v>0</v>
      </c>
      <c r="BI520" s="1">
        <v>2</v>
      </c>
      <c r="BJ520" s="1">
        <v>2</v>
      </c>
      <c r="BK520" s="1">
        <v>1</v>
      </c>
      <c r="BL520" s="1">
        <v>1</v>
      </c>
      <c r="BM520" s="1">
        <v>1</v>
      </c>
      <c r="BN520" s="1">
        <v>1</v>
      </c>
      <c r="BO520" s="1">
        <v>1</v>
      </c>
      <c r="BP520" s="1">
        <v>2</v>
      </c>
      <c r="BQ520" s="1">
        <f>IF(HRRVL,1,0)</f>
        <v>0</v>
      </c>
      <c r="BR520" s="1">
        <v>1</v>
      </c>
      <c r="BS520" s="1">
        <v>1</v>
      </c>
      <c r="BT520" s="1">
        <f t="shared" si="497"/>
        <v>0</v>
      </c>
      <c r="BU520" s="1">
        <f>IF(HRRVL,1,0)</f>
        <v>0</v>
      </c>
      <c r="BV520" s="1">
        <v>1</v>
      </c>
      <c r="BW520" s="1">
        <v>1</v>
      </c>
      <c r="BX520" s="1">
        <v>1</v>
      </c>
      <c r="BY520" s="1">
        <v>1</v>
      </c>
      <c r="BZ520" s="1">
        <v>1</v>
      </c>
      <c r="CA520" s="1">
        <v>1</v>
      </c>
      <c r="CB520" s="1">
        <v>1</v>
      </c>
      <c r="CC520" s="1">
        <v>1</v>
      </c>
      <c r="CD520" s="1">
        <v>1</v>
      </c>
      <c r="CE520" s="1">
        <v>1</v>
      </c>
      <c r="CF520" s="1">
        <v>1</v>
      </c>
      <c r="CG520" s="1">
        <f t="shared" si="498"/>
        <v>0</v>
      </c>
      <c r="CH520" s="1">
        <v>2</v>
      </c>
      <c r="CI520" s="1">
        <v>1</v>
      </c>
      <c r="CJ520" s="1">
        <v>1</v>
      </c>
      <c r="CK520" s="1">
        <v>1</v>
      </c>
      <c r="CL520" s="1">
        <v>1</v>
      </c>
      <c r="CM520" s="1">
        <v>1</v>
      </c>
      <c r="CN520" s="1">
        <v>1</v>
      </c>
      <c r="CO520" s="1">
        <v>1</v>
      </c>
      <c r="CP520" s="1">
        <v>1</v>
      </c>
      <c r="CQ520" s="1">
        <v>1</v>
      </c>
      <c r="CR520" s="1">
        <v>1</v>
      </c>
      <c r="CS520" s="1">
        <v>1</v>
      </c>
      <c r="CT520" s="1">
        <v>1</v>
      </c>
      <c r="CU520" s="1">
        <v>1</v>
      </c>
      <c r="CV520" s="1">
        <f t="shared" si="460"/>
        <v>0</v>
      </c>
      <c r="CW520" s="1">
        <v>1</v>
      </c>
      <c r="CX520" s="1">
        <v>2</v>
      </c>
      <c r="CY520" s="1">
        <v>1</v>
      </c>
      <c r="CZ520" s="1">
        <f t="shared" si="499"/>
        <v>0</v>
      </c>
      <c r="DA520" s="1">
        <v>1</v>
      </c>
      <c r="DB520" s="1">
        <v>1</v>
      </c>
      <c r="DC520" s="1">
        <v>1</v>
      </c>
      <c r="DD520" s="1">
        <v>2</v>
      </c>
      <c r="DE520" s="1">
        <v>2</v>
      </c>
      <c r="DF520" s="1">
        <v>2</v>
      </c>
      <c r="DG520" s="1">
        <v>1</v>
      </c>
      <c r="DH520" s="1">
        <v>1</v>
      </c>
      <c r="DI520" s="1">
        <f t="shared" si="462"/>
        <v>0</v>
      </c>
      <c r="DJ520" s="1">
        <v>1</v>
      </c>
      <c r="DK520" s="1" t="s">
        <v>1278</v>
      </c>
      <c r="DL520" s="1" t="s">
        <v>170</v>
      </c>
      <c r="DU520" s="1" t="b">
        <f>BaseAtk&gt;=5</f>
        <v>0</v>
      </c>
      <c r="DV520" s="1" t="b">
        <f>FtPowerAttackEquiv</f>
        <v>0</v>
      </c>
      <c r="DW520" s="1" t="b">
        <f>FtCleave</f>
        <v>0</v>
      </c>
      <c r="DX520" s="1" t="b">
        <f>FtGreatCleave</f>
        <v>0</v>
      </c>
      <c r="DY520" s="1" t="b">
        <f>SkKnowledgeLocalRanks&gt;=5</f>
        <v>0</v>
      </c>
      <c r="DZ520" s="1" t="b">
        <f>SkSpotRanks&gt;=4</f>
        <v>0</v>
      </c>
      <c r="EA520" s="1" t="b">
        <f t="shared" si="500"/>
        <v>0</v>
      </c>
      <c r="EB520" s="11" t="s">
        <v>334</v>
      </c>
      <c r="EC520" s="1" t="str">
        <f>IF(DU520,"","• +5 base attack bonus.
")&amp;IF(DV520,"","• Power Attack feat.
")&amp;IF(DW520,"","• Cleave feat.
")&amp;IF(DX520,"","• Great Cleave feat.
")&amp;IF(DY520,"","• Knowledge (local) 5 ranks.
")&amp;IF(DZ520,"","• Spot 4 ranks.
")</f>
        <v xml:space="preserve">• +5 base attack bonus.
• Power Attack feat.
• Cleave feat.
• Great Cleave feat.
• Knowledge (local) 5 ranks.
• Spot 4 ranks.
</v>
      </c>
      <c r="ED520" s="11" t="s">
        <v>335</v>
      </c>
    </row>
    <row r="521" spans="1:134" ht="11.25" customHeight="1" x14ac:dyDescent="0.2">
      <c r="A521" s="1">
        <f t="shared" si="493"/>
        <v>518</v>
      </c>
      <c r="B521" s="1" t="s">
        <v>1281</v>
      </c>
      <c r="C521" s="1" t="s">
        <v>1282</v>
      </c>
      <c r="D521" s="1" t="s">
        <v>1282</v>
      </c>
      <c r="E521" s="1">
        <f t="shared" si="464"/>
        <v>0</v>
      </c>
      <c r="K521" s="1">
        <v>4</v>
      </c>
      <c r="L521" s="1">
        <v>10</v>
      </c>
      <c r="V521" s="1">
        <v>1</v>
      </c>
      <c r="W521" s="1">
        <v>0.5</v>
      </c>
      <c r="X521" s="1">
        <v>0.34</v>
      </c>
      <c r="Y521" s="1">
        <v>0.34</v>
      </c>
      <c r="Z521" s="1" t="b">
        <f>FALSE</f>
        <v>0</v>
      </c>
      <c r="AA521" s="1" t="str">
        <f t="shared" si="467"/>
        <v/>
      </c>
      <c r="AB521" s="1" t="str">
        <f t="shared" si="468"/>
        <v/>
      </c>
      <c r="AC521" s="1">
        <f t="shared" si="465"/>
        <v>0</v>
      </c>
      <c r="AD521" s="1" t="str">
        <f t="shared" si="469"/>
        <v/>
      </c>
      <c r="AE521" s="1" t="str">
        <f t="shared" si="470"/>
        <v/>
      </c>
      <c r="AF521" s="1">
        <f t="shared" si="466"/>
        <v>0</v>
      </c>
      <c r="AG521" s="1">
        <f t="shared" si="445"/>
        <v>5</v>
      </c>
      <c r="AH521" s="1" t="str">
        <f t="shared" si="444"/>
        <v/>
      </c>
      <c r="AI521" s="1">
        <v>1</v>
      </c>
      <c r="AJ521" s="1">
        <f t="shared" si="455"/>
        <v>0</v>
      </c>
      <c r="AK521" s="1">
        <v>1</v>
      </c>
      <c r="AL521" s="1">
        <v>2</v>
      </c>
      <c r="AM521" s="1">
        <v>2</v>
      </c>
      <c r="AN521" s="1">
        <f t="shared" si="494"/>
        <v>0</v>
      </c>
      <c r="AO521" s="1">
        <v>1</v>
      </c>
      <c r="AP521" s="1">
        <v>1</v>
      </c>
      <c r="AQ521" s="1">
        <v>1</v>
      </c>
      <c r="AR521" s="1">
        <v>1</v>
      </c>
      <c r="AS521" s="1">
        <v>1</v>
      </c>
      <c r="AT521" s="1">
        <v>1</v>
      </c>
      <c r="AU521" s="1">
        <v>1</v>
      </c>
      <c r="AV521" s="1">
        <v>1</v>
      </c>
      <c r="AW521" s="1">
        <v>1</v>
      </c>
      <c r="AX521" s="1">
        <v>2</v>
      </c>
      <c r="AY521" s="1">
        <v>1</v>
      </c>
      <c r="AZ521" s="1">
        <v>1</v>
      </c>
      <c r="BA521" s="1">
        <v>1</v>
      </c>
      <c r="BB521" s="1">
        <v>1</v>
      </c>
      <c r="BC521" s="1">
        <v>1</v>
      </c>
      <c r="BD521" s="1">
        <v>2</v>
      </c>
      <c r="BE521" s="1">
        <v>1</v>
      </c>
      <c r="BF521" s="1">
        <v>2</v>
      </c>
      <c r="BG521" s="1">
        <f t="shared" si="495"/>
        <v>0</v>
      </c>
      <c r="BH521" s="1">
        <f t="shared" si="496"/>
        <v>0</v>
      </c>
      <c r="BI521" s="1">
        <v>2</v>
      </c>
      <c r="BJ521" s="1">
        <v>2</v>
      </c>
      <c r="BK521" s="1">
        <v>2</v>
      </c>
      <c r="BL521" s="1">
        <v>2</v>
      </c>
      <c r="BM521" s="1">
        <v>2</v>
      </c>
      <c r="BN521" s="1">
        <v>2</v>
      </c>
      <c r="BO521" s="1">
        <v>2</v>
      </c>
      <c r="BP521" s="1">
        <v>2</v>
      </c>
      <c r="BQ521" s="1">
        <f>IF(HRRVL,2,0)</f>
        <v>0</v>
      </c>
      <c r="BR521" s="1">
        <v>2</v>
      </c>
      <c r="BS521" s="1">
        <v>2</v>
      </c>
      <c r="BT521" s="1">
        <f>IF(HRXPH,2,0)</f>
        <v>0</v>
      </c>
      <c r="BU521" s="1">
        <f>IF(HRRVL,2,0)</f>
        <v>0</v>
      </c>
      <c r="BV521" s="1">
        <v>2</v>
      </c>
      <c r="BW521" s="1">
        <v>2</v>
      </c>
      <c r="BX521" s="1">
        <v>2</v>
      </c>
      <c r="BY521" s="1">
        <v>2</v>
      </c>
      <c r="BZ521" s="1">
        <v>2</v>
      </c>
      <c r="CA521" s="1">
        <v>2</v>
      </c>
      <c r="CB521" s="1">
        <v>2</v>
      </c>
      <c r="CC521" s="1">
        <v>2</v>
      </c>
      <c r="CD521" s="1">
        <v>2</v>
      </c>
      <c r="CE521" s="1">
        <v>2</v>
      </c>
      <c r="CF521" s="1">
        <v>2</v>
      </c>
      <c r="CG521" s="1">
        <f t="shared" si="498"/>
        <v>0</v>
      </c>
      <c r="CH521" s="1">
        <v>2</v>
      </c>
      <c r="CI521" s="1">
        <v>1</v>
      </c>
      <c r="CJ521" s="1">
        <v>1</v>
      </c>
      <c r="CK521" s="1">
        <v>1</v>
      </c>
      <c r="CL521" s="1">
        <v>1</v>
      </c>
      <c r="CM521" s="1">
        <v>1</v>
      </c>
      <c r="CN521" s="1">
        <v>1</v>
      </c>
      <c r="CO521" s="1">
        <v>1</v>
      </c>
      <c r="CP521" s="1">
        <v>1</v>
      </c>
      <c r="CQ521" s="1">
        <v>1</v>
      </c>
      <c r="CR521" s="1">
        <v>1</v>
      </c>
      <c r="CS521" s="1">
        <v>1</v>
      </c>
      <c r="CT521" s="1">
        <v>1</v>
      </c>
      <c r="CU521" s="1">
        <v>1</v>
      </c>
      <c r="CV521" s="1">
        <f t="shared" si="460"/>
        <v>0</v>
      </c>
      <c r="CW521" s="1">
        <v>2</v>
      </c>
      <c r="CX521" s="1">
        <v>1</v>
      </c>
      <c r="CY521" s="1">
        <v>2</v>
      </c>
      <c r="CZ521" s="1">
        <f t="shared" si="499"/>
        <v>0</v>
      </c>
      <c r="DA521" s="1">
        <v>1</v>
      </c>
      <c r="DB521" s="1">
        <v>1</v>
      </c>
      <c r="DC521" s="1">
        <v>1</v>
      </c>
      <c r="DD521" s="1">
        <v>2</v>
      </c>
      <c r="DE521" s="1">
        <v>2</v>
      </c>
      <c r="DF521" s="1">
        <v>1</v>
      </c>
      <c r="DG521" s="1">
        <v>1</v>
      </c>
      <c r="DH521" s="1">
        <v>1</v>
      </c>
      <c r="DI521" s="1">
        <f t="shared" si="462"/>
        <v>0</v>
      </c>
      <c r="DJ521" s="1">
        <v>1</v>
      </c>
      <c r="DK521" s="1" t="s">
        <v>1278</v>
      </c>
      <c r="DL521" s="1" t="s">
        <v>170</v>
      </c>
      <c r="DR521" s="1" t="b">
        <f>AlignmentGood</f>
        <v>1</v>
      </c>
      <c r="DS521" s="1" t="b">
        <f>BaseAtk&gt;=5</f>
        <v>0</v>
      </c>
      <c r="DT521" s="1" t="b">
        <f>FtMountedCombat</f>
        <v>0</v>
      </c>
      <c r="DU521" s="1" t="b">
        <f>FtRideByAttack</f>
        <v>0</v>
      </c>
      <c r="DV521" s="1" t="b">
        <f>FtSurvivor</f>
        <v>0</v>
      </c>
      <c r="DW521" s="1" t="b">
        <f>NOT(ISNA(MATCH("Lance",TblWeaponFocusFeat,0)))</f>
        <v>0</v>
      </c>
      <c r="DX521" s="1" t="b">
        <f>SkSurvivalRanks&gt;=2</f>
        <v>0</v>
      </c>
      <c r="DY521" s="1" t="b">
        <f>SkRideRanks&gt;=4</f>
        <v>0</v>
      </c>
      <c r="DZ521" s="1" t="b">
        <f>SkSpotRanks&gt;=4</f>
        <v>0</v>
      </c>
      <c r="EA521" s="1" t="b">
        <f t="shared" si="500"/>
        <v>0</v>
      </c>
      <c r="EB521" s="11" t="s">
        <v>338</v>
      </c>
      <c r="EC521" s="1" t="str">
        <f>"• Knowledge (Silverymoon local) (not verified) or Knowledge (The North local) (not verified)
"&amp;IF(DR521,"","• Any good alignment.
")&amp;IF(DS521,"","• +5 base attack bonus.
")&amp;IF(DT521,"","• Mounted Combat feat.
")&amp;IF(DU521,"","• Ride-By Attack feat.
")&amp;IF(DV521,"","• Survivor feat.
")&amp;IF(DW521,"","• Weapon Focus (Lance) feat.
")&amp;IF(DX521,"","• Survival 2 ranks.
")&amp;IF(DY521,"","• Ride 4 ranks.
")&amp;IF(DZ521,"","• Spot 4 ranks.")</f>
        <v>• Knowledge (Silverymoon local) (not verified) or Knowledge (The North local) (not verified)
• +5 base attack bonus.
• Mounted Combat feat.
• Ride-By Attack feat.
• Survivor feat.
• Weapon Focus (Lance) feat.
• Survival 2 ranks.
• Ride 4 ranks.
• Spot 4 ranks.</v>
      </c>
      <c r="ED521" s="11" t="s">
        <v>335</v>
      </c>
    </row>
    <row r="522" spans="1:134" ht="11.25" customHeight="1" x14ac:dyDescent="0.2">
      <c r="A522" s="1">
        <f t="shared" si="493"/>
        <v>519</v>
      </c>
      <c r="B522" s="1" t="s">
        <v>1283</v>
      </c>
      <c r="C522" s="1" t="s">
        <v>1284</v>
      </c>
      <c r="D522" s="1" t="s">
        <v>1284</v>
      </c>
      <c r="E522" s="1">
        <f t="shared" si="464"/>
        <v>0</v>
      </c>
      <c r="K522" s="1">
        <v>4</v>
      </c>
      <c r="L522" s="1">
        <v>8</v>
      </c>
      <c r="N522" s="1" t="b">
        <v>1</v>
      </c>
      <c r="S522" s="1" t="b">
        <v>1</v>
      </c>
      <c r="T522" s="1" t="b">
        <v>1</v>
      </c>
      <c r="V522" s="1">
        <v>0.75</v>
      </c>
      <c r="W522" s="1">
        <v>0.34</v>
      </c>
      <c r="X522" s="1">
        <v>0.5</v>
      </c>
      <c r="Y522" s="1">
        <v>0.34</v>
      </c>
      <c r="Z522" s="1" t="b">
        <f>FALSE</f>
        <v>0</v>
      </c>
      <c r="AA522" s="1" t="str">
        <f t="shared" si="467"/>
        <v/>
      </c>
      <c r="AB522" s="1" t="str">
        <f t="shared" si="468"/>
        <v/>
      </c>
      <c r="AC522" s="1">
        <f t="shared" si="465"/>
        <v>0</v>
      </c>
      <c r="AD522" s="1" t="str">
        <f t="shared" si="469"/>
        <v/>
      </c>
      <c r="AE522" s="1" t="str">
        <f t="shared" si="470"/>
        <v/>
      </c>
      <c r="AF522" s="1">
        <f t="shared" si="466"/>
        <v>0</v>
      </c>
      <c r="AG522" s="1">
        <f t="shared" si="445"/>
        <v>5</v>
      </c>
      <c r="AH522" s="1" t="str">
        <f t="shared" si="444"/>
        <v/>
      </c>
      <c r="AI522" s="1">
        <v>1</v>
      </c>
      <c r="AJ522" s="1">
        <f t="shared" si="455"/>
        <v>0</v>
      </c>
      <c r="AK522" s="1">
        <v>1</v>
      </c>
      <c r="AL522" s="1">
        <v>1</v>
      </c>
      <c r="AM522" s="1">
        <v>2</v>
      </c>
      <c r="AN522" s="1">
        <f t="shared" si="494"/>
        <v>0</v>
      </c>
      <c r="AO522" s="1">
        <v>1</v>
      </c>
      <c r="AP522" s="1">
        <v>2</v>
      </c>
      <c r="AQ522" s="1">
        <v>2</v>
      </c>
      <c r="AR522" s="1">
        <v>2</v>
      </c>
      <c r="AS522" s="1">
        <v>2</v>
      </c>
      <c r="AT522" s="1">
        <v>2</v>
      </c>
      <c r="AU522" s="1">
        <v>2</v>
      </c>
      <c r="AV522" s="1">
        <v>2</v>
      </c>
      <c r="AW522" s="1">
        <v>1</v>
      </c>
      <c r="AX522" s="1">
        <v>1</v>
      </c>
      <c r="AY522" s="1">
        <v>1</v>
      </c>
      <c r="AZ522" s="1">
        <v>1</v>
      </c>
      <c r="BA522" s="1">
        <v>1</v>
      </c>
      <c r="BB522" s="1">
        <v>1</v>
      </c>
      <c r="BC522" s="1">
        <v>1</v>
      </c>
      <c r="BD522" s="1">
        <v>1</v>
      </c>
      <c r="BE522" s="1">
        <v>2</v>
      </c>
      <c r="BF522" s="1">
        <v>2</v>
      </c>
      <c r="BG522" s="1">
        <f t="shared" si="495"/>
        <v>0</v>
      </c>
      <c r="BH522" s="1">
        <f t="shared" si="496"/>
        <v>0</v>
      </c>
      <c r="BI522" s="1">
        <v>1</v>
      </c>
      <c r="BJ522" s="1">
        <v>2</v>
      </c>
      <c r="BK522" s="1">
        <v>1</v>
      </c>
      <c r="BL522" s="1">
        <v>1</v>
      </c>
      <c r="BM522" s="1">
        <v>1</v>
      </c>
      <c r="BN522" s="1">
        <v>1</v>
      </c>
      <c r="BO522" s="1">
        <v>1</v>
      </c>
      <c r="BP522" s="1">
        <v>1</v>
      </c>
      <c r="BQ522" s="1">
        <f>IF(HRRVL,1,0)</f>
        <v>0</v>
      </c>
      <c r="BR522" s="1">
        <v>1</v>
      </c>
      <c r="BS522" s="1">
        <v>1</v>
      </c>
      <c r="BT522" s="1">
        <f t="shared" si="497"/>
        <v>0</v>
      </c>
      <c r="BU522" s="1">
        <f>IF(HRRVL,1,0)</f>
        <v>0</v>
      </c>
      <c r="BV522" s="1">
        <v>1</v>
      </c>
      <c r="BW522" s="1">
        <v>1</v>
      </c>
      <c r="BX522" s="1">
        <v>1</v>
      </c>
      <c r="BY522" s="1">
        <v>1</v>
      </c>
      <c r="BZ522" s="1">
        <v>1</v>
      </c>
      <c r="CA522" s="1">
        <v>1</v>
      </c>
      <c r="CB522" s="1">
        <v>1</v>
      </c>
      <c r="CC522" s="1">
        <v>1</v>
      </c>
      <c r="CD522" s="1">
        <v>1</v>
      </c>
      <c r="CE522" s="1">
        <v>1</v>
      </c>
      <c r="CF522" s="1">
        <v>2</v>
      </c>
      <c r="CG522" s="1">
        <f t="shared" si="498"/>
        <v>0</v>
      </c>
      <c r="CH522" s="1">
        <v>2</v>
      </c>
      <c r="CI522" s="1">
        <v>1</v>
      </c>
      <c r="CJ522" s="1">
        <v>1</v>
      </c>
      <c r="CK522" s="1">
        <v>1</v>
      </c>
      <c r="CL522" s="1">
        <v>1</v>
      </c>
      <c r="CM522" s="1">
        <v>1</v>
      </c>
      <c r="CN522" s="1">
        <v>1</v>
      </c>
      <c r="CO522" s="1">
        <v>1</v>
      </c>
      <c r="CP522" s="1">
        <v>1</v>
      </c>
      <c r="CQ522" s="1">
        <v>1</v>
      </c>
      <c r="CR522" s="1">
        <v>1</v>
      </c>
      <c r="CS522" s="1">
        <v>1</v>
      </c>
      <c r="CT522" s="1">
        <v>1</v>
      </c>
      <c r="CU522" s="1">
        <v>1</v>
      </c>
      <c r="CV522" s="1">
        <f t="shared" si="460"/>
        <v>0</v>
      </c>
      <c r="CW522" s="1">
        <v>1</v>
      </c>
      <c r="CX522" s="1">
        <v>2</v>
      </c>
      <c r="CY522" s="1">
        <v>1</v>
      </c>
      <c r="CZ522" s="1">
        <f t="shared" si="499"/>
        <v>0</v>
      </c>
      <c r="DA522" s="1">
        <v>1</v>
      </c>
      <c r="DB522" s="1">
        <v>1</v>
      </c>
      <c r="DC522" s="1">
        <v>1</v>
      </c>
      <c r="DD522" s="1">
        <v>2</v>
      </c>
      <c r="DE522" s="1">
        <v>2</v>
      </c>
      <c r="DF522" s="1">
        <v>2</v>
      </c>
      <c r="DG522" s="1">
        <v>1</v>
      </c>
      <c r="DH522" s="1">
        <v>1</v>
      </c>
      <c r="DI522" s="1">
        <f t="shared" si="462"/>
        <v>0</v>
      </c>
      <c r="DJ522" s="1">
        <v>2</v>
      </c>
      <c r="DK522" s="1" t="s">
        <v>1278</v>
      </c>
      <c r="DL522" s="1" t="s">
        <v>170</v>
      </c>
      <c r="DT522" s="1" t="b">
        <f>OR(RaceCi="Orc",RaceCi="Half-orc",RaceCi="Tanarukk")</f>
        <v>0</v>
      </c>
      <c r="DU522" s="1" t="b">
        <f>BaseAtk&gt;=5</f>
        <v>0</v>
      </c>
      <c r="DV522" s="1" t="b">
        <f>SkMoveSilentlyRanks&gt;=6</f>
        <v>0</v>
      </c>
      <c r="DW522" s="1" t="b">
        <f>SkSurvivalRanks&gt;=4</f>
        <v>0</v>
      </c>
      <c r="DX522" s="1" t="b">
        <f>FtAlertness</f>
        <v>0</v>
      </c>
      <c r="DY522" s="1" t="b">
        <f>FtEndurance</f>
        <v>0</v>
      </c>
      <c r="DZ522" s="1" t="b">
        <f>FtStealthy</f>
        <v>0</v>
      </c>
      <c r="EA522" s="1" t="b">
        <f t="shared" si="500"/>
        <v>0</v>
      </c>
      <c r="EB522" s="11" t="s">
        <v>334</v>
      </c>
      <c r="EC522" s="1" t="str">
        <f>IF(DT522,"","• Orc, Half-orc, Tanarukk.
")&amp;IF(DU522,"","• +5 base attack bonus.
")&amp;IF(DV522,"","• Move Silently 6 ranks.
")&amp;IF(DW522,"","• Survival 4 ranks.
")&amp;IF(DX522,"","• Alertness feat.
")&amp;IF(DY522,"","• Endurance feat.
")&amp;IF(DZ522,"","• Stealthy feat.
")</f>
        <v xml:space="preserve">• Orc, Half-orc, Tanarukk.
• +5 base attack bonus.
• Move Silently 6 ranks.
• Survival 4 ranks.
• Alertness feat.
• Endurance feat.
• Stealthy feat.
</v>
      </c>
      <c r="ED522" s="11" t="s">
        <v>335</v>
      </c>
    </row>
    <row r="523" spans="1:134" ht="11.25" customHeight="1" x14ac:dyDescent="0.2">
      <c r="A523" s="1">
        <f t="shared" si="493"/>
        <v>520</v>
      </c>
      <c r="B523" s="1" t="s">
        <v>1285</v>
      </c>
      <c r="C523" s="1" t="s">
        <v>1286</v>
      </c>
      <c r="D523" s="1" t="s">
        <v>1286</v>
      </c>
      <c r="E523" s="1">
        <f t="shared" si="464"/>
        <v>0</v>
      </c>
      <c r="K523" s="1">
        <v>2</v>
      </c>
      <c r="L523" s="1">
        <v>10</v>
      </c>
      <c r="V523" s="1">
        <v>1</v>
      </c>
      <c r="W523" s="1">
        <v>0.5</v>
      </c>
      <c r="X523" s="1">
        <v>0.34</v>
      </c>
      <c r="Y523" s="1">
        <v>0.34</v>
      </c>
      <c r="Z523" s="1" t="b">
        <f>FALSE</f>
        <v>0</v>
      </c>
      <c r="AA523" s="1" t="str">
        <f t="shared" si="467"/>
        <v/>
      </c>
      <c r="AB523" s="1" t="str">
        <f t="shared" si="468"/>
        <v/>
      </c>
      <c r="AC523" s="1">
        <f t="shared" si="465"/>
        <v>0</v>
      </c>
      <c r="AD523" s="1" t="str">
        <f t="shared" si="469"/>
        <v/>
      </c>
      <c r="AE523" s="1" t="str">
        <f t="shared" si="470"/>
        <v/>
      </c>
      <c r="AF523" s="1">
        <f t="shared" si="466"/>
        <v>0</v>
      </c>
      <c r="AG523" s="1">
        <f t="shared" si="445"/>
        <v>5</v>
      </c>
      <c r="AH523" s="1" t="str">
        <f t="shared" si="444"/>
        <v/>
      </c>
      <c r="AI523" s="1">
        <v>1</v>
      </c>
      <c r="AJ523" s="1">
        <f t="shared" si="455"/>
        <v>0</v>
      </c>
      <c r="AK523" s="1">
        <v>1</v>
      </c>
      <c r="AL523" s="1">
        <v>1</v>
      </c>
      <c r="AM523" s="1">
        <v>2</v>
      </c>
      <c r="AN523" s="1">
        <f t="shared" si="494"/>
        <v>0</v>
      </c>
      <c r="AO523" s="1">
        <v>1</v>
      </c>
      <c r="AP523" s="1">
        <v>1</v>
      </c>
      <c r="AQ523" s="1">
        <f t="shared" ref="AQ523:AV523" si="501">1+(LOWER(AQ$2)="bowmaking")</f>
        <v>1</v>
      </c>
      <c r="AR523" s="1">
        <f t="shared" si="501"/>
        <v>1</v>
      </c>
      <c r="AS523" s="1">
        <f t="shared" si="501"/>
        <v>1</v>
      </c>
      <c r="AT523" s="1">
        <f t="shared" si="501"/>
        <v>1</v>
      </c>
      <c r="AU523" s="1">
        <f t="shared" si="501"/>
        <v>1</v>
      </c>
      <c r="AV523" s="1">
        <f t="shared" si="501"/>
        <v>1</v>
      </c>
      <c r="AW523" s="1">
        <v>1</v>
      </c>
      <c r="AX523" s="1">
        <v>1</v>
      </c>
      <c r="AY523" s="1">
        <v>1</v>
      </c>
      <c r="AZ523" s="1">
        <v>1</v>
      </c>
      <c r="BA523" s="1">
        <v>1</v>
      </c>
      <c r="BB523" s="1">
        <v>1</v>
      </c>
      <c r="BC523" s="1">
        <v>1</v>
      </c>
      <c r="BD523" s="1">
        <v>1</v>
      </c>
      <c r="BE523" s="1">
        <v>1</v>
      </c>
      <c r="BF523" s="1">
        <v>1</v>
      </c>
      <c r="BG523" s="1">
        <f t="shared" si="495"/>
        <v>0</v>
      </c>
      <c r="BH523" s="1">
        <f t="shared" si="496"/>
        <v>0</v>
      </c>
      <c r="BI523" s="1">
        <v>1</v>
      </c>
      <c r="BJ523" s="1">
        <v>2</v>
      </c>
      <c r="BK523" s="1">
        <v>1</v>
      </c>
      <c r="BL523" s="1">
        <v>1</v>
      </c>
      <c r="BM523" s="1">
        <v>1</v>
      </c>
      <c r="BN523" s="1">
        <v>1</v>
      </c>
      <c r="BO523" s="1">
        <v>1</v>
      </c>
      <c r="BP523" s="1">
        <v>1</v>
      </c>
      <c r="BQ523" s="1">
        <f>IF(HRRVL,1,0)</f>
        <v>0</v>
      </c>
      <c r="BR523" s="1">
        <v>1</v>
      </c>
      <c r="BS523" s="1">
        <v>1</v>
      </c>
      <c r="BT523" s="1">
        <f t="shared" si="497"/>
        <v>0</v>
      </c>
      <c r="BU523" s="1">
        <f>IF(HRRVL,1,0)</f>
        <v>0</v>
      </c>
      <c r="BV523" s="1">
        <v>1</v>
      </c>
      <c r="BW523" s="1">
        <v>1</v>
      </c>
      <c r="BX523" s="1">
        <v>1</v>
      </c>
      <c r="BY523" s="1">
        <v>1</v>
      </c>
      <c r="BZ523" s="1">
        <v>1</v>
      </c>
      <c r="CA523" s="1">
        <v>1</v>
      </c>
      <c r="CB523" s="1">
        <v>1</v>
      </c>
      <c r="CC523" s="1">
        <v>1</v>
      </c>
      <c r="CD523" s="1">
        <v>1</v>
      </c>
      <c r="CE523" s="1">
        <v>1</v>
      </c>
      <c r="CF523" s="1">
        <v>1</v>
      </c>
      <c r="CG523" s="1">
        <f t="shared" si="498"/>
        <v>0</v>
      </c>
      <c r="CH523" s="1">
        <v>1</v>
      </c>
      <c r="CI523" s="1">
        <v>1</v>
      </c>
      <c r="CJ523" s="1">
        <v>1</v>
      </c>
      <c r="CK523" s="1">
        <v>1</v>
      </c>
      <c r="CL523" s="1">
        <v>1</v>
      </c>
      <c r="CM523" s="1">
        <v>1</v>
      </c>
      <c r="CN523" s="1">
        <v>1</v>
      </c>
      <c r="CO523" s="1">
        <v>1</v>
      </c>
      <c r="CP523" s="1">
        <v>1</v>
      </c>
      <c r="CQ523" s="1">
        <v>1</v>
      </c>
      <c r="CR523" s="1">
        <v>1</v>
      </c>
      <c r="CS523" s="1">
        <v>1</v>
      </c>
      <c r="CT523" s="1">
        <v>1</v>
      </c>
      <c r="CU523" s="1">
        <v>1</v>
      </c>
      <c r="CV523" s="1">
        <f t="shared" si="460"/>
        <v>0</v>
      </c>
      <c r="CW523" s="1">
        <v>1</v>
      </c>
      <c r="CX523" s="1">
        <v>1</v>
      </c>
      <c r="CY523" s="1">
        <v>1</v>
      </c>
      <c r="CZ523" s="1">
        <f t="shared" si="499"/>
        <v>0</v>
      </c>
      <c r="DA523" s="1">
        <v>1</v>
      </c>
      <c r="DB523" s="1">
        <v>1</v>
      </c>
      <c r="DC523" s="1">
        <v>1</v>
      </c>
      <c r="DD523" s="1">
        <v>2</v>
      </c>
      <c r="DE523" s="1">
        <v>2</v>
      </c>
      <c r="DF523" s="1">
        <v>2</v>
      </c>
      <c r="DG523" s="1">
        <v>1</v>
      </c>
      <c r="DH523" s="1">
        <v>1</v>
      </c>
      <c r="DI523" s="1">
        <f t="shared" si="462"/>
        <v>0</v>
      </c>
      <c r="DJ523" s="1">
        <v>1</v>
      </c>
      <c r="DK523" s="1" t="s">
        <v>1278</v>
      </c>
      <c r="DL523" s="1" t="s">
        <v>170</v>
      </c>
      <c r="DT523" s="1" t="b">
        <f>BaseAtk&gt;=7</f>
        <v>0</v>
      </c>
      <c r="DU523" s="1" t="b">
        <f>IF(NOT(ISNA(MATCH("Bowmaking",TblCraftSkills,0))),INDEX(TblCraftRanks,MATCH("Bowmaking",TblCraftSkills,0),1)&gt;=10,FALSE)</f>
        <v>0</v>
      </c>
      <c r="DV523" s="1" t="b">
        <f>OR('[1]Class Weapons &amp; Armor'!U231,'[1]Class Weapons &amp; Armor'!U165)</f>
        <v>0</v>
      </c>
      <c r="DW523" s="1" t="b">
        <f>FtPointBlankShot</f>
        <v>0</v>
      </c>
      <c r="DX523" s="1" t="b">
        <f>FtFarShot</f>
        <v>0</v>
      </c>
      <c r="DY523" s="1" t="b">
        <f>FtPreciseShot</f>
        <v>0</v>
      </c>
      <c r="DZ523" s="1" t="b">
        <f>FtQuickDraw</f>
        <v>0</v>
      </c>
      <c r="EA523" s="1" t="b">
        <f t="shared" si="500"/>
        <v>0</v>
      </c>
      <c r="EB523" s="11" t="s">
        <v>334</v>
      </c>
      <c r="EC523" s="1" t="str">
        <f>IF(DT523,"","• +7 base attack bonus.
")&amp;IF(DU523,"","• Craft (Bowmaking) 10 ranks.
")&amp;IF(DV523,"","• Profiecient with Longbow or Shortbow.
")&amp;IF(DW523,"","• Point Blank Shot feat.
")&amp;IF(DX523,"","• Far Shot feat.
")&amp;IF(DY523,"","• Precise Shot feat.
")&amp;IF(DZ523,"","• Quick Draw feat.
")</f>
        <v xml:space="preserve">• +7 base attack bonus.
• Craft (Bowmaking) 10 ranks.
• Profiecient with Longbow or Shortbow.
• Point Blank Shot feat.
• Far Shot feat.
• Precise Shot feat.
• Quick Draw feat.
</v>
      </c>
      <c r="ED523" s="11" t="s">
        <v>335</v>
      </c>
    </row>
    <row r="524" spans="1:134" ht="11.25" customHeight="1" x14ac:dyDescent="0.2">
      <c r="A524" s="1">
        <f t="shared" si="493"/>
        <v>521</v>
      </c>
      <c r="B524" s="1" t="s">
        <v>1287</v>
      </c>
      <c r="C524" s="1" t="s">
        <v>1288</v>
      </c>
      <c r="D524" s="1" t="s">
        <v>1288</v>
      </c>
      <c r="E524" s="1">
        <f t="shared" si="464"/>
        <v>0</v>
      </c>
      <c r="K524" s="1">
        <v>4</v>
      </c>
      <c r="L524" s="1">
        <v>8</v>
      </c>
      <c r="V524" s="1">
        <v>0.75</v>
      </c>
      <c r="W524" s="1">
        <v>0.5</v>
      </c>
      <c r="X524" s="1">
        <v>0.34</v>
      </c>
      <c r="Y524" s="1">
        <v>0.34</v>
      </c>
      <c r="Z524" s="1" t="b">
        <f>FALSE</f>
        <v>0</v>
      </c>
      <c r="AA524" s="1" t="str">
        <f t="shared" si="467"/>
        <v/>
      </c>
      <c r="AB524" s="1" t="str">
        <f t="shared" si="468"/>
        <v/>
      </c>
      <c r="AC524" s="1">
        <f t="shared" si="465"/>
        <v>0</v>
      </c>
      <c r="AD524" s="1" t="str">
        <f t="shared" si="469"/>
        <v/>
      </c>
      <c r="AE524" s="1" t="str">
        <f t="shared" si="470"/>
        <v/>
      </c>
      <c r="AF524" s="1">
        <f t="shared" si="466"/>
        <v>0</v>
      </c>
      <c r="AG524" s="1">
        <f t="shared" si="445"/>
        <v>5</v>
      </c>
      <c r="AH524" s="1" t="str">
        <f t="shared" si="444"/>
        <v/>
      </c>
      <c r="AI524" s="1">
        <v>1</v>
      </c>
      <c r="AJ524" s="1">
        <f t="shared" si="455"/>
        <v>0</v>
      </c>
      <c r="AK524" s="1">
        <v>1</v>
      </c>
      <c r="AL524" s="1">
        <v>1</v>
      </c>
      <c r="AM524" s="1">
        <v>2</v>
      </c>
      <c r="AN524" s="1">
        <f t="shared" si="494"/>
        <v>0</v>
      </c>
      <c r="AO524" s="1">
        <v>1</v>
      </c>
      <c r="AP524" s="1">
        <v>1</v>
      </c>
      <c r="AQ524" s="1">
        <v>1</v>
      </c>
      <c r="AR524" s="1">
        <v>1</v>
      </c>
      <c r="AS524" s="1">
        <v>1</v>
      </c>
      <c r="AT524" s="1">
        <v>1</v>
      </c>
      <c r="AU524" s="1">
        <v>1</v>
      </c>
      <c r="AV524" s="1">
        <v>1</v>
      </c>
      <c r="AW524" s="1">
        <v>1</v>
      </c>
      <c r="AX524" s="1">
        <v>1</v>
      </c>
      <c r="AY524" s="1">
        <v>1</v>
      </c>
      <c r="AZ524" s="1">
        <v>1</v>
      </c>
      <c r="BA524" s="1">
        <v>1</v>
      </c>
      <c r="BB524" s="1">
        <v>1</v>
      </c>
      <c r="BC524" s="1">
        <v>1</v>
      </c>
      <c r="BD524" s="1">
        <v>2</v>
      </c>
      <c r="BE524" s="1">
        <v>1</v>
      </c>
      <c r="BF524" s="1">
        <v>2</v>
      </c>
      <c r="BG524" s="1">
        <f t="shared" si="495"/>
        <v>0</v>
      </c>
      <c r="BH524" s="1">
        <f t="shared" si="496"/>
        <v>0</v>
      </c>
      <c r="BI524" s="1">
        <v>1</v>
      </c>
      <c r="BJ524" s="1">
        <v>2</v>
      </c>
      <c r="BK524" s="1">
        <v>1</v>
      </c>
      <c r="BL524" s="1">
        <v>1</v>
      </c>
      <c r="BM524" s="1">
        <v>1</v>
      </c>
      <c r="BN524" s="1">
        <v>1</v>
      </c>
      <c r="BO524" s="1">
        <v>1</v>
      </c>
      <c r="BP524" s="1">
        <v>1</v>
      </c>
      <c r="BQ524" s="1">
        <f>IF(HRRVL,1,0)</f>
        <v>0</v>
      </c>
      <c r="BR524" s="1">
        <v>2</v>
      </c>
      <c r="BS524" s="1">
        <v>1</v>
      </c>
      <c r="BT524" s="1">
        <f t="shared" si="497"/>
        <v>0</v>
      </c>
      <c r="BU524" s="1">
        <f>IF(HRRVL,1,0)</f>
        <v>0</v>
      </c>
      <c r="BV524" s="1">
        <v>1</v>
      </c>
      <c r="BW524" s="1">
        <v>1</v>
      </c>
      <c r="BX524" s="1">
        <v>1</v>
      </c>
      <c r="BY524" s="1">
        <v>1</v>
      </c>
      <c r="BZ524" s="1">
        <v>1</v>
      </c>
      <c r="CA524" s="1">
        <v>1</v>
      </c>
      <c r="CB524" s="1">
        <v>1</v>
      </c>
      <c r="CC524" s="1">
        <v>1</v>
      </c>
      <c r="CD524" s="1">
        <v>1</v>
      </c>
      <c r="CE524" s="1">
        <v>1</v>
      </c>
      <c r="CF524" s="1">
        <v>2</v>
      </c>
      <c r="CG524" s="1">
        <f t="shared" si="498"/>
        <v>0</v>
      </c>
      <c r="CH524" s="1">
        <v>2</v>
      </c>
      <c r="CI524" s="1">
        <v>1</v>
      </c>
      <c r="CJ524" s="1">
        <v>1</v>
      </c>
      <c r="CK524" s="1">
        <v>1</v>
      </c>
      <c r="CL524" s="1">
        <v>1</v>
      </c>
      <c r="CM524" s="1">
        <v>1</v>
      </c>
      <c r="CN524" s="1">
        <v>1</v>
      </c>
      <c r="CO524" s="1">
        <v>1</v>
      </c>
      <c r="CP524" s="1">
        <v>1</v>
      </c>
      <c r="CQ524" s="1">
        <v>1</v>
      </c>
      <c r="CR524" s="1">
        <v>1</v>
      </c>
      <c r="CS524" s="1">
        <v>1</v>
      </c>
      <c r="CT524" s="1">
        <v>1</v>
      </c>
      <c r="CU524" s="1">
        <v>1</v>
      </c>
      <c r="CV524" s="1">
        <f t="shared" si="460"/>
        <v>0</v>
      </c>
      <c r="CW524" s="1">
        <v>1</v>
      </c>
      <c r="CX524" s="1">
        <v>1</v>
      </c>
      <c r="CY524" s="1">
        <v>1</v>
      </c>
      <c r="CZ524" s="1">
        <f t="shared" si="499"/>
        <v>0</v>
      </c>
      <c r="DA524" s="1">
        <v>1</v>
      </c>
      <c r="DB524" s="1">
        <v>1</v>
      </c>
      <c r="DC524" s="1">
        <v>1</v>
      </c>
      <c r="DD524" s="1">
        <v>2</v>
      </c>
      <c r="DE524" s="1">
        <v>2</v>
      </c>
      <c r="DF524" s="1">
        <v>1</v>
      </c>
      <c r="DG524" s="1">
        <v>1</v>
      </c>
      <c r="DH524" s="1">
        <v>1</v>
      </c>
      <c r="DI524" s="1">
        <f t="shared" si="462"/>
        <v>0</v>
      </c>
      <c r="DJ524" s="1">
        <v>1</v>
      </c>
      <c r="DK524" s="1" t="s">
        <v>1278</v>
      </c>
      <c r="DL524" s="1" t="s">
        <v>170</v>
      </c>
      <c r="DT524" s="1" t="b">
        <f>BaseAtk&gt;=5</f>
        <v>0</v>
      </c>
      <c r="DU524" s="1" t="b">
        <f>FtEndurance</f>
        <v>0</v>
      </c>
      <c r="DV524" s="1" t="b">
        <f>OR(FreeTrack,FtTrack)</f>
        <v>0</v>
      </c>
      <c r="DW524" s="1" t="b">
        <f>SkHideRanks&gt;=8</f>
        <v>0</v>
      </c>
      <c r="DX524" s="1" t="b">
        <f>SkSurvivalRanks&gt;=4</f>
        <v>0</v>
      </c>
      <c r="DY524" s="1" t="b">
        <f>SkKnowledgeNatureRanks&gt;=4</f>
        <v>0</v>
      </c>
      <c r="DZ524" s="1" t="b">
        <f>SkMoveSilentlyRanks&gt;=4</f>
        <v>0</v>
      </c>
      <c r="EA524" s="1" t="b">
        <f t="shared" si="500"/>
        <v>0</v>
      </c>
      <c r="EB524" s="11" t="s">
        <v>334</v>
      </c>
      <c r="EC524" s="1" t="str">
        <f>IF(DT524,"","• +5 base attack bonus.
")&amp;IF(DU524,"","• Endurance feat.
")&amp;IF(DV524,"","• Track feat.
")&amp;IF(DW524,"","• 8 ranks in Hide.
")&amp;IF(DX524,"","• 4 ranks in Survival.
")&amp;IF(DY524,"","• 4 ranks in Knowledge (nature).
")&amp;IF(DZ524,"","• 4 ranks in Move Silently.
")</f>
        <v xml:space="preserve">• +5 base attack bonus.
• Endurance feat.
• Track feat.
• 8 ranks in Hide.
• 4 ranks in Survival.
• 4 ranks in Knowledge (nature).
• 4 ranks in Move Silently.
</v>
      </c>
      <c r="ED524" s="11" t="s">
        <v>335</v>
      </c>
    </row>
    <row r="525" spans="1:134" ht="11.25" customHeight="1" x14ac:dyDescent="0.2">
      <c r="A525" s="1">
        <f t="shared" si="493"/>
        <v>522</v>
      </c>
      <c r="B525" s="1" t="s">
        <v>1289</v>
      </c>
      <c r="E525" s="1">
        <f t="shared" si="464"/>
        <v>0</v>
      </c>
      <c r="F525" s="1">
        <v>1</v>
      </c>
      <c r="Z525" s="1" t="b">
        <f>FALSE</f>
        <v>0</v>
      </c>
      <c r="AA525" s="1" t="str">
        <f t="shared" si="467"/>
        <v/>
      </c>
      <c r="AB525" s="1" t="str">
        <f t="shared" si="468"/>
        <v/>
      </c>
      <c r="AC525" s="1">
        <f t="shared" si="465"/>
        <v>0</v>
      </c>
      <c r="AD525" s="1" t="str">
        <f t="shared" si="469"/>
        <v/>
      </c>
      <c r="AE525" s="1" t="str">
        <f t="shared" si="470"/>
        <v/>
      </c>
      <c r="AF525" s="1">
        <f t="shared" si="466"/>
        <v>0</v>
      </c>
      <c r="AG525" s="1">
        <f t="shared" si="445"/>
        <v>5</v>
      </c>
      <c r="AH525" s="1" t="str">
        <f t="shared" si="444"/>
        <v/>
      </c>
      <c r="EB525" s="11"/>
      <c r="ED525" s="11" t="s">
        <v>335</v>
      </c>
    </row>
    <row r="526" spans="1:134" ht="11.25" customHeight="1" x14ac:dyDescent="0.2">
      <c r="A526" s="1">
        <f t="shared" si="493"/>
        <v>523</v>
      </c>
      <c r="B526" s="1" t="s">
        <v>1290</v>
      </c>
      <c r="C526" s="1" t="s">
        <v>850</v>
      </c>
      <c r="D526" s="1" t="s">
        <v>850</v>
      </c>
      <c r="E526" s="1">
        <f t="shared" si="464"/>
        <v>0</v>
      </c>
      <c r="G526" s="1">
        <f>MAX(0,GHELvl-1)</f>
        <v>0</v>
      </c>
      <c r="K526" s="1">
        <v>2</v>
      </c>
      <c r="L526" s="1">
        <v>10</v>
      </c>
      <c r="V526" s="1">
        <v>1</v>
      </c>
      <c r="W526" s="1">
        <v>0.5</v>
      </c>
      <c r="X526" s="1">
        <v>0.34</v>
      </c>
      <c r="Y526" s="1">
        <v>0.34</v>
      </c>
      <c r="Z526" s="1" t="b">
        <f>FALSE</f>
        <v>0</v>
      </c>
      <c r="AA526" s="1" t="str">
        <f t="shared" si="467"/>
        <v/>
      </c>
      <c r="AB526" s="1" t="str">
        <f t="shared" si="468"/>
        <v/>
      </c>
      <c r="AC526" s="1">
        <f t="shared" si="465"/>
        <v>0</v>
      </c>
      <c r="AD526" s="1" t="str">
        <f t="shared" si="469"/>
        <v/>
      </c>
      <c r="AE526" s="1" t="str">
        <f t="shared" si="470"/>
        <v/>
      </c>
      <c r="AF526" s="1">
        <f t="shared" si="466"/>
        <v>0</v>
      </c>
      <c r="AG526" s="1">
        <f t="shared" si="445"/>
        <v>5</v>
      </c>
      <c r="AH526" s="1" t="str">
        <f t="shared" si="444"/>
        <v/>
      </c>
      <c r="AI526" s="1">
        <v>1</v>
      </c>
      <c r="AJ526" s="1">
        <f t="shared" si="455"/>
        <v>0</v>
      </c>
      <c r="AK526" s="1">
        <v>1</v>
      </c>
      <c r="AL526" s="1">
        <v>1</v>
      </c>
      <c r="AM526" s="1">
        <v>2</v>
      </c>
      <c r="AN526" s="1">
        <f>IF(IsLycanthrope,2,0)</f>
        <v>0</v>
      </c>
      <c r="AO526" s="1">
        <v>2</v>
      </c>
      <c r="AP526" s="1">
        <v>1</v>
      </c>
      <c r="AQ526" s="1">
        <v>1</v>
      </c>
      <c r="AR526" s="1">
        <v>1</v>
      </c>
      <c r="AS526" s="1">
        <v>1</v>
      </c>
      <c r="AT526" s="1">
        <v>1</v>
      </c>
      <c r="AU526" s="1">
        <v>1</v>
      </c>
      <c r="AV526" s="1">
        <v>1</v>
      </c>
      <c r="AW526" s="1">
        <v>1</v>
      </c>
      <c r="AX526" s="1">
        <v>1</v>
      </c>
      <c r="AY526" s="1">
        <v>1</v>
      </c>
      <c r="AZ526" s="1">
        <v>1</v>
      </c>
      <c r="BA526" s="1">
        <v>2</v>
      </c>
      <c r="BB526" s="1">
        <v>1</v>
      </c>
      <c r="BC526" s="1">
        <v>1</v>
      </c>
      <c r="BD526" s="1">
        <v>1</v>
      </c>
      <c r="BE526" s="1">
        <v>2</v>
      </c>
      <c r="BF526" s="1">
        <v>1</v>
      </c>
      <c r="BG526" s="1">
        <f t="shared" si="495"/>
        <v>0</v>
      </c>
      <c r="BH526" s="1">
        <f>IF(HROA,1,0)</f>
        <v>0</v>
      </c>
      <c r="BI526" s="1">
        <v>2</v>
      </c>
      <c r="BJ526" s="1">
        <v>2</v>
      </c>
      <c r="BK526" s="1">
        <v>1</v>
      </c>
      <c r="BL526" s="1">
        <v>1</v>
      </c>
      <c r="BM526" s="1">
        <v>1</v>
      </c>
      <c r="BN526" s="1">
        <v>1</v>
      </c>
      <c r="BO526" s="1">
        <v>1</v>
      </c>
      <c r="BP526" s="1">
        <v>2</v>
      </c>
      <c r="BQ526" s="1">
        <f>IF(HRRVL,1,0)</f>
        <v>0</v>
      </c>
      <c r="BR526" s="1">
        <v>1</v>
      </c>
      <c r="BS526" s="1">
        <v>1</v>
      </c>
      <c r="BT526" s="1">
        <f t="shared" si="497"/>
        <v>0</v>
      </c>
      <c r="BU526" s="1">
        <f>IF(HRRVL,1,0)</f>
        <v>0</v>
      </c>
      <c r="BV526" s="1">
        <v>1</v>
      </c>
      <c r="BW526" s="1">
        <v>1</v>
      </c>
      <c r="BX526" s="1">
        <v>1</v>
      </c>
      <c r="BY526" s="1">
        <v>1</v>
      </c>
      <c r="BZ526" s="1">
        <v>1</v>
      </c>
      <c r="CA526" s="1">
        <v>1</v>
      </c>
      <c r="CB526" s="1">
        <v>1</v>
      </c>
      <c r="CC526" s="1">
        <v>1</v>
      </c>
      <c r="CD526" s="1">
        <v>1</v>
      </c>
      <c r="CE526" s="1">
        <v>1</v>
      </c>
      <c r="CF526" s="1">
        <v>2</v>
      </c>
      <c r="CG526" s="1">
        <f>IF(HRToB,1,0)</f>
        <v>0</v>
      </c>
      <c r="CH526" s="1">
        <v>1</v>
      </c>
      <c r="CI526" s="1">
        <v>1</v>
      </c>
      <c r="CJ526" s="1">
        <v>1</v>
      </c>
      <c r="CK526" s="1">
        <v>1</v>
      </c>
      <c r="CL526" s="1">
        <v>1</v>
      </c>
      <c r="CM526" s="1">
        <v>1</v>
      </c>
      <c r="CN526" s="1">
        <v>1</v>
      </c>
      <c r="CO526" s="1">
        <v>1</v>
      </c>
      <c r="CP526" s="1">
        <v>1</v>
      </c>
      <c r="CQ526" s="1">
        <v>1</v>
      </c>
      <c r="CR526" s="1">
        <v>1</v>
      </c>
      <c r="CS526" s="1">
        <v>1</v>
      </c>
      <c r="CT526" s="1">
        <v>1</v>
      </c>
      <c r="CU526" s="1">
        <v>1</v>
      </c>
      <c r="CV526" s="1">
        <f t="shared" si="460"/>
        <v>0</v>
      </c>
      <c r="CW526" s="1">
        <v>2</v>
      </c>
      <c r="CX526" s="1">
        <v>1</v>
      </c>
      <c r="CY526" s="1">
        <v>1</v>
      </c>
      <c r="CZ526" s="1">
        <f>IF(HRCS,1,0)</f>
        <v>0</v>
      </c>
      <c r="DA526" s="1">
        <v>1</v>
      </c>
      <c r="DB526" s="1">
        <v>1</v>
      </c>
      <c r="DC526" s="1">
        <v>2</v>
      </c>
      <c r="DD526" s="1">
        <v>2</v>
      </c>
      <c r="DE526" s="1">
        <v>1</v>
      </c>
      <c r="DF526" s="1">
        <v>2</v>
      </c>
      <c r="DG526" s="1">
        <v>2</v>
      </c>
      <c r="DH526" s="1">
        <v>2</v>
      </c>
      <c r="DI526" s="1">
        <f t="shared" si="462"/>
        <v>0</v>
      </c>
      <c r="DJ526" s="1">
        <v>2</v>
      </c>
      <c r="DK526" s="1" t="s">
        <v>1291</v>
      </c>
      <c r="DL526" s="1" t="s">
        <v>170</v>
      </c>
      <c r="DU526" s="1" t="b">
        <f>AlignmentNonEvil</f>
        <v>1</v>
      </c>
      <c r="DV526" s="1" t="b">
        <f>SkIntimidateRanks&gt;=5</f>
        <v>0</v>
      </c>
      <c r="DW526" s="1" t="b">
        <f>FtEndurance</f>
        <v>0</v>
      </c>
      <c r="DX526" s="1" t="b">
        <f>FtToughnessEquiv</f>
        <v>0</v>
      </c>
      <c r="DY526" s="1" t="b">
        <f>OR(FtPowerAttackEquiv,FtEmpowerSpell)</f>
        <v>0</v>
      </c>
      <c r="DZ526" s="1" t="b">
        <f ca="1">OR(BaseAtk&gt;=7,MaxSpellLevel&gt;=4)</f>
        <v>0</v>
      </c>
      <c r="EA526" s="1" t="b">
        <f ca="1">AND(DM526:DZ526)</f>
        <v>0</v>
      </c>
      <c r="EB526" s="11" t="s">
        <v>338</v>
      </c>
      <c r="EC526" s="1" t="str">
        <f ca="1">IF(DU526,"","• Any non-evil.
")&amp;IF(DV526,"","• Intimidate 5 ranks.
")&amp;IF(DW526,"","• Endurance feat.
")&amp;IF(DX526,"","• Toughness feat.
")&amp;IF(DY526,"","• Either Power Attack or Empower Spell feat.
")&amp;IF(DZ526,"","• Base attack +7 or able to cast 4th level spells.
")&amp;"• Must be a member of the Grey Hands (not verified)"</f>
        <v>• Intimidate 5 ranks.
• Endurance feat.
• Toughness feat.
• Either Power Attack or Empower Spell feat.
• Base attack +7 or able to cast 4th level spells.
• Must be a member of the Grey Hands (not verified)</v>
      </c>
      <c r="ED526" s="11" t="s">
        <v>335</v>
      </c>
    </row>
    <row r="527" spans="1:134" ht="11.25" customHeight="1" x14ac:dyDescent="0.2">
      <c r="A527" s="1">
        <f t="shared" si="493"/>
        <v>524</v>
      </c>
      <c r="B527" s="1" t="s">
        <v>1292</v>
      </c>
      <c r="C527" s="1" t="s">
        <v>1293</v>
      </c>
      <c r="D527" s="1" t="s">
        <v>1293</v>
      </c>
      <c r="E527" s="1">
        <f t="shared" si="464"/>
        <v>0</v>
      </c>
      <c r="G527" s="1">
        <f>KBMLvl</f>
        <v>0</v>
      </c>
      <c r="K527" s="1">
        <v>2</v>
      </c>
      <c r="L527" s="1">
        <v>8</v>
      </c>
      <c r="V527" s="1">
        <v>0.75</v>
      </c>
      <c r="W527" s="1">
        <v>0.5</v>
      </c>
      <c r="X527" s="1">
        <v>0.34</v>
      </c>
      <c r="Y527" s="1">
        <v>0.5</v>
      </c>
      <c r="Z527" s="1" t="b">
        <f>FALSE</f>
        <v>0</v>
      </c>
      <c r="AA527" s="1" t="str">
        <f t="shared" si="467"/>
        <v/>
      </c>
      <c r="AB527" s="1" t="str">
        <f t="shared" si="468"/>
        <v/>
      </c>
      <c r="AC527" s="1">
        <f t="shared" si="465"/>
        <v>0</v>
      </c>
      <c r="AD527" s="1" t="str">
        <f t="shared" si="469"/>
        <v/>
      </c>
      <c r="AE527" s="1" t="str">
        <f t="shared" si="470"/>
        <v/>
      </c>
      <c r="AF527" s="1">
        <f t="shared" si="466"/>
        <v>0</v>
      </c>
      <c r="AG527" s="1">
        <f t="shared" si="445"/>
        <v>5</v>
      </c>
      <c r="AH527" s="1" t="str">
        <f t="shared" si="444"/>
        <v/>
      </c>
      <c r="AI527" s="1">
        <v>1</v>
      </c>
      <c r="AJ527" s="1">
        <f t="shared" si="455"/>
        <v>0</v>
      </c>
      <c r="AK527" s="1">
        <v>1</v>
      </c>
      <c r="AL527" s="1">
        <v>1</v>
      </c>
      <c r="AM527" s="1">
        <v>1</v>
      </c>
      <c r="AN527" s="1">
        <f>IF(IsLycanthrope,2,0)</f>
        <v>0</v>
      </c>
      <c r="AO527" s="1">
        <v>2</v>
      </c>
      <c r="AP527" s="1">
        <v>1</v>
      </c>
      <c r="AQ527" s="1">
        <v>1</v>
      </c>
      <c r="AR527" s="1">
        <v>1</v>
      </c>
      <c r="AS527" s="1">
        <v>1</v>
      </c>
      <c r="AT527" s="1">
        <v>1</v>
      </c>
      <c r="AU527" s="1">
        <v>1</v>
      </c>
      <c r="AV527" s="1">
        <v>1</v>
      </c>
      <c r="AW527" s="1">
        <v>1</v>
      </c>
      <c r="AX527" s="1">
        <v>2</v>
      </c>
      <c r="AY527" s="1">
        <v>1</v>
      </c>
      <c r="AZ527" s="1">
        <v>1</v>
      </c>
      <c r="BA527" s="1">
        <v>1</v>
      </c>
      <c r="BB527" s="1">
        <v>1</v>
      </c>
      <c r="BC527" s="1">
        <v>1</v>
      </c>
      <c r="BD527" s="1">
        <v>2</v>
      </c>
      <c r="BE527" s="1">
        <v>2</v>
      </c>
      <c r="BF527" s="1">
        <v>1</v>
      </c>
      <c r="BG527" s="1">
        <f t="shared" si="495"/>
        <v>0</v>
      </c>
      <c r="BH527" s="1">
        <f>IF(HROA,1,0)</f>
        <v>0</v>
      </c>
      <c r="BI527" s="1">
        <v>1</v>
      </c>
      <c r="BJ527" s="1">
        <v>1</v>
      </c>
      <c r="BK527" s="1">
        <v>2</v>
      </c>
      <c r="BL527" s="1">
        <v>1</v>
      </c>
      <c r="BM527" s="1">
        <v>1</v>
      </c>
      <c r="BN527" s="1">
        <v>1</v>
      </c>
      <c r="BO527" s="1">
        <v>1</v>
      </c>
      <c r="BP527" s="1">
        <v>1</v>
      </c>
      <c r="BQ527" s="1">
        <f>IF(HRRVL,1,0)</f>
        <v>0</v>
      </c>
      <c r="BR527" s="1">
        <v>1</v>
      </c>
      <c r="BS527" s="1">
        <v>1</v>
      </c>
      <c r="BT527" s="1">
        <f t="shared" si="497"/>
        <v>0</v>
      </c>
      <c r="BU527" s="1">
        <f>IF(HRRVL,1,0)</f>
        <v>0</v>
      </c>
      <c r="BV527" s="1">
        <v>2</v>
      </c>
      <c r="BW527" s="1">
        <v>1</v>
      </c>
      <c r="BX527" s="1">
        <v>1</v>
      </c>
      <c r="BY527" s="1">
        <v>1</v>
      </c>
      <c r="BZ527" s="1">
        <v>1</v>
      </c>
      <c r="CA527" s="1">
        <v>1</v>
      </c>
      <c r="CB527" s="1">
        <v>1</v>
      </c>
      <c r="CC527" s="1">
        <v>1</v>
      </c>
      <c r="CD527" s="1">
        <v>1</v>
      </c>
      <c r="CE527" s="1">
        <v>1</v>
      </c>
      <c r="CF527" s="1">
        <v>1</v>
      </c>
      <c r="CG527" s="1">
        <f>IF(HRToB,1,0)</f>
        <v>0</v>
      </c>
      <c r="CH527" s="1">
        <v>1</v>
      </c>
      <c r="CI527" s="1">
        <v>1</v>
      </c>
      <c r="CJ527" s="1">
        <v>1</v>
      </c>
      <c r="CK527" s="1">
        <v>1</v>
      </c>
      <c r="CL527" s="1">
        <v>1</v>
      </c>
      <c r="CM527" s="1">
        <v>1</v>
      </c>
      <c r="CN527" s="1">
        <v>1</v>
      </c>
      <c r="CO527" s="1">
        <v>1</v>
      </c>
      <c r="CP527" s="1">
        <v>2</v>
      </c>
      <c r="CQ527" s="1">
        <v>2</v>
      </c>
      <c r="CR527" s="1">
        <v>2</v>
      </c>
      <c r="CS527" s="1">
        <v>2</v>
      </c>
      <c r="CT527" s="1">
        <v>2</v>
      </c>
      <c r="CU527" s="1">
        <v>2</v>
      </c>
      <c r="CV527" s="1">
        <f t="shared" si="460"/>
        <v>0</v>
      </c>
      <c r="CW527" s="1">
        <v>2</v>
      </c>
      <c r="CX527" s="1">
        <v>1</v>
      </c>
      <c r="CY527" s="1">
        <v>1</v>
      </c>
      <c r="CZ527" s="1">
        <f>IF(HRCS,1,0)</f>
        <v>0</v>
      </c>
      <c r="DA527" s="1">
        <v>1</v>
      </c>
      <c r="DB527" s="1">
        <v>1</v>
      </c>
      <c r="DC527" s="1">
        <v>2</v>
      </c>
      <c r="DD527" s="1">
        <v>1</v>
      </c>
      <c r="DE527" s="1">
        <v>2</v>
      </c>
      <c r="DF527" s="1">
        <v>1</v>
      </c>
      <c r="DG527" s="1">
        <v>1</v>
      </c>
      <c r="DH527" s="1">
        <v>1</v>
      </c>
      <c r="DI527" s="1">
        <f t="shared" si="462"/>
        <v>0</v>
      </c>
      <c r="DJ527" s="1">
        <v>1</v>
      </c>
      <c r="DK527" s="1" t="s">
        <v>1291</v>
      </c>
      <c r="DL527" s="1" t="s">
        <v>170</v>
      </c>
      <c r="DP527" s="1" t="b">
        <f>AlignmentGood</f>
        <v>1</v>
      </c>
      <c r="DQ527" s="1" t="b">
        <f>BaseAtk&gt;=4</f>
        <v>0</v>
      </c>
      <c r="DR527" s="1" t="b">
        <f>SkConcentrationRanks&gt;=8</f>
        <v>0</v>
      </c>
      <c r="DS527" s="1" t="b">
        <f>SkKnowledgeArcanaRanks&gt;=4</f>
        <v>0</v>
      </c>
      <c r="DT527" s="1" t="b">
        <f>SkKnowledgeReligionRanks&gt;=4</f>
        <v>0</v>
      </c>
      <c r="DU527" s="1" t="b">
        <f>FtCraftMagicArmsAndArmor</f>
        <v>0</v>
      </c>
      <c r="DV527" s="1" t="b">
        <f>FtLunarMagic</f>
        <v>0</v>
      </c>
      <c r="DW527" s="1" t="b">
        <f>OR(NOT(ISNA(MATCH("Mace, Heavy",TblWeaponFocusFeat,0))),NOT(ISERROR(FIND("Shuriken",TblProfList,0))))</f>
        <v>0</v>
      </c>
      <c r="DX527" s="1" t="b">
        <f ca="1">MaxSpontaneousLevel&gt;=1</f>
        <v>0</v>
      </c>
      <c r="DY527" s="1" t="b">
        <f>OR(Deity="Selune",Deity="Mystra")</f>
        <v>0</v>
      </c>
      <c r="DZ527" s="1" t="b">
        <f>AND(TurnLvl&gt;=1,TurnRebuke="Turn")</f>
        <v>0</v>
      </c>
      <c r="EA527" s="1" t="b">
        <f ca="1">AND(DM527:DZ527)</f>
        <v>0</v>
      </c>
      <c r="EB527" s="11" t="s">
        <v>338</v>
      </c>
      <c r="EC527" s="1" t="str">
        <f ca="1">IF(DP527,"","• Any good.
")&amp;IF(DQ527,"","• Base Attack bonus +4.
")&amp;IF(DR527,"","• Concentration 8 ranks.
")&amp;IF(DS527,"","• Knowledge (arcana) 4 ranks.
")&amp;IF(DT527,"","• Knowledge (religion) 4 ranks.
")&amp;IF(DU527,"","• Craft Magic Arms and Armor feat.
")&amp;IF(DV527,"","• Lunar Magic feat.
")&amp;IF(DW527,"","• Weapon Focus (Mace, Heavy) or Exotic Weapon Proficiency (shuriken).
")&amp;IF(DX527,"","• Ability to cast arcane spells spontaneously.
")&amp;IF(DY527,"","• Patron Deitym Selune or Mystra.
")&amp;IF(DZ527,"","• Ability to turn undead.
")&amp;"• Member in the Order of the Blue Moon (not verified)"</f>
        <v>• Base Attack bonus +4.
• Concentration 8 ranks.
• Knowledge (arcana) 4 ranks.
• Knowledge (religion) 4 ranks.
• Craft Magic Arms and Armor feat.
• Lunar Magic feat.
• Weapon Focus (Mace, Heavy) or Exotic Weapon Proficiency (shuriken).
• Ability to cast arcane spells spontaneously.
• Patron Deitym Selune or Mystra.
• Ability to turn undead.
• Member in the Order of the Blue Moon (not verified)</v>
      </c>
      <c r="ED527" s="11" t="s">
        <v>335</v>
      </c>
    </row>
    <row r="528" spans="1:134" ht="11.25" customHeight="1" x14ac:dyDescent="0.2">
      <c r="A528" s="1">
        <f t="shared" si="493"/>
        <v>525</v>
      </c>
      <c r="B528" s="1" t="s">
        <v>1294</v>
      </c>
      <c r="C528" s="1" t="s">
        <v>1295</v>
      </c>
      <c r="D528" s="1" t="s">
        <v>1295</v>
      </c>
      <c r="E528" s="1">
        <f t="shared" si="464"/>
        <v>0</v>
      </c>
      <c r="G528" s="1">
        <f>MnsALvl</f>
        <v>0</v>
      </c>
      <c r="K528" s="1">
        <v>4</v>
      </c>
      <c r="L528" s="1">
        <v>6</v>
      </c>
      <c r="V528" s="1">
        <v>0.75</v>
      </c>
      <c r="W528" s="1">
        <v>0.34</v>
      </c>
      <c r="X528" s="1">
        <v>0.5</v>
      </c>
      <c r="Y528" s="1">
        <v>0.5</v>
      </c>
      <c r="Z528" s="1" t="b">
        <f>FALSE</f>
        <v>0</v>
      </c>
      <c r="AA528" s="1" t="str">
        <f t="shared" si="467"/>
        <v/>
      </c>
      <c r="AB528" s="1" t="str">
        <f t="shared" si="468"/>
        <v/>
      </c>
      <c r="AC528" s="1">
        <f t="shared" si="465"/>
        <v>0</v>
      </c>
      <c r="AD528" s="1" t="str">
        <f t="shared" si="469"/>
        <v/>
      </c>
      <c r="AE528" s="1" t="str">
        <f t="shared" si="470"/>
        <v/>
      </c>
      <c r="AF528" s="1">
        <f t="shared" si="466"/>
        <v>0</v>
      </c>
      <c r="AG528" s="1">
        <f t="shared" si="445"/>
        <v>5</v>
      </c>
      <c r="AH528" s="1" t="str">
        <f t="shared" si="444"/>
        <v/>
      </c>
      <c r="AI528" s="1">
        <v>1</v>
      </c>
      <c r="AJ528" s="1">
        <f t="shared" si="455"/>
        <v>0</v>
      </c>
      <c r="AK528" s="1">
        <v>1</v>
      </c>
      <c r="AL528" s="1">
        <v>2</v>
      </c>
      <c r="AM528" s="1">
        <v>1</v>
      </c>
      <c r="AN528" s="1">
        <f>IF(IsLycanthrope,2,0)</f>
        <v>0</v>
      </c>
      <c r="AO528" s="1">
        <v>2</v>
      </c>
      <c r="AP528" s="1">
        <v>2</v>
      </c>
      <c r="AQ528" s="1">
        <v>2</v>
      </c>
      <c r="AR528" s="1">
        <v>2</v>
      </c>
      <c r="AS528" s="1">
        <v>2</v>
      </c>
      <c r="AT528" s="1">
        <v>2</v>
      </c>
      <c r="AU528" s="1">
        <v>2</v>
      </c>
      <c r="AV528" s="1">
        <v>2</v>
      </c>
      <c r="AW528" s="1">
        <v>2</v>
      </c>
      <c r="AX528" s="1">
        <v>2</v>
      </c>
      <c r="AY528" s="1">
        <v>1</v>
      </c>
      <c r="AZ528" s="1">
        <v>2</v>
      </c>
      <c r="BA528" s="1">
        <v>1</v>
      </c>
      <c r="BB528" s="1">
        <v>2</v>
      </c>
      <c r="BC528" s="1">
        <v>2</v>
      </c>
      <c r="BD528" s="1">
        <v>1</v>
      </c>
      <c r="BE528" s="1">
        <v>1</v>
      </c>
      <c r="BF528" s="1">
        <v>2</v>
      </c>
      <c r="BG528" s="1">
        <f t="shared" si="495"/>
        <v>0</v>
      </c>
      <c r="BH528" s="1">
        <f>IF(HROA,1,0)</f>
        <v>0</v>
      </c>
      <c r="BI528" s="1">
        <v>1</v>
      </c>
      <c r="BJ528" s="1">
        <v>1</v>
      </c>
      <c r="BK528" s="1">
        <v>2</v>
      </c>
      <c r="BL528" s="1">
        <v>2</v>
      </c>
      <c r="BM528" s="1">
        <v>2</v>
      </c>
      <c r="BN528" s="1">
        <v>2</v>
      </c>
      <c r="BO528" s="1">
        <v>2</v>
      </c>
      <c r="BP528" s="1">
        <v>2</v>
      </c>
      <c r="BQ528" s="1">
        <f>IF(HRRVL,2,0)</f>
        <v>0</v>
      </c>
      <c r="BR528" s="1">
        <v>2</v>
      </c>
      <c r="BS528" s="1">
        <v>2</v>
      </c>
      <c r="BT528" s="1">
        <f>IF(HRXPH,2,0)</f>
        <v>0</v>
      </c>
      <c r="BU528" s="1">
        <f>IF(HRRVL,2,0)</f>
        <v>0</v>
      </c>
      <c r="BV528" s="1">
        <v>2</v>
      </c>
      <c r="BW528" s="1">
        <v>2</v>
      </c>
      <c r="BX528" s="1">
        <v>2</v>
      </c>
      <c r="BY528" s="1">
        <v>2</v>
      </c>
      <c r="BZ528" s="1">
        <v>2</v>
      </c>
      <c r="CA528" s="1">
        <v>2</v>
      </c>
      <c r="CB528" s="1">
        <v>2</v>
      </c>
      <c r="CC528" s="1">
        <v>2</v>
      </c>
      <c r="CD528" s="1">
        <v>2</v>
      </c>
      <c r="CE528" s="1">
        <v>2</v>
      </c>
      <c r="CF528" s="1">
        <v>2</v>
      </c>
      <c r="CG528" s="1">
        <f>IF(HRToB,1,0)</f>
        <v>0</v>
      </c>
      <c r="CH528" s="1">
        <v>2</v>
      </c>
      <c r="CI528" s="1">
        <v>1</v>
      </c>
      <c r="CJ528" s="1">
        <v>2</v>
      </c>
      <c r="CK528" s="1">
        <v>2</v>
      </c>
      <c r="CL528" s="1">
        <v>2</v>
      </c>
      <c r="CM528" s="1">
        <v>2</v>
      </c>
      <c r="CN528" s="1">
        <v>2</v>
      </c>
      <c r="CO528" s="1">
        <v>2</v>
      </c>
      <c r="CP528" s="1">
        <v>2</v>
      </c>
      <c r="CQ528" s="1">
        <v>2</v>
      </c>
      <c r="CR528" s="1">
        <v>2</v>
      </c>
      <c r="CS528" s="1">
        <v>2</v>
      </c>
      <c r="CT528" s="1">
        <v>2</v>
      </c>
      <c r="CU528" s="1">
        <v>2</v>
      </c>
      <c r="CV528" s="1">
        <f t="shared" si="460"/>
        <v>0</v>
      </c>
      <c r="CW528" s="1">
        <v>1</v>
      </c>
      <c r="CX528" s="1">
        <v>2</v>
      </c>
      <c r="CY528" s="1">
        <v>2</v>
      </c>
      <c r="CZ528" s="1">
        <f>IF(HRCS,1,0)</f>
        <v>0</v>
      </c>
      <c r="DA528" s="1">
        <v>1</v>
      </c>
      <c r="DB528" s="1">
        <v>2</v>
      </c>
      <c r="DC528" s="1">
        <v>2</v>
      </c>
      <c r="DD528" s="1">
        <v>2</v>
      </c>
      <c r="DE528" s="1">
        <v>2</v>
      </c>
      <c r="DF528" s="1">
        <v>1</v>
      </c>
      <c r="DG528" s="1">
        <v>1</v>
      </c>
      <c r="DH528" s="1">
        <v>2</v>
      </c>
      <c r="DI528" s="1">
        <f t="shared" si="462"/>
        <v>0</v>
      </c>
      <c r="DJ528" s="1">
        <v>1</v>
      </c>
      <c r="DK528" s="1" t="s">
        <v>1291</v>
      </c>
      <c r="DL528" s="1" t="s">
        <v>170</v>
      </c>
      <c r="DV528" s="1" t="b">
        <f>SkDecipherScriptRanks&gt;=4</f>
        <v>0</v>
      </c>
      <c r="DW528" s="1" t="b">
        <f>SkGatherInformationRanks&gt;=4</f>
        <v>0</v>
      </c>
      <c r="DX528" s="1" t="b">
        <f>SkKnowledgeHistoryRanks&gt;=8</f>
        <v>0</v>
      </c>
      <c r="DY528" s="1" t="b">
        <f>FtInvestigator</f>
        <v>0</v>
      </c>
      <c r="DZ528" s="1" t="b">
        <f>FtStealthy</f>
        <v>0</v>
      </c>
      <c r="EA528" s="1" t="b">
        <f>AND(DM528:DZ528)</f>
        <v>0</v>
      </c>
      <c r="EB528" s="11" t="s">
        <v>338</v>
      </c>
      <c r="EC528" s="1" t="str">
        <f>IF(DV528,"","• Decipher Script 4 ranks.
")&amp;IF(DW528,"","• Gather Information 4 ranks.
")&amp;IF(DX528,"","• Knowledge (history) 8 ranks.
")&amp;IF(DY528,"","• Investigator feat.
")&amp;IF(DZ528,"","• Stealthy feat.
")&amp;"• Bardic Knowledge, lore (loremaster class feature
or similar ability), Harper Knowledge, or ability to cast
legend lore. (not verified)."
&amp;"• Member of the Tel Teukiira (not verified)."
&amp;"• Ability to cast disquise self and identify (not verified)."</f>
        <v>• Decipher Script 4 ranks.
• Gather Information 4 ranks.
• Knowledge (history) 8 ranks.
• Investigator feat.
• Stealthy feat.
• Bardic Knowledge, lore (loremaster class feature
or similar ability), Harper Knowledge, or ability to cast
legend lore. (not verified).• Member of the Tel Teukiira (not verified).• Ability to cast disquise self and identify (not verified).</v>
      </c>
      <c r="ED528" s="11" t="s">
        <v>335</v>
      </c>
    </row>
    <row r="529" spans="1:134" ht="11.25" customHeight="1" x14ac:dyDescent="0.2">
      <c r="A529" s="1">
        <f t="shared" si="493"/>
        <v>526</v>
      </c>
      <c r="B529" s="1" t="s">
        <v>1296</v>
      </c>
      <c r="C529" s="1" t="s">
        <v>1297</v>
      </c>
      <c r="D529" s="1" t="s">
        <v>1297</v>
      </c>
      <c r="E529" s="1">
        <f t="shared" si="464"/>
        <v>0</v>
      </c>
      <c r="K529" s="1">
        <v>4</v>
      </c>
      <c r="L529" s="1">
        <v>8</v>
      </c>
      <c r="S529" s="1" t="b">
        <v>1</v>
      </c>
      <c r="V529" s="1">
        <v>0.75</v>
      </c>
      <c r="W529" s="1">
        <v>0.34</v>
      </c>
      <c r="X529" s="1">
        <v>0.5</v>
      </c>
      <c r="Y529" s="1">
        <v>0.5</v>
      </c>
      <c r="Z529" s="1" t="b">
        <f>FALSE</f>
        <v>0</v>
      </c>
      <c r="AA529" s="1" t="str">
        <f t="shared" si="467"/>
        <v/>
      </c>
      <c r="AB529" s="1" t="str">
        <f t="shared" si="468"/>
        <v/>
      </c>
      <c r="AC529" s="1">
        <f t="shared" si="465"/>
        <v>0</v>
      </c>
      <c r="AD529" s="1" t="str">
        <f t="shared" si="469"/>
        <v/>
      </c>
      <c r="AE529" s="1" t="str">
        <f t="shared" si="470"/>
        <v/>
      </c>
      <c r="AF529" s="1">
        <f t="shared" si="466"/>
        <v>0</v>
      </c>
      <c r="AG529" s="1">
        <f t="shared" si="445"/>
        <v>5</v>
      </c>
      <c r="AH529" s="1" t="str">
        <f t="shared" si="444"/>
        <v/>
      </c>
      <c r="AI529" s="1">
        <v>1</v>
      </c>
      <c r="AJ529" s="1">
        <f t="shared" si="455"/>
        <v>0</v>
      </c>
      <c r="AK529" s="1">
        <v>2</v>
      </c>
      <c r="AL529" s="1">
        <v>1</v>
      </c>
      <c r="AM529" s="1">
        <v>2</v>
      </c>
      <c r="AN529" s="1">
        <f>IF(IsLycanthrope,2,0)</f>
        <v>0</v>
      </c>
      <c r="AO529" s="1">
        <v>2</v>
      </c>
      <c r="AP529" s="1">
        <v>2</v>
      </c>
      <c r="AQ529" s="1">
        <v>2</v>
      </c>
      <c r="AR529" s="1">
        <v>2</v>
      </c>
      <c r="AS529" s="1">
        <v>2</v>
      </c>
      <c r="AT529" s="1">
        <v>2</v>
      </c>
      <c r="AU529" s="1">
        <v>2</v>
      </c>
      <c r="AV529" s="1">
        <v>2</v>
      </c>
      <c r="AW529" s="1">
        <v>1</v>
      </c>
      <c r="AX529" s="1">
        <v>2</v>
      </c>
      <c r="AY529" s="1">
        <v>1</v>
      </c>
      <c r="AZ529" s="1">
        <v>1</v>
      </c>
      <c r="BA529" s="1">
        <v>2</v>
      </c>
      <c r="BB529" s="1">
        <v>1</v>
      </c>
      <c r="BC529" s="1">
        <v>1</v>
      </c>
      <c r="BD529" s="1">
        <v>1</v>
      </c>
      <c r="BE529" s="1">
        <v>1</v>
      </c>
      <c r="BF529" s="1">
        <v>2</v>
      </c>
      <c r="BG529" s="1">
        <f t="shared" si="495"/>
        <v>0</v>
      </c>
      <c r="BH529" s="1">
        <f>IF(HROA,1,0)</f>
        <v>0</v>
      </c>
      <c r="BI529" s="1">
        <v>1</v>
      </c>
      <c r="BJ529" s="1">
        <v>2</v>
      </c>
      <c r="BK529" s="1">
        <v>2</v>
      </c>
      <c r="BL529" s="1">
        <v>1</v>
      </c>
      <c r="BM529" s="1">
        <v>1</v>
      </c>
      <c r="BN529" s="1">
        <v>1</v>
      </c>
      <c r="BO529" s="1">
        <v>1</v>
      </c>
      <c r="BP529" s="1">
        <v>1</v>
      </c>
      <c r="BQ529" s="1">
        <f>IF(HRRVL,1,0)</f>
        <v>0</v>
      </c>
      <c r="BR529" s="1">
        <v>1</v>
      </c>
      <c r="BS529" s="1">
        <v>1</v>
      </c>
      <c r="BT529" s="1">
        <f t="shared" si="497"/>
        <v>0</v>
      </c>
      <c r="BU529" s="1">
        <f>IF(HRRVL,1,0)</f>
        <v>0</v>
      </c>
      <c r="BV529" s="1">
        <v>2</v>
      </c>
      <c r="BW529" s="1">
        <v>1</v>
      </c>
      <c r="BX529" s="1">
        <v>1</v>
      </c>
      <c r="BY529" s="1">
        <v>1</v>
      </c>
      <c r="BZ529" s="1">
        <v>1</v>
      </c>
      <c r="CA529" s="1">
        <v>1</v>
      </c>
      <c r="CB529" s="1">
        <v>1</v>
      </c>
      <c r="CC529" s="1">
        <v>1</v>
      </c>
      <c r="CD529" s="1">
        <v>1</v>
      </c>
      <c r="CE529" s="1">
        <v>1</v>
      </c>
      <c r="CF529" s="1">
        <v>2</v>
      </c>
      <c r="CG529" s="1">
        <f>IF(HRToB,1,0)</f>
        <v>0</v>
      </c>
      <c r="CH529" s="1">
        <v>2</v>
      </c>
      <c r="CI529" s="1">
        <v>1</v>
      </c>
      <c r="CJ529" s="1">
        <v>2</v>
      </c>
      <c r="CK529" s="1">
        <v>2</v>
      </c>
      <c r="CL529" s="1">
        <v>2</v>
      </c>
      <c r="CM529" s="1">
        <v>2</v>
      </c>
      <c r="CN529" s="1">
        <v>2</v>
      </c>
      <c r="CO529" s="1">
        <v>2</v>
      </c>
      <c r="CP529" s="1">
        <v>2</v>
      </c>
      <c r="CQ529" s="1">
        <v>2</v>
      </c>
      <c r="CR529" s="1">
        <v>2</v>
      </c>
      <c r="CS529" s="1">
        <v>2</v>
      </c>
      <c r="CT529" s="1">
        <v>2</v>
      </c>
      <c r="CU529" s="1">
        <v>2</v>
      </c>
      <c r="CV529" s="1">
        <f t="shared" si="460"/>
        <v>0</v>
      </c>
      <c r="CW529" s="1">
        <v>1</v>
      </c>
      <c r="CX529" s="1">
        <v>1</v>
      </c>
      <c r="CY529" s="1">
        <v>2</v>
      </c>
      <c r="CZ529" s="1">
        <f>IF(HRCS,1,0)</f>
        <v>0</v>
      </c>
      <c r="DA529" s="1">
        <v>1</v>
      </c>
      <c r="DB529" s="1">
        <v>1</v>
      </c>
      <c r="DC529" s="1">
        <v>1</v>
      </c>
      <c r="DD529" s="1">
        <v>2</v>
      </c>
      <c r="DE529" s="1">
        <v>1</v>
      </c>
      <c r="DF529" s="1">
        <v>2</v>
      </c>
      <c r="DG529" s="1">
        <v>2</v>
      </c>
      <c r="DH529" s="1">
        <v>1</v>
      </c>
      <c r="DI529" s="1">
        <f t="shared" si="462"/>
        <v>0</v>
      </c>
      <c r="DJ529" s="1">
        <v>1</v>
      </c>
      <c r="DK529" s="1" t="s">
        <v>1291</v>
      </c>
      <c r="DL529" s="1" t="s">
        <v>170</v>
      </c>
      <c r="DQ529" s="1" t="b">
        <f>AND(AlignmentLawful,AlignmentNonEvil)</f>
        <v>1</v>
      </c>
      <c r="DR529" s="1" t="b">
        <f>WillSave&gt;=4</f>
        <v>0</v>
      </c>
      <c r="DS529" s="1" t="b">
        <f>SkConcentrationRanks&gt;=8</f>
        <v>0</v>
      </c>
      <c r="DT529" s="1" t="b">
        <f>SkKnowledgeArcanaRanks&gt;=4</f>
        <v>0</v>
      </c>
      <c r="DU529" s="1" t="b">
        <f>SkKnowledgeReligionRanks&gt;=4</f>
        <v>0</v>
      </c>
      <c r="DV529" s="1" t="b">
        <f>OR(NOT(ISNA(MATCH("Ignan",TblLangKnown,0))),NOT(ISNA(MATCH("Loross",TblLangKnown,0))))</f>
        <v>0</v>
      </c>
      <c r="DW529" s="1" t="b">
        <f>FtAthletic</f>
        <v>0</v>
      </c>
      <c r="DX529" s="1" t="b">
        <f>FtImprovedUnarmed</f>
        <v>0</v>
      </c>
      <c r="DY529" s="1" t="b">
        <f>FtStunningFist</f>
        <v>0</v>
      </c>
      <c r="DZ529" s="1" t="b">
        <f>OR(Deity="Lathander",Deity="Selune",Deity="Sune")</f>
        <v>0</v>
      </c>
      <c r="EA529" s="1" t="b">
        <f>AND(DM529:DZ529)</f>
        <v>0</v>
      </c>
      <c r="EB529" s="11" t="s">
        <v>338</v>
      </c>
      <c r="EC529" s="1" t="str">
        <f>IF(DQ529,"","• Lawful good or Lawful Neutral.
")&amp;IF(DR529,"","• Base Will +4
")&amp;IF(DS529,"","• Concentration 8 ranks.
")&amp;IF(DT529,"","• Knowledge (arcana) 4 ranks.
")&amp;IF(DU529,"","• Knowledge (religion) 4 ranks.
")&amp;IF(DV529,"","• Speak Ignan or Loross.
")&amp;IF(DW529,"","• Athletic feat.
")&amp;IF(DX529,"","• Improved Unarmed Strike feat.
")&amp;IF(DY529,"","• Stunning Fist feat.
")&amp;IF(DZ529,"","• Patron Deity Lathander, Selune or Sune.
")&amp;"• Member in the Order of the Sun (not verified)"</f>
        <v>• Base Will +4
• Concentration 8 ranks.
• Knowledge (arcana) 4 ranks.
• Knowledge (religion) 4 ranks.
• Speak Ignan or Loross.
• Athletic feat.
• Improved Unarmed Strike feat.
• Stunning Fist feat.
• Patron Deity Lathander, Selune or Sune.
• Member in the Order of the Sun (not verified)</v>
      </c>
      <c r="ED529" s="11" t="s">
        <v>335</v>
      </c>
    </row>
    <row r="530" spans="1:134" ht="11.25" customHeight="1" x14ac:dyDescent="0.2">
      <c r="A530" s="1">
        <f t="shared" si="493"/>
        <v>527</v>
      </c>
      <c r="B530" s="1" t="s">
        <v>1298</v>
      </c>
      <c r="E530" s="1">
        <f t="shared" si="464"/>
        <v>0</v>
      </c>
      <c r="F530" s="1">
        <v>1</v>
      </c>
      <c r="Z530" s="1" t="b">
        <f>FALSE</f>
        <v>0</v>
      </c>
      <c r="AA530" s="1" t="str">
        <f t="shared" si="467"/>
        <v/>
      </c>
      <c r="AB530" s="1" t="str">
        <f t="shared" si="468"/>
        <v/>
      </c>
      <c r="AC530" s="1">
        <f t="shared" si="465"/>
        <v>0</v>
      </c>
      <c r="AD530" s="1" t="str">
        <f t="shared" si="469"/>
        <v/>
      </c>
      <c r="AE530" s="1" t="str">
        <f t="shared" si="470"/>
        <v/>
      </c>
      <c r="AF530" s="1">
        <f t="shared" si="466"/>
        <v>0</v>
      </c>
      <c r="AG530" s="1">
        <f t="shared" si="445"/>
        <v>5</v>
      </c>
      <c r="AH530" s="1" t="str">
        <f t="shared" si="444"/>
        <v/>
      </c>
      <c r="EB530" s="11"/>
      <c r="ED530" s="11" t="s">
        <v>335</v>
      </c>
    </row>
    <row r="531" spans="1:134" ht="11.25" customHeight="1" x14ac:dyDescent="0.2">
      <c r="A531" s="1">
        <f t="shared" si="493"/>
        <v>528</v>
      </c>
      <c r="B531" s="1" t="s">
        <v>1299</v>
      </c>
      <c r="C531" s="1" t="s">
        <v>1300</v>
      </c>
      <c r="D531" s="1" t="s">
        <v>1300</v>
      </c>
      <c r="E531" s="1">
        <f t="shared" si="464"/>
        <v>0</v>
      </c>
      <c r="K531" s="1">
        <v>4</v>
      </c>
      <c r="L531" s="1">
        <v>8</v>
      </c>
      <c r="V531" s="1">
        <v>0.75</v>
      </c>
      <c r="W531" s="1">
        <v>0.5</v>
      </c>
      <c r="X531" s="1">
        <v>0.5</v>
      </c>
      <c r="Y531" s="1">
        <v>0.5</v>
      </c>
      <c r="Z531" s="1" t="b">
        <f>FALSE</f>
        <v>0</v>
      </c>
      <c r="AA531" s="1" t="str">
        <f t="shared" si="467"/>
        <v/>
      </c>
      <c r="AB531" s="1" t="str">
        <f t="shared" si="468"/>
        <v/>
      </c>
      <c r="AC531" s="1">
        <f t="shared" si="465"/>
        <v>0</v>
      </c>
      <c r="AD531" s="1" t="str">
        <f t="shared" si="469"/>
        <v/>
      </c>
      <c r="AE531" s="1" t="str">
        <f t="shared" si="470"/>
        <v/>
      </c>
      <c r="AF531" s="1">
        <f t="shared" si="466"/>
        <v>0</v>
      </c>
      <c r="AG531" s="1">
        <f t="shared" si="445"/>
        <v>5</v>
      </c>
      <c r="AH531" s="1" t="str">
        <f t="shared" ref="AH531:AH594" si="502">IF(ROW()&gt;$AG$2,"",INDEX($B$5:$B$794,MATCH(ROW(),$AG$5:$AG$794,0)))</f>
        <v/>
      </c>
      <c r="AI531" s="1">
        <v>2</v>
      </c>
      <c r="AJ531" s="1">
        <f>IF(HRXPH,1,0)</f>
        <v>0</v>
      </c>
      <c r="AK531" s="1">
        <v>1</v>
      </c>
      <c r="AL531" s="1">
        <v>2</v>
      </c>
      <c r="AM531" s="1">
        <v>1</v>
      </c>
      <c r="AN531" s="1">
        <f t="shared" ref="AN531:AN538" si="503">IF(IsLycanthrope,2,0)</f>
        <v>0</v>
      </c>
      <c r="AO531" s="1">
        <v>1</v>
      </c>
      <c r="AP531" s="1">
        <v>1</v>
      </c>
      <c r="AQ531" s="1">
        <v>1</v>
      </c>
      <c r="AR531" s="1">
        <v>1</v>
      </c>
      <c r="AS531" s="1">
        <v>1</v>
      </c>
      <c r="AT531" s="1">
        <v>1</v>
      </c>
      <c r="AU531" s="1">
        <v>1</v>
      </c>
      <c r="AV531" s="1">
        <v>1</v>
      </c>
      <c r="AW531" s="1">
        <v>1</v>
      </c>
      <c r="AX531" s="1">
        <v>2</v>
      </c>
      <c r="AY531" s="1">
        <v>1</v>
      </c>
      <c r="AZ531" s="1">
        <v>1</v>
      </c>
      <c r="BA531" s="1">
        <v>1</v>
      </c>
      <c r="BB531" s="1">
        <v>1</v>
      </c>
      <c r="BC531" s="1">
        <v>2</v>
      </c>
      <c r="BD531" s="1">
        <v>1</v>
      </c>
      <c r="BE531" s="1">
        <v>1</v>
      </c>
      <c r="BF531" s="1">
        <v>1</v>
      </c>
      <c r="BG531" s="1">
        <f t="shared" ref="BG531:BG538" si="504">IF(HRRVL,1,0)</f>
        <v>0</v>
      </c>
      <c r="BH531" s="1">
        <f t="shared" ref="BH531:BH538" si="505">IF(HROA,1,0)</f>
        <v>0</v>
      </c>
      <c r="BI531" s="1">
        <v>2</v>
      </c>
      <c r="BJ531" s="1">
        <v>1</v>
      </c>
      <c r="BK531" s="1">
        <v>2</v>
      </c>
      <c r="BL531" s="1">
        <v>1</v>
      </c>
      <c r="BM531" s="1">
        <v>1</v>
      </c>
      <c r="BN531" s="1">
        <v>1</v>
      </c>
      <c r="BO531" s="1">
        <v>1</v>
      </c>
      <c r="BP531" s="1">
        <v>1</v>
      </c>
      <c r="BQ531" s="1">
        <f>IF(HRRVL,1,0)</f>
        <v>0</v>
      </c>
      <c r="BR531" s="1">
        <v>1</v>
      </c>
      <c r="BS531" s="1">
        <v>2</v>
      </c>
      <c r="BT531" s="1">
        <f>IF(HRXPH,1,0)</f>
        <v>0</v>
      </c>
      <c r="BU531" s="1">
        <f>IF(HRRVL,1,0)</f>
        <v>0</v>
      </c>
      <c r="BV531" s="1">
        <v>1</v>
      </c>
      <c r="BW531" s="1">
        <v>1</v>
      </c>
      <c r="BX531" s="1">
        <v>1</v>
      </c>
      <c r="BY531" s="1">
        <v>1</v>
      </c>
      <c r="BZ531" s="1">
        <v>1</v>
      </c>
      <c r="CA531" s="1">
        <v>1</v>
      </c>
      <c r="CB531" s="1">
        <v>1</v>
      </c>
      <c r="CC531" s="1">
        <v>1</v>
      </c>
      <c r="CD531" s="1">
        <v>1</v>
      </c>
      <c r="CE531" s="1">
        <v>1</v>
      </c>
      <c r="CF531" s="1">
        <v>1</v>
      </c>
      <c r="CG531" s="1">
        <f t="shared" ref="CG531:CG538" si="506">IF(HRToB,1,0)</f>
        <v>0</v>
      </c>
      <c r="CH531" s="1">
        <v>1</v>
      </c>
      <c r="CI531" s="1">
        <v>1</v>
      </c>
      <c r="CJ531" s="1">
        <v>2</v>
      </c>
      <c r="CK531" s="1">
        <v>2</v>
      </c>
      <c r="CL531" s="1">
        <v>2</v>
      </c>
      <c r="CM531" s="1">
        <v>2</v>
      </c>
      <c r="CN531" s="1">
        <v>2</v>
      </c>
      <c r="CO531" s="1">
        <v>2</v>
      </c>
      <c r="CP531" s="1">
        <v>1</v>
      </c>
      <c r="CQ531" s="1">
        <v>1</v>
      </c>
      <c r="CR531" s="1">
        <v>1</v>
      </c>
      <c r="CS531" s="1">
        <v>1</v>
      </c>
      <c r="CT531" s="1">
        <v>1</v>
      </c>
      <c r="CU531" s="1">
        <v>1</v>
      </c>
      <c r="CV531" s="1">
        <f>IF(HRXPH,1,0)</f>
        <v>0</v>
      </c>
      <c r="CW531" s="1">
        <v>2</v>
      </c>
      <c r="CX531" s="1">
        <v>1</v>
      </c>
      <c r="CY531" s="1">
        <v>2</v>
      </c>
      <c r="CZ531" s="1">
        <f t="shared" ref="CZ531:CZ538" si="507">IF(HRCS,1,0)</f>
        <v>0</v>
      </c>
      <c r="DA531" s="1">
        <v>1</v>
      </c>
      <c r="DB531" s="1">
        <v>2</v>
      </c>
      <c r="DC531" s="1">
        <v>2</v>
      </c>
      <c r="DD531" s="1">
        <v>1</v>
      </c>
      <c r="DE531" s="1">
        <v>1</v>
      </c>
      <c r="DF531" s="1">
        <v>1</v>
      </c>
      <c r="DG531" s="1">
        <v>1</v>
      </c>
      <c r="DH531" s="1">
        <v>1</v>
      </c>
      <c r="DI531" s="1">
        <f>IF(HRXPH,1,0)</f>
        <v>0</v>
      </c>
      <c r="DJ531" s="1">
        <v>1</v>
      </c>
      <c r="DK531" s="1" t="s">
        <v>292</v>
      </c>
      <c r="DL531" s="1" t="s">
        <v>170</v>
      </c>
      <c r="DR531" s="1" t="b">
        <f>IF(DragonmarkedHouse,HasEBHouse)</f>
        <v>0</v>
      </c>
      <c r="DS531" s="1" t="b">
        <f>COUNTIF(SkRanks,"&gt;=7")&gt;=2</f>
        <v>0</v>
      </c>
      <c r="DT531" s="1" t="b">
        <f>FtFavoredInHouse</f>
        <v>0</v>
      </c>
      <c r="DU531" s="1" t="b">
        <f>FtLeastDragonmark</f>
        <v>0</v>
      </c>
      <c r="EA531" s="1" t="b">
        <f t="shared" ref="EA531:EA538" si="508">AND(DM531:DZ531)</f>
        <v>0</v>
      </c>
      <c r="EB531" s="11" t="s">
        <v>334</v>
      </c>
      <c r="EC531" s="1" t="str">
        <f>IF(DR531,"","• Must be a member of appropriate dragonmarked race and house.
")&amp;IF(DS531,"","• 7 ranks in any two skills.
")&amp;IF(DT531,"","• Favored in House Feat.
")&amp;IF(DU531,"","• Least Dragonmark Feat.")</f>
        <v>• Must be a member of appropriate dragonmarked race and house.
• 7 ranks in any two skills.
• Favored in House Feat.
• Least Dragonmark Feat.</v>
      </c>
      <c r="ED531" s="11" t="s">
        <v>335</v>
      </c>
    </row>
    <row r="532" spans="1:134" ht="11.25" customHeight="1" x14ac:dyDescent="0.2">
      <c r="A532" s="1">
        <f t="shared" si="493"/>
        <v>529</v>
      </c>
      <c r="B532" s="1" t="s">
        <v>1301</v>
      </c>
      <c r="C532" s="1" t="s">
        <v>1302</v>
      </c>
      <c r="D532" s="1" t="s">
        <v>876</v>
      </c>
      <c r="E532" s="1">
        <f t="shared" si="464"/>
        <v>0</v>
      </c>
      <c r="K532" s="1">
        <v>6</v>
      </c>
      <c r="L532" s="1">
        <v>8</v>
      </c>
      <c r="N532" s="1" t="b">
        <v>1</v>
      </c>
      <c r="Q532" s="1" t="b">
        <v>1</v>
      </c>
      <c r="S532" s="1" t="b">
        <v>1</v>
      </c>
      <c r="T532" s="1" t="b">
        <v>1</v>
      </c>
      <c r="V532" s="1">
        <v>1</v>
      </c>
      <c r="W532" s="1">
        <v>0.5</v>
      </c>
      <c r="X532" s="1">
        <v>0.5</v>
      </c>
      <c r="Y532" s="1">
        <v>0.34</v>
      </c>
      <c r="Z532" s="1" t="b">
        <f>FALSE</f>
        <v>0</v>
      </c>
      <c r="AA532" s="1" t="str">
        <f t="shared" si="467"/>
        <v/>
      </c>
      <c r="AB532" s="1" t="str">
        <f t="shared" si="468"/>
        <v/>
      </c>
      <c r="AC532" s="1">
        <f t="shared" si="465"/>
        <v>0</v>
      </c>
      <c r="AD532" s="1" t="str">
        <f t="shared" si="469"/>
        <v/>
      </c>
      <c r="AE532" s="1" t="str">
        <f t="shared" si="470"/>
        <v/>
      </c>
      <c r="AF532" s="1">
        <f t="shared" si="466"/>
        <v>0</v>
      </c>
      <c r="AG532" s="1">
        <f t="shared" si="445"/>
        <v>5</v>
      </c>
      <c r="AH532" s="1" t="str">
        <f t="shared" si="502"/>
        <v/>
      </c>
      <c r="AI532" s="1">
        <v>1</v>
      </c>
      <c r="AJ532" s="1">
        <f>IF(HRXPH,1,0)</f>
        <v>0</v>
      </c>
      <c r="AK532" s="1">
        <v>1</v>
      </c>
      <c r="AL532" s="1">
        <v>1</v>
      </c>
      <c r="AM532" s="1">
        <v>2</v>
      </c>
      <c r="AN532" s="1">
        <f t="shared" si="503"/>
        <v>0</v>
      </c>
      <c r="AO532" s="1">
        <v>1</v>
      </c>
      <c r="AP532" s="1">
        <v>2</v>
      </c>
      <c r="AQ532" s="1">
        <v>2</v>
      </c>
      <c r="AR532" s="1">
        <v>2</v>
      </c>
      <c r="AS532" s="1">
        <v>2</v>
      </c>
      <c r="AT532" s="1">
        <v>2</v>
      </c>
      <c r="AU532" s="1">
        <v>2</v>
      </c>
      <c r="AV532" s="1">
        <v>2</v>
      </c>
      <c r="AW532" s="1">
        <v>1</v>
      </c>
      <c r="AX532" s="1">
        <v>1</v>
      </c>
      <c r="AY532" s="1">
        <v>1</v>
      </c>
      <c r="AZ532" s="1">
        <v>1</v>
      </c>
      <c r="BA532" s="1">
        <v>1</v>
      </c>
      <c r="BB532" s="1">
        <v>1</v>
      </c>
      <c r="BC532" s="1">
        <v>1</v>
      </c>
      <c r="BD532" s="1">
        <v>2</v>
      </c>
      <c r="BE532" s="1">
        <v>2</v>
      </c>
      <c r="BF532" s="1">
        <v>2</v>
      </c>
      <c r="BG532" s="1">
        <f t="shared" si="504"/>
        <v>0</v>
      </c>
      <c r="BH532" s="1">
        <f t="shared" si="505"/>
        <v>0</v>
      </c>
      <c r="BI532" s="1">
        <v>1</v>
      </c>
      <c r="BJ532" s="1">
        <v>2</v>
      </c>
      <c r="BK532" s="1">
        <v>1</v>
      </c>
      <c r="BL532" s="1">
        <v>1</v>
      </c>
      <c r="BM532" s="1">
        <v>2</v>
      </c>
      <c r="BN532" s="1">
        <v>2</v>
      </c>
      <c r="BO532" s="1">
        <v>1</v>
      </c>
      <c r="BP532" s="1">
        <v>1</v>
      </c>
      <c r="BQ532" s="1">
        <f>IF(HRRVL,2,0)</f>
        <v>0</v>
      </c>
      <c r="BR532" s="1">
        <v>2</v>
      </c>
      <c r="BS532" s="1">
        <v>1</v>
      </c>
      <c r="BT532" s="1">
        <f>IF(HRXPH,1,0)</f>
        <v>0</v>
      </c>
      <c r="BU532" s="1">
        <f>IF(HRRVL,1,0)</f>
        <v>0</v>
      </c>
      <c r="BV532" s="1">
        <v>1</v>
      </c>
      <c r="BW532" s="1">
        <v>1</v>
      </c>
      <c r="BX532" s="1">
        <v>1</v>
      </c>
      <c r="BY532" s="1">
        <v>1</v>
      </c>
      <c r="BZ532" s="1">
        <v>1</v>
      </c>
      <c r="CA532" s="1">
        <v>1</v>
      </c>
      <c r="CB532" s="1">
        <v>1</v>
      </c>
      <c r="CC532" s="1">
        <v>1</v>
      </c>
      <c r="CD532" s="1">
        <v>1</v>
      </c>
      <c r="CE532" s="1">
        <v>1</v>
      </c>
      <c r="CF532" s="1">
        <v>2</v>
      </c>
      <c r="CG532" s="1">
        <f t="shared" si="506"/>
        <v>0</v>
      </c>
      <c r="CH532" s="1">
        <v>2</v>
      </c>
      <c r="CI532" s="1">
        <v>1</v>
      </c>
      <c r="CJ532" s="1">
        <v>1</v>
      </c>
      <c r="CK532" s="1">
        <v>1</v>
      </c>
      <c r="CL532" s="1">
        <v>1</v>
      </c>
      <c r="CM532" s="1">
        <v>1</v>
      </c>
      <c r="CN532" s="1">
        <v>1</v>
      </c>
      <c r="CO532" s="1">
        <v>1</v>
      </c>
      <c r="CP532" s="1">
        <v>2</v>
      </c>
      <c r="CQ532" s="1">
        <v>2</v>
      </c>
      <c r="CR532" s="1">
        <v>2</v>
      </c>
      <c r="CS532" s="1">
        <v>2</v>
      </c>
      <c r="CT532" s="1">
        <v>2</v>
      </c>
      <c r="CU532" s="1">
        <v>2</v>
      </c>
      <c r="CV532" s="1">
        <f>IF(HRXPH,1,0)</f>
        <v>0</v>
      </c>
      <c r="CW532" s="1">
        <v>2</v>
      </c>
      <c r="CX532" s="1">
        <v>2</v>
      </c>
      <c r="CY532" s="1">
        <v>1</v>
      </c>
      <c r="CZ532" s="1">
        <f t="shared" si="507"/>
        <v>0</v>
      </c>
      <c r="DA532" s="1">
        <v>1</v>
      </c>
      <c r="DB532" s="1">
        <v>1</v>
      </c>
      <c r="DC532" s="1">
        <v>1</v>
      </c>
      <c r="DD532" s="1">
        <v>2</v>
      </c>
      <c r="DE532" s="1">
        <v>2</v>
      </c>
      <c r="DF532" s="1">
        <v>2</v>
      </c>
      <c r="DG532" s="1">
        <v>1</v>
      </c>
      <c r="DH532" s="1">
        <v>1</v>
      </c>
      <c r="DI532" s="1">
        <f>IF(HRXPH,1,0)</f>
        <v>0</v>
      </c>
      <c r="DJ532" s="1">
        <v>2</v>
      </c>
      <c r="DK532" s="1" t="s">
        <v>292</v>
      </c>
      <c r="DL532" s="1" t="s">
        <v>170</v>
      </c>
      <c r="DS532" s="1" t="b">
        <f>BaseAtk&gt;=5</f>
        <v>0</v>
      </c>
      <c r="DT532" s="1" t="b">
        <f>SkKnowledgeNatureRanks&gt;=6</f>
        <v>0</v>
      </c>
      <c r="DU532" s="1" t="b">
        <f>SkSurvivalRanks&gt;=8</f>
        <v>0</v>
      </c>
      <c r="DV532" s="1" t="b">
        <f>FtTrack</f>
        <v>0</v>
      </c>
      <c r="DW532" s="1" t="b">
        <f>Favored1&gt;1</f>
        <v>0</v>
      </c>
      <c r="EA532" s="1" t="b">
        <f t="shared" si="508"/>
        <v>0</v>
      </c>
      <c r="EB532" s="11" t="s">
        <v>338</v>
      </c>
      <c r="EC532" s="1" t="str">
        <f>"• Alignment must match sect's beliefs (not verified).
"&amp;IF(DS532,"","• Base Attack Bonus of +5.
")&amp;IF(DT532,"","• 6 ranks in Knowledge (nature).
")&amp;IF(DU532,"","• 8 ranks in Survival.
")&amp;IF(DV532,"","• Track Feat.
")&amp;IF(DW532,"","• Favored Enemy class feature.
")&amp;"• Must train with other members of sect (not verified)."</f>
        <v>• Alignment must match sect's beliefs (not verified).
• Base Attack Bonus of +5.
• 6 ranks in Knowledge (nature).
• 8 ranks in Survival.
• Track Feat.
• Favored Enemy class feature.
• Must train with other members of sect (not verified).</v>
      </c>
      <c r="ED532" s="11" t="s">
        <v>335</v>
      </c>
    </row>
    <row r="533" spans="1:134" ht="11.25" customHeight="1" x14ac:dyDescent="0.2">
      <c r="A533" s="1">
        <f t="shared" si="493"/>
        <v>530</v>
      </c>
      <c r="B533" s="1" t="s">
        <v>1303</v>
      </c>
      <c r="C533" s="1" t="s">
        <v>1304</v>
      </c>
      <c r="D533" s="1" t="s">
        <v>1305</v>
      </c>
      <c r="E533" s="1">
        <f t="shared" si="464"/>
        <v>0</v>
      </c>
      <c r="G533" s="1">
        <f>IF(ESFLvl&gt;=1,ESFLvl-(INT((ESFLvl+2)/3)),0)</f>
        <v>0</v>
      </c>
      <c r="K533" s="1">
        <v>2</v>
      </c>
      <c r="L533" s="1">
        <v>8</v>
      </c>
      <c r="V533" s="1">
        <v>1</v>
      </c>
      <c r="W533" s="1">
        <v>0.5</v>
      </c>
      <c r="X533" s="1">
        <v>0.34</v>
      </c>
      <c r="Y533" s="1">
        <v>0.5</v>
      </c>
      <c r="Z533" s="1" t="b">
        <f>FALSE</f>
        <v>0</v>
      </c>
      <c r="AA533" s="1" t="str">
        <f t="shared" si="467"/>
        <v/>
      </c>
      <c r="AB533" s="1" t="str">
        <f t="shared" si="468"/>
        <v/>
      </c>
      <c r="AC533" s="1">
        <f t="shared" si="465"/>
        <v>0</v>
      </c>
      <c r="AD533" s="1" t="str">
        <f t="shared" si="469"/>
        <v/>
      </c>
      <c r="AE533" s="1" t="str">
        <f t="shared" si="470"/>
        <v/>
      </c>
      <c r="AF533" s="1">
        <f t="shared" si="466"/>
        <v>0</v>
      </c>
      <c r="AG533" s="1">
        <f t="shared" ref="AG533:AG596" si="509">IF($AC533&gt;0,$AG532+1,$AG532)</f>
        <v>5</v>
      </c>
      <c r="AH533" s="1" t="str">
        <f t="shared" si="502"/>
        <v/>
      </c>
      <c r="AI533" s="1">
        <v>1</v>
      </c>
      <c r="AJ533" s="1">
        <f>IF(HRXPH,1,0)</f>
        <v>0</v>
      </c>
      <c r="AK533" s="1">
        <v>1</v>
      </c>
      <c r="AL533" s="1">
        <v>1</v>
      </c>
      <c r="AM533" s="1">
        <v>1</v>
      </c>
      <c r="AN533" s="1">
        <f t="shared" si="503"/>
        <v>0</v>
      </c>
      <c r="AO533" s="1">
        <v>2</v>
      </c>
      <c r="AP533" s="1">
        <v>2</v>
      </c>
      <c r="AQ533" s="1">
        <v>2</v>
      </c>
      <c r="AR533" s="1">
        <v>2</v>
      </c>
      <c r="AS533" s="1">
        <v>2</v>
      </c>
      <c r="AT533" s="1">
        <v>2</v>
      </c>
      <c r="AU533" s="1">
        <v>2</v>
      </c>
      <c r="AV533" s="1">
        <v>2</v>
      </c>
      <c r="AW533" s="1">
        <v>1</v>
      </c>
      <c r="AX533" s="1">
        <v>1</v>
      </c>
      <c r="AY533" s="1">
        <v>1</v>
      </c>
      <c r="AZ533" s="1">
        <v>1</v>
      </c>
      <c r="BA533" s="1">
        <v>1</v>
      </c>
      <c r="BB533" s="1">
        <v>1</v>
      </c>
      <c r="BC533" s="1">
        <v>1</v>
      </c>
      <c r="BD533" s="1">
        <v>1</v>
      </c>
      <c r="BE533" s="1">
        <v>1</v>
      </c>
      <c r="BF533" s="1">
        <v>1</v>
      </c>
      <c r="BG533" s="1">
        <f t="shared" si="504"/>
        <v>0</v>
      </c>
      <c r="BH533" s="1">
        <f t="shared" si="505"/>
        <v>0</v>
      </c>
      <c r="BI533" s="1">
        <v>2</v>
      </c>
      <c r="BJ533" s="1">
        <v>1</v>
      </c>
      <c r="BK533" s="1">
        <v>2</v>
      </c>
      <c r="BL533" s="1">
        <v>1</v>
      </c>
      <c r="BM533" s="1">
        <v>1</v>
      </c>
      <c r="BN533" s="1">
        <v>1</v>
      </c>
      <c r="BO533" s="1">
        <v>1</v>
      </c>
      <c r="BP533" s="1">
        <v>1</v>
      </c>
      <c r="BQ533" s="1">
        <f>IF(HRRVL,1,0)</f>
        <v>0</v>
      </c>
      <c r="BR533" s="1">
        <v>1</v>
      </c>
      <c r="BS533" s="1">
        <v>1</v>
      </c>
      <c r="BT533" s="1">
        <f>IF(HRXPH,1,0)</f>
        <v>0</v>
      </c>
      <c r="BU533" s="1">
        <f>IF(HRRVL,2,0)</f>
        <v>0</v>
      </c>
      <c r="BV533" s="1">
        <v>2</v>
      </c>
      <c r="BW533" s="1">
        <v>2</v>
      </c>
      <c r="BX533" s="1">
        <v>1</v>
      </c>
      <c r="BY533" s="1">
        <v>1</v>
      </c>
      <c r="BZ533" s="1">
        <v>1</v>
      </c>
      <c r="CA533" s="1">
        <v>1</v>
      </c>
      <c r="CB533" s="1">
        <v>1</v>
      </c>
      <c r="CC533" s="1">
        <v>1</v>
      </c>
      <c r="CD533" s="1">
        <v>1</v>
      </c>
      <c r="CE533" s="1">
        <v>1</v>
      </c>
      <c r="CF533" s="1">
        <v>1</v>
      </c>
      <c r="CG533" s="1">
        <f t="shared" si="506"/>
        <v>0</v>
      </c>
      <c r="CH533" s="1">
        <v>1</v>
      </c>
      <c r="CI533" s="1">
        <v>1</v>
      </c>
      <c r="CJ533" s="1">
        <v>1</v>
      </c>
      <c r="CK533" s="1">
        <v>1</v>
      </c>
      <c r="CL533" s="1">
        <v>1</v>
      </c>
      <c r="CM533" s="1">
        <v>1</v>
      </c>
      <c r="CN533" s="1">
        <v>1</v>
      </c>
      <c r="CO533" s="1">
        <v>1</v>
      </c>
      <c r="CP533" s="1">
        <v>2</v>
      </c>
      <c r="CQ533" s="1">
        <v>2</v>
      </c>
      <c r="CR533" s="1">
        <v>2</v>
      </c>
      <c r="CS533" s="1">
        <v>2</v>
      </c>
      <c r="CT533" s="1">
        <v>2</v>
      </c>
      <c r="CU533" s="1">
        <v>2</v>
      </c>
      <c r="CV533" s="1">
        <f>IF(HRXPH,1,0)</f>
        <v>0</v>
      </c>
      <c r="CW533" s="1">
        <v>1</v>
      </c>
      <c r="CX533" s="1">
        <v>1</v>
      </c>
      <c r="CY533" s="1">
        <v>2</v>
      </c>
      <c r="CZ533" s="1">
        <f t="shared" si="507"/>
        <v>0</v>
      </c>
      <c r="DA533" s="1">
        <v>1</v>
      </c>
      <c r="DB533" s="1">
        <v>1</v>
      </c>
      <c r="DC533" s="1">
        <v>2</v>
      </c>
      <c r="DD533" s="1">
        <v>1</v>
      </c>
      <c r="DE533" s="1">
        <v>1</v>
      </c>
      <c r="DF533" s="1">
        <v>1</v>
      </c>
      <c r="DG533" s="1">
        <v>1</v>
      </c>
      <c r="DH533" s="1">
        <v>1</v>
      </c>
      <c r="DI533" s="1">
        <f>IF(HRXPH,1,0)</f>
        <v>0</v>
      </c>
      <c r="DJ533" s="1">
        <v>1</v>
      </c>
      <c r="DK533" s="1" t="s">
        <v>292</v>
      </c>
      <c r="DL533" s="1" t="s">
        <v>170</v>
      </c>
      <c r="DR533" s="1" t="b">
        <f>AlignmentGood</f>
        <v>1</v>
      </c>
      <c r="DS533" s="1" t="b">
        <f>BaseAtk&gt;=3</f>
        <v>0</v>
      </c>
      <c r="DT533" s="1" t="b">
        <f>SkKnowledgePlanesRanks&gt;=3</f>
        <v>0</v>
      </c>
      <c r="DU533" s="1" t="b">
        <f>SkKnowledgeReligionRanks&gt;=8</f>
        <v>0</v>
      </c>
      <c r="DV533" s="1" t="b">
        <f ca="1">MaxDivineSpellLevel&gt;=1</f>
        <v>0</v>
      </c>
      <c r="DW533" s="1" t="b">
        <f>Deity="The Silver Flame"</f>
        <v>0</v>
      </c>
      <c r="EA533" s="1" t="b">
        <f ca="1">AND(DM533:DZ533)</f>
        <v>0</v>
      </c>
      <c r="EB533" s="11" t="s">
        <v>334</v>
      </c>
      <c r="EC533" s="1" t="str">
        <f ca="1">IF(DR533,"","• Must be of Any Good Alignment.
")&amp;IF(DS533,"","• Base Attack Bonus of +3 or greater.
")&amp;IF(DT533,"","• 3 ranks in Knowledge (the planes).
")&amp;IF(DU533,"","• 8 ranks in Knowledge (religion).
")&amp;IF(DV533,"","• Able to cast 1st-level divine spells.
")&amp;IF(DW533,"","• Worshiper of the Silver Flame.")</f>
        <v>• Base Attack Bonus of +3 or greater.
• 3 ranks in Knowledge (the planes).
• 8 ranks in Knowledge (religion).
• Able to cast 1st-level divine spells.
• Worshiper of the Silver Flame.</v>
      </c>
      <c r="ED533" s="11" t="s">
        <v>335</v>
      </c>
    </row>
    <row r="534" spans="1:134" ht="11.25" customHeight="1" x14ac:dyDescent="0.2">
      <c r="A534" s="1">
        <f t="shared" si="493"/>
        <v>531</v>
      </c>
      <c r="B534" s="1" t="s">
        <v>1306</v>
      </c>
      <c r="C534" s="1" t="s">
        <v>1307</v>
      </c>
      <c r="D534" s="1" t="s">
        <v>1307</v>
      </c>
      <c r="E534" s="1">
        <f t="shared" si="464"/>
        <v>0</v>
      </c>
      <c r="K534" s="1">
        <v>6</v>
      </c>
      <c r="L534" s="1">
        <v>8</v>
      </c>
      <c r="V534" s="1">
        <v>0.75</v>
      </c>
      <c r="W534" s="1">
        <v>0.34</v>
      </c>
      <c r="X534" s="1">
        <v>0.5</v>
      </c>
      <c r="Y534" s="1">
        <v>0.34</v>
      </c>
      <c r="Z534" s="1" t="b">
        <f>FALSE</f>
        <v>0</v>
      </c>
      <c r="AA534" s="1" t="str">
        <f t="shared" si="467"/>
        <v/>
      </c>
      <c r="AB534" s="1" t="str">
        <f t="shared" si="468"/>
        <v/>
      </c>
      <c r="AC534" s="1">
        <f t="shared" si="465"/>
        <v>0</v>
      </c>
      <c r="AD534" s="1" t="str">
        <f t="shared" si="469"/>
        <v/>
      </c>
      <c r="AE534" s="1" t="str">
        <f t="shared" si="470"/>
        <v/>
      </c>
      <c r="AF534" s="1">
        <f t="shared" si="466"/>
        <v>0</v>
      </c>
      <c r="AG534" s="1">
        <f t="shared" si="509"/>
        <v>5</v>
      </c>
      <c r="AH534" s="1" t="str">
        <f t="shared" si="502"/>
        <v/>
      </c>
      <c r="AI534" s="1">
        <v>1</v>
      </c>
      <c r="AJ534" s="1">
        <f>IF(HRXPH,1,0)</f>
        <v>0</v>
      </c>
      <c r="AK534" s="1">
        <v>2</v>
      </c>
      <c r="AL534" s="1">
        <v>1</v>
      </c>
      <c r="AM534" s="1">
        <v>2</v>
      </c>
      <c r="AN534" s="1">
        <f t="shared" si="503"/>
        <v>0</v>
      </c>
      <c r="AO534" s="1">
        <v>1</v>
      </c>
      <c r="AP534" s="1">
        <v>1</v>
      </c>
      <c r="AQ534" s="1">
        <v>1</v>
      </c>
      <c r="AR534" s="1">
        <v>1</v>
      </c>
      <c r="AS534" s="1">
        <v>1</v>
      </c>
      <c r="AT534" s="1">
        <v>1</v>
      </c>
      <c r="AU534" s="1">
        <v>1</v>
      </c>
      <c r="AV534" s="1">
        <v>1</v>
      </c>
      <c r="AW534" s="1">
        <v>2</v>
      </c>
      <c r="AX534" s="1">
        <v>1</v>
      </c>
      <c r="AY534" s="1">
        <v>2</v>
      </c>
      <c r="AZ534" s="1">
        <v>1</v>
      </c>
      <c r="BA534" s="1">
        <v>2</v>
      </c>
      <c r="BB534" s="1">
        <v>1</v>
      </c>
      <c r="BC534" s="1">
        <v>1</v>
      </c>
      <c r="BD534" s="1">
        <v>1</v>
      </c>
      <c r="BE534" s="1">
        <v>1</v>
      </c>
      <c r="BF534" s="1">
        <v>1</v>
      </c>
      <c r="BG534" s="1">
        <f t="shared" si="504"/>
        <v>0</v>
      </c>
      <c r="BH534" s="1">
        <f t="shared" si="505"/>
        <v>0</v>
      </c>
      <c r="BI534" s="1">
        <v>1</v>
      </c>
      <c r="BJ534" s="1">
        <v>2</v>
      </c>
      <c r="BK534" s="1">
        <v>2</v>
      </c>
      <c r="BL534" s="1">
        <v>1</v>
      </c>
      <c r="BM534" s="1">
        <v>2</v>
      </c>
      <c r="BN534" s="1">
        <v>1</v>
      </c>
      <c r="BO534" s="1">
        <v>2</v>
      </c>
      <c r="BP534" s="1">
        <v>1</v>
      </c>
      <c r="BQ534" s="1">
        <f>IF(HRRVL,1,0)</f>
        <v>0</v>
      </c>
      <c r="BR534" s="1">
        <v>1</v>
      </c>
      <c r="BS534" s="1">
        <v>1</v>
      </c>
      <c r="BT534" s="1">
        <f>IF(HRXPH,1,0)</f>
        <v>0</v>
      </c>
      <c r="BU534" s="1">
        <f>IF(HRRVL,1,0)</f>
        <v>0</v>
      </c>
      <c r="BV534" s="1">
        <v>1</v>
      </c>
      <c r="BW534" s="1">
        <v>1</v>
      </c>
      <c r="BX534" s="1">
        <v>1</v>
      </c>
      <c r="BY534" s="1">
        <v>1</v>
      </c>
      <c r="BZ534" s="1">
        <v>1</v>
      </c>
      <c r="CA534" s="1">
        <v>1</v>
      </c>
      <c r="CB534" s="1">
        <v>1</v>
      </c>
      <c r="CC534" s="1">
        <v>1</v>
      </c>
      <c r="CD534" s="1">
        <v>1</v>
      </c>
      <c r="CE534" s="1">
        <v>1</v>
      </c>
      <c r="CF534" s="1">
        <v>2</v>
      </c>
      <c r="CG534" s="1">
        <f t="shared" si="506"/>
        <v>0</v>
      </c>
      <c r="CH534" s="1">
        <v>1</v>
      </c>
      <c r="CI534" s="1">
        <v>2</v>
      </c>
      <c r="CJ534" s="1">
        <v>1</v>
      </c>
      <c r="CK534" s="1">
        <v>1</v>
      </c>
      <c r="CL534" s="1">
        <v>1</v>
      </c>
      <c r="CM534" s="1">
        <v>1</v>
      </c>
      <c r="CN534" s="1">
        <v>1</v>
      </c>
      <c r="CO534" s="1">
        <v>1</v>
      </c>
      <c r="CP534" s="1">
        <v>1</v>
      </c>
      <c r="CQ534" s="1">
        <v>1</v>
      </c>
      <c r="CR534" s="1">
        <v>1</v>
      </c>
      <c r="CS534" s="1">
        <v>1</v>
      </c>
      <c r="CT534" s="1">
        <v>1</v>
      </c>
      <c r="CU534" s="1">
        <v>1</v>
      </c>
      <c r="CV534" s="1">
        <f>IF(HRXPH,1,0)</f>
        <v>0</v>
      </c>
      <c r="CW534" s="1">
        <v>2</v>
      </c>
      <c r="CX534" s="1">
        <v>2</v>
      </c>
      <c r="CY534" s="1">
        <v>1</v>
      </c>
      <c r="CZ534" s="1">
        <f t="shared" si="507"/>
        <v>0</v>
      </c>
      <c r="DA534" s="1">
        <v>1</v>
      </c>
      <c r="DB534" s="1">
        <v>2</v>
      </c>
      <c r="DC534" s="1">
        <v>1</v>
      </c>
      <c r="DD534" s="1">
        <v>1</v>
      </c>
      <c r="DE534" s="1">
        <v>2</v>
      </c>
      <c r="DF534" s="1">
        <v>2</v>
      </c>
      <c r="DG534" s="1">
        <v>2</v>
      </c>
      <c r="DH534" s="1">
        <v>2</v>
      </c>
      <c r="DI534" s="1">
        <f>IF(HRXPH,1,0)</f>
        <v>0</v>
      </c>
      <c r="DJ534" s="1">
        <v>2</v>
      </c>
      <c r="DK534" s="1" t="s">
        <v>292</v>
      </c>
      <c r="DL534" s="1" t="s">
        <v>170</v>
      </c>
      <c r="DR534" s="1" t="b">
        <f>BaseAtk&gt;=4</f>
        <v>0</v>
      </c>
      <c r="DS534" s="1" t="b">
        <f>SkKnowledgeDungeoneeringRanks&gt;=4</f>
        <v>0</v>
      </c>
      <c r="DT534" s="1" t="b">
        <f>SkSurvivalRanks&gt;=4</f>
        <v>0</v>
      </c>
      <c r="DU534" s="1" t="b">
        <f>FtActionBoost</f>
        <v>0</v>
      </c>
      <c r="EA534" s="1" t="b">
        <f t="shared" si="508"/>
        <v>0</v>
      </c>
      <c r="EB534" s="11" t="s">
        <v>334</v>
      </c>
      <c r="EC534" s="1" t="str">
        <f>IF(DR534,"","• Base Attack Bonus of +4 or greater.
")&amp;IF(DS534,"","• 4 ranks in Knowledge (dungeoneering).
")&amp;IF(DT534,"","• 4 ranks in Survival.
")&amp;IF(DU534,"","• Action Boost feat.")</f>
        <v>• Base Attack Bonus of +4 or greater.
• 4 ranks in Knowledge (dungeoneering).
• 4 ranks in Survival.
• Action Boost feat.</v>
      </c>
      <c r="ED534" s="11" t="s">
        <v>335</v>
      </c>
    </row>
    <row r="535" spans="1:134" ht="11.25" customHeight="1" x14ac:dyDescent="0.2">
      <c r="A535" s="1">
        <f t="shared" si="493"/>
        <v>532</v>
      </c>
      <c r="B535" s="1" t="s">
        <v>1308</v>
      </c>
      <c r="C535" s="1" t="s">
        <v>1309</v>
      </c>
      <c r="D535" s="1" t="s">
        <v>1309</v>
      </c>
      <c r="E535" s="1">
        <f t="shared" si="464"/>
        <v>0</v>
      </c>
      <c r="K535" s="1">
        <v>2</v>
      </c>
      <c r="L535" s="1">
        <v>6</v>
      </c>
      <c r="V535" s="1">
        <v>0.75</v>
      </c>
      <c r="W535" s="1">
        <v>0.5</v>
      </c>
      <c r="X535" s="1">
        <v>0.5</v>
      </c>
      <c r="Y535" s="1">
        <v>0.5</v>
      </c>
      <c r="Z535" s="1" t="b">
        <f>FALSE</f>
        <v>0</v>
      </c>
      <c r="AA535" s="1" t="str">
        <f t="shared" si="467"/>
        <v/>
      </c>
      <c r="AB535" s="1" t="str">
        <f t="shared" si="468"/>
        <v/>
      </c>
      <c r="AC535" s="1">
        <f t="shared" si="465"/>
        <v>0</v>
      </c>
      <c r="AD535" s="1" t="str">
        <f t="shared" si="469"/>
        <v/>
      </c>
      <c r="AE535" s="1" t="str">
        <f t="shared" si="470"/>
        <v/>
      </c>
      <c r="AF535" s="1">
        <f t="shared" si="466"/>
        <v>0</v>
      </c>
      <c r="AG535" s="1">
        <f t="shared" si="509"/>
        <v>5</v>
      </c>
      <c r="AH535" s="1" t="str">
        <f t="shared" si="502"/>
        <v/>
      </c>
      <c r="AI535" s="1">
        <v>1</v>
      </c>
      <c r="AJ535" s="1">
        <v>1</v>
      </c>
      <c r="AK535" s="1">
        <v>1</v>
      </c>
      <c r="AL535" s="1">
        <v>1</v>
      </c>
      <c r="AM535" s="1">
        <v>1</v>
      </c>
      <c r="AN535" s="1">
        <f t="shared" si="503"/>
        <v>0</v>
      </c>
      <c r="AO535" s="1">
        <v>1</v>
      </c>
      <c r="AP535" s="1">
        <v>1</v>
      </c>
      <c r="AQ535" s="1">
        <v>1</v>
      </c>
      <c r="AR535" s="1">
        <v>1</v>
      </c>
      <c r="AS535" s="1">
        <v>1</v>
      </c>
      <c r="AT535" s="1">
        <v>1</v>
      </c>
      <c r="AU535" s="1">
        <v>1</v>
      </c>
      <c r="AV535" s="1">
        <v>1</v>
      </c>
      <c r="AW535" s="1">
        <v>1</v>
      </c>
      <c r="AX535" s="1">
        <v>1</v>
      </c>
      <c r="AY535" s="1">
        <v>1</v>
      </c>
      <c r="AZ535" s="1">
        <v>1</v>
      </c>
      <c r="BA535" s="1">
        <v>1</v>
      </c>
      <c r="BB535" s="1">
        <v>1</v>
      </c>
      <c r="BC535" s="1">
        <v>1</v>
      </c>
      <c r="BD535" s="1">
        <v>1</v>
      </c>
      <c r="BE535" s="1">
        <v>1</v>
      </c>
      <c r="BF535" s="1">
        <v>1</v>
      </c>
      <c r="BG535" s="1">
        <f t="shared" si="504"/>
        <v>0</v>
      </c>
      <c r="BH535" s="1">
        <f t="shared" si="505"/>
        <v>0</v>
      </c>
      <c r="BI535" s="1">
        <v>1</v>
      </c>
      <c r="BJ535" s="1">
        <v>1</v>
      </c>
      <c r="BK535" s="1">
        <v>1</v>
      </c>
      <c r="BL535" s="1">
        <v>1</v>
      </c>
      <c r="BM535" s="1">
        <v>1</v>
      </c>
      <c r="BN535" s="1">
        <v>1</v>
      </c>
      <c r="BO535" s="1">
        <v>1</v>
      </c>
      <c r="BP535" s="1">
        <v>1</v>
      </c>
      <c r="BQ535" s="1">
        <f>IF(HRRVL,1,0)</f>
        <v>0</v>
      </c>
      <c r="BR535" s="1">
        <v>1</v>
      </c>
      <c r="BS535" s="1">
        <v>1</v>
      </c>
      <c r="BT535" s="1">
        <v>1</v>
      </c>
      <c r="BU535" s="1">
        <f>IF(HRRVL,1,0)</f>
        <v>0</v>
      </c>
      <c r="BV535" s="1">
        <v>1</v>
      </c>
      <c r="BW535" s="1">
        <v>1</v>
      </c>
      <c r="BX535" s="1">
        <v>1</v>
      </c>
      <c r="BY535" s="1">
        <v>1</v>
      </c>
      <c r="BZ535" s="1">
        <v>1</v>
      </c>
      <c r="CA535" s="1">
        <v>1</v>
      </c>
      <c r="CB535" s="1">
        <v>1</v>
      </c>
      <c r="CC535" s="1">
        <v>1</v>
      </c>
      <c r="CD535" s="1">
        <v>1</v>
      </c>
      <c r="CE535" s="1">
        <v>1</v>
      </c>
      <c r="CF535" s="1">
        <v>1</v>
      </c>
      <c r="CG535" s="1">
        <f t="shared" si="506"/>
        <v>0</v>
      </c>
      <c r="CH535" s="1">
        <v>1</v>
      </c>
      <c r="CI535" s="1">
        <v>1</v>
      </c>
      <c r="CJ535" s="1">
        <v>1</v>
      </c>
      <c r="CK535" s="1">
        <v>1</v>
      </c>
      <c r="CL535" s="1">
        <v>1</v>
      </c>
      <c r="CM535" s="1">
        <v>1</v>
      </c>
      <c r="CN535" s="1">
        <v>1</v>
      </c>
      <c r="CO535" s="1">
        <v>1</v>
      </c>
      <c r="CP535" s="1">
        <v>1</v>
      </c>
      <c r="CQ535" s="1">
        <v>1</v>
      </c>
      <c r="CR535" s="1">
        <v>1</v>
      </c>
      <c r="CS535" s="1">
        <v>1</v>
      </c>
      <c r="CT535" s="1">
        <v>1</v>
      </c>
      <c r="CU535" s="1">
        <v>1</v>
      </c>
      <c r="CV535" s="1">
        <v>1</v>
      </c>
      <c r="CW535" s="1">
        <v>1</v>
      </c>
      <c r="CX535" s="1">
        <v>1</v>
      </c>
      <c r="CY535" s="1">
        <v>1</v>
      </c>
      <c r="CZ535" s="1">
        <f t="shared" si="507"/>
        <v>0</v>
      </c>
      <c r="DA535" s="1">
        <v>1</v>
      </c>
      <c r="DB535" s="1">
        <v>1</v>
      </c>
      <c r="DC535" s="1">
        <v>1</v>
      </c>
      <c r="DD535" s="1">
        <v>1</v>
      </c>
      <c r="DE535" s="1">
        <v>1</v>
      </c>
      <c r="DF535" s="1">
        <v>1</v>
      </c>
      <c r="DG535" s="1">
        <v>1</v>
      </c>
      <c r="DH535" s="1">
        <v>1</v>
      </c>
      <c r="DI535" s="1">
        <v>1</v>
      </c>
      <c r="DJ535" s="1">
        <v>1</v>
      </c>
      <c r="DK535" s="1" t="s">
        <v>292</v>
      </c>
      <c r="DL535" s="1" t="s">
        <v>170</v>
      </c>
      <c r="DR535" s="1" t="b">
        <f>DragonmarkedHouse</f>
        <v>0</v>
      </c>
      <c r="DS535" s="1" t="b">
        <f>COUNTIF(SkRanks,"&gt;=15")&gt;=2</f>
        <v>0</v>
      </c>
      <c r="DT535" s="1" t="b">
        <f>FtHeroicSpirit</f>
        <v>0</v>
      </c>
      <c r="DU535" s="1" t="b">
        <f>NOT(OR(FtAberrantDragonmark,FtLeastDragonmark,FtLesserDragonmark,FtGreaterDragonmark))</f>
        <v>1</v>
      </c>
      <c r="EA535" s="1" t="b">
        <f t="shared" si="508"/>
        <v>0</v>
      </c>
      <c r="EB535" s="11" t="s">
        <v>334</v>
      </c>
      <c r="EC535" s="1" t="str">
        <f>IF(DR535,"","• Dragonmarked Race.
")&amp;IF(DS535,"","• 15 ranks in any two skills.
")&amp;IF(DT535,"","• Heroic Spirit Feat.
")&amp;IF(DU535,"","• Must not have any Dragonmark feats.")</f>
        <v xml:space="preserve">• Dragonmarked Race.
• 15 ranks in any two skills.
• Heroic Spirit Feat.
</v>
      </c>
      <c r="ED535" s="11" t="s">
        <v>335</v>
      </c>
    </row>
    <row r="536" spans="1:134" ht="11.25" customHeight="1" x14ac:dyDescent="0.2">
      <c r="A536" s="1">
        <f t="shared" si="493"/>
        <v>533</v>
      </c>
      <c r="B536" s="1" t="s">
        <v>1310</v>
      </c>
      <c r="C536" s="1" t="s">
        <v>1311</v>
      </c>
      <c r="D536" s="1" t="s">
        <v>1311</v>
      </c>
      <c r="E536" s="1">
        <f t="shared" si="464"/>
        <v>0</v>
      </c>
      <c r="K536" s="1">
        <v>6</v>
      </c>
      <c r="L536" s="1">
        <v>8</v>
      </c>
      <c r="V536" s="1">
        <v>0.75</v>
      </c>
      <c r="W536" s="1">
        <v>0.34</v>
      </c>
      <c r="X536" s="1">
        <v>0.5</v>
      </c>
      <c r="Y536" s="1">
        <v>0.34</v>
      </c>
      <c r="Z536" s="1" t="b">
        <f>FALSE</f>
        <v>0</v>
      </c>
      <c r="AA536" s="1" t="str">
        <f t="shared" si="467"/>
        <v/>
      </c>
      <c r="AB536" s="1" t="str">
        <f t="shared" si="468"/>
        <v/>
      </c>
      <c r="AC536" s="1">
        <f t="shared" si="465"/>
        <v>0</v>
      </c>
      <c r="AD536" s="1" t="str">
        <f t="shared" si="469"/>
        <v/>
      </c>
      <c r="AE536" s="1" t="str">
        <f t="shared" si="470"/>
        <v/>
      </c>
      <c r="AF536" s="1">
        <f t="shared" si="466"/>
        <v>0</v>
      </c>
      <c r="AG536" s="1">
        <f t="shared" si="509"/>
        <v>5</v>
      </c>
      <c r="AH536" s="1" t="str">
        <f t="shared" si="502"/>
        <v/>
      </c>
      <c r="AI536" s="1">
        <v>1</v>
      </c>
      <c r="AJ536" s="1">
        <f>IF(HRXPH,1,0)</f>
        <v>0</v>
      </c>
      <c r="AK536" s="1">
        <v>1</v>
      </c>
      <c r="AL536" s="1">
        <v>2</v>
      </c>
      <c r="AM536" s="1">
        <v>1</v>
      </c>
      <c r="AN536" s="1">
        <f t="shared" si="503"/>
        <v>0</v>
      </c>
      <c r="AO536" s="1">
        <v>1</v>
      </c>
      <c r="AP536" s="1">
        <v>1</v>
      </c>
      <c r="AQ536" s="1">
        <v>1</v>
      </c>
      <c r="AR536" s="1">
        <v>1</v>
      </c>
      <c r="AS536" s="1">
        <v>1</v>
      </c>
      <c r="AT536" s="1">
        <v>1</v>
      </c>
      <c r="AU536" s="1">
        <v>1</v>
      </c>
      <c r="AV536" s="1">
        <v>1</v>
      </c>
      <c r="AW536" s="1">
        <v>2</v>
      </c>
      <c r="AX536" s="1">
        <v>1</v>
      </c>
      <c r="AY536" s="1">
        <v>1</v>
      </c>
      <c r="AZ536" s="1">
        <v>1</v>
      </c>
      <c r="BA536" s="1">
        <v>1</v>
      </c>
      <c r="BB536" s="1">
        <v>1</v>
      </c>
      <c r="BC536" s="1">
        <v>2</v>
      </c>
      <c r="BD536" s="1">
        <v>1</v>
      </c>
      <c r="BE536" s="1">
        <v>1</v>
      </c>
      <c r="BF536" s="1">
        <v>1</v>
      </c>
      <c r="BG536" s="1">
        <f t="shared" si="504"/>
        <v>0</v>
      </c>
      <c r="BH536" s="1">
        <f t="shared" si="505"/>
        <v>0</v>
      </c>
      <c r="BI536" s="1">
        <v>1</v>
      </c>
      <c r="BJ536" s="1">
        <v>1</v>
      </c>
      <c r="BK536" s="1">
        <v>1</v>
      </c>
      <c r="BL536" s="1">
        <v>1</v>
      </c>
      <c r="BM536" s="1">
        <v>1</v>
      </c>
      <c r="BN536" s="1">
        <v>1</v>
      </c>
      <c r="BO536" s="1">
        <v>1</v>
      </c>
      <c r="BP536" s="1">
        <f>1+NOT(HRLivingGreyhawk)</f>
        <v>2</v>
      </c>
      <c r="BQ536" s="1">
        <f>IF(HRRVL,1,0)</f>
        <v>0</v>
      </c>
      <c r="BR536" s="1">
        <v>1</v>
      </c>
      <c r="BS536" s="1">
        <v>1</v>
      </c>
      <c r="BT536" s="1">
        <f>IF(HRXPH,1,0)</f>
        <v>0</v>
      </c>
      <c r="BU536" s="1">
        <f>IF(HRRVL,1,0)</f>
        <v>0</v>
      </c>
      <c r="BV536" s="1">
        <v>1</v>
      </c>
      <c r="BW536" s="1">
        <v>1</v>
      </c>
      <c r="BX536" s="1">
        <v>1</v>
      </c>
      <c r="BY536" s="1">
        <v>1</v>
      </c>
      <c r="BZ536" s="1">
        <v>1</v>
      </c>
      <c r="CA536" s="1">
        <v>1</v>
      </c>
      <c r="CB536" s="1">
        <v>1</v>
      </c>
      <c r="CC536" s="1">
        <v>1</v>
      </c>
      <c r="CD536" s="1">
        <v>1</v>
      </c>
      <c r="CE536" s="1">
        <v>1</v>
      </c>
      <c r="CF536" s="1">
        <v>2</v>
      </c>
      <c r="CG536" s="1">
        <f t="shared" si="506"/>
        <v>0</v>
      </c>
      <c r="CH536" s="1">
        <v>1</v>
      </c>
      <c r="CI536" s="1">
        <v>1</v>
      </c>
      <c r="CJ536" s="1">
        <v>1</v>
      </c>
      <c r="CK536" s="1">
        <v>1</v>
      </c>
      <c r="CL536" s="1">
        <v>1</v>
      </c>
      <c r="CM536" s="1">
        <v>1</v>
      </c>
      <c r="CN536" s="1">
        <v>1</v>
      </c>
      <c r="CO536" s="1">
        <v>1</v>
      </c>
      <c r="CP536" s="1">
        <v>1</v>
      </c>
      <c r="CQ536" s="1">
        <v>1</v>
      </c>
      <c r="CR536" s="1">
        <v>1</v>
      </c>
      <c r="CS536" s="1">
        <v>1</v>
      </c>
      <c r="CT536" s="1">
        <v>1</v>
      </c>
      <c r="CU536" s="1">
        <v>1</v>
      </c>
      <c r="CV536" s="1">
        <f>IF(HRXPH,1,0)</f>
        <v>0</v>
      </c>
      <c r="CW536" s="1">
        <v>1</v>
      </c>
      <c r="CX536" s="1">
        <v>2</v>
      </c>
      <c r="CY536" s="1">
        <v>2</v>
      </c>
      <c r="CZ536" s="1">
        <f t="shared" si="507"/>
        <v>0</v>
      </c>
      <c r="DA536" s="1">
        <v>1</v>
      </c>
      <c r="DB536" s="1">
        <v>1</v>
      </c>
      <c r="DC536" s="1">
        <v>1</v>
      </c>
      <c r="DD536" s="1">
        <v>2</v>
      </c>
      <c r="DE536" s="1">
        <v>1</v>
      </c>
      <c r="DF536" s="1">
        <v>1</v>
      </c>
      <c r="DG536" s="1">
        <v>1</v>
      </c>
      <c r="DH536" s="1">
        <v>1</v>
      </c>
      <c r="DI536" s="1">
        <f>IF(HRXPH,1,0)</f>
        <v>0</v>
      </c>
      <c r="DJ536" s="1">
        <v>1</v>
      </c>
      <c r="DK536" s="1" t="s">
        <v>292</v>
      </c>
      <c r="DL536" s="1" t="s">
        <v>170</v>
      </c>
      <c r="DR536" s="1" t="b">
        <f>SkGatherInformationRanks&gt;=6</f>
        <v>0</v>
      </c>
      <c r="DS536" s="1" t="b">
        <f>SkSearchRanks&gt;=3</f>
        <v>0</v>
      </c>
      <c r="DT536" s="1" t="b">
        <f>SkSenseMotiveRanks&gt;=6</f>
        <v>0</v>
      </c>
      <c r="DU536" s="1" t="b">
        <f>FtInvestigate</f>
        <v>0</v>
      </c>
      <c r="EA536" s="1" t="b">
        <f t="shared" si="508"/>
        <v>0</v>
      </c>
      <c r="EB536" s="11" t="s">
        <v>334</v>
      </c>
      <c r="EC536" s="1" t="str">
        <f>IF(DR536,"","• 6 ranks in Gather Information.
")&amp;IF(DS536,"","• 3 ranks in Search.
")&amp;IF(DT536,"","• 6 ranks in Sense Motive.
")&amp;IF(DU536,"","• Invesitgate Feat.")</f>
        <v>• 6 ranks in Gather Information.
• 3 ranks in Search.
• 6 ranks in Sense Motive.
• Invesitgate Feat.</v>
      </c>
      <c r="ED536" s="11" t="s">
        <v>335</v>
      </c>
    </row>
    <row r="537" spans="1:134" ht="11.25" customHeight="1" x14ac:dyDescent="0.2">
      <c r="A537" s="1">
        <f t="shared" si="493"/>
        <v>534</v>
      </c>
      <c r="B537" s="1" t="s">
        <v>1312</v>
      </c>
      <c r="C537" s="1" t="s">
        <v>1313</v>
      </c>
      <c r="D537" s="1" t="s">
        <v>1313</v>
      </c>
      <c r="E537" s="1">
        <f t="shared" si="464"/>
        <v>0</v>
      </c>
      <c r="K537" s="1">
        <v>2</v>
      </c>
      <c r="L537" s="1">
        <v>12</v>
      </c>
      <c r="V537" s="1">
        <v>0.75</v>
      </c>
      <c r="W537" s="1">
        <v>0.5</v>
      </c>
      <c r="X537" s="1">
        <v>0.34</v>
      </c>
      <c r="Y537" s="1">
        <v>0.34</v>
      </c>
      <c r="Z537" s="1" t="b">
        <f>FALSE</f>
        <v>0</v>
      </c>
      <c r="AA537" s="1" t="str">
        <f t="shared" si="467"/>
        <v/>
      </c>
      <c r="AB537" s="1" t="str">
        <f t="shared" si="468"/>
        <v/>
      </c>
      <c r="AC537" s="1">
        <f t="shared" si="465"/>
        <v>0</v>
      </c>
      <c r="AD537" s="1" t="str">
        <f t="shared" si="469"/>
        <v/>
      </c>
      <c r="AE537" s="1" t="str">
        <f t="shared" si="470"/>
        <v/>
      </c>
      <c r="AF537" s="1">
        <f t="shared" si="466"/>
        <v>0</v>
      </c>
      <c r="AG537" s="1">
        <f t="shared" si="509"/>
        <v>5</v>
      </c>
      <c r="AH537" s="1" t="str">
        <f t="shared" si="502"/>
        <v/>
      </c>
      <c r="AI537" s="1">
        <v>1</v>
      </c>
      <c r="AJ537" s="1">
        <f>IF(HRXPH,1,0)</f>
        <v>0</v>
      </c>
      <c r="AK537" s="1">
        <v>1</v>
      </c>
      <c r="AL537" s="1">
        <v>1</v>
      </c>
      <c r="AM537" s="1">
        <v>2</v>
      </c>
      <c r="AN537" s="1">
        <f t="shared" si="503"/>
        <v>0</v>
      </c>
      <c r="AO537" s="1">
        <v>1</v>
      </c>
      <c r="AP537" s="1">
        <v>2</v>
      </c>
      <c r="AQ537" s="1">
        <v>2</v>
      </c>
      <c r="AR537" s="1">
        <v>2</v>
      </c>
      <c r="AS537" s="1">
        <v>2</v>
      </c>
      <c r="AT537" s="1">
        <v>2</v>
      </c>
      <c r="AU537" s="1">
        <v>2</v>
      </c>
      <c r="AV537" s="1">
        <v>2</v>
      </c>
      <c r="AW537" s="1">
        <v>1</v>
      </c>
      <c r="AX537" s="1">
        <v>1</v>
      </c>
      <c r="AY537" s="1">
        <v>1</v>
      </c>
      <c r="AZ537" s="1">
        <v>1</v>
      </c>
      <c r="BA537" s="1">
        <v>1</v>
      </c>
      <c r="BB537" s="1">
        <v>1</v>
      </c>
      <c r="BC537" s="1">
        <v>1</v>
      </c>
      <c r="BD537" s="1">
        <v>1</v>
      </c>
      <c r="BE537" s="1">
        <v>1</v>
      </c>
      <c r="BF537" s="1">
        <v>1</v>
      </c>
      <c r="BG537" s="1">
        <f t="shared" si="504"/>
        <v>0</v>
      </c>
      <c r="BH537" s="1">
        <f t="shared" si="505"/>
        <v>0</v>
      </c>
      <c r="BI537" s="1">
        <v>2</v>
      </c>
      <c r="BJ537" s="1">
        <v>2</v>
      </c>
      <c r="BK537" s="1">
        <v>1</v>
      </c>
      <c r="BL537" s="1">
        <v>1</v>
      </c>
      <c r="BM537" s="1">
        <v>1</v>
      </c>
      <c r="BN537" s="1">
        <v>1</v>
      </c>
      <c r="BO537" s="1">
        <v>1</v>
      </c>
      <c r="BP537" s="1">
        <v>1</v>
      </c>
      <c r="BQ537" s="1">
        <f>IF(HRRVL,1,0)</f>
        <v>0</v>
      </c>
      <c r="BR537" s="1">
        <v>1</v>
      </c>
      <c r="BS537" s="1">
        <v>1</v>
      </c>
      <c r="BT537" s="1">
        <f>IF(HRXPH,1,0)</f>
        <v>0</v>
      </c>
      <c r="BU537" s="1">
        <f>IF(HRRVL,1,0)</f>
        <v>0</v>
      </c>
      <c r="BV537" s="1">
        <v>1</v>
      </c>
      <c r="BW537" s="1">
        <v>1</v>
      </c>
      <c r="BX537" s="1">
        <v>1</v>
      </c>
      <c r="BY537" s="1">
        <v>1</v>
      </c>
      <c r="BZ537" s="1">
        <v>1</v>
      </c>
      <c r="CA537" s="1">
        <v>1</v>
      </c>
      <c r="CB537" s="1">
        <v>1</v>
      </c>
      <c r="CC537" s="1">
        <v>1</v>
      </c>
      <c r="CD537" s="1">
        <v>1</v>
      </c>
      <c r="CE537" s="1">
        <v>1</v>
      </c>
      <c r="CF537" s="1">
        <v>1</v>
      </c>
      <c r="CG537" s="1">
        <f t="shared" si="506"/>
        <v>0</v>
      </c>
      <c r="CH537" s="1">
        <v>1</v>
      </c>
      <c r="CI537" s="1">
        <v>1</v>
      </c>
      <c r="CJ537" s="1">
        <v>1</v>
      </c>
      <c r="CK537" s="1">
        <v>1</v>
      </c>
      <c r="CL537" s="1">
        <v>1</v>
      </c>
      <c r="CM537" s="1">
        <v>1</v>
      </c>
      <c r="CN537" s="1">
        <v>1</v>
      </c>
      <c r="CO537" s="1">
        <v>1</v>
      </c>
      <c r="CP537" s="1">
        <v>1</v>
      </c>
      <c r="CQ537" s="1">
        <v>1</v>
      </c>
      <c r="CR537" s="1">
        <v>1</v>
      </c>
      <c r="CS537" s="1">
        <v>1</v>
      </c>
      <c r="CT537" s="1">
        <v>1</v>
      </c>
      <c r="CU537" s="1">
        <v>1</v>
      </c>
      <c r="CV537" s="1">
        <f>IF(HRXPH,1,0)</f>
        <v>0</v>
      </c>
      <c r="CW537" s="1">
        <v>1</v>
      </c>
      <c r="CX537" s="1">
        <v>1</v>
      </c>
      <c r="CY537" s="1">
        <v>1</v>
      </c>
      <c r="CZ537" s="1">
        <f t="shared" si="507"/>
        <v>0</v>
      </c>
      <c r="DA537" s="1">
        <v>1</v>
      </c>
      <c r="DB537" s="1">
        <v>1</v>
      </c>
      <c r="DC537" s="1">
        <v>1</v>
      </c>
      <c r="DD537" s="1">
        <v>1</v>
      </c>
      <c r="DE537" s="1">
        <v>2</v>
      </c>
      <c r="DF537" s="1">
        <v>2</v>
      </c>
      <c r="DG537" s="1">
        <v>1</v>
      </c>
      <c r="DH537" s="1">
        <v>1</v>
      </c>
      <c r="DI537" s="1">
        <f>IF(HRXPH,1,0)</f>
        <v>0</v>
      </c>
      <c r="DJ537" s="1">
        <v>1</v>
      </c>
      <c r="DK537" s="1" t="s">
        <v>292</v>
      </c>
      <c r="DL537" s="1" t="s">
        <v>170</v>
      </c>
      <c r="DR537" s="1" t="b">
        <f>RaceCi="Warforged"</f>
        <v>0</v>
      </c>
      <c r="DS537" s="1" t="b">
        <f>BaseAtk&gt;=5</f>
        <v>0</v>
      </c>
      <c r="DT537" s="1" t="b">
        <f>FtAdamantineBody</f>
        <v>0</v>
      </c>
      <c r="DU537" s="1" t="b">
        <f>FtImprovedBullRush</f>
        <v>0</v>
      </c>
      <c r="DV537" s="1" t="b">
        <f>FtPowerAttackEquiv</f>
        <v>0</v>
      </c>
      <c r="EA537" s="1" t="b">
        <f t="shared" si="508"/>
        <v>0</v>
      </c>
      <c r="EB537" s="11" t="s">
        <v>334</v>
      </c>
      <c r="EC537" s="1" t="str">
        <f>IF(DR537,"","• Must be a Warforged.
")&amp;IF(DS537,"","• Base Attack Bonus of +5 or greater.
")&amp;IF(DT537,"","• Adamantine Body Feat.
")&amp;IF(DU537,"","• Improved Bull Rush Feat.
")&amp;IF(DV537,"","• Power Attack Feat.")</f>
        <v>• Must be a Warforged.
• Base Attack Bonus of +5 or greater.
• Adamantine Body Feat.
• Improved Bull Rush Feat.
• Power Attack Feat.</v>
      </c>
      <c r="ED537" s="11" t="s">
        <v>335</v>
      </c>
    </row>
    <row r="538" spans="1:134" ht="11.25" customHeight="1" x14ac:dyDescent="0.2">
      <c r="A538" s="1">
        <f t="shared" si="493"/>
        <v>535</v>
      </c>
      <c r="B538" s="1" t="s">
        <v>1314</v>
      </c>
      <c r="C538" s="1" t="s">
        <v>1315</v>
      </c>
      <c r="D538" s="1" t="s">
        <v>1315</v>
      </c>
      <c r="E538" s="1">
        <f t="shared" si="464"/>
        <v>0</v>
      </c>
      <c r="K538" s="1">
        <v>2</v>
      </c>
      <c r="L538" s="1">
        <v>8</v>
      </c>
      <c r="V538" s="1">
        <v>0.75</v>
      </c>
      <c r="W538" s="1">
        <v>0.5</v>
      </c>
      <c r="X538" s="1">
        <v>0.5</v>
      </c>
      <c r="Y538" s="1">
        <v>0.34</v>
      </c>
      <c r="Z538" s="1" t="b">
        <f>FALSE</f>
        <v>0</v>
      </c>
      <c r="AA538" s="1" t="str">
        <f t="shared" si="467"/>
        <v/>
      </c>
      <c r="AB538" s="1" t="str">
        <f t="shared" si="468"/>
        <v/>
      </c>
      <c r="AC538" s="1">
        <f t="shared" si="465"/>
        <v>0</v>
      </c>
      <c r="AD538" s="1" t="str">
        <f t="shared" si="469"/>
        <v/>
      </c>
      <c r="AE538" s="1" t="str">
        <f t="shared" si="470"/>
        <v/>
      </c>
      <c r="AF538" s="1">
        <f t="shared" si="466"/>
        <v>0</v>
      </c>
      <c r="AG538" s="1">
        <f t="shared" si="509"/>
        <v>5</v>
      </c>
      <c r="AH538" s="1" t="str">
        <f t="shared" si="502"/>
        <v/>
      </c>
      <c r="AI538" s="1">
        <v>1</v>
      </c>
      <c r="AJ538" s="1">
        <f>IF(HRXPH,1,0)</f>
        <v>0</v>
      </c>
      <c r="AK538" s="1">
        <v>2</v>
      </c>
      <c r="AL538" s="1">
        <v>1</v>
      </c>
      <c r="AM538" s="1">
        <v>2</v>
      </c>
      <c r="AN538" s="1">
        <f t="shared" si="503"/>
        <v>0</v>
      </c>
      <c r="AO538" s="1">
        <v>1</v>
      </c>
      <c r="AP538" s="1">
        <v>1</v>
      </c>
      <c r="AQ538" s="1">
        <v>1</v>
      </c>
      <c r="AR538" s="1">
        <v>1</v>
      </c>
      <c r="AS538" s="1">
        <v>1</v>
      </c>
      <c r="AT538" s="1">
        <v>1</v>
      </c>
      <c r="AU538" s="1">
        <v>1</v>
      </c>
      <c r="AV538" s="1">
        <v>1</v>
      </c>
      <c r="AW538" s="1">
        <v>1</v>
      </c>
      <c r="AX538" s="1">
        <v>1</v>
      </c>
      <c r="AY538" s="1">
        <v>1</v>
      </c>
      <c r="AZ538" s="1">
        <v>1</v>
      </c>
      <c r="BA538" s="1">
        <v>1</v>
      </c>
      <c r="BB538" s="1">
        <v>1</v>
      </c>
      <c r="BC538" s="1">
        <v>1</v>
      </c>
      <c r="BD538" s="1">
        <v>2</v>
      </c>
      <c r="BE538" s="1">
        <v>1</v>
      </c>
      <c r="BF538" s="1">
        <v>2</v>
      </c>
      <c r="BG538" s="1">
        <f t="shared" si="504"/>
        <v>0</v>
      </c>
      <c r="BH538" s="1">
        <f t="shared" si="505"/>
        <v>0</v>
      </c>
      <c r="BI538" s="1">
        <v>2</v>
      </c>
      <c r="BJ538" s="1">
        <v>2</v>
      </c>
      <c r="BK538" s="1">
        <v>1</v>
      </c>
      <c r="BL538" s="1">
        <v>1</v>
      </c>
      <c r="BM538" s="1">
        <v>1</v>
      </c>
      <c r="BN538" s="1">
        <v>1</v>
      </c>
      <c r="BO538" s="1">
        <v>1</v>
      </c>
      <c r="BP538" s="1">
        <v>1</v>
      </c>
      <c r="BQ538" s="1">
        <f>IF(HRRVL,2,0)</f>
        <v>0</v>
      </c>
      <c r="BR538" s="1">
        <v>2</v>
      </c>
      <c r="BS538" s="1">
        <v>1</v>
      </c>
      <c r="BT538" s="1">
        <f>IF(HRXPH,1,0)</f>
        <v>0</v>
      </c>
      <c r="BU538" s="1">
        <f>IF(HRRVL,1,0)</f>
        <v>0</v>
      </c>
      <c r="BV538" s="1">
        <v>1</v>
      </c>
      <c r="BW538" s="1">
        <v>1</v>
      </c>
      <c r="BX538" s="1">
        <v>1</v>
      </c>
      <c r="BY538" s="1">
        <v>1</v>
      </c>
      <c r="BZ538" s="1">
        <v>1</v>
      </c>
      <c r="CA538" s="1">
        <v>1</v>
      </c>
      <c r="CB538" s="1">
        <v>1</v>
      </c>
      <c r="CC538" s="1">
        <v>1</v>
      </c>
      <c r="CD538" s="1">
        <v>1</v>
      </c>
      <c r="CE538" s="1">
        <v>1</v>
      </c>
      <c r="CF538" s="1">
        <v>2</v>
      </c>
      <c r="CG538" s="1">
        <f t="shared" si="506"/>
        <v>0</v>
      </c>
      <c r="CH538" s="1">
        <v>2</v>
      </c>
      <c r="CI538" s="1">
        <v>1</v>
      </c>
      <c r="CJ538" s="1">
        <v>1</v>
      </c>
      <c r="CK538" s="1">
        <v>1</v>
      </c>
      <c r="CL538" s="1">
        <v>1</v>
      </c>
      <c r="CM538" s="1">
        <v>1</v>
      </c>
      <c r="CN538" s="1">
        <v>1</v>
      </c>
      <c r="CO538" s="1">
        <v>1</v>
      </c>
      <c r="CP538" s="1">
        <v>1</v>
      </c>
      <c r="CQ538" s="1">
        <v>1</v>
      </c>
      <c r="CR538" s="1">
        <v>1</v>
      </c>
      <c r="CS538" s="1">
        <v>1</v>
      </c>
      <c r="CT538" s="1">
        <v>1</v>
      </c>
      <c r="CU538" s="1">
        <v>1</v>
      </c>
      <c r="CV538" s="1">
        <f>IF(HRXPH,1,0)</f>
        <v>0</v>
      </c>
      <c r="CW538" s="1">
        <v>1</v>
      </c>
      <c r="CX538" s="1">
        <v>1</v>
      </c>
      <c r="CY538" s="1">
        <v>1</v>
      </c>
      <c r="CZ538" s="1">
        <f t="shared" si="507"/>
        <v>0</v>
      </c>
      <c r="DA538" s="1">
        <v>1</v>
      </c>
      <c r="DB538" s="1">
        <v>1</v>
      </c>
      <c r="DC538" s="1">
        <v>1</v>
      </c>
      <c r="DD538" s="1">
        <v>2</v>
      </c>
      <c r="DE538" s="1">
        <v>2</v>
      </c>
      <c r="DF538" s="1">
        <v>2</v>
      </c>
      <c r="DG538" s="1">
        <v>1</v>
      </c>
      <c r="DH538" s="1">
        <v>1</v>
      </c>
      <c r="DI538" s="1">
        <f>IF(HRXPH,1,0)</f>
        <v>0</v>
      </c>
      <c r="DJ538" s="1">
        <v>1</v>
      </c>
      <c r="DK538" s="1" t="s">
        <v>292</v>
      </c>
      <c r="DL538" s="1" t="s">
        <v>170</v>
      </c>
      <c r="DR538" s="1" t="b">
        <f>RaceCi="Shifter"</f>
        <v>0</v>
      </c>
      <c r="DS538" s="1" t="b">
        <f>BaseAtk&gt;=4</f>
        <v>0</v>
      </c>
      <c r="DT538" s="1" t="b">
        <f>SkKnowledgeNatureRanks&gt;=5</f>
        <v>0</v>
      </c>
      <c r="DU538" s="1" t="b">
        <f>SkSurvivalRanks&gt;=8</f>
        <v>0</v>
      </c>
      <c r="DV538" s="1" t="b">
        <f>ShifterSelected&gt;=1</f>
        <v>0</v>
      </c>
      <c r="EA538" s="1" t="b">
        <f t="shared" si="508"/>
        <v>0</v>
      </c>
      <c r="EB538" s="11" t="s">
        <v>334</v>
      </c>
      <c r="EC538" s="1" t="str">
        <f>IF(DR538,"","• Must be a Shifter.
")&amp;IF(DS538,"","• Base Attack Bonus of +4 or greater.
")&amp;IF(DT538,"","• 5 ranks in Knowledge (nature).
")&amp;IF(DU538,"","• 8 ranks in Survival.
")&amp;IF(DV538,"","• Any Shifter feat.")</f>
        <v>• Must be a Shifter.
• Base Attack Bonus of +4 or greater.
• 5 ranks in Knowledge (nature).
• 8 ranks in Survival.
• Any Shifter feat.</v>
      </c>
      <c r="ED538" s="11" t="s">
        <v>335</v>
      </c>
    </row>
    <row r="539" spans="1:134" ht="11.25" customHeight="1" x14ac:dyDescent="0.2">
      <c r="A539" s="1">
        <f t="shared" si="493"/>
        <v>536</v>
      </c>
      <c r="B539" s="1" t="s">
        <v>1316</v>
      </c>
      <c r="E539" s="1">
        <f t="shared" si="464"/>
        <v>0</v>
      </c>
      <c r="F539" s="1">
        <v>1</v>
      </c>
      <c r="Z539" s="1" t="b">
        <f>FALSE</f>
        <v>0</v>
      </c>
      <c r="AA539" s="1" t="str">
        <f t="shared" si="467"/>
        <v/>
      </c>
      <c r="AB539" s="1" t="str">
        <f t="shared" si="468"/>
        <v/>
      </c>
      <c r="AC539" s="1">
        <f t="shared" si="465"/>
        <v>0</v>
      </c>
      <c r="AD539" s="1" t="str">
        <f t="shared" si="469"/>
        <v/>
      </c>
      <c r="AE539" s="1" t="str">
        <f t="shared" si="470"/>
        <v/>
      </c>
      <c r="AF539" s="1">
        <f t="shared" si="466"/>
        <v>0</v>
      </c>
      <c r="AG539" s="1">
        <f t="shared" si="509"/>
        <v>5</v>
      </c>
      <c r="AH539" s="1" t="str">
        <f t="shared" si="502"/>
        <v/>
      </c>
      <c r="EB539" s="11"/>
      <c r="ED539" s="11" t="s">
        <v>335</v>
      </c>
    </row>
    <row r="540" spans="1:134" ht="11.25" customHeight="1" x14ac:dyDescent="0.2">
      <c r="A540" s="1">
        <f t="shared" si="493"/>
        <v>537</v>
      </c>
      <c r="B540" s="1" t="s">
        <v>1317</v>
      </c>
      <c r="C540" s="1" t="s">
        <v>1318</v>
      </c>
      <c r="D540" s="1" t="s">
        <v>1318</v>
      </c>
      <c r="E540" s="1">
        <f t="shared" si="464"/>
        <v>0</v>
      </c>
      <c r="K540" s="1">
        <v>2</v>
      </c>
      <c r="L540" s="1">
        <v>8</v>
      </c>
      <c r="V540" s="1">
        <v>1</v>
      </c>
      <c r="W540" s="1">
        <v>0.5</v>
      </c>
      <c r="X540" s="1">
        <v>0.34</v>
      </c>
      <c r="Y540" s="1">
        <v>0.34</v>
      </c>
      <c r="Z540" s="1" t="b">
        <f>FALSE</f>
        <v>0</v>
      </c>
      <c r="AA540" s="1" t="str">
        <f t="shared" si="467"/>
        <v/>
      </c>
      <c r="AB540" s="1" t="str">
        <f t="shared" si="468"/>
        <v/>
      </c>
      <c r="AC540" s="1">
        <f t="shared" si="465"/>
        <v>0</v>
      </c>
      <c r="AD540" s="1" t="str">
        <f t="shared" si="469"/>
        <v/>
      </c>
      <c r="AE540" s="1" t="str">
        <f t="shared" si="470"/>
        <v/>
      </c>
      <c r="AF540" s="1">
        <f t="shared" si="466"/>
        <v>0</v>
      </c>
      <c r="AG540" s="1">
        <f t="shared" si="509"/>
        <v>5</v>
      </c>
      <c r="AH540" s="1" t="str">
        <f t="shared" si="502"/>
        <v/>
      </c>
      <c r="AI540" s="1">
        <v>1</v>
      </c>
      <c r="AJ540" s="1">
        <f>IF(HRXPH,1,0)</f>
        <v>0</v>
      </c>
      <c r="AK540" s="1">
        <v>1</v>
      </c>
      <c r="AL540" s="1">
        <v>1</v>
      </c>
      <c r="AM540" s="1">
        <v>1</v>
      </c>
      <c r="AN540" s="1">
        <f>IF(IsLycanthrope,2,0)</f>
        <v>0</v>
      </c>
      <c r="AO540" s="1">
        <v>2</v>
      </c>
      <c r="AP540" s="1">
        <v>2</v>
      </c>
      <c r="AQ540" s="1">
        <v>2</v>
      </c>
      <c r="AR540" s="1">
        <v>2</v>
      </c>
      <c r="AS540" s="1">
        <v>2</v>
      </c>
      <c r="AT540" s="1">
        <v>2</v>
      </c>
      <c r="AU540" s="1">
        <v>2</v>
      </c>
      <c r="AV540" s="1">
        <v>2</v>
      </c>
      <c r="AW540" s="1">
        <v>1</v>
      </c>
      <c r="AX540" s="1">
        <v>1</v>
      </c>
      <c r="AY540" s="1">
        <v>1</v>
      </c>
      <c r="AZ540" s="1">
        <v>1</v>
      </c>
      <c r="BA540" s="1">
        <v>1</v>
      </c>
      <c r="BB540" s="1">
        <v>1</v>
      </c>
      <c r="BC540" s="1">
        <v>1</v>
      </c>
      <c r="BD540" s="1">
        <v>1</v>
      </c>
      <c r="BE540" s="1">
        <v>1</v>
      </c>
      <c r="BF540" s="1">
        <v>1</v>
      </c>
      <c r="BG540" s="1">
        <f>IF(HRRVL,1,0)</f>
        <v>0</v>
      </c>
      <c r="BH540" s="1">
        <f>IF(HROA,1,0)</f>
        <v>0</v>
      </c>
      <c r="BI540" s="1">
        <v>2</v>
      </c>
      <c r="BJ540" s="1">
        <v>1</v>
      </c>
      <c r="BK540" s="1">
        <v>2</v>
      </c>
      <c r="BL540" s="1">
        <v>1</v>
      </c>
      <c r="BM540" s="1">
        <v>1</v>
      </c>
      <c r="BN540" s="1">
        <v>2</v>
      </c>
      <c r="BO540" s="1">
        <v>1</v>
      </c>
      <c r="BP540" s="1">
        <v>1</v>
      </c>
      <c r="BQ540" s="1">
        <f>IF(HRRVL,1,0)</f>
        <v>0</v>
      </c>
      <c r="BR540" s="1">
        <v>1</v>
      </c>
      <c r="BS540" s="1">
        <v>1</v>
      </c>
      <c r="BT540" s="1">
        <f>IF(HRXPH,1,0)</f>
        <v>0</v>
      </c>
      <c r="BU540" s="1">
        <f>IF(HRRVL,1,0)</f>
        <v>0</v>
      </c>
      <c r="BV540" s="1">
        <v>1</v>
      </c>
      <c r="BW540" s="1">
        <v>1</v>
      </c>
      <c r="BX540" s="1">
        <v>1</v>
      </c>
      <c r="BY540" s="1">
        <v>1</v>
      </c>
      <c r="BZ540" s="1">
        <v>1</v>
      </c>
      <c r="CA540" s="1">
        <v>1</v>
      </c>
      <c r="CB540" s="1">
        <v>1</v>
      </c>
      <c r="CC540" s="1">
        <v>1</v>
      </c>
      <c r="CD540" s="1">
        <v>1</v>
      </c>
      <c r="CE540" s="1">
        <v>1</v>
      </c>
      <c r="CF540" s="1">
        <v>1</v>
      </c>
      <c r="CG540" s="1">
        <f>IF(HRToB,1,0)</f>
        <v>0</v>
      </c>
      <c r="CH540" s="1">
        <v>1</v>
      </c>
      <c r="CI540" s="1">
        <v>1</v>
      </c>
      <c r="CJ540" s="1">
        <v>1</v>
      </c>
      <c r="CK540" s="1">
        <v>1</v>
      </c>
      <c r="CL540" s="1">
        <v>1</v>
      </c>
      <c r="CM540" s="1">
        <v>1</v>
      </c>
      <c r="CN540" s="1">
        <v>1</v>
      </c>
      <c r="CO540" s="1">
        <v>1</v>
      </c>
      <c r="CP540" s="1">
        <v>1</v>
      </c>
      <c r="CQ540" s="1">
        <v>1</v>
      </c>
      <c r="CR540" s="1">
        <v>1</v>
      </c>
      <c r="CS540" s="1">
        <v>1</v>
      </c>
      <c r="CT540" s="1">
        <v>1</v>
      </c>
      <c r="CU540" s="1">
        <v>1</v>
      </c>
      <c r="CV540" s="1">
        <f>IF(HRXPH,1,0)</f>
        <v>0</v>
      </c>
      <c r="CW540" s="1">
        <v>2</v>
      </c>
      <c r="CX540" s="1">
        <v>1</v>
      </c>
      <c r="CY540" s="1">
        <v>1</v>
      </c>
      <c r="CZ540" s="1">
        <f>IF(HRCS,1,0)</f>
        <v>0</v>
      </c>
      <c r="DA540" s="1">
        <v>1</v>
      </c>
      <c r="DB540" s="1">
        <v>1</v>
      </c>
      <c r="DC540" s="1">
        <v>2</v>
      </c>
      <c r="DD540" s="1">
        <v>2</v>
      </c>
      <c r="DE540" s="1">
        <v>1</v>
      </c>
      <c r="DF540" s="1">
        <v>1</v>
      </c>
      <c r="DG540" s="1">
        <v>1</v>
      </c>
      <c r="DH540" s="1">
        <v>1</v>
      </c>
      <c r="DI540" s="1">
        <f>IF(HRXPH,1,0)</f>
        <v>0</v>
      </c>
      <c r="DJ540" s="1">
        <v>1</v>
      </c>
      <c r="DK540" s="1" t="s">
        <v>1319</v>
      </c>
      <c r="DL540" s="1" t="s">
        <v>170</v>
      </c>
      <c r="DQ540" s="1" t="b">
        <f>FtStillSpell</f>
        <v>0</v>
      </c>
      <c r="DR540" s="1" t="b">
        <f>SkRideRanks&gt;=4</f>
        <v>0</v>
      </c>
      <c r="DS540" s="1" t="b">
        <f>MartialProf</f>
        <v>1</v>
      </c>
      <c r="DT540" s="1" t="b">
        <v>1</v>
      </c>
      <c r="DU540" s="1" t="b">
        <v>1</v>
      </c>
      <c r="DZ540" s="1" t="b">
        <f>NOT(HRLivingGreyhawk)</f>
        <v>1</v>
      </c>
      <c r="EA540" s="1" t="b">
        <f>AND(DM540:DZ540)</f>
        <v>0</v>
      </c>
      <c r="EB540" s="11" t="s">
        <v>334</v>
      </c>
      <c r="EC540" s="1" t="str">
        <f>IF(DQ540,"","• Still Spell feat.
")&amp;IF(DR540,"","• 4 ranks in Ride.
")&amp;IF(DS540,"","• Proficiency in all martial weapons.
")&amp;IF(DT540,"• Ability to cast phantom steed.","
")&amp;IF(DU540,"• Citizen of Aundair, member of the Order of the Knights Arcane.","
")&amp;IF(DZ540,"","• Not available in Living Greyhawk.")&amp;"."</f>
        <v>• Still Spell feat.
• 4 ranks in Ride.
• Ability to cast phantom steed.• Citizen of Aundair, member of the Order of the Knights Arcane..</v>
      </c>
      <c r="ED540" s="11" t="s">
        <v>335</v>
      </c>
    </row>
    <row r="541" spans="1:134" ht="11.25" customHeight="1" x14ac:dyDescent="0.2">
      <c r="A541" s="1">
        <f t="shared" si="493"/>
        <v>538</v>
      </c>
      <c r="B541" s="1" t="s">
        <v>1320</v>
      </c>
      <c r="C541" s="1" t="s">
        <v>1321</v>
      </c>
      <c r="D541" s="1" t="s">
        <v>1321</v>
      </c>
      <c r="E541" s="1">
        <f t="shared" si="464"/>
        <v>0</v>
      </c>
      <c r="K541" s="1">
        <v>4</v>
      </c>
      <c r="L541" s="1">
        <v>8</v>
      </c>
      <c r="V541" s="1">
        <v>0.75</v>
      </c>
      <c r="W541" s="1">
        <v>0.34</v>
      </c>
      <c r="X541" s="1">
        <v>0.5</v>
      </c>
      <c r="Y541" s="1">
        <v>0.34</v>
      </c>
      <c r="Z541" s="1" t="b">
        <f>FALSE</f>
        <v>0</v>
      </c>
      <c r="AA541" s="1" t="str">
        <f t="shared" si="467"/>
        <v/>
      </c>
      <c r="AB541" s="1" t="str">
        <f t="shared" si="468"/>
        <v/>
      </c>
      <c r="AC541" s="1">
        <f t="shared" si="465"/>
        <v>0</v>
      </c>
      <c r="AD541" s="1" t="str">
        <f t="shared" si="469"/>
        <v/>
      </c>
      <c r="AE541" s="1" t="str">
        <f t="shared" si="470"/>
        <v/>
      </c>
      <c r="AF541" s="1">
        <f t="shared" si="466"/>
        <v>0</v>
      </c>
      <c r="AG541" s="1">
        <f t="shared" si="509"/>
        <v>5</v>
      </c>
      <c r="AH541" s="1" t="str">
        <f t="shared" si="502"/>
        <v/>
      </c>
      <c r="AI541" s="1">
        <v>2</v>
      </c>
      <c r="AJ541" s="1">
        <f>IF(HRXPH,1,0)</f>
        <v>0</v>
      </c>
      <c r="AK541" s="1">
        <v>2</v>
      </c>
      <c r="AL541" s="1">
        <v>2</v>
      </c>
      <c r="AM541" s="1">
        <v>1</v>
      </c>
      <c r="AN541" s="1">
        <f>IF(IsLycanthrope,2,0)</f>
        <v>0</v>
      </c>
      <c r="AO541" s="1">
        <v>1</v>
      </c>
      <c r="AP541" s="1">
        <v>1</v>
      </c>
      <c r="AQ541" s="1">
        <v>1</v>
      </c>
      <c r="AR541" s="1">
        <v>1</v>
      </c>
      <c r="AS541" s="1">
        <v>1</v>
      </c>
      <c r="AT541" s="1">
        <v>1</v>
      </c>
      <c r="AU541" s="1">
        <v>1</v>
      </c>
      <c r="AV541" s="1">
        <v>1</v>
      </c>
      <c r="AW541" s="1">
        <v>1</v>
      </c>
      <c r="AX541" s="1">
        <v>2</v>
      </c>
      <c r="AY541" s="1">
        <v>2</v>
      </c>
      <c r="AZ541" s="1">
        <v>2</v>
      </c>
      <c r="BA541" s="1">
        <v>2</v>
      </c>
      <c r="BB541" s="1">
        <v>2</v>
      </c>
      <c r="BC541" s="1">
        <v>2</v>
      </c>
      <c r="BD541" s="1">
        <v>1</v>
      </c>
      <c r="BE541" s="1">
        <v>1</v>
      </c>
      <c r="BF541" s="1">
        <v>2</v>
      </c>
      <c r="BG541" s="1">
        <v>0</v>
      </c>
      <c r="BH541" s="1">
        <f>IF(HROA,1,0)</f>
        <v>0</v>
      </c>
      <c r="BI541" s="1">
        <v>2</v>
      </c>
      <c r="BJ541" s="1">
        <v>1</v>
      </c>
      <c r="BK541" s="1">
        <v>2</v>
      </c>
      <c r="BL541" s="1">
        <v>2</v>
      </c>
      <c r="BM541" s="1">
        <v>2</v>
      </c>
      <c r="BN541" s="1">
        <v>2</v>
      </c>
      <c r="BO541" s="1">
        <v>2</v>
      </c>
      <c r="BP541" s="1">
        <v>2</v>
      </c>
      <c r="BQ541" s="1">
        <f>IF(HRRVL,2,0)</f>
        <v>0</v>
      </c>
      <c r="BR541" s="1">
        <v>2</v>
      </c>
      <c r="BS541" s="1">
        <v>2</v>
      </c>
      <c r="BT541" s="1">
        <f>IF(HRXPH,2,0)</f>
        <v>0</v>
      </c>
      <c r="BU541" s="1">
        <f>IF(HRRVL,2,0)</f>
        <v>0</v>
      </c>
      <c r="BV541" s="1">
        <v>2</v>
      </c>
      <c r="BW541" s="1">
        <v>2</v>
      </c>
      <c r="BX541" s="1">
        <v>2</v>
      </c>
      <c r="BY541" s="1">
        <v>2</v>
      </c>
      <c r="BZ541" s="1">
        <v>2</v>
      </c>
      <c r="CA541" s="1">
        <v>2</v>
      </c>
      <c r="CB541" s="1">
        <v>2</v>
      </c>
      <c r="CC541" s="1">
        <v>2</v>
      </c>
      <c r="CD541" s="1">
        <v>2</v>
      </c>
      <c r="CE541" s="1">
        <v>2</v>
      </c>
      <c r="CF541" s="1">
        <v>2</v>
      </c>
      <c r="CG541" s="1">
        <f>IF(HRToB,1,0)</f>
        <v>0</v>
      </c>
      <c r="CH541" s="1">
        <v>2</v>
      </c>
      <c r="CI541" s="1">
        <v>2</v>
      </c>
      <c r="CJ541" s="1">
        <v>2</v>
      </c>
      <c r="CK541" s="1">
        <v>2</v>
      </c>
      <c r="CL541" s="1">
        <v>2</v>
      </c>
      <c r="CM541" s="1">
        <v>2</v>
      </c>
      <c r="CN541" s="1">
        <v>2</v>
      </c>
      <c r="CO541" s="1">
        <v>2</v>
      </c>
      <c r="CP541" s="1">
        <v>1</v>
      </c>
      <c r="CQ541" s="1">
        <v>1</v>
      </c>
      <c r="CR541" s="1">
        <v>1</v>
      </c>
      <c r="CS541" s="1">
        <v>1</v>
      </c>
      <c r="CT541" s="1">
        <v>1</v>
      </c>
      <c r="CU541" s="1">
        <v>1</v>
      </c>
      <c r="CV541" s="1">
        <f>IF(HRXPH,1,0)</f>
        <v>0</v>
      </c>
      <c r="CW541" s="1">
        <v>1</v>
      </c>
      <c r="CX541" s="1">
        <v>2</v>
      </c>
      <c r="CY541" s="1">
        <v>2</v>
      </c>
      <c r="CZ541" s="1">
        <f>IF(HRCS,1,0)</f>
        <v>0</v>
      </c>
      <c r="DA541" s="1">
        <v>1</v>
      </c>
      <c r="DB541" s="1">
        <v>2</v>
      </c>
      <c r="DC541" s="1">
        <v>1</v>
      </c>
      <c r="DD541" s="1">
        <v>2</v>
      </c>
      <c r="DE541" s="1">
        <v>1</v>
      </c>
      <c r="DF541" s="1">
        <v>1</v>
      </c>
      <c r="DG541" s="1">
        <v>1</v>
      </c>
      <c r="DH541" s="1">
        <v>2</v>
      </c>
      <c r="DI541" s="1">
        <f>IF(HRXPH,1,0)</f>
        <v>0</v>
      </c>
      <c r="DJ541" s="1">
        <v>1</v>
      </c>
      <c r="DK541" s="1" t="s">
        <v>1319</v>
      </c>
      <c r="DL541" s="1" t="s">
        <v>170</v>
      </c>
      <c r="DQ541" s="1" t="b">
        <f>BaseAtk&gt;=5</f>
        <v>0</v>
      </c>
      <c r="DR541" s="1" t="b">
        <f>SkBluffRanks&gt;=4</f>
        <v>0</v>
      </c>
      <c r="DS541" s="1" t="b">
        <f>SkDiplomacyRanks&gt;=4</f>
        <v>0</v>
      </c>
      <c r="DT541" s="1" t="b">
        <f>SkGatherInformationRanks&gt;=4</f>
        <v>0</v>
      </c>
      <c r="DU541" s="1" t="b">
        <v>1</v>
      </c>
      <c r="DV541" s="1" t="b">
        <v>1</v>
      </c>
      <c r="DZ541" s="1" t="b">
        <f>NOT(HRLivingGreyhawk)</f>
        <v>1</v>
      </c>
      <c r="EA541" s="1" t="b">
        <f>AND(DM541:DZ541)</f>
        <v>0</v>
      </c>
      <c r="EB541" s="11" t="s">
        <v>338</v>
      </c>
      <c r="EC541" s="1" t="str">
        <f>IF(DQ541,"","• Base Attack Bonus: +5.
")&amp;IF(DR541,"","• 4 ranks in Bluff.
")&amp;IF(DS541,"","• 4 ranks in Diplomacy.
")&amp;IF(DT541,"","• 4 ranks in Gather Information.
")&amp;IF(DU541,"• Region of Origin: Breland (not checked).","
")&amp;IF(DV541,"• Cannot be illiterate or affiliated with a religion (not checked).","
")&amp;IF(DZ541,"","• Not available in Living Greyhawk.")&amp;"."</f>
        <v>• Base Attack Bonus: +5.
• 4 ranks in Bluff.
• 4 ranks in Diplomacy.
• 4 ranks in Gather Information.
• Region of Origin: Breland (not checked).• Cannot be illiterate or affiliated with a religion (not checked)..</v>
      </c>
      <c r="ED541" s="11" t="s">
        <v>335</v>
      </c>
    </row>
    <row r="542" spans="1:134" ht="11.25" customHeight="1" x14ac:dyDescent="0.2">
      <c r="A542" s="1">
        <f t="shared" si="493"/>
        <v>539</v>
      </c>
      <c r="B542" s="1" t="s">
        <v>1322</v>
      </c>
      <c r="C542" s="1" t="s">
        <v>1323</v>
      </c>
      <c r="D542" s="1" t="s">
        <v>1323</v>
      </c>
      <c r="E542" s="1">
        <f t="shared" si="464"/>
        <v>0</v>
      </c>
      <c r="K542" s="1">
        <v>4</v>
      </c>
      <c r="L542" s="1">
        <v>8</v>
      </c>
      <c r="V542" s="1">
        <v>0.75</v>
      </c>
      <c r="W542" s="1">
        <v>0.5</v>
      </c>
      <c r="X542" s="1">
        <v>0.34</v>
      </c>
      <c r="Y542" s="1">
        <v>0.34</v>
      </c>
      <c r="Z542" s="1" t="b">
        <f>FALSE</f>
        <v>0</v>
      </c>
      <c r="AA542" s="1" t="str">
        <f t="shared" si="467"/>
        <v/>
      </c>
      <c r="AB542" s="1" t="str">
        <f t="shared" si="468"/>
        <v/>
      </c>
      <c r="AC542" s="1">
        <f t="shared" si="465"/>
        <v>0</v>
      </c>
      <c r="AD542" s="1" t="str">
        <f t="shared" si="469"/>
        <v/>
      </c>
      <c r="AE542" s="1" t="str">
        <f t="shared" si="470"/>
        <v/>
      </c>
      <c r="AF542" s="1">
        <f t="shared" si="466"/>
        <v>0</v>
      </c>
      <c r="AG542" s="1">
        <f t="shared" si="509"/>
        <v>5</v>
      </c>
      <c r="AH542" s="1" t="str">
        <f t="shared" si="502"/>
        <v/>
      </c>
      <c r="AI542" s="1">
        <v>1</v>
      </c>
      <c r="AJ542" s="1">
        <v>0</v>
      </c>
      <c r="AK542" s="1">
        <v>1</v>
      </c>
      <c r="AL542" s="1">
        <v>2</v>
      </c>
      <c r="AM542" s="1">
        <v>1</v>
      </c>
      <c r="AN542" s="1">
        <f>IF(IsLycanthrope,2,0)</f>
        <v>0</v>
      </c>
      <c r="AO542" s="1">
        <v>2</v>
      </c>
      <c r="AP542" s="1">
        <v>1</v>
      </c>
      <c r="AQ542" s="1">
        <v>1</v>
      </c>
      <c r="AR542" s="1">
        <v>1</v>
      </c>
      <c r="AS542" s="1">
        <v>1</v>
      </c>
      <c r="AT542" s="1">
        <v>1</v>
      </c>
      <c r="AU542" s="1">
        <v>1</v>
      </c>
      <c r="AV542" s="1">
        <v>1</v>
      </c>
      <c r="AW542" s="1">
        <v>1</v>
      </c>
      <c r="AX542" s="1">
        <v>1</v>
      </c>
      <c r="AY542" s="1">
        <v>1</v>
      </c>
      <c r="AZ542" s="1">
        <v>2</v>
      </c>
      <c r="BA542" s="1">
        <v>1</v>
      </c>
      <c r="BB542" s="1">
        <v>1</v>
      </c>
      <c r="BC542" s="1">
        <v>2</v>
      </c>
      <c r="BD542" s="1">
        <v>1</v>
      </c>
      <c r="BE542" s="1">
        <v>1</v>
      </c>
      <c r="BF542" s="1">
        <v>2</v>
      </c>
      <c r="BG542" s="1">
        <f>IF(HRRVL,1,0)</f>
        <v>0</v>
      </c>
      <c r="BH542" s="1">
        <f>IF(HROA,1,0)</f>
        <v>0</v>
      </c>
      <c r="BI542" s="1">
        <v>1</v>
      </c>
      <c r="BJ542" s="1">
        <v>1</v>
      </c>
      <c r="BK542" s="1">
        <v>1</v>
      </c>
      <c r="BL542" s="1">
        <v>1</v>
      </c>
      <c r="BM542" s="1">
        <v>1</v>
      </c>
      <c r="BN542" s="1">
        <v>1</v>
      </c>
      <c r="BO542" s="1">
        <v>1</v>
      </c>
      <c r="BP542" s="1">
        <v>1</v>
      </c>
      <c r="BQ542" s="1">
        <f>IF(HRRVL,1,0)</f>
        <v>0</v>
      </c>
      <c r="BR542" s="1">
        <v>1</v>
      </c>
      <c r="BS542" s="1">
        <v>1</v>
      </c>
      <c r="BT542" s="1">
        <f>IF(HRXPH,1,0)</f>
        <v>0</v>
      </c>
      <c r="BU542" s="1">
        <f>IF(HRRVL,1,0)</f>
        <v>0</v>
      </c>
      <c r="BV542" s="1">
        <v>1</v>
      </c>
      <c r="BW542" s="1">
        <v>1</v>
      </c>
      <c r="BX542" s="1">
        <v>1</v>
      </c>
      <c r="BY542" s="1">
        <v>1</v>
      </c>
      <c r="BZ542" s="1">
        <v>1</v>
      </c>
      <c r="CA542" s="1">
        <v>1</v>
      </c>
      <c r="CB542" s="1">
        <v>1</v>
      </c>
      <c r="CC542" s="1">
        <v>1</v>
      </c>
      <c r="CD542" s="1">
        <v>1</v>
      </c>
      <c r="CE542" s="1">
        <v>1</v>
      </c>
      <c r="CF542" s="1">
        <v>2</v>
      </c>
      <c r="CG542" s="1">
        <f>IF(HRToB,1,0)</f>
        <v>0</v>
      </c>
      <c r="CH542" s="1">
        <v>2</v>
      </c>
      <c r="CI542" s="1">
        <v>1</v>
      </c>
      <c r="CJ542" s="1">
        <v>1</v>
      </c>
      <c r="CK542" s="1">
        <v>1</v>
      </c>
      <c r="CL542" s="1">
        <v>1</v>
      </c>
      <c r="CM542" s="1">
        <v>1</v>
      </c>
      <c r="CN542" s="1">
        <v>1</v>
      </c>
      <c r="CO542" s="1">
        <v>1</v>
      </c>
      <c r="CP542" s="1">
        <v>1</v>
      </c>
      <c r="CQ542" s="1">
        <v>1</v>
      </c>
      <c r="CR542" s="1">
        <v>1</v>
      </c>
      <c r="CS542" s="1">
        <v>1</v>
      </c>
      <c r="CT542" s="1">
        <v>1</v>
      </c>
      <c r="CU542" s="1">
        <v>1</v>
      </c>
      <c r="CV542" s="1">
        <f>IF(HRXPH,1,0)</f>
        <v>0</v>
      </c>
      <c r="CW542" s="1">
        <v>1</v>
      </c>
      <c r="CX542" s="1">
        <v>2</v>
      </c>
      <c r="CY542" s="1">
        <v>2</v>
      </c>
      <c r="CZ542" s="1">
        <f>IF(HRCS,1,0)</f>
        <v>0</v>
      </c>
      <c r="DA542" s="1">
        <v>1</v>
      </c>
      <c r="DB542" s="1">
        <v>1</v>
      </c>
      <c r="DC542" s="1">
        <v>1</v>
      </c>
      <c r="DD542" s="1">
        <v>2</v>
      </c>
      <c r="DE542" s="1">
        <v>2</v>
      </c>
      <c r="DF542" s="1">
        <v>1</v>
      </c>
      <c r="DG542" s="1">
        <v>1</v>
      </c>
      <c r="DH542" s="1">
        <v>1</v>
      </c>
      <c r="DI542" s="1">
        <f>IF(HRXPH,1,0)</f>
        <v>0</v>
      </c>
      <c r="DJ542" s="1">
        <v>1</v>
      </c>
      <c r="DK542" s="1" t="s">
        <v>1319</v>
      </c>
      <c r="DL542" s="1" t="s">
        <v>170</v>
      </c>
      <c r="DQ542" s="1" t="b">
        <f>BaseAtk&gt;=5</f>
        <v>0</v>
      </c>
      <c r="DR542" s="1" t="b">
        <f>SkGatherInformationRanks&gt;=4</f>
        <v>0</v>
      </c>
      <c r="DS542" s="1" t="b">
        <f>SkSenseMotiveRanks&gt;=4</f>
        <v>0</v>
      </c>
      <c r="DT542" s="1" t="b">
        <f>SkSurvivalRanks&gt;=8</f>
        <v>0</v>
      </c>
      <c r="DU542" s="1" t="b">
        <f>FtTrack</f>
        <v>0</v>
      </c>
      <c r="DV542" s="1" t="b">
        <v>1</v>
      </c>
      <c r="DZ542" s="1" t="b">
        <f>NOT(HRLivingGreyhawk)</f>
        <v>1</v>
      </c>
      <c r="EA542" s="1" t="b">
        <f>AND(DM542:DZ542)</f>
        <v>0</v>
      </c>
      <c r="EB542" s="11" t="s">
        <v>334</v>
      </c>
      <c r="EC542" s="1" t="str">
        <f>IF(DQ542,"","• Base Attack Bonus: +5.
")&amp;IF(DR542,"","• 4 ranks in Gather Information.
")&amp;IF(DS542,"","• 4 ranks in Sense Motive.
")&amp;IF(DT542,"","• 4 ranks in Survival.
")&amp;IF(DU542,"","• Track feat.
")&amp;IF(DV542,"• Region of Origin: Cyre (not checked).","
")&amp;IF(DZ542,"","• Not available in Living Greyhawk.")&amp;"."</f>
        <v>• Base Attack Bonus: +5.
• 4 ranks in Gather Information.
• 4 ranks in Sense Motive.
• 4 ranks in Survival.
• Track feat.
• Region of Origin: Cyre (not checked)..</v>
      </c>
      <c r="ED542" s="11" t="s">
        <v>335</v>
      </c>
    </row>
    <row r="543" spans="1:134" ht="11.25" customHeight="1" x14ac:dyDescent="0.2">
      <c r="A543" s="1">
        <f t="shared" si="493"/>
        <v>540</v>
      </c>
      <c r="B543" s="1" t="s">
        <v>1324</v>
      </c>
      <c r="C543" s="1" t="s">
        <v>1325</v>
      </c>
      <c r="D543" s="1" t="s">
        <v>1325</v>
      </c>
      <c r="E543" s="1">
        <f t="shared" si="464"/>
        <v>0</v>
      </c>
      <c r="K543" s="1">
        <v>2</v>
      </c>
      <c r="L543" s="1">
        <v>10</v>
      </c>
      <c r="N543" s="1" t="b">
        <v>1</v>
      </c>
      <c r="O543" s="1" t="b">
        <v>1</v>
      </c>
      <c r="P543" s="1" t="b">
        <v>1</v>
      </c>
      <c r="Q543" s="1" t="b">
        <v>1</v>
      </c>
      <c r="R543" s="1" t="b">
        <v>1</v>
      </c>
      <c r="S543" s="1" t="b">
        <v>1</v>
      </c>
      <c r="T543" s="1" t="b">
        <v>1</v>
      </c>
      <c r="V543" s="1">
        <v>0.75</v>
      </c>
      <c r="W543" s="1">
        <v>0.5</v>
      </c>
      <c r="X543" s="1">
        <v>0.34</v>
      </c>
      <c r="Y543" s="1">
        <v>0.34</v>
      </c>
      <c r="Z543" s="1" t="b">
        <f>FALSE</f>
        <v>0</v>
      </c>
      <c r="AA543" s="1" t="str">
        <f t="shared" si="467"/>
        <v/>
      </c>
      <c r="AB543" s="1" t="str">
        <f t="shared" si="468"/>
        <v/>
      </c>
      <c r="AC543" s="1">
        <f t="shared" si="465"/>
        <v>0</v>
      </c>
      <c r="AD543" s="1" t="str">
        <f t="shared" si="469"/>
        <v/>
      </c>
      <c r="AE543" s="1" t="str">
        <f t="shared" si="470"/>
        <v/>
      </c>
      <c r="AF543" s="1">
        <f t="shared" si="466"/>
        <v>0</v>
      </c>
      <c r="AG543" s="1">
        <f t="shared" si="509"/>
        <v>5</v>
      </c>
      <c r="AH543" s="1" t="str">
        <f t="shared" si="502"/>
        <v/>
      </c>
      <c r="AI543" s="1">
        <v>1</v>
      </c>
      <c r="AJ543" s="1">
        <v>0</v>
      </c>
      <c r="AK543" s="1">
        <v>1</v>
      </c>
      <c r="AL543" s="1">
        <v>1</v>
      </c>
      <c r="AM543" s="1">
        <v>1</v>
      </c>
      <c r="AN543" s="1">
        <f>IF(IsLycanthrope,2,0)</f>
        <v>0</v>
      </c>
      <c r="AO543" s="1">
        <v>1</v>
      </c>
      <c r="AP543" s="1">
        <v>2</v>
      </c>
      <c r="AQ543" s="1">
        <v>2</v>
      </c>
      <c r="AR543" s="1">
        <v>2</v>
      </c>
      <c r="AS543" s="1">
        <v>2</v>
      </c>
      <c r="AT543" s="1">
        <v>2</v>
      </c>
      <c r="AU543" s="1">
        <v>2</v>
      </c>
      <c r="AV543" s="1">
        <v>2</v>
      </c>
      <c r="AW543" s="1">
        <v>1</v>
      </c>
      <c r="AX543" s="1">
        <v>1</v>
      </c>
      <c r="AY543" s="1">
        <v>1</v>
      </c>
      <c r="AZ543" s="1">
        <v>1</v>
      </c>
      <c r="BA543" s="1">
        <v>1</v>
      </c>
      <c r="BB543" s="1">
        <v>1</v>
      </c>
      <c r="BC543" s="1">
        <v>1</v>
      </c>
      <c r="BD543" s="1">
        <v>2</v>
      </c>
      <c r="BE543" s="1">
        <v>1</v>
      </c>
      <c r="BF543" s="1">
        <v>1</v>
      </c>
      <c r="BG543" s="1">
        <f>IF(HRRVL,1,0)</f>
        <v>0</v>
      </c>
      <c r="BH543" s="1">
        <f>IF(HROA,1,0)</f>
        <v>0</v>
      </c>
      <c r="BI543" s="1">
        <v>2</v>
      </c>
      <c r="BJ543" s="1">
        <v>1</v>
      </c>
      <c r="BK543" s="1">
        <v>1</v>
      </c>
      <c r="BL543" s="1">
        <v>1</v>
      </c>
      <c r="BM543" s="1">
        <v>1</v>
      </c>
      <c r="BN543" s="1">
        <v>1</v>
      </c>
      <c r="BO543" s="1">
        <v>1</v>
      </c>
      <c r="BP543" s="1">
        <v>1</v>
      </c>
      <c r="BQ543" s="1">
        <f>IF(HRRVL,1,0)</f>
        <v>0</v>
      </c>
      <c r="BR543" s="1">
        <v>1</v>
      </c>
      <c r="BS543" s="1">
        <v>2</v>
      </c>
      <c r="BT543" s="1">
        <f>IF(HRXPH,1,0)</f>
        <v>0</v>
      </c>
      <c r="BU543" s="1">
        <f>IF(HRRVL,1,0)</f>
        <v>0</v>
      </c>
      <c r="BV543" s="1">
        <v>2</v>
      </c>
      <c r="BW543" s="1">
        <v>1</v>
      </c>
      <c r="BX543" s="1">
        <v>1</v>
      </c>
      <c r="BY543" s="1">
        <v>1</v>
      </c>
      <c r="BZ543" s="1">
        <v>1</v>
      </c>
      <c r="CA543" s="1">
        <v>1</v>
      </c>
      <c r="CB543" s="1">
        <v>1</v>
      </c>
      <c r="CC543" s="1">
        <v>1</v>
      </c>
      <c r="CD543" s="1">
        <v>1</v>
      </c>
      <c r="CE543" s="1">
        <v>1</v>
      </c>
      <c r="CF543" s="1">
        <v>1</v>
      </c>
      <c r="CG543" s="1">
        <f>IF(HRToB,1,0)</f>
        <v>0</v>
      </c>
      <c r="CH543" s="1">
        <v>1</v>
      </c>
      <c r="CI543" s="1">
        <v>1</v>
      </c>
      <c r="CJ543" s="1">
        <v>1</v>
      </c>
      <c r="CK543" s="1">
        <v>1</v>
      </c>
      <c r="CL543" s="1">
        <v>1</v>
      </c>
      <c r="CM543" s="1">
        <v>1</v>
      </c>
      <c r="CN543" s="1">
        <v>1</v>
      </c>
      <c r="CO543" s="1">
        <v>1</v>
      </c>
      <c r="CP543" s="1">
        <v>1</v>
      </c>
      <c r="CQ543" s="1">
        <v>1</v>
      </c>
      <c r="CR543" s="1">
        <v>1</v>
      </c>
      <c r="CS543" s="1">
        <v>1</v>
      </c>
      <c r="CT543" s="1">
        <v>1</v>
      </c>
      <c r="CU543" s="1">
        <v>1</v>
      </c>
      <c r="CV543" s="1">
        <f>IF(HRXPH,1,0)</f>
        <v>0</v>
      </c>
      <c r="CW543" s="1">
        <v>2</v>
      </c>
      <c r="CX543" s="1">
        <v>1</v>
      </c>
      <c r="CY543" s="1">
        <v>1</v>
      </c>
      <c r="CZ543" s="1">
        <f>IF(HRCS,1,0)</f>
        <v>0</v>
      </c>
      <c r="DA543" s="1">
        <v>1</v>
      </c>
      <c r="DB543" s="1">
        <v>1</v>
      </c>
      <c r="DC543" s="1">
        <v>1</v>
      </c>
      <c r="DD543" s="1">
        <v>1</v>
      </c>
      <c r="DE543" s="1">
        <v>1</v>
      </c>
      <c r="DF543" s="1">
        <v>1</v>
      </c>
      <c r="DG543" s="1">
        <v>1</v>
      </c>
      <c r="DH543" s="1">
        <v>1</v>
      </c>
      <c r="DI543" s="1">
        <f>IF(HRXPH,1,0)</f>
        <v>0</v>
      </c>
      <c r="DJ543" s="1">
        <v>1</v>
      </c>
      <c r="DK543" s="1" t="s">
        <v>1319</v>
      </c>
      <c r="DL543" s="1" t="s">
        <v>170</v>
      </c>
      <c r="DQ543" s="1" t="b">
        <f>BaseAtk&gt;=4</f>
        <v>0</v>
      </c>
      <c r="DR543" s="1" t="b">
        <f>IF(NOT(ISNA(MATCH("armorsmithing",TblCraftSkills,0))),INDEX(TblCraftRanks,MATCH("armorsmithing",TblCraftSkills,0),1)&gt;=6,FALSE)</f>
        <v>0</v>
      </c>
      <c r="DS543" s="1" t="b">
        <f>SkKnowledgeReligionRanks&gt;=4</f>
        <v>0</v>
      </c>
      <c r="DT543" s="1" t="b">
        <f>SkRideRanks&gt;=6</f>
        <v>0</v>
      </c>
      <c r="DU543" s="1" t="b">
        <f>TurnLvl&gt;=1</f>
        <v>0</v>
      </c>
      <c r="DV543" s="1" t="b">
        <f ca="1">MaxDivineSpellLevel&gt;=1</f>
        <v>0</v>
      </c>
      <c r="DZ543" s="1" t="b">
        <f>NOT(HRLivingGreyhawk)</f>
        <v>1</v>
      </c>
      <c r="EA543" s="1" t="b">
        <f ca="1">AND(DM543:DZ543)</f>
        <v>0</v>
      </c>
      <c r="EB543" s="11" t="s">
        <v>334</v>
      </c>
      <c r="EC543" s="1" t="str">
        <f ca="1">IF(DQ543,"","• Base Attack Bonus: +4.
")&amp;IF(DR543,"","• 6 ranks in Craft (armorsmithing).
")&amp;IF(DS543,"","• 4 ranks in Knowledge (religion).
")&amp;IF(DT543,"","• 6 ranks in Ride.
")&amp;IF(DU543,"","• Ability to turn or rebuke undead.
")&amp;IF(DV543,"","• Ability to cast 1st-level divine spells.
")&amp;IF(DZ543,"","• Not available in Living Greyhawk.")&amp;"."</f>
        <v>• Base Attack Bonus: +4.
• 6 ranks in Craft (armorsmithing).
• 4 ranks in Knowledge (religion).
• 6 ranks in Ride.
• Ability to turn or rebuke undead.
• Ability to cast 1st-level divine spells.
.</v>
      </c>
      <c r="ED543" s="11" t="s">
        <v>335</v>
      </c>
    </row>
    <row r="544" spans="1:134" ht="11.25" customHeight="1" x14ac:dyDescent="0.2">
      <c r="A544" s="1">
        <f t="shared" si="493"/>
        <v>541</v>
      </c>
      <c r="B544" s="1" t="s">
        <v>1326</v>
      </c>
      <c r="C544" s="1" t="s">
        <v>1327</v>
      </c>
      <c r="D544" s="1" t="s">
        <v>1327</v>
      </c>
      <c r="E544" s="1">
        <f t="shared" si="464"/>
        <v>0</v>
      </c>
      <c r="K544" s="1">
        <v>2</v>
      </c>
      <c r="L544" s="1">
        <v>6</v>
      </c>
      <c r="V544" s="1">
        <v>0.5</v>
      </c>
      <c r="W544" s="1">
        <v>0.34</v>
      </c>
      <c r="X544" s="1">
        <v>0.34</v>
      </c>
      <c r="Y544" s="1">
        <v>0.5</v>
      </c>
      <c r="Z544" s="1" t="b">
        <f>FALSE</f>
        <v>0</v>
      </c>
      <c r="AA544" s="1" t="str">
        <f t="shared" si="467"/>
        <v/>
      </c>
      <c r="AB544" s="1" t="str">
        <f t="shared" si="468"/>
        <v/>
      </c>
      <c r="AC544" s="1">
        <f t="shared" si="465"/>
        <v>0</v>
      </c>
      <c r="AD544" s="1" t="str">
        <f t="shared" si="469"/>
        <v/>
      </c>
      <c r="AE544" s="1" t="str">
        <f t="shared" si="470"/>
        <v/>
      </c>
      <c r="AF544" s="1">
        <f t="shared" si="466"/>
        <v>0</v>
      </c>
      <c r="AG544" s="1">
        <f t="shared" si="509"/>
        <v>5</v>
      </c>
      <c r="AH544" s="1" t="str">
        <f t="shared" si="502"/>
        <v/>
      </c>
      <c r="AI544" s="1">
        <v>1</v>
      </c>
      <c r="AJ544" s="1">
        <v>0</v>
      </c>
      <c r="AK544" s="1">
        <v>1</v>
      </c>
      <c r="AL544" s="1">
        <v>1</v>
      </c>
      <c r="AM544" s="1">
        <v>1</v>
      </c>
      <c r="AN544" s="1">
        <f>IF(IsLycanthrope,2,0)</f>
        <v>0</v>
      </c>
      <c r="AO544" s="1">
        <v>2</v>
      </c>
      <c r="AP544" s="1">
        <v>2</v>
      </c>
      <c r="AQ544" s="1">
        <v>2</v>
      </c>
      <c r="AR544" s="1">
        <v>2</v>
      </c>
      <c r="AS544" s="1">
        <v>2</v>
      </c>
      <c r="AT544" s="1">
        <v>2</v>
      </c>
      <c r="AU544" s="1">
        <v>2</v>
      </c>
      <c r="AV544" s="1">
        <v>2</v>
      </c>
      <c r="AW544" s="1">
        <v>1</v>
      </c>
      <c r="AX544" s="1">
        <v>2</v>
      </c>
      <c r="AY544" s="1">
        <v>1</v>
      </c>
      <c r="AZ544" s="1">
        <v>1</v>
      </c>
      <c r="BA544" s="1">
        <v>1</v>
      </c>
      <c r="BB544" s="1">
        <v>1</v>
      </c>
      <c r="BC544" s="1">
        <v>1</v>
      </c>
      <c r="BD544" s="1">
        <v>1</v>
      </c>
      <c r="BE544" s="1">
        <v>2</v>
      </c>
      <c r="BF544" s="1">
        <v>1</v>
      </c>
      <c r="BG544" s="1">
        <f>IF(HRRVL,1,0)</f>
        <v>0</v>
      </c>
      <c r="BH544" s="1">
        <f>IF(HROA,1,0)</f>
        <v>0</v>
      </c>
      <c r="BI544" s="1">
        <v>1</v>
      </c>
      <c r="BJ544" s="1">
        <v>1</v>
      </c>
      <c r="BK544" s="1">
        <v>2</v>
      </c>
      <c r="BL544" s="1">
        <v>1</v>
      </c>
      <c r="BM544" s="1">
        <v>1</v>
      </c>
      <c r="BN544" s="1">
        <v>1</v>
      </c>
      <c r="BO544" s="1">
        <v>1</v>
      </c>
      <c r="BP544" s="1">
        <v>1</v>
      </c>
      <c r="BQ544" s="1">
        <f>IF(HRRVL,1,0)</f>
        <v>0</v>
      </c>
      <c r="BR544" s="1">
        <v>1</v>
      </c>
      <c r="BS544" s="1">
        <v>2</v>
      </c>
      <c r="BT544" s="1">
        <f>IF(HRXPH,1,0)</f>
        <v>0</v>
      </c>
      <c r="BU544" s="1">
        <f>IF(HRRVL,1,0)</f>
        <v>0</v>
      </c>
      <c r="BV544" s="1">
        <v>2</v>
      </c>
      <c r="BW544" s="1">
        <v>1</v>
      </c>
      <c r="BX544" s="1">
        <v>1</v>
      </c>
      <c r="BY544" s="1">
        <v>1</v>
      </c>
      <c r="BZ544" s="1">
        <v>1</v>
      </c>
      <c r="CA544" s="1">
        <v>1</v>
      </c>
      <c r="CB544" s="1">
        <v>1</v>
      </c>
      <c r="CC544" s="1">
        <v>1</v>
      </c>
      <c r="CD544" s="1">
        <v>1</v>
      </c>
      <c r="CE544" s="1">
        <v>1</v>
      </c>
      <c r="CF544" s="1">
        <v>1</v>
      </c>
      <c r="CG544" s="1">
        <f>IF(HRToB,1,0)</f>
        <v>0</v>
      </c>
      <c r="CH544" s="1">
        <v>1</v>
      </c>
      <c r="CI544" s="1">
        <v>1</v>
      </c>
      <c r="CJ544" s="1">
        <v>1</v>
      </c>
      <c r="CK544" s="1">
        <v>1</v>
      </c>
      <c r="CL544" s="1">
        <v>1</v>
      </c>
      <c r="CM544" s="1">
        <v>1</v>
      </c>
      <c r="CN544" s="1">
        <v>1</v>
      </c>
      <c r="CO544" s="1">
        <v>1</v>
      </c>
      <c r="CP544" s="1">
        <v>2</v>
      </c>
      <c r="CQ544" s="1">
        <v>2</v>
      </c>
      <c r="CR544" s="1">
        <v>2</v>
      </c>
      <c r="CS544" s="1">
        <v>2</v>
      </c>
      <c r="CT544" s="1">
        <v>2</v>
      </c>
      <c r="CU544" s="1">
        <v>2</v>
      </c>
      <c r="CV544" s="1">
        <v>0</v>
      </c>
      <c r="CW544" s="1">
        <v>1</v>
      </c>
      <c r="CX544" s="1">
        <v>1</v>
      </c>
      <c r="CY544" s="1">
        <v>2</v>
      </c>
      <c r="CZ544" s="1">
        <f>IF(HRCS,1,0)</f>
        <v>0</v>
      </c>
      <c r="DA544" s="1">
        <v>1</v>
      </c>
      <c r="DB544" s="1">
        <v>1</v>
      </c>
      <c r="DC544" s="1">
        <v>2</v>
      </c>
      <c r="DD544" s="1">
        <v>1</v>
      </c>
      <c r="DE544" s="1">
        <v>1</v>
      </c>
      <c r="DF544" s="1">
        <v>1</v>
      </c>
      <c r="DG544" s="1">
        <v>1</v>
      </c>
      <c r="DH544" s="1">
        <v>1</v>
      </c>
      <c r="DI544" s="1">
        <f>IF(HRXPH,1,0)</f>
        <v>0</v>
      </c>
      <c r="DJ544" s="1">
        <v>1</v>
      </c>
      <c r="DK544" s="1" t="s">
        <v>1319</v>
      </c>
      <c r="DL544" s="1" t="s">
        <v>170</v>
      </c>
      <c r="DQ544" s="1" t="b">
        <f>AND(AlignmentLawful,AlignmentGood)</f>
        <v>1</v>
      </c>
      <c r="DR544" s="1" t="b">
        <f>SkKnowledgeReligionRanks&gt;=4</f>
        <v>0</v>
      </c>
      <c r="DS544" s="1" t="b">
        <f ca="1">MaxArcaneSpellLevel&gt;=3</f>
        <v>0</v>
      </c>
      <c r="DT544" s="1" t="b">
        <f>AND(TurnLvl&gt;=1,TurnRebuke="Turn")</f>
        <v>0</v>
      </c>
      <c r="DZ544" s="1" t="b">
        <f>NOT(HRLivingGreyhawk)</f>
        <v>1</v>
      </c>
      <c r="EA544" s="1" t="b">
        <f ca="1">AND(DM544:DZ544)</f>
        <v>0</v>
      </c>
      <c r="EB544" s="11" t="s">
        <v>334</v>
      </c>
      <c r="EC544" s="1" t="str">
        <f ca="1">IF(DQ544,"","• Must be of Lawful Good Alignment.
")&amp;IF(DR544,"","• 4 ranks in Knowledge (religion).
")&amp;IF(DS544,"","• Must be able to cast 3rd-level arcane spells.
")&amp;IF(DT544,"","• Must be able to turn undead.
")&amp;IF(DZ544,"","• Not available in Living Greyhawk.")&amp;"."</f>
        <v>• 4 ranks in Knowledge (religion).
• Must be able to cast 3rd-level arcane spells.
• Must be able to turn undead.
.</v>
      </c>
      <c r="ED544" s="11" t="s">
        <v>335</v>
      </c>
    </row>
    <row r="545" spans="1:134" ht="11.25" customHeight="1" x14ac:dyDescent="0.2">
      <c r="A545" s="1">
        <f t="shared" si="493"/>
        <v>542</v>
      </c>
      <c r="B545" s="1" t="s">
        <v>1328</v>
      </c>
      <c r="E545" s="1">
        <f t="shared" si="464"/>
        <v>0</v>
      </c>
      <c r="F545" s="1">
        <v>1</v>
      </c>
      <c r="Z545" s="1" t="b">
        <f>FALSE</f>
        <v>0</v>
      </c>
      <c r="AA545" s="1" t="str">
        <f t="shared" si="467"/>
        <v/>
      </c>
      <c r="AB545" s="1" t="str">
        <f t="shared" si="468"/>
        <v/>
      </c>
      <c r="AC545" s="1">
        <f t="shared" si="465"/>
        <v>0</v>
      </c>
      <c r="AD545" s="1" t="str">
        <f t="shared" si="469"/>
        <v/>
      </c>
      <c r="AE545" s="1" t="str">
        <f t="shared" si="470"/>
        <v/>
      </c>
      <c r="AF545" s="1">
        <f t="shared" si="466"/>
        <v>0</v>
      </c>
      <c r="AG545" s="1">
        <f t="shared" si="509"/>
        <v>5</v>
      </c>
      <c r="AH545" s="1" t="str">
        <f t="shared" si="502"/>
        <v/>
      </c>
      <c r="EB545" s="11"/>
      <c r="ED545" s="11" t="s">
        <v>335</v>
      </c>
    </row>
    <row r="546" spans="1:134" ht="11.25" customHeight="1" x14ac:dyDescent="0.2">
      <c r="A546" s="1">
        <f t="shared" si="493"/>
        <v>543</v>
      </c>
      <c r="B546" s="1" t="s">
        <v>1329</v>
      </c>
      <c r="C546" s="1" t="s">
        <v>1330</v>
      </c>
      <c r="D546" s="1" t="s">
        <v>1330</v>
      </c>
      <c r="E546" s="1">
        <f t="shared" si="464"/>
        <v>0</v>
      </c>
      <c r="K546" s="1">
        <v>4</v>
      </c>
      <c r="L546" s="1">
        <v>10</v>
      </c>
      <c r="V546" s="1">
        <v>0.75</v>
      </c>
      <c r="W546" s="1">
        <v>0.34</v>
      </c>
      <c r="X546" s="1">
        <v>0.5</v>
      </c>
      <c r="Y546" s="1">
        <v>0.5</v>
      </c>
      <c r="Z546" s="1" t="b">
        <f>FALSE</f>
        <v>0</v>
      </c>
      <c r="AA546" s="1" t="str">
        <f t="shared" si="467"/>
        <v/>
      </c>
      <c r="AB546" s="1" t="str">
        <f t="shared" si="468"/>
        <v/>
      </c>
      <c r="AC546" s="1">
        <f t="shared" si="465"/>
        <v>0</v>
      </c>
      <c r="AD546" s="1" t="str">
        <f t="shared" si="469"/>
        <v/>
      </c>
      <c r="AE546" s="1" t="str">
        <f t="shared" si="470"/>
        <v/>
      </c>
      <c r="AF546" s="1">
        <f t="shared" si="466"/>
        <v>0</v>
      </c>
      <c r="AG546" s="1">
        <f t="shared" si="509"/>
        <v>5</v>
      </c>
      <c r="AH546" s="1" t="str">
        <f t="shared" si="502"/>
        <v/>
      </c>
      <c r="AI546" s="1">
        <v>1</v>
      </c>
      <c r="AJ546" s="1">
        <f>IF(HRXPH,2,0)</f>
        <v>0</v>
      </c>
      <c r="AK546" s="1">
        <f>IF(AtavistPersonality=2,2,1)</f>
        <v>1</v>
      </c>
      <c r="AL546" s="1">
        <v>1</v>
      </c>
      <c r="AM546" s="1">
        <f>IF(AtavistPersonality=5,2,1)</f>
        <v>1</v>
      </c>
      <c r="AN546" s="1">
        <f t="shared" ref="AN546:AN553" si="510">IF(IsLycanthrope,2,0)</f>
        <v>0</v>
      </c>
      <c r="AO546" s="1">
        <v>2</v>
      </c>
      <c r="AP546" s="1">
        <v>2</v>
      </c>
      <c r="AQ546" s="1">
        <v>2</v>
      </c>
      <c r="AR546" s="1">
        <v>2</v>
      </c>
      <c r="AS546" s="1">
        <v>2</v>
      </c>
      <c r="AT546" s="1">
        <v>2</v>
      </c>
      <c r="AU546" s="1">
        <v>2</v>
      </c>
      <c r="AV546" s="1">
        <v>2</v>
      </c>
      <c r="AW546" s="1">
        <v>1</v>
      </c>
      <c r="AX546" s="1">
        <f>IF(AtavistPersonality=5,2,1)</f>
        <v>1</v>
      </c>
      <c r="AY546" s="1">
        <v>1</v>
      </c>
      <c r="AZ546" s="1">
        <v>1</v>
      </c>
      <c r="BA546" s="1">
        <v>1</v>
      </c>
      <c r="BB546" s="1">
        <v>1</v>
      </c>
      <c r="BC546" s="1">
        <f>IF(AtavistPersonality=5,2,1)</f>
        <v>1</v>
      </c>
      <c r="BD546" s="1">
        <v>1</v>
      </c>
      <c r="BE546" s="1">
        <v>1</v>
      </c>
      <c r="BF546" s="1">
        <f>IF(AtavistPersonality=3,2,1)</f>
        <v>1</v>
      </c>
      <c r="BG546" s="1">
        <f t="shared" ref="BG546:BG553" si="511">IF(HRRVL,1,0)</f>
        <v>0</v>
      </c>
      <c r="BH546" s="1">
        <f t="shared" ref="BH546:BH553" si="512">IF(HROA,1,0)</f>
        <v>0</v>
      </c>
      <c r="BI546" s="1">
        <v>1</v>
      </c>
      <c r="BJ546" s="1">
        <f>IF(AtavistPersonality=2,2,1)</f>
        <v>1</v>
      </c>
      <c r="BK546" s="1">
        <v>1</v>
      </c>
      <c r="BL546" s="1">
        <v>1</v>
      </c>
      <c r="BM546" s="1">
        <v>1</v>
      </c>
      <c r="BN546" s="1">
        <v>1</v>
      </c>
      <c r="BO546" s="1">
        <v>2</v>
      </c>
      <c r="BP546" s="1">
        <v>1</v>
      </c>
      <c r="BQ546" s="1">
        <f>IF(HRRVL,1,0)</f>
        <v>0</v>
      </c>
      <c r="BR546" s="1">
        <v>1</v>
      </c>
      <c r="BS546" s="1">
        <v>1</v>
      </c>
      <c r="BT546" s="1">
        <v>2</v>
      </c>
      <c r="BU546" s="1">
        <f>IF(HRRVL,1,0)</f>
        <v>0</v>
      </c>
      <c r="BV546" s="1">
        <v>1</v>
      </c>
      <c r="BW546" s="1">
        <v>2</v>
      </c>
      <c r="BX546" s="1">
        <v>1</v>
      </c>
      <c r="BY546" s="1">
        <v>1</v>
      </c>
      <c r="BZ546" s="1">
        <v>1</v>
      </c>
      <c r="CA546" s="1">
        <v>1</v>
      </c>
      <c r="CB546" s="1">
        <v>1</v>
      </c>
      <c r="CC546" s="1">
        <v>1</v>
      </c>
      <c r="CD546" s="1">
        <v>1</v>
      </c>
      <c r="CE546" s="1">
        <v>1</v>
      </c>
      <c r="CF546" s="1">
        <f>IF(AtavistPersonality=4,2,1)</f>
        <v>1</v>
      </c>
      <c r="CG546" s="1">
        <f t="shared" ref="CG546:CG553" si="513">IF(HRToB,1,0)</f>
        <v>0</v>
      </c>
      <c r="CH546" s="1">
        <f>IF(AtavistPersonality=3,2,1)</f>
        <v>1</v>
      </c>
      <c r="CI546" s="1">
        <v>1</v>
      </c>
      <c r="CJ546" s="1">
        <v>2</v>
      </c>
      <c r="CK546" s="1">
        <v>2</v>
      </c>
      <c r="CL546" s="1">
        <v>2</v>
      </c>
      <c r="CM546" s="1">
        <v>2</v>
      </c>
      <c r="CN546" s="1">
        <v>2</v>
      </c>
      <c r="CO546" s="1">
        <v>2</v>
      </c>
      <c r="CP546" s="1">
        <v>2</v>
      </c>
      <c r="CQ546" s="1">
        <v>2</v>
      </c>
      <c r="CR546" s="1">
        <v>2</v>
      </c>
      <c r="CS546" s="1">
        <v>2</v>
      </c>
      <c r="CT546" s="1">
        <v>2</v>
      </c>
      <c r="CU546" s="1">
        <v>2</v>
      </c>
      <c r="CV546" s="1">
        <v>1</v>
      </c>
      <c r="CW546" s="1">
        <v>1</v>
      </c>
      <c r="CX546" s="1">
        <f>IF(AtavistPersonality=3,2,1)</f>
        <v>1</v>
      </c>
      <c r="CY546" s="1">
        <f>IF(AtavistPersonality=5,2,1)</f>
        <v>1</v>
      </c>
      <c r="CZ546" s="1">
        <f t="shared" ref="CZ546:CZ553" si="514">IF(HRCS,1,0)</f>
        <v>0</v>
      </c>
      <c r="DA546" s="1">
        <v>1</v>
      </c>
      <c r="DB546" s="1">
        <v>1</v>
      </c>
      <c r="DC546" s="1">
        <v>1</v>
      </c>
      <c r="DD546" s="1">
        <f>IF(AtavistPersonality=4,2,1)</f>
        <v>1</v>
      </c>
      <c r="DE546" s="1">
        <v>1</v>
      </c>
      <c r="DF546" s="1">
        <v>1</v>
      </c>
      <c r="DG546" s="1">
        <f>IF(AtavistPersonality=2,2,1)</f>
        <v>1</v>
      </c>
      <c r="DH546" s="1">
        <v>1</v>
      </c>
      <c r="DI546" s="1">
        <f>IF(PsionDisciplineCell=3,2,1)</f>
        <v>1</v>
      </c>
      <c r="DJ546" s="1">
        <v>1</v>
      </c>
      <c r="DK546" s="1" t="s">
        <v>1331</v>
      </c>
      <c r="DL546" s="1" t="s">
        <v>170</v>
      </c>
      <c r="DP546" s="1" t="b">
        <f>RaceCi="Kalashtar"</f>
        <v>0</v>
      </c>
      <c r="DQ546" s="1" t="b">
        <f>AND(AlignmentLawful,AlignmentNonEvil)</f>
        <v>1</v>
      </c>
      <c r="DR546" s="1" t="b">
        <f>SkConcentrationRanks&gt;=8</f>
        <v>0</v>
      </c>
      <c r="DS546" s="1" t="b">
        <f>OR(OR(FreeImprovedUnarmedStrike,FtImprovedUnarmed),SouLvl&gt;=1)</f>
        <v>0</v>
      </c>
      <c r="DZ546" s="1" t="b">
        <f t="shared" ref="DZ546:DZ553" si="515">NOT(HRLivingGreyhawk)</f>
        <v>1</v>
      </c>
      <c r="EA546" s="1" t="b">
        <f t="shared" ref="EA546:EA552" si="516">AND(DM546:DZ546)</f>
        <v>0</v>
      </c>
      <c r="EB546" s="11" t="s">
        <v>334</v>
      </c>
      <c r="EC546" s="1" t="str">
        <f>IF(DP546,"","• Race: Kalashtar.
")&amp;IF(DQ546,"","• Alignment: Lawful Good or Lawful Neutral.
")&amp;IF(DR546,"","• 8 ranks in Concentration.
")&amp;IF(DS546,"","• Improved Unarmed Strike feat or mind blade class feature.
")</f>
        <v xml:space="preserve">• Race: Kalashtar.
• 8 ranks in Concentration.
• Improved Unarmed Strike feat or mind blade class feature.
</v>
      </c>
      <c r="ED546" s="11" t="s">
        <v>335</v>
      </c>
    </row>
    <row r="547" spans="1:134" ht="11.25" customHeight="1" x14ac:dyDescent="0.2">
      <c r="A547" s="1">
        <f t="shared" si="493"/>
        <v>544</v>
      </c>
      <c r="B547" s="1" t="s">
        <v>1332</v>
      </c>
      <c r="C547" s="1" t="s">
        <v>1333</v>
      </c>
      <c r="D547" s="1" t="s">
        <v>1333</v>
      </c>
      <c r="E547" s="1">
        <f t="shared" si="464"/>
        <v>0</v>
      </c>
      <c r="K547" s="1">
        <v>6</v>
      </c>
      <c r="L547" s="1">
        <v>6</v>
      </c>
      <c r="V547" s="1">
        <v>0.75</v>
      </c>
      <c r="W547" s="1">
        <v>0.34</v>
      </c>
      <c r="X547" s="1">
        <v>0.5</v>
      </c>
      <c r="Y547" s="1">
        <v>0.5</v>
      </c>
      <c r="Z547" s="1" t="b">
        <f>FALSE</f>
        <v>0</v>
      </c>
      <c r="AA547" s="1" t="str">
        <f t="shared" si="467"/>
        <v/>
      </c>
      <c r="AB547" s="1" t="str">
        <f t="shared" si="468"/>
        <v/>
      </c>
      <c r="AC547" s="1">
        <f t="shared" si="465"/>
        <v>0</v>
      </c>
      <c r="AD547" s="1" t="str">
        <f t="shared" si="469"/>
        <v/>
      </c>
      <c r="AE547" s="1" t="str">
        <f t="shared" si="470"/>
        <v/>
      </c>
      <c r="AF547" s="1">
        <f t="shared" si="466"/>
        <v>0</v>
      </c>
      <c r="AG547" s="1">
        <f t="shared" si="509"/>
        <v>5</v>
      </c>
      <c r="AH547" s="1" t="str">
        <f t="shared" si="502"/>
        <v/>
      </c>
      <c r="AI547" s="1">
        <v>1</v>
      </c>
      <c r="AJ547" s="1">
        <f>IF(HRXPH,1,0)</f>
        <v>0</v>
      </c>
      <c r="AK547" s="1">
        <v>1</v>
      </c>
      <c r="AL547" s="1">
        <v>2</v>
      </c>
      <c r="AM547" s="1">
        <v>1</v>
      </c>
      <c r="AN547" s="1">
        <f t="shared" si="510"/>
        <v>0</v>
      </c>
      <c r="AO547" s="1">
        <v>1</v>
      </c>
      <c r="AP547" s="1">
        <v>2</v>
      </c>
      <c r="AQ547" s="1">
        <v>2</v>
      </c>
      <c r="AR547" s="1">
        <v>2</v>
      </c>
      <c r="AS547" s="1">
        <v>2</v>
      </c>
      <c r="AT547" s="1">
        <v>2</v>
      </c>
      <c r="AU547" s="1">
        <v>2</v>
      </c>
      <c r="AV547" s="1">
        <v>2</v>
      </c>
      <c r="AW547" s="1">
        <v>1</v>
      </c>
      <c r="AX547" s="1">
        <v>2</v>
      </c>
      <c r="AY547" s="1">
        <v>1</v>
      </c>
      <c r="AZ547" s="1">
        <v>2</v>
      </c>
      <c r="BA547" s="1">
        <v>1</v>
      </c>
      <c r="BB547" s="1">
        <v>1</v>
      </c>
      <c r="BC547" s="1">
        <v>2</v>
      </c>
      <c r="BD547" s="1">
        <v>1</v>
      </c>
      <c r="BE547" s="1">
        <v>1</v>
      </c>
      <c r="BF547" s="1">
        <v>1</v>
      </c>
      <c r="BG547" s="1">
        <f t="shared" si="511"/>
        <v>0</v>
      </c>
      <c r="BH547" s="1">
        <f t="shared" si="512"/>
        <v>0</v>
      </c>
      <c r="BI547" s="1">
        <v>2</v>
      </c>
      <c r="BJ547" s="1">
        <v>1</v>
      </c>
      <c r="BK547" s="1">
        <v>1</v>
      </c>
      <c r="BL547" s="1">
        <v>1</v>
      </c>
      <c r="BM547" s="1">
        <v>1</v>
      </c>
      <c r="BN547" s="1">
        <v>1</v>
      </c>
      <c r="BO547" s="1">
        <v>1</v>
      </c>
      <c r="BP547" s="1">
        <v>2</v>
      </c>
      <c r="BQ547" s="1">
        <f>IF(HRRVL,1,0)</f>
        <v>0</v>
      </c>
      <c r="BR547" s="1">
        <v>1</v>
      </c>
      <c r="BS547" s="1">
        <v>1</v>
      </c>
      <c r="BT547" s="1">
        <v>0</v>
      </c>
      <c r="BU547" s="1">
        <f>IF(HRRVL,1,0)</f>
        <v>0</v>
      </c>
      <c r="BV547" s="1">
        <v>1</v>
      </c>
      <c r="BW547" s="1">
        <v>1</v>
      </c>
      <c r="BX547" s="1">
        <v>1</v>
      </c>
      <c r="BY547" s="1">
        <v>1</v>
      </c>
      <c r="BZ547" s="1">
        <v>1</v>
      </c>
      <c r="CA547" s="1">
        <v>1</v>
      </c>
      <c r="CB547" s="1">
        <v>1</v>
      </c>
      <c r="CC547" s="1">
        <v>1</v>
      </c>
      <c r="CD547" s="1">
        <v>1</v>
      </c>
      <c r="CE547" s="1">
        <v>1</v>
      </c>
      <c r="CF547" s="1">
        <v>2</v>
      </c>
      <c r="CG547" s="1">
        <f t="shared" si="513"/>
        <v>0</v>
      </c>
      <c r="CH547" s="1">
        <v>1</v>
      </c>
      <c r="CI547" s="1">
        <v>1</v>
      </c>
      <c r="CJ547" s="1">
        <v>2</v>
      </c>
      <c r="CK547" s="1">
        <v>2</v>
      </c>
      <c r="CL547" s="1">
        <v>2</v>
      </c>
      <c r="CM547" s="1">
        <v>2</v>
      </c>
      <c r="CN547" s="1">
        <v>2</v>
      </c>
      <c r="CO547" s="1">
        <v>2</v>
      </c>
      <c r="CP547" s="1">
        <v>2</v>
      </c>
      <c r="CQ547" s="1">
        <v>2</v>
      </c>
      <c r="CR547" s="1">
        <v>2</v>
      </c>
      <c r="CS547" s="1">
        <v>2</v>
      </c>
      <c r="CT547" s="1">
        <v>2</v>
      </c>
      <c r="CU547" s="1">
        <v>2</v>
      </c>
      <c r="CV547" s="1">
        <v>0</v>
      </c>
      <c r="CW547" s="1">
        <v>1</v>
      </c>
      <c r="CX547" s="1">
        <v>1</v>
      </c>
      <c r="CY547" s="1">
        <v>2</v>
      </c>
      <c r="CZ547" s="1">
        <f t="shared" si="514"/>
        <v>0</v>
      </c>
      <c r="DA547" s="1">
        <v>1</v>
      </c>
      <c r="DB547" s="1">
        <v>1</v>
      </c>
      <c r="DC547" s="1">
        <v>1</v>
      </c>
      <c r="DD547" s="1">
        <v>2</v>
      </c>
      <c r="DE547" s="1">
        <v>1</v>
      </c>
      <c r="DF547" s="1">
        <v>1</v>
      </c>
      <c r="DG547" s="1">
        <v>1</v>
      </c>
      <c r="DH547" s="1">
        <v>1</v>
      </c>
      <c r="DI547" s="1">
        <v>0</v>
      </c>
      <c r="DJ547" s="1">
        <v>1</v>
      </c>
      <c r="DK547" s="1" t="s">
        <v>1331</v>
      </c>
      <c r="DL547" s="1" t="s">
        <v>170</v>
      </c>
      <c r="DP547" s="1" t="b">
        <f>RaceCi="Changeling"</f>
        <v>0</v>
      </c>
      <c r="DQ547" s="1" t="b">
        <f>SkDisguiseRanks&gt;=9</f>
        <v>0</v>
      </c>
      <c r="DR547" s="1" t="b">
        <f>FtPersonaImmersion</f>
        <v>0</v>
      </c>
      <c r="DZ547" s="1" t="b">
        <f t="shared" si="515"/>
        <v>1</v>
      </c>
      <c r="EA547" s="1" t="b">
        <f t="shared" si="516"/>
        <v>0</v>
      </c>
      <c r="EB547" s="11" t="s">
        <v>338</v>
      </c>
      <c r="EC547" s="1" t="str">
        <f>IF(DP547,"","• Race: Changeling.
")&amp;IF(DQ547,"","• 9 ranks in Disguise.
")&amp;IF(DR547,"","• Persona Immersion.
")&amp;"• Must complete a trial assignment for the Cabinet of Faces. (not checked)
"&amp;"• Not available in Living Greyhawk."</f>
        <v>• Race: Changeling.
• 9 ranks in Disguise.
• Persona Immersion.
• Must complete a trial assignment for the Cabinet of Faces. (not checked)
• Not available in Living Greyhawk.</v>
      </c>
      <c r="ED547" s="11" t="s">
        <v>335</v>
      </c>
    </row>
    <row r="548" spans="1:134" ht="11.25" customHeight="1" x14ac:dyDescent="0.2">
      <c r="A548" s="1">
        <f t="shared" si="493"/>
        <v>545</v>
      </c>
      <c r="B548" s="1" t="s">
        <v>1334</v>
      </c>
      <c r="C548" s="1" t="s">
        <v>915</v>
      </c>
      <c r="D548" s="1" t="s">
        <v>915</v>
      </c>
      <c r="E548" s="1">
        <f t="shared" si="464"/>
        <v>0</v>
      </c>
      <c r="G548" s="1">
        <f>MnSpLvl</f>
        <v>0</v>
      </c>
      <c r="K548" s="1">
        <v>4</v>
      </c>
      <c r="L548" s="1">
        <v>8</v>
      </c>
      <c r="V548" s="1">
        <v>0.75</v>
      </c>
      <c r="W548" s="1">
        <v>0.5</v>
      </c>
      <c r="X548" s="1">
        <v>0.34</v>
      </c>
      <c r="Y548" s="1">
        <v>0.5</v>
      </c>
      <c r="Z548" s="1" t="b">
        <f>FALSE</f>
        <v>0</v>
      </c>
      <c r="AA548" s="1" t="str">
        <f t="shared" si="467"/>
        <v/>
      </c>
      <c r="AB548" s="1" t="str">
        <f t="shared" si="468"/>
        <v/>
      </c>
      <c r="AC548" s="1">
        <f t="shared" si="465"/>
        <v>0</v>
      </c>
      <c r="AD548" s="1" t="str">
        <f t="shared" si="469"/>
        <v/>
      </c>
      <c r="AE548" s="1" t="str">
        <f t="shared" si="470"/>
        <v/>
      </c>
      <c r="AF548" s="1">
        <f t="shared" si="466"/>
        <v>0</v>
      </c>
      <c r="AG548" s="1">
        <f t="shared" si="509"/>
        <v>5</v>
      </c>
      <c r="AH548" s="1" t="str">
        <f t="shared" si="502"/>
        <v/>
      </c>
      <c r="AI548" s="1">
        <v>1</v>
      </c>
      <c r="AJ548" s="1">
        <f>IF(HRXPH,1,0)</f>
        <v>0</v>
      </c>
      <c r="AK548" s="1">
        <v>1</v>
      </c>
      <c r="AL548" s="1">
        <v>1</v>
      </c>
      <c r="AM548" s="1">
        <v>1</v>
      </c>
      <c r="AN548" s="1">
        <f t="shared" si="510"/>
        <v>0</v>
      </c>
      <c r="AO548" s="1">
        <v>2</v>
      </c>
      <c r="AP548" s="1">
        <v>2</v>
      </c>
      <c r="AQ548" s="1">
        <v>2</v>
      </c>
      <c r="AR548" s="1">
        <v>2</v>
      </c>
      <c r="AS548" s="1">
        <v>2</v>
      </c>
      <c r="AT548" s="1">
        <v>2</v>
      </c>
      <c r="AU548" s="1">
        <v>2</v>
      </c>
      <c r="AV548" s="1">
        <v>2</v>
      </c>
      <c r="AW548" s="1">
        <v>1</v>
      </c>
      <c r="AX548" s="1">
        <v>2</v>
      </c>
      <c r="AY548" s="1">
        <v>1</v>
      </c>
      <c r="AZ548" s="1">
        <v>1</v>
      </c>
      <c r="BA548" s="1">
        <v>1</v>
      </c>
      <c r="BB548" s="1">
        <v>1</v>
      </c>
      <c r="BC548" s="1">
        <v>1</v>
      </c>
      <c r="BD548" s="1">
        <v>1</v>
      </c>
      <c r="BE548" s="1">
        <v>2</v>
      </c>
      <c r="BF548" s="1">
        <v>1</v>
      </c>
      <c r="BG548" s="1">
        <f t="shared" si="511"/>
        <v>0</v>
      </c>
      <c r="BH548" s="1">
        <f t="shared" si="512"/>
        <v>0</v>
      </c>
      <c r="BI548" s="1">
        <v>1</v>
      </c>
      <c r="BJ548" s="1">
        <v>1</v>
      </c>
      <c r="BK548" s="1">
        <v>1</v>
      </c>
      <c r="BL548" s="1">
        <v>1</v>
      </c>
      <c r="BM548" s="1">
        <v>1</v>
      </c>
      <c r="BN548" s="1">
        <v>1</v>
      </c>
      <c r="BO548" s="1">
        <v>1</v>
      </c>
      <c r="BP548" s="1">
        <v>1</v>
      </c>
      <c r="BQ548" s="1">
        <f>IF(HRRVL,2,0)</f>
        <v>0</v>
      </c>
      <c r="BR548" s="1">
        <v>2</v>
      </c>
      <c r="BS548" s="1">
        <v>1</v>
      </c>
      <c r="BT548" s="1">
        <v>0</v>
      </c>
      <c r="BU548" s="1">
        <f>IF(HRRVL,2,0)</f>
        <v>0</v>
      </c>
      <c r="BV548" s="1">
        <v>2</v>
      </c>
      <c r="BW548" s="1">
        <v>1</v>
      </c>
      <c r="BX548" s="1">
        <v>1</v>
      </c>
      <c r="BY548" s="1">
        <v>1</v>
      </c>
      <c r="BZ548" s="1">
        <v>1</v>
      </c>
      <c r="CA548" s="1">
        <v>1</v>
      </c>
      <c r="CB548" s="1">
        <v>1</v>
      </c>
      <c r="CC548" s="1">
        <v>1</v>
      </c>
      <c r="CD548" s="1">
        <v>1</v>
      </c>
      <c r="CE548" s="1">
        <v>1</v>
      </c>
      <c r="CF548" s="1">
        <v>2</v>
      </c>
      <c r="CG548" s="1">
        <f t="shared" si="513"/>
        <v>0</v>
      </c>
      <c r="CH548" s="1">
        <v>1</v>
      </c>
      <c r="CI548" s="1">
        <v>1</v>
      </c>
      <c r="CJ548" s="1">
        <v>1</v>
      </c>
      <c r="CK548" s="1">
        <v>1</v>
      </c>
      <c r="CL548" s="1">
        <v>1</v>
      </c>
      <c r="CM548" s="1">
        <v>1</v>
      </c>
      <c r="CN548" s="1">
        <v>1</v>
      </c>
      <c r="CO548" s="1">
        <v>1</v>
      </c>
      <c r="CP548" s="1">
        <v>2</v>
      </c>
      <c r="CQ548" s="1">
        <v>2</v>
      </c>
      <c r="CR548" s="1">
        <v>2</v>
      </c>
      <c r="CS548" s="1">
        <v>2</v>
      </c>
      <c r="CT548" s="1">
        <v>2</v>
      </c>
      <c r="CU548" s="1">
        <v>2</v>
      </c>
      <c r="CV548" s="1">
        <v>0</v>
      </c>
      <c r="CW548" s="1">
        <v>1</v>
      </c>
      <c r="CX548" s="1">
        <v>1</v>
      </c>
      <c r="CY548" s="1">
        <v>1</v>
      </c>
      <c r="CZ548" s="1">
        <f t="shared" si="514"/>
        <v>0</v>
      </c>
      <c r="DA548" s="1">
        <v>1</v>
      </c>
      <c r="DB548" s="1">
        <v>1</v>
      </c>
      <c r="DC548" s="1">
        <v>2</v>
      </c>
      <c r="DD548" s="1">
        <v>2</v>
      </c>
      <c r="DE548" s="1">
        <v>2</v>
      </c>
      <c r="DF548" s="1">
        <v>2</v>
      </c>
      <c r="DG548" s="1">
        <v>1</v>
      </c>
      <c r="DH548" s="1">
        <v>1</v>
      </c>
      <c r="DI548" s="1">
        <v>0</v>
      </c>
      <c r="DJ548" s="1">
        <v>1</v>
      </c>
      <c r="DK548" s="1" t="s">
        <v>1331</v>
      </c>
      <c r="DL548" s="1" t="s">
        <v>170</v>
      </c>
      <c r="DP548" s="1" t="b">
        <f>RaceCi="Shifter"</f>
        <v>0</v>
      </c>
      <c r="DQ548" s="1" t="b">
        <f>SkKnowledgeNatureRanks&gt;=11</f>
        <v>0</v>
      </c>
      <c r="DR548" s="1" t="b">
        <f>SkKnowledgeReligionRanks&gt;=4</f>
        <v>0</v>
      </c>
      <c r="DS548" s="1" t="b">
        <f ca="1">MaxDivineSpellLevel&gt;=2</f>
        <v>0</v>
      </c>
      <c r="DZ548" s="1" t="b">
        <f t="shared" si="515"/>
        <v>1</v>
      </c>
      <c r="EA548" s="1" t="b">
        <f ca="1">AND(DM548:DZ548)</f>
        <v>0</v>
      </c>
      <c r="EB548" s="11" t="s">
        <v>334</v>
      </c>
      <c r="EC548" s="1" t="str">
        <f ca="1">IF(DP548,"","• Race: Shifter.
")&amp;IF(DQ548,"","• 11 ranks in Knowledge (nature).
")&amp;IF(DR548,"","• 4 ranks in Knowledge (religion).
")&amp;IF(DS548,"","• Able to cast 2nd-level divine spells.
")&amp;"• Not available in Living Greyhawk."</f>
        <v>• Race: Shifter.
• 11 ranks in Knowledge (nature).
• 4 ranks in Knowledge (religion).
• Able to cast 2nd-level divine spells.
• Not available in Living Greyhawk.</v>
      </c>
      <c r="ED548" s="11" t="s">
        <v>335</v>
      </c>
    </row>
    <row r="549" spans="1:134" ht="11.25" customHeight="1" x14ac:dyDescent="0.2">
      <c r="A549" s="1">
        <f t="shared" si="493"/>
        <v>546</v>
      </c>
      <c r="B549" s="1" t="s">
        <v>1335</v>
      </c>
      <c r="C549" s="1" t="s">
        <v>1336</v>
      </c>
      <c r="D549" s="1" t="s">
        <v>1336</v>
      </c>
      <c r="E549" s="1">
        <f t="shared" si="464"/>
        <v>0</v>
      </c>
      <c r="I549" s="1">
        <f>MAX(0,QrNLvl-1)</f>
        <v>0</v>
      </c>
      <c r="K549" s="1">
        <v>4</v>
      </c>
      <c r="L549" s="1">
        <v>8</v>
      </c>
      <c r="V549" s="1">
        <v>0.75</v>
      </c>
      <c r="W549" s="1">
        <v>0.34</v>
      </c>
      <c r="X549" s="1">
        <v>0.34</v>
      </c>
      <c r="Y549" s="1">
        <v>0.5</v>
      </c>
      <c r="Z549" s="1" t="b">
        <f>FALSE</f>
        <v>0</v>
      </c>
      <c r="AA549" s="1" t="str">
        <f t="shared" si="467"/>
        <v/>
      </c>
      <c r="AB549" s="1" t="str">
        <f t="shared" si="468"/>
        <v/>
      </c>
      <c r="AC549" s="1">
        <f t="shared" si="465"/>
        <v>0</v>
      </c>
      <c r="AD549" s="1" t="str">
        <f t="shared" si="469"/>
        <v/>
      </c>
      <c r="AE549" s="1" t="str">
        <f t="shared" si="470"/>
        <v/>
      </c>
      <c r="AF549" s="1">
        <f t="shared" si="466"/>
        <v>0</v>
      </c>
      <c r="AG549" s="1">
        <f t="shared" si="509"/>
        <v>5</v>
      </c>
      <c r="AH549" s="1" t="str">
        <f t="shared" si="502"/>
        <v/>
      </c>
      <c r="AI549" s="1">
        <v>1</v>
      </c>
      <c r="AJ549" s="1">
        <f>IF(HRXPH,2,0)</f>
        <v>0</v>
      </c>
      <c r="AK549" s="1">
        <v>1</v>
      </c>
      <c r="AL549" s="1">
        <v>2</v>
      </c>
      <c r="AM549" s="1">
        <v>1</v>
      </c>
      <c r="AN549" s="1">
        <f t="shared" si="510"/>
        <v>0</v>
      </c>
      <c r="AO549" s="1">
        <v>2</v>
      </c>
      <c r="AP549" s="1">
        <v>1</v>
      </c>
      <c r="AQ549" s="1">
        <v>1</v>
      </c>
      <c r="AR549" s="1">
        <v>1</v>
      </c>
      <c r="AS549" s="1">
        <v>1</v>
      </c>
      <c r="AT549" s="1">
        <v>1</v>
      </c>
      <c r="AU549" s="1">
        <v>1</v>
      </c>
      <c r="AV549" s="1">
        <v>1</v>
      </c>
      <c r="AW549" s="1">
        <v>1</v>
      </c>
      <c r="AX549" s="1">
        <v>1</v>
      </c>
      <c r="AY549" s="1">
        <v>1</v>
      </c>
      <c r="AZ549" s="1">
        <v>2</v>
      </c>
      <c r="BA549" s="1">
        <v>1</v>
      </c>
      <c r="BB549" s="1">
        <v>1</v>
      </c>
      <c r="BC549" s="1">
        <v>1</v>
      </c>
      <c r="BD549" s="1">
        <v>1</v>
      </c>
      <c r="BE549" s="1">
        <v>1</v>
      </c>
      <c r="BF549" s="1">
        <v>2</v>
      </c>
      <c r="BG549" s="1">
        <f t="shared" si="511"/>
        <v>0</v>
      </c>
      <c r="BH549" s="1">
        <f t="shared" si="512"/>
        <v>0</v>
      </c>
      <c r="BI549" s="1">
        <v>2</v>
      </c>
      <c r="BJ549" s="1">
        <v>1</v>
      </c>
      <c r="BK549" s="1">
        <v>1</v>
      </c>
      <c r="BL549" s="1">
        <v>1</v>
      </c>
      <c r="BM549" s="1">
        <v>1</v>
      </c>
      <c r="BN549" s="1">
        <v>1</v>
      </c>
      <c r="BO549" s="1">
        <v>1</v>
      </c>
      <c r="BP549" s="1">
        <v>1</v>
      </c>
      <c r="BQ549" s="1">
        <f>IF(HRRVL,1,0)</f>
        <v>0</v>
      </c>
      <c r="BR549" s="1">
        <v>1</v>
      </c>
      <c r="BS549" s="1">
        <v>1</v>
      </c>
      <c r="BT549" s="1">
        <v>2</v>
      </c>
      <c r="BU549" s="1">
        <f>IF(HRRVL,1,0)</f>
        <v>0</v>
      </c>
      <c r="BV549" s="1">
        <v>1</v>
      </c>
      <c r="BW549" s="1">
        <v>1</v>
      </c>
      <c r="BX549" s="1">
        <v>1</v>
      </c>
      <c r="BY549" s="1">
        <v>1</v>
      </c>
      <c r="BZ549" s="1">
        <v>1</v>
      </c>
      <c r="CA549" s="1">
        <v>1</v>
      </c>
      <c r="CB549" s="1">
        <v>1</v>
      </c>
      <c r="CC549" s="1">
        <v>1</v>
      </c>
      <c r="CD549" s="1">
        <v>1</v>
      </c>
      <c r="CE549" s="1">
        <v>1</v>
      </c>
      <c r="CF549" s="1">
        <v>2</v>
      </c>
      <c r="CG549" s="1">
        <f t="shared" si="513"/>
        <v>0</v>
      </c>
      <c r="CH549" s="1">
        <v>2</v>
      </c>
      <c r="CI549" s="1">
        <v>1</v>
      </c>
      <c r="CJ549" s="1">
        <v>1</v>
      </c>
      <c r="CK549" s="1">
        <v>1</v>
      </c>
      <c r="CL549" s="1">
        <v>1</v>
      </c>
      <c r="CM549" s="1">
        <v>1</v>
      </c>
      <c r="CN549" s="1">
        <v>1</v>
      </c>
      <c r="CO549" s="1">
        <v>1</v>
      </c>
      <c r="CP549" s="1">
        <v>1</v>
      </c>
      <c r="CQ549" s="1">
        <v>1</v>
      </c>
      <c r="CR549" s="1">
        <v>1</v>
      </c>
      <c r="CS549" s="1">
        <v>1</v>
      </c>
      <c r="CT549" s="1">
        <v>1</v>
      </c>
      <c r="CU549" s="1">
        <v>1</v>
      </c>
      <c r="CV549" s="1">
        <v>2</v>
      </c>
      <c r="CW549" s="1">
        <v>1</v>
      </c>
      <c r="CX549" s="1">
        <v>1</v>
      </c>
      <c r="CY549" s="1">
        <v>2</v>
      </c>
      <c r="CZ549" s="1">
        <f t="shared" si="514"/>
        <v>0</v>
      </c>
      <c r="DA549" s="1">
        <v>1</v>
      </c>
      <c r="DB549" s="1">
        <v>1</v>
      </c>
      <c r="DC549" s="1">
        <v>1</v>
      </c>
      <c r="DD549" s="1">
        <v>2</v>
      </c>
      <c r="DE549" s="1">
        <v>1</v>
      </c>
      <c r="DF549" s="1">
        <v>1</v>
      </c>
      <c r="DG549" s="1">
        <v>1</v>
      </c>
      <c r="DH549" s="1">
        <v>1</v>
      </c>
      <c r="DI549" s="1">
        <v>1</v>
      </c>
      <c r="DJ549" s="1">
        <v>1</v>
      </c>
      <c r="DK549" s="1" t="s">
        <v>1331</v>
      </c>
      <c r="DL549" s="1" t="s">
        <v>170</v>
      </c>
      <c r="DP549" s="1" t="b">
        <f>RaceCi="Kalashtar"</f>
        <v>0</v>
      </c>
      <c r="DQ549" s="1" t="b">
        <f>SkConcentrationRanks&gt;=8</f>
        <v>0</v>
      </c>
      <c r="DR549" s="1" t="b">
        <f>SkIntimidateRanks&gt;=4</f>
        <v>0</v>
      </c>
      <c r="DS549" s="1" t="b">
        <f>PsionicSelected&gt;=1</f>
        <v>0</v>
      </c>
      <c r="DZ549" s="1" t="b">
        <f t="shared" si="515"/>
        <v>1</v>
      </c>
      <c r="EA549" s="1" t="b">
        <f t="shared" si="516"/>
        <v>0</v>
      </c>
      <c r="EB549" s="11" t="s">
        <v>334</v>
      </c>
      <c r="EC549" s="1" t="str">
        <f>IF(DP549,"","• Race: Kalashtar or Inspired.
")&amp;IF(DQ549,"","• 6 ranks in Concentration.
")&amp;IF(DR549,"","• 4 ranks in Intimidate.
")&amp;IF(DS549,"","• Any one psionic feat.
")&amp;IF(DZ549,"","• Not available in Living Greyhawk.")</f>
        <v xml:space="preserve">• Race: Kalashtar or Inspired.
• 6 ranks in Concentration.
• 4 ranks in Intimidate.
• Any one psionic feat.
</v>
      </c>
      <c r="ED549" s="11" t="s">
        <v>335</v>
      </c>
    </row>
    <row r="550" spans="1:134" ht="11.25" customHeight="1" x14ac:dyDescent="0.2">
      <c r="A550" s="1">
        <f t="shared" si="493"/>
        <v>547</v>
      </c>
      <c r="B550" s="1" t="s">
        <v>1337</v>
      </c>
      <c r="C550" s="1" t="s">
        <v>1338</v>
      </c>
      <c r="D550" s="1" t="s">
        <v>1338</v>
      </c>
      <c r="E550" s="1">
        <f t="shared" ref="E550:E639" si="517">$AC550+$AF550+IF(HasVirtualClasses,COUNTIF(TblVClassesAtLvlCS,$A550),0)</f>
        <v>0</v>
      </c>
      <c r="K550" s="1">
        <v>4</v>
      </c>
      <c r="L550" s="1">
        <v>8</v>
      </c>
      <c r="V550" s="1">
        <v>1</v>
      </c>
      <c r="W550" s="1">
        <v>0.5</v>
      </c>
      <c r="X550" s="1">
        <v>0.5</v>
      </c>
      <c r="Y550" s="1">
        <v>0.34</v>
      </c>
      <c r="Z550" s="1" t="b">
        <f>FALSE</f>
        <v>0</v>
      </c>
      <c r="AA550" s="1" t="str">
        <f t="shared" si="467"/>
        <v/>
      </c>
      <c r="AB550" s="1" t="str">
        <f t="shared" si="468"/>
        <v/>
      </c>
      <c r="AC550" s="1">
        <f t="shared" ref="AC550:AC639" si="518">COUNTIF(TblClassesAtLvlCS,$A550)</f>
        <v>0</v>
      </c>
      <c r="AD550" s="1" t="str">
        <f t="shared" si="469"/>
        <v/>
      </c>
      <c r="AE550" s="1" t="str">
        <f t="shared" si="470"/>
        <v/>
      </c>
      <c r="AF550" s="1">
        <f t="shared" ref="AF550:AF639" si="519">IF(HRGestalt,COUNTIF(TblGClassesAtLvlCS,$A550),0)</f>
        <v>0</v>
      </c>
      <c r="AG550" s="1">
        <f t="shared" si="509"/>
        <v>5</v>
      </c>
      <c r="AH550" s="1" t="str">
        <f t="shared" si="502"/>
        <v/>
      </c>
      <c r="AI550" s="1">
        <v>1</v>
      </c>
      <c r="AJ550" s="1">
        <f>IF(HRXPH,1,0)</f>
        <v>0</v>
      </c>
      <c r="AK550" s="1">
        <v>1</v>
      </c>
      <c r="AL550" s="1">
        <v>1</v>
      </c>
      <c r="AM550" s="1">
        <v>2</v>
      </c>
      <c r="AN550" s="1">
        <f t="shared" si="510"/>
        <v>0</v>
      </c>
      <c r="AO550" s="1">
        <v>1</v>
      </c>
      <c r="AP550" s="1">
        <v>2</v>
      </c>
      <c r="AQ550" s="1">
        <v>2</v>
      </c>
      <c r="AR550" s="1">
        <v>2</v>
      </c>
      <c r="AS550" s="1">
        <v>2</v>
      </c>
      <c r="AT550" s="1">
        <v>2</v>
      </c>
      <c r="AU550" s="1">
        <v>2</v>
      </c>
      <c r="AV550" s="1">
        <v>2</v>
      </c>
      <c r="AW550" s="1">
        <v>1</v>
      </c>
      <c r="AX550" s="1">
        <v>1</v>
      </c>
      <c r="AY550" s="1">
        <v>1</v>
      </c>
      <c r="AZ550" s="1">
        <v>1</v>
      </c>
      <c r="BA550" s="1">
        <v>1</v>
      </c>
      <c r="BB550" s="1">
        <v>1</v>
      </c>
      <c r="BC550" s="1">
        <v>1</v>
      </c>
      <c r="BD550" s="1">
        <v>2</v>
      </c>
      <c r="BE550" s="1">
        <v>2</v>
      </c>
      <c r="BF550" s="1">
        <v>2</v>
      </c>
      <c r="BG550" s="1">
        <f t="shared" si="511"/>
        <v>0</v>
      </c>
      <c r="BH550" s="1">
        <f t="shared" si="512"/>
        <v>0</v>
      </c>
      <c r="BI550" s="1">
        <v>1</v>
      </c>
      <c r="BJ550" s="1">
        <v>2</v>
      </c>
      <c r="BK550" s="1">
        <v>1</v>
      </c>
      <c r="BL550" s="1">
        <v>1</v>
      </c>
      <c r="BM550" s="1">
        <v>1</v>
      </c>
      <c r="BN550" s="1">
        <v>2</v>
      </c>
      <c r="BO550" s="1">
        <v>1</v>
      </c>
      <c r="BP550" s="1">
        <v>1</v>
      </c>
      <c r="BQ550" s="1">
        <f>IF(HRRVL,2,0)</f>
        <v>0</v>
      </c>
      <c r="BR550" s="1">
        <v>2</v>
      </c>
      <c r="BS550" s="1">
        <v>1</v>
      </c>
      <c r="BT550" s="1">
        <v>1</v>
      </c>
      <c r="BU550" s="1">
        <f>IF(HRRVL,1,0)</f>
        <v>0</v>
      </c>
      <c r="BV550" s="1">
        <v>1</v>
      </c>
      <c r="BW550" s="1">
        <v>1</v>
      </c>
      <c r="BX550" s="1">
        <v>1</v>
      </c>
      <c r="BY550" s="1">
        <v>1</v>
      </c>
      <c r="BZ550" s="1">
        <v>1</v>
      </c>
      <c r="CA550" s="1">
        <v>1</v>
      </c>
      <c r="CB550" s="1">
        <v>1</v>
      </c>
      <c r="CC550" s="1">
        <v>1</v>
      </c>
      <c r="CD550" s="1">
        <v>1</v>
      </c>
      <c r="CE550" s="1">
        <v>1</v>
      </c>
      <c r="CF550" s="1">
        <v>2</v>
      </c>
      <c r="CG550" s="1">
        <f t="shared" si="513"/>
        <v>0</v>
      </c>
      <c r="CH550" s="1">
        <v>2</v>
      </c>
      <c r="CI550" s="1">
        <v>1</v>
      </c>
      <c r="CJ550" s="1">
        <v>1</v>
      </c>
      <c r="CK550" s="1">
        <v>1</v>
      </c>
      <c r="CL550" s="1">
        <v>1</v>
      </c>
      <c r="CM550" s="1">
        <v>1</v>
      </c>
      <c r="CN550" s="1">
        <v>1</v>
      </c>
      <c r="CO550" s="1">
        <v>1</v>
      </c>
      <c r="CP550" s="1">
        <v>1</v>
      </c>
      <c r="CQ550" s="1">
        <v>1</v>
      </c>
      <c r="CR550" s="1">
        <v>1</v>
      </c>
      <c r="CS550" s="1">
        <v>1</v>
      </c>
      <c r="CT550" s="1">
        <v>1</v>
      </c>
      <c r="CU550" s="1">
        <v>1</v>
      </c>
      <c r="CV550" s="1">
        <v>0</v>
      </c>
      <c r="CW550" s="1">
        <v>1</v>
      </c>
      <c r="CX550" s="1">
        <v>1</v>
      </c>
      <c r="CY550" s="1">
        <v>1</v>
      </c>
      <c r="CZ550" s="1">
        <f t="shared" si="514"/>
        <v>0</v>
      </c>
      <c r="DA550" s="1">
        <v>1</v>
      </c>
      <c r="DB550" s="1">
        <v>1</v>
      </c>
      <c r="DC550" s="1">
        <v>1</v>
      </c>
      <c r="DD550" s="1">
        <v>2</v>
      </c>
      <c r="DE550" s="1">
        <v>2</v>
      </c>
      <c r="DF550" s="1">
        <v>2</v>
      </c>
      <c r="DG550" s="1">
        <v>1</v>
      </c>
      <c r="DH550" s="1">
        <v>1</v>
      </c>
      <c r="DI550" s="1">
        <v>0</v>
      </c>
      <c r="DJ550" s="1">
        <v>2</v>
      </c>
      <c r="DK550" s="1" t="s">
        <v>1331</v>
      </c>
      <c r="DL550" s="1" t="s">
        <v>170</v>
      </c>
      <c r="DP550" s="1" t="b">
        <f>RaceCi="Shifter"</f>
        <v>0</v>
      </c>
      <c r="DQ550" s="1" t="b">
        <f>BaseAtk&gt;=5</f>
        <v>0</v>
      </c>
      <c r="DR550" s="1" t="b">
        <f>SkListenRanks&gt;=5</f>
        <v>0</v>
      </c>
      <c r="DS550" s="1" t="b">
        <f>SkSpotRanks&gt;=4</f>
        <v>0</v>
      </c>
      <c r="DT550" s="1" t="b">
        <f>SkSurvivalRanks&gt;=8</f>
        <v>0</v>
      </c>
      <c r="DU550" s="1" t="b">
        <f>FtEndurance</f>
        <v>0</v>
      </c>
      <c r="DV550" s="1" t="b">
        <f>FtTrack</f>
        <v>0</v>
      </c>
      <c r="DZ550" s="1" t="b">
        <f t="shared" si="515"/>
        <v>1</v>
      </c>
      <c r="EA550" s="1" t="b">
        <f t="shared" si="516"/>
        <v>0</v>
      </c>
      <c r="EB550" s="11" t="s">
        <v>334</v>
      </c>
      <c r="EC550" s="1" t="str">
        <f>IF(DP550,"","• Race: Shifter.
")&amp;IF(DQ550,"","• Base Attack Bonus: +5.
")&amp;IF(DR550,"","• 5 ranks in Listen.
")&amp;IF(DS550,"","• 4 ranks in Spot.
")&amp;IF(DT550,"","• 8 ranks in Survival.
")&amp;IF(DU550,"","• Endurance feat.
")&amp;IF(DV550,"","• Track feat.
")&amp;IF(DZ550,"","• Not available in Living Greyhawk.")</f>
        <v xml:space="preserve">• Race: Shifter.
• Base Attack Bonus: +5.
• 5 ranks in Listen.
• 4 ranks in Spot.
• 8 ranks in Survival.
• Endurance feat.
• Track feat.
</v>
      </c>
      <c r="ED550" s="11" t="s">
        <v>335</v>
      </c>
    </row>
    <row r="551" spans="1:134" ht="11.25" customHeight="1" x14ac:dyDescent="0.2">
      <c r="A551" s="1">
        <f t="shared" si="493"/>
        <v>548</v>
      </c>
      <c r="B551" s="1" t="s">
        <v>1339</v>
      </c>
      <c r="C551" s="1" t="s">
        <v>1340</v>
      </c>
      <c r="D551" s="1" t="s">
        <v>1340</v>
      </c>
      <c r="E551" s="1">
        <f t="shared" si="517"/>
        <v>0</v>
      </c>
      <c r="K551" s="1">
        <v>2</v>
      </c>
      <c r="L551" s="1">
        <v>4</v>
      </c>
      <c r="V551" s="1">
        <v>0.5</v>
      </c>
      <c r="W551" s="1">
        <v>0.34</v>
      </c>
      <c r="X551" s="1">
        <v>0.34</v>
      </c>
      <c r="Y551" s="1">
        <v>0.5</v>
      </c>
      <c r="Z551" s="1" t="b">
        <f>FALSE</f>
        <v>0</v>
      </c>
      <c r="AA551" s="1" t="str">
        <f t="shared" ref="AA551:AA640" si="520">IF($AC551=0,"",IF($Z551,"Ex-","")&amp;$B551)</f>
        <v/>
      </c>
      <c r="AB551" s="1" t="str">
        <f t="shared" ref="AB551:AB640" si="521">IF($AC551=0,"",IF($Z551,"Ex-","")&amp;$C551)</f>
        <v/>
      </c>
      <c r="AC551" s="1">
        <f t="shared" si="518"/>
        <v>0</v>
      </c>
      <c r="AD551" s="1" t="str">
        <f t="shared" ref="AD551:AD640" si="522">IF($AF551=0,"",IF($Z551,"Ex-","")&amp;$B551)</f>
        <v/>
      </c>
      <c r="AE551" s="1" t="str">
        <f t="shared" ref="AE551:AE640" si="523">IF($AF551=0,"",IF($Z551,"Ex-","")&amp;$C551)</f>
        <v/>
      </c>
      <c r="AF551" s="1">
        <f t="shared" si="519"/>
        <v>0</v>
      </c>
      <c r="AG551" s="1">
        <f t="shared" si="509"/>
        <v>5</v>
      </c>
      <c r="AH551" s="1" t="str">
        <f t="shared" si="502"/>
        <v/>
      </c>
      <c r="AI551" s="1">
        <v>1</v>
      </c>
      <c r="AJ551" s="1">
        <f>IF(HRXPH,1,0)</f>
        <v>0</v>
      </c>
      <c r="AK551" s="1">
        <v>1</v>
      </c>
      <c r="AL551" s="1">
        <v>2</v>
      </c>
      <c r="AM551" s="1">
        <v>1</v>
      </c>
      <c r="AN551" s="1">
        <f t="shared" si="510"/>
        <v>0</v>
      </c>
      <c r="AO551" s="1">
        <v>2</v>
      </c>
      <c r="AP551" s="1">
        <v>2</v>
      </c>
      <c r="AQ551" s="1">
        <v>2</v>
      </c>
      <c r="AR551" s="1">
        <v>2</v>
      </c>
      <c r="AS551" s="1">
        <v>2</v>
      </c>
      <c r="AT551" s="1">
        <v>2</v>
      </c>
      <c r="AU551" s="1">
        <v>2</v>
      </c>
      <c r="AV551" s="1">
        <v>2</v>
      </c>
      <c r="AW551" s="1">
        <v>2</v>
      </c>
      <c r="AX551" s="1">
        <v>1</v>
      </c>
      <c r="AY551" s="1">
        <v>1</v>
      </c>
      <c r="AZ551" s="1">
        <v>2</v>
      </c>
      <c r="BA551" s="1">
        <v>1</v>
      </c>
      <c r="BB551" s="1">
        <v>1</v>
      </c>
      <c r="BC551" s="1">
        <v>1</v>
      </c>
      <c r="BD551" s="1">
        <v>1</v>
      </c>
      <c r="BE551" s="1">
        <v>1</v>
      </c>
      <c r="BF551" s="1">
        <v>1</v>
      </c>
      <c r="BG551" s="1">
        <f t="shared" si="511"/>
        <v>0</v>
      </c>
      <c r="BH551" s="1">
        <f t="shared" si="512"/>
        <v>0</v>
      </c>
      <c r="BI551" s="1">
        <v>1</v>
      </c>
      <c r="BJ551" s="1">
        <v>1</v>
      </c>
      <c r="BK551" s="1">
        <v>2</v>
      </c>
      <c r="BL551" s="1">
        <v>2</v>
      </c>
      <c r="BM551" s="1">
        <v>2</v>
      </c>
      <c r="BN551" s="1">
        <v>2</v>
      </c>
      <c r="BO551" s="1">
        <v>2</v>
      </c>
      <c r="BP551" s="1">
        <v>2</v>
      </c>
      <c r="BQ551" s="1">
        <f>IF(HRRVL,2,0)</f>
        <v>0</v>
      </c>
      <c r="BR551" s="1">
        <v>2</v>
      </c>
      <c r="BS551" s="1">
        <v>2</v>
      </c>
      <c r="BT551" s="1">
        <v>2</v>
      </c>
      <c r="BU551" s="1">
        <f>IF(HRRVL,2,0)</f>
        <v>0</v>
      </c>
      <c r="BV551" s="1">
        <v>2</v>
      </c>
      <c r="BW551" s="1">
        <v>2</v>
      </c>
      <c r="BX551" s="1">
        <v>2</v>
      </c>
      <c r="BY551" s="1">
        <v>2</v>
      </c>
      <c r="BZ551" s="1">
        <v>2</v>
      </c>
      <c r="CA551" s="1">
        <v>2</v>
      </c>
      <c r="CB551" s="1">
        <v>2</v>
      </c>
      <c r="CC551" s="1">
        <v>2</v>
      </c>
      <c r="CD551" s="1">
        <v>2</v>
      </c>
      <c r="CE551" s="1">
        <v>2</v>
      </c>
      <c r="CF551" s="1">
        <v>1</v>
      </c>
      <c r="CG551" s="1">
        <f t="shared" si="513"/>
        <v>0</v>
      </c>
      <c r="CH551" s="1">
        <v>1</v>
      </c>
      <c r="CI551" s="1">
        <v>1</v>
      </c>
      <c r="CJ551" s="1">
        <v>1</v>
      </c>
      <c r="CK551" s="1">
        <v>1</v>
      </c>
      <c r="CL551" s="1">
        <v>1</v>
      </c>
      <c r="CM551" s="1">
        <v>1</v>
      </c>
      <c r="CN551" s="1">
        <v>1</v>
      </c>
      <c r="CO551" s="1">
        <v>1</v>
      </c>
      <c r="CP551" s="1">
        <v>2</v>
      </c>
      <c r="CQ551" s="1">
        <v>2</v>
      </c>
      <c r="CR551" s="1">
        <v>2</v>
      </c>
      <c r="CS551" s="1">
        <v>2</v>
      </c>
      <c r="CT551" s="1">
        <v>2</v>
      </c>
      <c r="CU551" s="1">
        <v>2</v>
      </c>
      <c r="CV551" s="1">
        <v>0</v>
      </c>
      <c r="CW551" s="1">
        <v>1</v>
      </c>
      <c r="CX551" s="1">
        <v>1</v>
      </c>
      <c r="CY551" s="1">
        <v>2</v>
      </c>
      <c r="CZ551" s="1">
        <f t="shared" si="514"/>
        <v>0</v>
      </c>
      <c r="DA551" s="1">
        <v>1</v>
      </c>
      <c r="DB551" s="1">
        <v>1</v>
      </c>
      <c r="DC551" s="1">
        <v>2</v>
      </c>
      <c r="DD551" s="1">
        <v>1</v>
      </c>
      <c r="DE551" s="1">
        <v>1</v>
      </c>
      <c r="DF551" s="1">
        <v>1</v>
      </c>
      <c r="DG551" s="1">
        <v>1</v>
      </c>
      <c r="DH551" s="1">
        <v>1</v>
      </c>
      <c r="DI551" s="1">
        <v>0</v>
      </c>
      <c r="DJ551" s="1">
        <v>1</v>
      </c>
      <c r="DK551" s="1" t="s">
        <v>1331</v>
      </c>
      <c r="DL551" s="1" t="s">
        <v>170</v>
      </c>
      <c r="DP551" s="1" t="b">
        <f>RaceCi="Changeling"</f>
        <v>0</v>
      </c>
      <c r="DQ551" s="1" t="b">
        <f>SkKnowledgeArcanaRanks&gt;=4</f>
        <v>0</v>
      </c>
      <c r="DR551" s="1" t="b">
        <f>SkSpellcraftRanks&gt;=8</f>
        <v>0</v>
      </c>
      <c r="DS551" s="1" t="b">
        <f>MetamagicSelected&gt;=2</f>
        <v>0</v>
      </c>
      <c r="DT551" s="1" t="b">
        <f ca="1">MaxArcaneSpellLevel&gt;=3</f>
        <v>0</v>
      </c>
      <c r="DZ551" s="1" t="b">
        <f t="shared" si="515"/>
        <v>1</v>
      </c>
      <c r="EA551" s="1" t="b">
        <f ca="1">AND(DM551:DZ551)</f>
        <v>0</v>
      </c>
      <c r="EB551" s="11" t="s">
        <v>334</v>
      </c>
      <c r="EC551" s="1" t="str">
        <f ca="1">IF(DP551,"","• Race: Changeling.
")&amp;IF(DQ551,"","• 4 ranks in Knowledge (arcana).
")&amp;IF(DR551,"","• 4 ranks in Spellcraft.
")&amp;IF(DS551,"","• Any two metamagic feats.
")&amp;IF(DT551,"","• Able to cast 3rd-level arcane spells.
")&amp;IF(DZ551,"","• Not available in Living Greyhawk.")</f>
        <v xml:space="preserve">• Race: Changeling.
• 4 ranks in Knowledge (arcana).
• 4 ranks in Spellcraft.
• Any two metamagic feats.
• Able to cast 3rd-level arcane spells.
</v>
      </c>
      <c r="ED551" s="11" t="s">
        <v>335</v>
      </c>
    </row>
    <row r="552" spans="1:134" ht="11.25" customHeight="1" x14ac:dyDescent="0.2">
      <c r="A552" s="1">
        <f t="shared" si="493"/>
        <v>549</v>
      </c>
      <c r="B552" s="1" t="s">
        <v>1341</v>
      </c>
      <c r="C552" s="1" t="s">
        <v>1342</v>
      </c>
      <c r="D552" s="1" t="s">
        <v>1342</v>
      </c>
      <c r="E552" s="1">
        <f t="shared" si="517"/>
        <v>0</v>
      </c>
      <c r="K552" s="1">
        <v>4</v>
      </c>
      <c r="L552" s="1">
        <v>8</v>
      </c>
      <c r="V552" s="1">
        <v>0.75</v>
      </c>
      <c r="W552" s="1">
        <v>0.34</v>
      </c>
      <c r="X552" s="1">
        <v>0.34</v>
      </c>
      <c r="Y552" s="1">
        <v>0.5</v>
      </c>
      <c r="Z552" s="1" t="b">
        <f>FALSE</f>
        <v>0</v>
      </c>
      <c r="AA552" s="1" t="str">
        <f t="shared" si="520"/>
        <v/>
      </c>
      <c r="AB552" s="1" t="str">
        <f t="shared" si="521"/>
        <v/>
      </c>
      <c r="AC552" s="1">
        <f t="shared" si="518"/>
        <v>0</v>
      </c>
      <c r="AD552" s="1" t="str">
        <f t="shared" si="522"/>
        <v/>
      </c>
      <c r="AE552" s="1" t="str">
        <f t="shared" si="523"/>
        <v/>
      </c>
      <c r="AF552" s="1">
        <f t="shared" si="519"/>
        <v>0</v>
      </c>
      <c r="AG552" s="1">
        <f t="shared" si="509"/>
        <v>5</v>
      </c>
      <c r="AH552" s="1" t="str">
        <f t="shared" si="502"/>
        <v/>
      </c>
      <c r="AI552" s="1">
        <v>1</v>
      </c>
      <c r="AJ552" s="1">
        <f>IF(HRXPH,1,0)</f>
        <v>0</v>
      </c>
      <c r="AK552" s="1">
        <v>2</v>
      </c>
      <c r="AL552" s="1">
        <v>2</v>
      </c>
      <c r="AM552" s="1">
        <v>2</v>
      </c>
      <c r="AN552" s="1">
        <f t="shared" si="510"/>
        <v>0</v>
      </c>
      <c r="AO552" s="1">
        <v>1</v>
      </c>
      <c r="AP552" s="1">
        <v>2</v>
      </c>
      <c r="AQ552" s="1">
        <v>2</v>
      </c>
      <c r="AR552" s="1">
        <v>2</v>
      </c>
      <c r="AS552" s="1">
        <v>2</v>
      </c>
      <c r="AT552" s="1">
        <v>2</v>
      </c>
      <c r="AU552" s="1">
        <v>2</v>
      </c>
      <c r="AV552" s="1">
        <v>2</v>
      </c>
      <c r="AW552" s="1">
        <v>1</v>
      </c>
      <c r="AX552" s="1">
        <v>2</v>
      </c>
      <c r="AY552" s="1">
        <v>1</v>
      </c>
      <c r="AZ552" s="1">
        <v>1</v>
      </c>
      <c r="BA552" s="1">
        <v>1</v>
      </c>
      <c r="BB552" s="1">
        <v>1</v>
      </c>
      <c r="BC552" s="1">
        <v>2</v>
      </c>
      <c r="BD552" s="1">
        <v>1</v>
      </c>
      <c r="BE552" s="1">
        <v>2</v>
      </c>
      <c r="BF552" s="1">
        <v>1</v>
      </c>
      <c r="BG552" s="1">
        <f t="shared" si="511"/>
        <v>0</v>
      </c>
      <c r="BH552" s="1">
        <f t="shared" si="512"/>
        <v>0</v>
      </c>
      <c r="BI552" s="1">
        <v>1</v>
      </c>
      <c r="BJ552" s="1">
        <v>2</v>
      </c>
      <c r="BK552" s="1">
        <v>1</v>
      </c>
      <c r="BL552" s="1">
        <v>1</v>
      </c>
      <c r="BM552" s="1">
        <v>1</v>
      </c>
      <c r="BN552" s="1">
        <v>1</v>
      </c>
      <c r="BO552" s="1">
        <v>1</v>
      </c>
      <c r="BP552" s="1">
        <v>1</v>
      </c>
      <c r="BQ552" s="1">
        <f>IF(HRRVL,1,0)</f>
        <v>0</v>
      </c>
      <c r="BR552" s="1">
        <v>1</v>
      </c>
      <c r="BS552" s="1">
        <v>1</v>
      </c>
      <c r="BT552" s="1">
        <v>1</v>
      </c>
      <c r="BU552" s="1">
        <f>IF(HRRVL,1,0)</f>
        <v>0</v>
      </c>
      <c r="BV552" s="1">
        <v>1</v>
      </c>
      <c r="BW552" s="1">
        <v>1</v>
      </c>
      <c r="BX552" s="1">
        <v>1</v>
      </c>
      <c r="BY552" s="1">
        <v>1</v>
      </c>
      <c r="BZ552" s="1">
        <v>1</v>
      </c>
      <c r="CA552" s="1">
        <v>1</v>
      </c>
      <c r="CB552" s="1">
        <v>1</v>
      </c>
      <c r="CC552" s="1">
        <v>1</v>
      </c>
      <c r="CD552" s="1">
        <v>1</v>
      </c>
      <c r="CE552" s="1">
        <v>1</v>
      </c>
      <c r="CF552" s="1">
        <v>2</v>
      </c>
      <c r="CG552" s="1">
        <f t="shared" si="513"/>
        <v>0</v>
      </c>
      <c r="CH552" s="1">
        <v>1</v>
      </c>
      <c r="CI552" s="1">
        <v>1</v>
      </c>
      <c r="CJ552" s="1">
        <v>1</v>
      </c>
      <c r="CK552" s="1">
        <v>1</v>
      </c>
      <c r="CL552" s="1">
        <v>1</v>
      </c>
      <c r="CM552" s="1">
        <v>1</v>
      </c>
      <c r="CN552" s="1">
        <v>1</v>
      </c>
      <c r="CO552" s="1">
        <v>1</v>
      </c>
      <c r="CP552" s="1">
        <v>2</v>
      </c>
      <c r="CQ552" s="1">
        <v>2</v>
      </c>
      <c r="CR552" s="1">
        <v>2</v>
      </c>
      <c r="CS552" s="1">
        <v>2</v>
      </c>
      <c r="CT552" s="1">
        <v>2</v>
      </c>
      <c r="CU552" s="1">
        <v>2</v>
      </c>
      <c r="CV552" s="1">
        <v>0</v>
      </c>
      <c r="CW552" s="1">
        <v>1</v>
      </c>
      <c r="CX552" s="1">
        <v>2</v>
      </c>
      <c r="CY552" s="1">
        <v>2</v>
      </c>
      <c r="CZ552" s="1">
        <f t="shared" si="514"/>
        <v>0</v>
      </c>
      <c r="DA552" s="1">
        <v>1</v>
      </c>
      <c r="DB552" s="1">
        <v>1</v>
      </c>
      <c r="DC552" s="1">
        <v>1</v>
      </c>
      <c r="DD552" s="1">
        <v>2</v>
      </c>
      <c r="DE552" s="1">
        <v>2</v>
      </c>
      <c r="DF552" s="1">
        <v>2</v>
      </c>
      <c r="DG552" s="1">
        <v>1</v>
      </c>
      <c r="DH552" s="1">
        <v>1</v>
      </c>
      <c r="DI552" s="1">
        <v>0</v>
      </c>
      <c r="DJ552" s="1">
        <v>1</v>
      </c>
      <c r="DK552" s="1" t="s">
        <v>1331</v>
      </c>
      <c r="DL552" s="1" t="s">
        <v>170</v>
      </c>
      <c r="DP552" s="1" t="b">
        <f>RaceCi="Warforged"</f>
        <v>0</v>
      </c>
      <c r="DQ552" s="1" t="b">
        <f>OR(SkCraftRanks&gt;=8,SkProfessionRanks&gt;=8)</f>
        <v>0</v>
      </c>
      <c r="DR552" s="1" t="b">
        <f>SkSenseMotiveRanks&gt;=4</f>
        <v>0</v>
      </c>
      <c r="DZ552" s="1" t="b">
        <f t="shared" si="515"/>
        <v>1</v>
      </c>
      <c r="EA552" s="1" t="b">
        <f t="shared" si="516"/>
        <v>0</v>
      </c>
      <c r="EB552" s="11" t="s">
        <v>334</v>
      </c>
      <c r="EC552" s="1" t="str">
        <f>IF(DP552,"","• Race: Warforged.
")&amp;IF(DQ552,"","• 8 ranks in Craft or Profession.
")&amp;IF(DR552,"","• 4 ranks in Sense Motive.
")&amp;IF(DZ552,"","• Not available in Living Greyhawk.")</f>
        <v xml:space="preserve">• Race: Warforged.
• 8 ranks in Craft or Profession.
• 4 ranks in Sense Motive.
</v>
      </c>
      <c r="ED552" s="11" t="s">
        <v>335</v>
      </c>
    </row>
    <row r="553" spans="1:134" ht="11.25" customHeight="1" x14ac:dyDescent="0.2">
      <c r="A553" s="1">
        <f t="shared" si="493"/>
        <v>550</v>
      </c>
      <c r="B553" s="1" t="s">
        <v>1343</v>
      </c>
      <c r="C553" s="1" t="s">
        <v>1344</v>
      </c>
      <c r="D553" s="1" t="s">
        <v>1344</v>
      </c>
      <c r="E553" s="1">
        <f t="shared" si="517"/>
        <v>0</v>
      </c>
      <c r="K553" s="1">
        <v>4</v>
      </c>
      <c r="L553" s="1">
        <v>10</v>
      </c>
      <c r="V553" s="1">
        <v>1</v>
      </c>
      <c r="W553" s="1">
        <v>0.5</v>
      </c>
      <c r="X553" s="1">
        <v>0.34</v>
      </c>
      <c r="Y553" s="1">
        <v>0.5</v>
      </c>
      <c r="Z553" s="1" t="b">
        <f>FALSE</f>
        <v>0</v>
      </c>
      <c r="AA553" s="1" t="str">
        <f t="shared" si="520"/>
        <v/>
      </c>
      <c r="AB553" s="1" t="str">
        <f t="shared" si="521"/>
        <v/>
      </c>
      <c r="AC553" s="1">
        <f t="shared" si="518"/>
        <v>0</v>
      </c>
      <c r="AD553" s="1" t="str">
        <f t="shared" si="522"/>
        <v/>
      </c>
      <c r="AE553" s="1" t="str">
        <f t="shared" si="523"/>
        <v/>
      </c>
      <c r="AF553" s="1">
        <f t="shared" si="519"/>
        <v>0</v>
      </c>
      <c r="AG553" s="1">
        <f t="shared" si="509"/>
        <v>5</v>
      </c>
      <c r="AH553" s="1" t="str">
        <f t="shared" si="502"/>
        <v/>
      </c>
      <c r="AI553" s="1">
        <v>1</v>
      </c>
      <c r="AJ553" s="1">
        <f>IF(HRXPH,1,0)</f>
        <v>0</v>
      </c>
      <c r="AK553" s="1">
        <v>1</v>
      </c>
      <c r="AL553" s="1">
        <v>1</v>
      </c>
      <c r="AM553" s="1">
        <v>2</v>
      </c>
      <c r="AN553" s="1">
        <f t="shared" si="510"/>
        <v>0</v>
      </c>
      <c r="AO553" s="1">
        <v>1</v>
      </c>
      <c r="AP553" s="1">
        <v>2</v>
      </c>
      <c r="AQ553" s="1">
        <v>2</v>
      </c>
      <c r="AR553" s="1">
        <v>2</v>
      </c>
      <c r="AS553" s="1">
        <v>2</v>
      </c>
      <c r="AT553" s="1">
        <v>2</v>
      </c>
      <c r="AU553" s="1">
        <v>2</v>
      </c>
      <c r="AV553" s="1">
        <v>2</v>
      </c>
      <c r="AW553" s="1">
        <v>1</v>
      </c>
      <c r="AX553" s="1">
        <v>1</v>
      </c>
      <c r="AY553" s="1">
        <v>1</v>
      </c>
      <c r="AZ553" s="1">
        <v>1</v>
      </c>
      <c r="BA553" s="1">
        <v>1</v>
      </c>
      <c r="BB553" s="1">
        <v>1</v>
      </c>
      <c r="BC553" s="1">
        <v>1</v>
      </c>
      <c r="BD553" s="1">
        <v>2</v>
      </c>
      <c r="BE553" s="1">
        <v>1</v>
      </c>
      <c r="BF553" s="1">
        <v>1</v>
      </c>
      <c r="BG553" s="1">
        <f t="shared" si="511"/>
        <v>0</v>
      </c>
      <c r="BH553" s="1">
        <f t="shared" si="512"/>
        <v>0</v>
      </c>
      <c r="BI553" s="1">
        <v>2</v>
      </c>
      <c r="BJ553" s="1">
        <v>2</v>
      </c>
      <c r="BK553" s="1">
        <v>1</v>
      </c>
      <c r="BL553" s="1">
        <v>1</v>
      </c>
      <c r="BM553" s="1">
        <v>1</v>
      </c>
      <c r="BN553" s="1">
        <v>1</v>
      </c>
      <c r="BO553" s="1">
        <v>1</v>
      </c>
      <c r="BP553" s="1">
        <v>1</v>
      </c>
      <c r="BQ553" s="1">
        <f>IF(HRRVL,1,0)</f>
        <v>0</v>
      </c>
      <c r="BR553" s="1">
        <v>1</v>
      </c>
      <c r="BS553" s="1">
        <v>1</v>
      </c>
      <c r="BT553" s="1">
        <v>1</v>
      </c>
      <c r="BU553" s="1">
        <f>IF(HRRVL,1,0)</f>
        <v>0</v>
      </c>
      <c r="BV553" s="1">
        <v>1</v>
      </c>
      <c r="BW553" s="1">
        <v>1</v>
      </c>
      <c r="BX553" s="1">
        <v>1</v>
      </c>
      <c r="BY553" s="1">
        <v>1</v>
      </c>
      <c r="BZ553" s="1">
        <v>1</v>
      </c>
      <c r="CA553" s="1">
        <v>1</v>
      </c>
      <c r="CB553" s="1">
        <v>1</v>
      </c>
      <c r="CC553" s="1">
        <v>1</v>
      </c>
      <c r="CD553" s="1">
        <v>1</v>
      </c>
      <c r="CE553" s="1">
        <v>1</v>
      </c>
      <c r="CF553" s="1">
        <v>1</v>
      </c>
      <c r="CG553" s="1">
        <f t="shared" si="513"/>
        <v>0</v>
      </c>
      <c r="CH553" s="1">
        <v>1</v>
      </c>
      <c r="CI553" s="1">
        <v>1</v>
      </c>
      <c r="CJ553" s="1">
        <v>1</v>
      </c>
      <c r="CK553" s="1">
        <v>1</v>
      </c>
      <c r="CL553" s="1">
        <v>1</v>
      </c>
      <c r="CM553" s="1">
        <v>1</v>
      </c>
      <c r="CN553" s="1">
        <v>1</v>
      </c>
      <c r="CO553" s="1">
        <v>1</v>
      </c>
      <c r="CP553" s="1">
        <v>1</v>
      </c>
      <c r="CQ553" s="1">
        <v>1</v>
      </c>
      <c r="CR553" s="1">
        <v>1</v>
      </c>
      <c r="CS553" s="1">
        <v>1</v>
      </c>
      <c r="CT553" s="1">
        <v>1</v>
      </c>
      <c r="CU553" s="1">
        <v>1</v>
      </c>
      <c r="CV553" s="1">
        <v>0</v>
      </c>
      <c r="CW553" s="1">
        <v>2</v>
      </c>
      <c r="CX553" s="1">
        <v>1</v>
      </c>
      <c r="CY553" s="1">
        <v>1</v>
      </c>
      <c r="CZ553" s="1">
        <f t="shared" si="514"/>
        <v>0</v>
      </c>
      <c r="DA553" s="1">
        <v>1</v>
      </c>
      <c r="DB553" s="1">
        <v>1</v>
      </c>
      <c r="DC553" s="1">
        <v>1</v>
      </c>
      <c r="DD553" s="1">
        <v>1</v>
      </c>
      <c r="DE553" s="1">
        <v>1</v>
      </c>
      <c r="DF553" s="1">
        <v>2</v>
      </c>
      <c r="DG553" s="1">
        <v>1</v>
      </c>
      <c r="DH553" s="1">
        <v>2</v>
      </c>
      <c r="DI553" s="1">
        <v>0</v>
      </c>
      <c r="DJ553" s="1">
        <v>1</v>
      </c>
      <c r="DK553" s="1" t="s">
        <v>1331</v>
      </c>
      <c r="DL553" s="1" t="s">
        <v>170</v>
      </c>
      <c r="DP553" s="1" t="b">
        <f>RaceCi="Warforged"</f>
        <v>0</v>
      </c>
      <c r="DQ553" s="1" t="b">
        <f>BaseAtk&gt;=6</f>
        <v>0</v>
      </c>
      <c r="DR553" s="1" t="b">
        <f>SkSpellcraftRanks&gt;=4</f>
        <v>0</v>
      </c>
      <c r="DS553" s="1" t="b">
        <f>FtSilverTracery</f>
        <v>0</v>
      </c>
      <c r="DT553" s="1" t="b">
        <f ca="1">MaxArcaneSpellLevel&gt;=1</f>
        <v>0</v>
      </c>
      <c r="DZ553" s="1" t="b">
        <f t="shared" si="515"/>
        <v>1</v>
      </c>
      <c r="EA553" s="1" t="b">
        <f ca="1">AND(DM553:DZ553)</f>
        <v>0</v>
      </c>
      <c r="EB553" s="11" t="s">
        <v>334</v>
      </c>
      <c r="EC553" s="1" t="str">
        <f ca="1">IF(DP553,"","• Race: Warforged.
")&amp;IF(DQ553,"","• Base Attack Bonus: +6.
")&amp;IF(DR553,"","• 4 ranks in Spellcraft.
")&amp;IF(DS553,"","• Silver Tracery feat.
")&amp;IF(DT553,"","• Able to cast 1st-level spell or imbue 1st level infusions.
")&amp;IF(DZ553,"","• Not available in Living Greyhawk.")</f>
        <v xml:space="preserve">• Race: Warforged.
• Base Attack Bonus: +6.
• 4 ranks in Spellcraft.
• Silver Tracery feat.
• Able to cast 1st-level spell or imbue 1st level infusions.
</v>
      </c>
      <c r="ED553" s="11" t="s">
        <v>335</v>
      </c>
    </row>
    <row r="554" spans="1:134" ht="11.25" customHeight="1" x14ac:dyDescent="0.2">
      <c r="A554" s="1">
        <f t="shared" si="493"/>
        <v>551</v>
      </c>
      <c r="B554" s="1" t="s">
        <v>1345</v>
      </c>
      <c r="E554" s="1">
        <f t="shared" si="517"/>
        <v>0</v>
      </c>
      <c r="F554" s="1">
        <v>1</v>
      </c>
      <c r="Z554" s="1" t="b">
        <f>FALSE</f>
        <v>0</v>
      </c>
      <c r="AA554" s="1" t="str">
        <f t="shared" si="520"/>
        <v/>
      </c>
      <c r="AB554" s="1" t="str">
        <f t="shared" si="521"/>
        <v/>
      </c>
      <c r="AC554" s="1">
        <f t="shared" si="518"/>
        <v>0</v>
      </c>
      <c r="AD554" s="1" t="str">
        <f t="shared" si="522"/>
        <v/>
      </c>
      <c r="AE554" s="1" t="str">
        <f t="shared" si="523"/>
        <v/>
      </c>
      <c r="AF554" s="1">
        <f t="shared" si="519"/>
        <v>0</v>
      </c>
      <c r="AG554" s="1">
        <f t="shared" si="509"/>
        <v>5</v>
      </c>
      <c r="AH554" s="1" t="str">
        <f t="shared" si="502"/>
        <v/>
      </c>
      <c r="EB554" s="11"/>
      <c r="ED554" s="11" t="s">
        <v>335</v>
      </c>
    </row>
    <row r="555" spans="1:134" ht="11.25" customHeight="1" x14ac:dyDescent="0.2">
      <c r="A555" s="1">
        <f t="shared" si="493"/>
        <v>552</v>
      </c>
      <c r="B555" s="1" t="s">
        <v>1346</v>
      </c>
      <c r="C555" s="1" t="s">
        <v>1347</v>
      </c>
      <c r="D555" s="1" t="s">
        <v>1347</v>
      </c>
      <c r="E555" s="1">
        <f t="shared" si="517"/>
        <v>0</v>
      </c>
      <c r="K555" s="1">
        <v>2</v>
      </c>
      <c r="L555" s="1">
        <v>8</v>
      </c>
      <c r="N555" s="1" t="b">
        <v>1</v>
      </c>
      <c r="O555" s="1" t="b">
        <v>1</v>
      </c>
      <c r="P555" s="1" t="b">
        <v>1</v>
      </c>
      <c r="Q555" s="1" t="b">
        <v>1</v>
      </c>
      <c r="R555" s="1" t="b">
        <v>1</v>
      </c>
      <c r="S555" s="1" t="b">
        <v>1</v>
      </c>
      <c r="T555" s="1" t="b">
        <v>1</v>
      </c>
      <c r="V555" s="1">
        <v>0.75</v>
      </c>
      <c r="W555" s="1">
        <v>0.34</v>
      </c>
      <c r="X555" s="1">
        <v>0.34</v>
      </c>
      <c r="Y555" s="1">
        <v>0.5</v>
      </c>
      <c r="Z555" s="1" t="b">
        <f>FALSE</f>
        <v>0</v>
      </c>
      <c r="AA555" s="1" t="str">
        <f t="shared" si="520"/>
        <v/>
      </c>
      <c r="AB555" s="1" t="str">
        <f t="shared" si="521"/>
        <v/>
      </c>
      <c r="AC555" s="1">
        <f t="shared" si="518"/>
        <v>0</v>
      </c>
      <c r="AD555" s="1" t="str">
        <f t="shared" si="522"/>
        <v/>
      </c>
      <c r="AE555" s="1" t="str">
        <f t="shared" si="523"/>
        <v/>
      </c>
      <c r="AF555" s="1">
        <f t="shared" si="519"/>
        <v>0</v>
      </c>
      <c r="AG555" s="1">
        <f t="shared" si="509"/>
        <v>5</v>
      </c>
      <c r="AH555" s="1" t="str">
        <f t="shared" si="502"/>
        <v/>
      </c>
      <c r="AI555" s="1">
        <v>2</v>
      </c>
      <c r="AJ555" s="1">
        <f>IF(HRXPH,1,0)</f>
        <v>0</v>
      </c>
      <c r="AK555" s="1">
        <v>1</v>
      </c>
      <c r="AL555" s="1">
        <v>1</v>
      </c>
      <c r="AM555" s="1">
        <v>1</v>
      </c>
      <c r="AN555" s="1">
        <f>IF(IsLycanthrope,2,0)</f>
        <v>0</v>
      </c>
      <c r="AO555" s="1">
        <v>2</v>
      </c>
      <c r="AP555" s="1">
        <v>2</v>
      </c>
      <c r="AQ555" s="1">
        <v>2</v>
      </c>
      <c r="AR555" s="1">
        <v>2</v>
      </c>
      <c r="AS555" s="1">
        <v>2</v>
      </c>
      <c r="AT555" s="1">
        <v>2</v>
      </c>
      <c r="AU555" s="1">
        <v>2</v>
      </c>
      <c r="AV555" s="1">
        <v>2</v>
      </c>
      <c r="AW555" s="1">
        <v>2</v>
      </c>
      <c r="AX555" s="1">
        <v>1</v>
      </c>
      <c r="AY555" s="1">
        <v>2</v>
      </c>
      <c r="AZ555" s="1">
        <v>1</v>
      </c>
      <c r="BA555" s="1">
        <v>1</v>
      </c>
      <c r="BB555" s="1">
        <v>1</v>
      </c>
      <c r="BC555" s="1">
        <v>1</v>
      </c>
      <c r="BD555" s="1">
        <v>1</v>
      </c>
      <c r="BE555" s="1">
        <v>1</v>
      </c>
      <c r="BF555" s="1">
        <v>1</v>
      </c>
      <c r="BG555" s="1">
        <f>IF(HRRVL,1,0)</f>
        <v>0</v>
      </c>
      <c r="BH555" s="1">
        <f>IF(HROA,1,0)</f>
        <v>0</v>
      </c>
      <c r="BI555" s="1">
        <v>1</v>
      </c>
      <c r="BJ555" s="1">
        <v>1</v>
      </c>
      <c r="BK555" s="1">
        <v>2</v>
      </c>
      <c r="BL555" s="1">
        <v>1</v>
      </c>
      <c r="BM555" s="1">
        <v>1</v>
      </c>
      <c r="BN555" s="1">
        <v>1</v>
      </c>
      <c r="BO555" s="1">
        <v>1</v>
      </c>
      <c r="BP555" s="1">
        <v>1</v>
      </c>
      <c r="BQ555" s="1">
        <f>IF(HRRVL,1,0)</f>
        <v>0</v>
      </c>
      <c r="BR555" s="1">
        <v>1</v>
      </c>
      <c r="BS555" s="1">
        <v>1</v>
      </c>
      <c r="BT555" s="1">
        <v>0</v>
      </c>
      <c r="BU555" s="1">
        <f>IF(HRRVL,1,0)</f>
        <v>0</v>
      </c>
      <c r="BV555" s="1">
        <v>1</v>
      </c>
      <c r="BW555" s="1">
        <v>1</v>
      </c>
      <c r="BX555" s="1">
        <v>1</v>
      </c>
      <c r="BY555" s="1">
        <v>1</v>
      </c>
      <c r="BZ555" s="1">
        <v>1</v>
      </c>
      <c r="CA555" s="1">
        <v>1</v>
      </c>
      <c r="CB555" s="1">
        <v>1</v>
      </c>
      <c r="CC555" s="1">
        <v>1</v>
      </c>
      <c r="CD555" s="1">
        <v>1</v>
      </c>
      <c r="CE555" s="1">
        <v>1</v>
      </c>
      <c r="CF555" s="1">
        <v>1</v>
      </c>
      <c r="CG555" s="1">
        <f>IF(HRToB,1,0)</f>
        <v>0</v>
      </c>
      <c r="CH555" s="1">
        <v>1</v>
      </c>
      <c r="CI555" s="1">
        <v>1</v>
      </c>
      <c r="CJ555" s="1">
        <v>1</v>
      </c>
      <c r="CK555" s="1">
        <v>1</v>
      </c>
      <c r="CL555" s="1">
        <v>1</v>
      </c>
      <c r="CM555" s="1">
        <v>1</v>
      </c>
      <c r="CN555" s="1">
        <v>1</v>
      </c>
      <c r="CO555" s="1">
        <v>1</v>
      </c>
      <c r="CP555" s="1">
        <v>2</v>
      </c>
      <c r="CQ555" s="1">
        <v>2</v>
      </c>
      <c r="CR555" s="1">
        <v>2</v>
      </c>
      <c r="CS555" s="1">
        <v>2</v>
      </c>
      <c r="CT555" s="1">
        <v>2</v>
      </c>
      <c r="CU555" s="1">
        <v>2</v>
      </c>
      <c r="CV555" s="1">
        <v>0</v>
      </c>
      <c r="CW555" s="1">
        <v>1</v>
      </c>
      <c r="CX555" s="1">
        <v>1</v>
      </c>
      <c r="CY555" s="1">
        <v>1</v>
      </c>
      <c r="CZ555" s="1">
        <f>IF(HRCS,1,0)</f>
        <v>0</v>
      </c>
      <c r="DA555" s="1">
        <v>1</v>
      </c>
      <c r="DB555" s="1">
        <v>1</v>
      </c>
      <c r="DC555" s="1">
        <v>2</v>
      </c>
      <c r="DD555" s="1">
        <v>1</v>
      </c>
      <c r="DE555" s="1">
        <v>1</v>
      </c>
      <c r="DF555" s="1">
        <v>1</v>
      </c>
      <c r="DG555" s="1">
        <v>1</v>
      </c>
      <c r="DH555" s="1">
        <v>2</v>
      </c>
      <c r="DI555" s="1">
        <v>0</v>
      </c>
      <c r="DJ555" s="1">
        <v>1</v>
      </c>
      <c r="DK555" s="1" t="s">
        <v>1348</v>
      </c>
      <c r="DL555" s="1" t="s">
        <v>170</v>
      </c>
      <c r="DU555" s="1" t="b">
        <f>SkSpellcraftRanks&gt;=6</f>
        <v>0</v>
      </c>
      <c r="DV555" s="1" t="b">
        <f>SkUseMagicDeviceRanks&gt;=8</f>
        <v>0</v>
      </c>
      <c r="DW555" s="1" t="b">
        <f>FtCraftWand</f>
        <v>0</v>
      </c>
      <c r="DX555" s="1" t="b">
        <f>FtWandMastery</f>
        <v>0</v>
      </c>
      <c r="DZ555" s="1" t="b">
        <f>NOT(HRLivingGreyhawk)</f>
        <v>1</v>
      </c>
      <c r="EA555" s="1" t="b">
        <f>AND(DM555:DZ555)</f>
        <v>0</v>
      </c>
      <c r="EB555" s="11" t="s">
        <v>338</v>
      </c>
      <c r="EC555" s="1" t="str">
        <f>IF(DU555,"","• 6 ranks in Spellcraft.
")&amp;IF(DV555,"","• 8 ranks in Use Magic Device.
")&amp;IF(DW555,"","• Craft Wand feat.
")&amp;IF(DX555,"","• Wand Mastery feat.
")&amp;"• Favored in House (Cannith) or Least Dragon Mark (Mark of making) (not verified).
"&amp;IF(DZ555,"","• Not available in Living Greyhawk.
")</f>
        <v xml:space="preserve">• 6 ranks in Spellcraft.
• 8 ranks in Use Magic Device.
• Craft Wand feat.
• Wand Mastery feat.
• Favored in House (Cannith) or Least Dragon Mark (Mark of making) (not verified).
</v>
      </c>
      <c r="ED555" s="11" t="s">
        <v>335</v>
      </c>
    </row>
    <row r="556" spans="1:134" ht="11.25" customHeight="1" x14ac:dyDescent="0.2">
      <c r="A556" s="1">
        <f t="shared" si="493"/>
        <v>553</v>
      </c>
      <c r="B556" s="1" t="s">
        <v>1349</v>
      </c>
      <c r="C556" s="1" t="s">
        <v>1350</v>
      </c>
      <c r="D556" s="1" t="s">
        <v>1350</v>
      </c>
      <c r="E556" s="1">
        <f t="shared" si="517"/>
        <v>0</v>
      </c>
      <c r="K556" s="1">
        <v>4</v>
      </c>
      <c r="L556" s="1">
        <v>8</v>
      </c>
      <c r="N556" s="1" t="b">
        <v>1</v>
      </c>
      <c r="O556" s="1" t="b">
        <v>1</v>
      </c>
      <c r="P556" s="1" t="b">
        <v>1</v>
      </c>
      <c r="Q556" s="1" t="b">
        <v>1</v>
      </c>
      <c r="R556" s="1" t="b">
        <v>1</v>
      </c>
      <c r="S556" s="1" t="b">
        <v>1</v>
      </c>
      <c r="T556" s="1" t="b">
        <v>1</v>
      </c>
      <c r="V556" s="1">
        <v>1</v>
      </c>
      <c r="W556" s="1">
        <v>0.34</v>
      </c>
      <c r="X556" s="1">
        <v>0.34</v>
      </c>
      <c r="Y556" s="1">
        <v>0.5</v>
      </c>
      <c r="Z556" s="1" t="b">
        <f>FALSE</f>
        <v>0</v>
      </c>
      <c r="AA556" s="1" t="str">
        <f t="shared" si="520"/>
        <v/>
      </c>
      <c r="AB556" s="1" t="str">
        <f t="shared" si="521"/>
        <v/>
      </c>
      <c r="AC556" s="1">
        <f t="shared" si="518"/>
        <v>0</v>
      </c>
      <c r="AD556" s="1" t="str">
        <f t="shared" si="522"/>
        <v/>
      </c>
      <c r="AE556" s="1" t="str">
        <f t="shared" si="523"/>
        <v/>
      </c>
      <c r="AF556" s="1">
        <f t="shared" si="519"/>
        <v>0</v>
      </c>
      <c r="AG556" s="1">
        <f t="shared" si="509"/>
        <v>5</v>
      </c>
      <c r="AH556" s="1" t="str">
        <f t="shared" si="502"/>
        <v/>
      </c>
      <c r="AI556" s="1">
        <v>1</v>
      </c>
      <c r="AJ556" s="1">
        <f>IF(HRXPH,1,0)</f>
        <v>0</v>
      </c>
      <c r="AK556" s="1">
        <v>1</v>
      </c>
      <c r="AL556" s="1">
        <v>2</v>
      </c>
      <c r="AM556" s="1">
        <v>1</v>
      </c>
      <c r="AN556" s="1">
        <f>IF(IsLycanthrope,2,0)</f>
        <v>0</v>
      </c>
      <c r="AO556" s="1">
        <v>1</v>
      </c>
      <c r="AP556" s="1">
        <v>1</v>
      </c>
      <c r="AQ556" s="1">
        <v>1</v>
      </c>
      <c r="AR556" s="1">
        <v>1</v>
      </c>
      <c r="AS556" s="1">
        <v>1</v>
      </c>
      <c r="AT556" s="1">
        <v>1</v>
      </c>
      <c r="AU556" s="1">
        <v>1</v>
      </c>
      <c r="AV556" s="1">
        <v>1</v>
      </c>
      <c r="AW556" s="1">
        <v>2</v>
      </c>
      <c r="AX556" s="1">
        <v>2</v>
      </c>
      <c r="AY556" s="1">
        <v>1</v>
      </c>
      <c r="AZ556" s="1">
        <v>1</v>
      </c>
      <c r="BA556" s="1">
        <v>1</v>
      </c>
      <c r="BB556" s="1">
        <v>1</v>
      </c>
      <c r="BC556" s="1">
        <v>2</v>
      </c>
      <c r="BD556" s="1">
        <v>1</v>
      </c>
      <c r="BE556" s="1">
        <v>1</v>
      </c>
      <c r="BF556" s="1">
        <v>1</v>
      </c>
      <c r="BG556" s="1">
        <f>IF(HRRVL,1,0)</f>
        <v>0</v>
      </c>
      <c r="BH556" s="1">
        <f>IF(HROA,1,0)</f>
        <v>0</v>
      </c>
      <c r="BI556" s="1">
        <v>1</v>
      </c>
      <c r="BJ556" s="1">
        <v>1</v>
      </c>
      <c r="BK556" s="1">
        <v>1</v>
      </c>
      <c r="BL556" s="1">
        <v>1</v>
      </c>
      <c r="BM556" s="1">
        <v>1</v>
      </c>
      <c r="BN556" s="1">
        <v>1</v>
      </c>
      <c r="BO556" s="1">
        <v>1</v>
      </c>
      <c r="BP556" s="1">
        <v>2</v>
      </c>
      <c r="BQ556" s="1">
        <f>IF(HRRVL,1,0)</f>
        <v>0</v>
      </c>
      <c r="BR556" s="1">
        <v>1</v>
      </c>
      <c r="BS556" s="1">
        <v>2</v>
      </c>
      <c r="BT556" s="1">
        <v>0</v>
      </c>
      <c r="BU556" s="1">
        <f>IF(HRRVL,1,0)</f>
        <v>0</v>
      </c>
      <c r="BV556" s="1">
        <v>1</v>
      </c>
      <c r="BW556" s="1">
        <v>1</v>
      </c>
      <c r="BX556" s="1">
        <v>1</v>
      </c>
      <c r="BY556" s="1">
        <v>1</v>
      </c>
      <c r="BZ556" s="1">
        <v>1</v>
      </c>
      <c r="CA556" s="1">
        <v>1</v>
      </c>
      <c r="CB556" s="1">
        <v>1</v>
      </c>
      <c r="CC556" s="1">
        <v>1</v>
      </c>
      <c r="CD556" s="1">
        <v>1</v>
      </c>
      <c r="CE556" s="1">
        <v>1</v>
      </c>
      <c r="CF556" s="1">
        <v>2</v>
      </c>
      <c r="CG556" s="1">
        <f>IF(HRToB,1,0)</f>
        <v>0</v>
      </c>
      <c r="CH556" s="1">
        <v>1</v>
      </c>
      <c r="CI556" s="1">
        <v>1</v>
      </c>
      <c r="CJ556" s="1">
        <v>1</v>
      </c>
      <c r="CK556" s="1">
        <v>1</v>
      </c>
      <c r="CL556" s="1">
        <v>1</v>
      </c>
      <c r="CM556" s="1">
        <v>1</v>
      </c>
      <c r="CN556" s="1">
        <v>1</v>
      </c>
      <c r="CO556" s="1">
        <v>1</v>
      </c>
      <c r="CP556" s="1">
        <v>1</v>
      </c>
      <c r="CQ556" s="1">
        <v>1</v>
      </c>
      <c r="CR556" s="1">
        <v>1</v>
      </c>
      <c r="CS556" s="1">
        <v>1</v>
      </c>
      <c r="CT556" s="1">
        <v>1</v>
      </c>
      <c r="CU556" s="1">
        <v>1</v>
      </c>
      <c r="CV556" s="1">
        <v>0</v>
      </c>
      <c r="CW556" s="1">
        <v>1</v>
      </c>
      <c r="CX556" s="1">
        <v>2</v>
      </c>
      <c r="CY556" s="1">
        <v>2</v>
      </c>
      <c r="CZ556" s="1">
        <f>IF(HRCS,1,0)</f>
        <v>0</v>
      </c>
      <c r="DA556" s="1">
        <v>1</v>
      </c>
      <c r="DB556" s="1">
        <v>1</v>
      </c>
      <c r="DC556" s="1">
        <v>1</v>
      </c>
      <c r="DD556" s="1">
        <v>2</v>
      </c>
      <c r="DE556" s="1">
        <v>1</v>
      </c>
      <c r="DF556" s="1">
        <v>1</v>
      </c>
      <c r="DG556" s="1">
        <v>1</v>
      </c>
      <c r="DH556" s="1">
        <v>1</v>
      </c>
      <c r="DI556" s="1">
        <v>0</v>
      </c>
      <c r="DJ556" s="1">
        <v>1</v>
      </c>
      <c r="DK556" s="1" t="s">
        <v>1348</v>
      </c>
      <c r="DL556" s="1" t="s">
        <v>170</v>
      </c>
      <c r="DV556" s="1" t="b">
        <f>AlignmentLawful</f>
        <v>1</v>
      </c>
      <c r="DW556" s="1" t="b">
        <f>BaseAtk&gt;=7</f>
        <v>0</v>
      </c>
      <c r="DX556" s="1" t="b">
        <f>SkDiplomacyRanks&gt;=3</f>
        <v>0</v>
      </c>
      <c r="DY556" s="1" t="b">
        <f>SkGatherInformationRanks&gt;=3</f>
        <v>0</v>
      </c>
      <c r="DZ556" s="1" t="b">
        <f>NOT(HRLivingGreyhawk)</f>
        <v>1</v>
      </c>
      <c r="EA556" s="1" t="b">
        <f>AND(DM556:DZ556)</f>
        <v>0</v>
      </c>
      <c r="EB556" s="11" t="s">
        <v>338</v>
      </c>
      <c r="EC556" s="1" t="str">
        <f>"• Region of Origin: Breland (not verified)"
&amp;IF(DV556,"","• Must be of any lawful alignment.
")&amp;IF(DW556,"","• Base Attack Bonus: +7.
")&amp;IF(DX556,"","• 3 ranks in Diplomacy.
")&amp;IF(DY556,"","• 3 ranks in Gather Information.
")&amp;IF(DZ556,"","• Not available in Living Greyhawk.")</f>
        <v xml:space="preserve">• Region of Origin: Breland (not verified)• Base Attack Bonus: +7.
• 3 ranks in Diplomacy.
• 3 ranks in Gather Information.
</v>
      </c>
      <c r="ED556" s="11" t="s">
        <v>335</v>
      </c>
    </row>
    <row r="557" spans="1:134" ht="11.25" customHeight="1" x14ac:dyDescent="0.2">
      <c r="A557" s="1">
        <f t="shared" si="493"/>
        <v>554</v>
      </c>
      <c r="B557" s="1" t="s">
        <v>1351</v>
      </c>
      <c r="C557" s="1" t="s">
        <v>1352</v>
      </c>
      <c r="D557" s="1" t="s">
        <v>1352</v>
      </c>
      <c r="E557" s="1">
        <f t="shared" si="517"/>
        <v>0</v>
      </c>
      <c r="K557" s="1">
        <v>2</v>
      </c>
      <c r="L557" s="1">
        <v>8</v>
      </c>
      <c r="N557" s="1" t="b">
        <v>1</v>
      </c>
      <c r="O557" s="1" t="b">
        <v>1</v>
      </c>
      <c r="P557" s="1" t="b">
        <v>1</v>
      </c>
      <c r="Q557" s="1" t="b">
        <v>1</v>
      </c>
      <c r="R557" s="1" t="b">
        <v>1</v>
      </c>
      <c r="S557" s="1" t="b">
        <v>1</v>
      </c>
      <c r="T557" s="1" t="b">
        <v>1</v>
      </c>
      <c r="V557" s="1">
        <v>0.5</v>
      </c>
      <c r="W557" s="1">
        <v>0.34</v>
      </c>
      <c r="X557" s="1">
        <v>0.34</v>
      </c>
      <c r="Y557" s="1">
        <v>0.5</v>
      </c>
      <c r="Z557" s="1" t="b">
        <f>FALSE</f>
        <v>0</v>
      </c>
      <c r="AA557" s="1" t="str">
        <f t="shared" si="520"/>
        <v/>
      </c>
      <c r="AB557" s="1" t="str">
        <f t="shared" si="521"/>
        <v/>
      </c>
      <c r="AC557" s="1">
        <f t="shared" si="518"/>
        <v>0</v>
      </c>
      <c r="AD557" s="1" t="str">
        <f t="shared" si="522"/>
        <v/>
      </c>
      <c r="AE557" s="1" t="str">
        <f t="shared" si="523"/>
        <v/>
      </c>
      <c r="AF557" s="1">
        <f t="shared" si="519"/>
        <v>0</v>
      </c>
      <c r="AG557" s="1">
        <f t="shared" si="509"/>
        <v>5</v>
      </c>
      <c r="AH557" s="1" t="str">
        <f t="shared" si="502"/>
        <v/>
      </c>
      <c r="AI557" s="1">
        <v>1</v>
      </c>
      <c r="AJ557" s="1">
        <f>IF(HRXPH,1,0)</f>
        <v>0</v>
      </c>
      <c r="AK557" s="1">
        <v>2</v>
      </c>
      <c r="AL557" s="1">
        <v>1</v>
      </c>
      <c r="AM557" s="1">
        <v>1</v>
      </c>
      <c r="AN557" s="1">
        <f>IF(IsLycanthrope,2,0)</f>
        <v>0</v>
      </c>
      <c r="AO557" s="1">
        <v>2</v>
      </c>
      <c r="AP557" s="1">
        <v>2</v>
      </c>
      <c r="AQ557" s="1">
        <v>2</v>
      </c>
      <c r="AR557" s="1">
        <v>2</v>
      </c>
      <c r="AS557" s="1">
        <v>2</v>
      </c>
      <c r="AT557" s="1">
        <v>2</v>
      </c>
      <c r="AU557" s="1">
        <v>2</v>
      </c>
      <c r="AV557" s="1">
        <v>2</v>
      </c>
      <c r="AW557" s="1">
        <v>1</v>
      </c>
      <c r="AX557" s="1">
        <v>1</v>
      </c>
      <c r="AY557" s="1">
        <v>1</v>
      </c>
      <c r="AZ557" s="1">
        <v>1</v>
      </c>
      <c r="BA557" s="1">
        <v>1</v>
      </c>
      <c r="BB557" s="1">
        <v>1</v>
      </c>
      <c r="BC557" s="1">
        <v>1</v>
      </c>
      <c r="BD557" s="1">
        <v>1</v>
      </c>
      <c r="BE557" s="1">
        <v>1</v>
      </c>
      <c r="BF557" s="1">
        <v>1</v>
      </c>
      <c r="BG557" s="1">
        <f>IF(HRRVL,1,0)</f>
        <v>0</v>
      </c>
      <c r="BH557" s="1">
        <f>IF(HROA,1,0)</f>
        <v>0</v>
      </c>
      <c r="BI557" s="1">
        <v>1</v>
      </c>
      <c r="BJ557" s="1">
        <v>2</v>
      </c>
      <c r="BK557" s="1">
        <v>2</v>
      </c>
      <c r="BL557" s="1">
        <v>1</v>
      </c>
      <c r="BM557" s="1">
        <v>1</v>
      </c>
      <c r="BN557" s="1">
        <v>1</v>
      </c>
      <c r="BO557" s="1">
        <v>1</v>
      </c>
      <c r="BP557" s="1">
        <v>1</v>
      </c>
      <c r="BQ557" s="1">
        <f>IF(HRRVL,1,0)</f>
        <v>0</v>
      </c>
      <c r="BR557" s="1">
        <v>1</v>
      </c>
      <c r="BS557" s="1">
        <v>1</v>
      </c>
      <c r="BT557" s="1">
        <v>0</v>
      </c>
      <c r="BU557" s="1">
        <f>IF(HRRVL,1,0)</f>
        <v>0</v>
      </c>
      <c r="BV557" s="1">
        <v>1</v>
      </c>
      <c r="BW557" s="1">
        <v>2</v>
      </c>
      <c r="BX557" s="1">
        <v>1</v>
      </c>
      <c r="BY557" s="1">
        <v>1</v>
      </c>
      <c r="BZ557" s="1">
        <v>1</v>
      </c>
      <c r="CA557" s="1">
        <v>1</v>
      </c>
      <c r="CB557" s="1">
        <v>1</v>
      </c>
      <c r="CC557" s="1">
        <v>1</v>
      </c>
      <c r="CD557" s="1">
        <v>1</v>
      </c>
      <c r="CE557" s="1">
        <v>1</v>
      </c>
      <c r="CF557" s="1">
        <v>1</v>
      </c>
      <c r="CG557" s="1">
        <f>IF(HRToB,1,0)</f>
        <v>0</v>
      </c>
      <c r="CH557" s="1">
        <v>1</v>
      </c>
      <c r="CI557" s="1">
        <v>1</v>
      </c>
      <c r="CJ557" s="1">
        <v>1</v>
      </c>
      <c r="CK557" s="1">
        <v>1</v>
      </c>
      <c r="CL557" s="1">
        <v>1</v>
      </c>
      <c r="CM557" s="1">
        <v>1</v>
      </c>
      <c r="CN557" s="1">
        <v>1</v>
      </c>
      <c r="CO557" s="1">
        <v>1</v>
      </c>
      <c r="CP557" s="1">
        <v>2</v>
      </c>
      <c r="CQ557" s="1">
        <v>2</v>
      </c>
      <c r="CR557" s="1">
        <v>2</v>
      </c>
      <c r="CS557" s="1">
        <v>2</v>
      </c>
      <c r="CT557" s="1">
        <v>2</v>
      </c>
      <c r="CU557" s="1">
        <v>2</v>
      </c>
      <c r="CV557" s="1">
        <v>0</v>
      </c>
      <c r="CW557" s="1">
        <v>2</v>
      </c>
      <c r="CX557" s="1">
        <v>1</v>
      </c>
      <c r="CY557" s="1">
        <v>1</v>
      </c>
      <c r="CZ557" s="1">
        <f>IF(HRCS,1,0)</f>
        <v>0</v>
      </c>
      <c r="DA557" s="1">
        <v>1</v>
      </c>
      <c r="DB557" s="1">
        <v>1</v>
      </c>
      <c r="DC557" s="1">
        <v>2</v>
      </c>
      <c r="DD557" s="1">
        <v>1</v>
      </c>
      <c r="DE557" s="1">
        <v>1</v>
      </c>
      <c r="DF557" s="1">
        <v>1</v>
      </c>
      <c r="DG557" s="1">
        <v>2</v>
      </c>
      <c r="DH557" s="1">
        <v>1</v>
      </c>
      <c r="DI557" s="1">
        <v>0</v>
      </c>
      <c r="DJ557" s="1">
        <v>1</v>
      </c>
      <c r="DK557" s="1" t="s">
        <v>1348</v>
      </c>
      <c r="DL557" s="1" t="s">
        <v>170</v>
      </c>
      <c r="DU557" s="1" t="b">
        <f>SkKnowledgePlanesRanks&gt;=4</f>
        <v>0</v>
      </c>
      <c r="DV557" s="1" t="b">
        <f>SkSpellcraftRanks&gt;=8</f>
        <v>0</v>
      </c>
      <c r="DW557" s="1" t="b">
        <f>MetamagicSelected&gt;=1</f>
        <v>0</v>
      </c>
      <c r="DZ557" s="1" t="b">
        <f>NOT(HRLivingGreyhawk)</f>
        <v>1</v>
      </c>
      <c r="EA557" s="1" t="b">
        <f>AND(DM557:DZ557)</f>
        <v>0</v>
      </c>
      <c r="EB557" s="11" t="s">
        <v>338</v>
      </c>
      <c r="EC557" s="1" t="str">
        <f>IF(DU557,"","• 4 ranks in Knowledge (the planes).
")&amp;IF(DV557,"","• 8 ranks in Spellcraft.
")&amp;IF(DW557,"","• Any metamagic feat.
")&amp;"• You must have the ability to fly, either by casting a spell, or as a natural ability. (not verified)."
&amp;IF(DZ557,"","• Not available in Living Greyhawk.")</f>
        <v>• 4 ranks in Knowledge (the planes).
• 8 ranks in Spellcraft.
• Any metamagic feat.
• You must have the ability to fly, either by casting a spell, or as a natural ability. (not verified).</v>
      </c>
      <c r="ED557" s="11" t="s">
        <v>335</v>
      </c>
    </row>
    <row r="558" spans="1:134" ht="11.25" customHeight="1" x14ac:dyDescent="0.2">
      <c r="A558" s="1">
        <f t="shared" si="493"/>
        <v>555</v>
      </c>
      <c r="B558" s="1" t="s">
        <v>1353</v>
      </c>
      <c r="E558" s="1">
        <f t="shared" si="517"/>
        <v>0</v>
      </c>
      <c r="F558" s="1">
        <v>1</v>
      </c>
      <c r="Z558" s="1" t="b">
        <f>FALSE</f>
        <v>0</v>
      </c>
      <c r="AA558" s="1" t="str">
        <f t="shared" si="520"/>
        <v/>
      </c>
      <c r="AB558" s="1" t="str">
        <f t="shared" si="521"/>
        <v/>
      </c>
      <c r="AC558" s="1">
        <f t="shared" si="518"/>
        <v>0</v>
      </c>
      <c r="AD558" s="1" t="str">
        <f t="shared" si="522"/>
        <v/>
      </c>
      <c r="AE558" s="1" t="str">
        <f t="shared" si="523"/>
        <v/>
      </c>
      <c r="AF558" s="1">
        <f t="shared" si="519"/>
        <v>0</v>
      </c>
      <c r="AG558" s="1">
        <f t="shared" si="509"/>
        <v>5</v>
      </c>
      <c r="AH558" s="1" t="str">
        <f t="shared" si="502"/>
        <v/>
      </c>
      <c r="EB558" s="11"/>
      <c r="ED558" s="11" t="s">
        <v>335</v>
      </c>
    </row>
    <row r="559" spans="1:134" ht="11.25" customHeight="1" x14ac:dyDescent="0.2">
      <c r="A559" s="1">
        <f t="shared" si="493"/>
        <v>556</v>
      </c>
      <c r="B559" s="1" t="s">
        <v>1354</v>
      </c>
      <c r="C559" s="1" t="s">
        <v>1355</v>
      </c>
      <c r="D559" s="1" t="s">
        <v>1355</v>
      </c>
      <c r="E559" s="1">
        <f t="shared" si="517"/>
        <v>0</v>
      </c>
      <c r="G559" s="1">
        <f>MAX(CatMLvl-1,0)</f>
        <v>0</v>
      </c>
      <c r="K559" s="1">
        <v>2</v>
      </c>
      <c r="L559" s="1">
        <v>4</v>
      </c>
      <c r="V559" s="1">
        <v>0.5</v>
      </c>
      <c r="W559" s="1">
        <v>0.34</v>
      </c>
      <c r="X559" s="1">
        <v>0.34</v>
      </c>
      <c r="Y559" s="1">
        <v>0.5</v>
      </c>
      <c r="Z559" s="1" t="b">
        <f>FALSE</f>
        <v>0</v>
      </c>
      <c r="AA559" s="1" t="str">
        <f t="shared" si="520"/>
        <v/>
      </c>
      <c r="AB559" s="1" t="str">
        <f t="shared" si="521"/>
        <v/>
      </c>
      <c r="AC559" s="1">
        <f t="shared" si="518"/>
        <v>0</v>
      </c>
      <c r="AD559" s="1" t="str">
        <f t="shared" si="522"/>
        <v/>
      </c>
      <c r="AE559" s="1" t="str">
        <f t="shared" si="523"/>
        <v/>
      </c>
      <c r="AF559" s="1">
        <f t="shared" si="519"/>
        <v>0</v>
      </c>
      <c r="AG559" s="1">
        <f t="shared" si="509"/>
        <v>5</v>
      </c>
      <c r="AH559" s="1" t="str">
        <f t="shared" si="502"/>
        <v/>
      </c>
      <c r="AI559" s="1">
        <v>1</v>
      </c>
      <c r="AJ559" s="1">
        <f>IF(HRXPH,1,0)</f>
        <v>0</v>
      </c>
      <c r="AK559" s="1">
        <v>1</v>
      </c>
      <c r="AL559" s="1">
        <v>1</v>
      </c>
      <c r="AM559" s="1">
        <v>1</v>
      </c>
      <c r="AN559" s="1">
        <f>IF(IsLycanthrope,2,0)</f>
        <v>0</v>
      </c>
      <c r="AO559" s="1">
        <v>2</v>
      </c>
      <c r="AP559" s="1">
        <v>2</v>
      </c>
      <c r="AQ559" s="1">
        <v>2</v>
      </c>
      <c r="AR559" s="1">
        <v>2</v>
      </c>
      <c r="AS559" s="1">
        <v>2</v>
      </c>
      <c r="AT559" s="1">
        <v>2</v>
      </c>
      <c r="AU559" s="1">
        <v>2</v>
      </c>
      <c r="AV559" s="1">
        <v>2</v>
      </c>
      <c r="AW559" s="1">
        <v>2</v>
      </c>
      <c r="AX559" s="1">
        <v>1</v>
      </c>
      <c r="AY559" s="1">
        <v>1</v>
      </c>
      <c r="AZ559" s="1">
        <v>1</v>
      </c>
      <c r="BA559" s="1">
        <v>1</v>
      </c>
      <c r="BB559" s="1">
        <v>1</v>
      </c>
      <c r="BC559" s="1">
        <v>1</v>
      </c>
      <c r="BD559" s="1">
        <v>1</v>
      </c>
      <c r="BE559" s="1">
        <v>1</v>
      </c>
      <c r="BF559" s="1">
        <v>1</v>
      </c>
      <c r="BG559" s="1">
        <f>IF(HRRVL,1,0)</f>
        <v>0</v>
      </c>
      <c r="BH559" s="1">
        <f>IF(HROA,1,0)</f>
        <v>0</v>
      </c>
      <c r="BI559" s="1">
        <v>1</v>
      </c>
      <c r="BJ559" s="1">
        <v>1</v>
      </c>
      <c r="BK559" s="1">
        <v>2</v>
      </c>
      <c r="BL559" s="1">
        <v>1</v>
      </c>
      <c r="BM559" s="1">
        <v>1</v>
      </c>
      <c r="BN559" s="1">
        <v>1</v>
      </c>
      <c r="BO559" s="1">
        <v>2</v>
      </c>
      <c r="BP559" s="1">
        <v>1</v>
      </c>
      <c r="BQ559" s="1">
        <f>IF(HRRVL,1,0)</f>
        <v>0</v>
      </c>
      <c r="BR559" s="1">
        <v>1</v>
      </c>
      <c r="BS559" s="1">
        <v>1</v>
      </c>
      <c r="BT559" s="1">
        <f>IF(HRXPH,1,0)</f>
        <v>0</v>
      </c>
      <c r="BU559" s="1">
        <f>IF(HRRVL,1,0)</f>
        <v>0</v>
      </c>
      <c r="BV559" s="1">
        <v>1</v>
      </c>
      <c r="BW559" s="1">
        <v>2</v>
      </c>
      <c r="BX559" s="1">
        <v>1</v>
      </c>
      <c r="BY559" s="1">
        <v>1</v>
      </c>
      <c r="BZ559" s="1">
        <v>1</v>
      </c>
      <c r="CA559" s="1">
        <v>1</v>
      </c>
      <c r="CB559" s="1">
        <v>1</v>
      </c>
      <c r="CC559" s="1">
        <v>1</v>
      </c>
      <c r="CD559" s="1">
        <v>1</v>
      </c>
      <c r="CE559" s="1">
        <v>1</v>
      </c>
      <c r="CF559" s="1">
        <v>1</v>
      </c>
      <c r="CG559" s="1">
        <f>IF(HRToB,1,0)</f>
        <v>0</v>
      </c>
      <c r="CH559" s="1">
        <v>1</v>
      </c>
      <c r="CI559" s="1">
        <v>1</v>
      </c>
      <c r="CJ559" s="1">
        <v>1</v>
      </c>
      <c r="CK559" s="1">
        <v>1</v>
      </c>
      <c r="CL559" s="1">
        <v>1</v>
      </c>
      <c r="CM559" s="1">
        <v>1</v>
      </c>
      <c r="CN559" s="1">
        <v>1</v>
      </c>
      <c r="CO559" s="1">
        <v>1</v>
      </c>
      <c r="CP559" s="1">
        <v>2</v>
      </c>
      <c r="CQ559" s="1">
        <v>2</v>
      </c>
      <c r="CR559" s="1">
        <v>2</v>
      </c>
      <c r="CS559" s="1">
        <v>2</v>
      </c>
      <c r="CT559" s="1">
        <v>2</v>
      </c>
      <c r="CU559" s="1">
        <v>2</v>
      </c>
      <c r="CV559" s="1">
        <f>IF(HRXPH,1,0)</f>
        <v>0</v>
      </c>
      <c r="CW559" s="1">
        <v>1</v>
      </c>
      <c r="CX559" s="1">
        <v>1</v>
      </c>
      <c r="CY559" s="1">
        <v>1</v>
      </c>
      <c r="CZ559" s="1">
        <f>IF(HRCS,1,0)</f>
        <v>0</v>
      </c>
      <c r="DA559" s="1">
        <v>1</v>
      </c>
      <c r="DB559" s="1">
        <v>1</v>
      </c>
      <c r="DC559" s="1">
        <v>2</v>
      </c>
      <c r="DD559" s="1">
        <v>1</v>
      </c>
      <c r="DE559" s="1">
        <v>1</v>
      </c>
      <c r="DF559" s="1">
        <v>1</v>
      </c>
      <c r="DG559" s="1">
        <v>1</v>
      </c>
      <c r="DH559" s="1">
        <v>1</v>
      </c>
      <c r="DI559" s="1">
        <f>IF(HRXPH,1,0)</f>
        <v>0</v>
      </c>
      <c r="DJ559" s="1">
        <v>1</v>
      </c>
      <c r="DK559" s="1" t="s">
        <v>1356</v>
      </c>
      <c r="DL559" s="1" t="s">
        <v>170</v>
      </c>
      <c r="DW559" s="1" t="b">
        <f>SkKnowledgePlanesRanks&gt;7</f>
        <v>0</v>
      </c>
      <c r="DX559" s="1" t="b">
        <f>SkKnowledgeHistoryRanks&gt;7</f>
        <v>0</v>
      </c>
      <c r="DY559" s="1" t="b">
        <f>TotalArcaneCasterLevel&gt;2</f>
        <v>0</v>
      </c>
      <c r="DZ559" s="1" t="b">
        <f>NOT(HRLivingGreyhawk)</f>
        <v>1</v>
      </c>
      <c r="EA559" s="1" t="b">
        <f>AND(DM559:DZ559)</f>
        <v>0</v>
      </c>
      <c r="EB559" s="11" t="s">
        <v>338</v>
      </c>
      <c r="EC559" s="1" t="str">
        <f>IF(DW559,"","• 8 ranks in Knowledge (the planes).
")&amp;IF(DX559,"","• 8 ranks in Knowledge (history).
")&amp;IF(DY559,"","• Must be able to cast 3rd level arcane spells.
")&amp;IF(DZ559,"","• Not available in Living Greyhawk.")
&amp;"• Must have received a vision. (not verified)"</f>
        <v>• 8 ranks in Knowledge (the planes).
• 8 ranks in Knowledge (history).
• Must be able to cast 3rd level arcane spells.
• Must have received a vision. (not verified)</v>
      </c>
      <c r="ED559" s="11" t="s">
        <v>335</v>
      </c>
    </row>
    <row r="560" spans="1:134" ht="11.25" customHeight="1" x14ac:dyDescent="0.2">
      <c r="A560" s="1">
        <f t="shared" si="493"/>
        <v>557</v>
      </c>
      <c r="B560" s="1" t="s">
        <v>1357</v>
      </c>
      <c r="C560" s="1" t="s">
        <v>1358</v>
      </c>
      <c r="D560" s="1" t="s">
        <v>1358</v>
      </c>
      <c r="E560" s="1">
        <f t="shared" si="517"/>
        <v>0</v>
      </c>
      <c r="K560" s="1">
        <v>4</v>
      </c>
      <c r="L560" s="1">
        <v>10</v>
      </c>
      <c r="V560" s="1">
        <v>0.75</v>
      </c>
      <c r="W560" s="1">
        <v>0.5</v>
      </c>
      <c r="X560" s="1">
        <v>0.34</v>
      </c>
      <c r="Y560" s="1">
        <v>0.34</v>
      </c>
      <c r="Z560" s="1" t="b">
        <f>FALSE</f>
        <v>0</v>
      </c>
      <c r="AA560" s="1" t="str">
        <f t="shared" si="520"/>
        <v/>
      </c>
      <c r="AB560" s="1" t="str">
        <f t="shared" si="521"/>
        <v/>
      </c>
      <c r="AC560" s="1">
        <f t="shared" si="518"/>
        <v>0</v>
      </c>
      <c r="AD560" s="1" t="str">
        <f t="shared" si="522"/>
        <v/>
      </c>
      <c r="AE560" s="1" t="str">
        <f t="shared" si="523"/>
        <v/>
      </c>
      <c r="AF560" s="1">
        <f t="shared" si="519"/>
        <v>0</v>
      </c>
      <c r="AG560" s="1">
        <f t="shared" si="509"/>
        <v>5</v>
      </c>
      <c r="AH560" s="1" t="str">
        <f t="shared" si="502"/>
        <v/>
      </c>
      <c r="AI560" s="1">
        <v>1</v>
      </c>
      <c r="AJ560" s="1">
        <f>IF(HRXPH,1,0)</f>
        <v>0</v>
      </c>
      <c r="AK560" s="1">
        <v>1</v>
      </c>
      <c r="AL560" s="1">
        <v>2</v>
      </c>
      <c r="AM560" s="1">
        <v>2</v>
      </c>
      <c r="AN560" s="1">
        <f>IF(IsLycanthrope,2,0)</f>
        <v>0</v>
      </c>
      <c r="AO560" s="1">
        <v>1</v>
      </c>
      <c r="AP560" s="1">
        <v>2</v>
      </c>
      <c r="AQ560" s="1">
        <v>2</v>
      </c>
      <c r="AR560" s="1">
        <v>2</v>
      </c>
      <c r="AS560" s="1">
        <v>2</v>
      </c>
      <c r="AT560" s="1">
        <v>2</v>
      </c>
      <c r="AU560" s="1">
        <v>2</v>
      </c>
      <c r="AV560" s="1">
        <v>2</v>
      </c>
      <c r="AW560" s="1">
        <v>2</v>
      </c>
      <c r="AX560" s="1">
        <v>2</v>
      </c>
      <c r="AY560" s="1">
        <v>1</v>
      </c>
      <c r="AZ560" s="1">
        <v>1</v>
      </c>
      <c r="BA560" s="1">
        <v>1</v>
      </c>
      <c r="BB560" s="1">
        <v>1</v>
      </c>
      <c r="BC560" s="1">
        <v>2</v>
      </c>
      <c r="BD560" s="1">
        <v>1</v>
      </c>
      <c r="BE560" s="1">
        <v>1</v>
      </c>
      <c r="BF560" s="1">
        <v>1</v>
      </c>
      <c r="BG560" s="1">
        <f>IF(HRRVL,1,0)</f>
        <v>0</v>
      </c>
      <c r="BH560" s="1">
        <f>IF(HROA,1,0)</f>
        <v>0</v>
      </c>
      <c r="BI560" s="1">
        <v>2</v>
      </c>
      <c r="BJ560" s="1">
        <v>2</v>
      </c>
      <c r="BK560" s="1">
        <v>1</v>
      </c>
      <c r="BL560" s="1">
        <v>1</v>
      </c>
      <c r="BM560" s="1">
        <v>1</v>
      </c>
      <c r="BN560" s="1">
        <v>2</v>
      </c>
      <c r="BO560" s="1">
        <v>1</v>
      </c>
      <c r="BP560" s="1">
        <v>2</v>
      </c>
      <c r="BQ560" s="1">
        <f>IF(HRRVL,1,0)</f>
        <v>0</v>
      </c>
      <c r="BR560" s="1">
        <v>1</v>
      </c>
      <c r="BS560" s="1">
        <v>1</v>
      </c>
      <c r="BT560" s="1">
        <f>IF(HRXPH,1,0)</f>
        <v>0</v>
      </c>
      <c r="BU560" s="1">
        <f>IF(HRRVL,1,0)</f>
        <v>0</v>
      </c>
      <c r="BV560" s="1">
        <v>1</v>
      </c>
      <c r="BW560" s="1">
        <v>1</v>
      </c>
      <c r="BX560" s="1">
        <v>1</v>
      </c>
      <c r="BY560" s="1">
        <v>1</v>
      </c>
      <c r="BZ560" s="1">
        <v>1</v>
      </c>
      <c r="CA560" s="1">
        <v>1</v>
      </c>
      <c r="CB560" s="1">
        <v>1</v>
      </c>
      <c r="CC560" s="1">
        <v>1</v>
      </c>
      <c r="CD560" s="1">
        <v>1</v>
      </c>
      <c r="CE560" s="1">
        <v>1</v>
      </c>
      <c r="CF560" s="1">
        <v>1</v>
      </c>
      <c r="CG560" s="1">
        <f>IF(HRToB,1,0)</f>
        <v>0</v>
      </c>
      <c r="CH560" s="1">
        <v>1</v>
      </c>
      <c r="CI560" s="1">
        <v>1</v>
      </c>
      <c r="CJ560" s="1">
        <v>1</v>
      </c>
      <c r="CK560" s="1">
        <v>1</v>
      </c>
      <c r="CL560" s="1">
        <v>1</v>
      </c>
      <c r="CM560" s="1">
        <v>1</v>
      </c>
      <c r="CN560" s="1">
        <v>1</v>
      </c>
      <c r="CO560" s="1">
        <v>1</v>
      </c>
      <c r="CP560" s="1">
        <v>2</v>
      </c>
      <c r="CQ560" s="1">
        <v>2</v>
      </c>
      <c r="CR560" s="1">
        <v>2</v>
      </c>
      <c r="CS560" s="1">
        <v>2</v>
      </c>
      <c r="CT560" s="1">
        <v>2</v>
      </c>
      <c r="CU560" s="1">
        <v>2</v>
      </c>
      <c r="CV560" s="1">
        <f>IF(HRXPH,1,0)</f>
        <v>0</v>
      </c>
      <c r="CW560" s="1">
        <v>2</v>
      </c>
      <c r="CX560" s="1">
        <v>1</v>
      </c>
      <c r="CY560" s="1">
        <v>2</v>
      </c>
      <c r="CZ560" s="1">
        <f>IF(HRCS,1,0)</f>
        <v>0</v>
      </c>
      <c r="DA560" s="1">
        <v>1</v>
      </c>
      <c r="DB560" s="1">
        <v>2</v>
      </c>
      <c r="DC560" s="1">
        <v>1</v>
      </c>
      <c r="DD560" s="1">
        <v>2</v>
      </c>
      <c r="DE560" s="1">
        <v>2</v>
      </c>
      <c r="DF560" s="1">
        <v>2</v>
      </c>
      <c r="DG560" s="1">
        <v>1</v>
      </c>
      <c r="DH560" s="1">
        <v>1</v>
      </c>
      <c r="DI560" s="1">
        <f>IF(HRXPH,1,0)</f>
        <v>0</v>
      </c>
      <c r="DJ560" s="1">
        <v>1</v>
      </c>
      <c r="DK560" s="1" t="s">
        <v>1356</v>
      </c>
      <c r="DL560" s="1" t="s">
        <v>170</v>
      </c>
      <c r="DW560" s="1" t="b">
        <f>BaseAtk&gt;3</f>
        <v>0</v>
      </c>
      <c r="DX560" s="1" t="b">
        <f>SkDiplomacyRanks&gt;2</f>
        <v>0</v>
      </c>
      <c r="DY560" s="1" t="b">
        <f>OR(NOT(ISNA(MATCH("Aquan",TblLangKnown,0))),NOT(ISNA(MATCH("Argon",TblLangKnown,0))),NOT(ISNA(MATCH("Draconic",TblLangKnown,0))),NOT(ISNA(MATCH("Drow",TblLangKnown,0))),NOT(ISNA(MATCH("Elven",TblLangKnown,0))),NOT(ISNA(MATCH("Giant",TblLangKnown,0))),NOT(ISNA(MATCH("Sahuagin",TblLangKnown,0))))</f>
        <v>0</v>
      </c>
      <c r="DZ560" s="1" t="b">
        <f>NOT(HRLivingGreyhawk)</f>
        <v>1</v>
      </c>
      <c r="EA560" s="1" t="b">
        <f>AND(DM560:DZ560)</f>
        <v>0</v>
      </c>
      <c r="EB560" s="11" t="s">
        <v>338</v>
      </c>
      <c r="EC560" s="1" t="str">
        <f>IF(DW560,"","• BAB +4.
")&amp;IF(DX560,"","• 3 ranks in Diplomacy.
")&amp;IF(DY560,"","• Must be able to speak either Aquan, Argon, Draconic, Drow, Elven, Giant, or Sahuagin.
")&amp;IF(DZ560,"","• Not available in Living Greyhawk.")&amp;"
• Must have adventured in 2 of the following areas: Aerenal, Argonnesson, Seren, Shargon's Teeth, 
the Thunder Sea, or Xen'drik. (not verified)"</f>
        <v>• BAB +4.
• 3 ranks in Diplomacy.
• Must be able to speak either Aquan, Argon, Draconic, Drow, Elven, Giant, or Sahuagin.
• Must have adventured in 2 of the following areas: Aerenal, Argonnesson, Seren, Shargon's Teeth, 
the Thunder Sea, or Xen'drik. (not verified)</v>
      </c>
      <c r="ED560" s="11" t="s">
        <v>335</v>
      </c>
    </row>
    <row r="561" spans="1:134" ht="11.25" customHeight="1" x14ac:dyDescent="0.2">
      <c r="A561" s="1">
        <f t="shared" si="493"/>
        <v>558</v>
      </c>
      <c r="B561" s="1" t="s">
        <v>1359</v>
      </c>
      <c r="C561" s="1" t="s">
        <v>1360</v>
      </c>
      <c r="D561" s="1" t="s">
        <v>1360</v>
      </c>
      <c r="E561" s="1">
        <f t="shared" si="517"/>
        <v>0</v>
      </c>
      <c r="G561" s="1">
        <f>(WiCLvl&gt;=1)+(WiCLvl&gt;=3)+(WiCLvl&gt;=5)</f>
        <v>0</v>
      </c>
      <c r="K561" s="1">
        <v>6</v>
      </c>
      <c r="L561" s="1">
        <v>6</v>
      </c>
      <c r="V561" s="1">
        <v>0.75</v>
      </c>
      <c r="W561" s="1">
        <v>0.34</v>
      </c>
      <c r="X561" s="1">
        <v>0.5</v>
      </c>
      <c r="Y561" s="1">
        <v>0.5</v>
      </c>
      <c r="Z561" s="1" t="b">
        <f>FALSE</f>
        <v>0</v>
      </c>
      <c r="AA561" s="1" t="str">
        <f t="shared" si="520"/>
        <v/>
      </c>
      <c r="AB561" s="1" t="str">
        <f t="shared" si="521"/>
        <v/>
      </c>
      <c r="AC561" s="1">
        <f t="shared" si="518"/>
        <v>0</v>
      </c>
      <c r="AD561" s="1" t="str">
        <f t="shared" si="522"/>
        <v/>
      </c>
      <c r="AE561" s="1" t="str">
        <f t="shared" si="523"/>
        <v/>
      </c>
      <c r="AF561" s="1">
        <f t="shared" si="519"/>
        <v>0</v>
      </c>
      <c r="AG561" s="1">
        <f t="shared" si="509"/>
        <v>5</v>
      </c>
      <c r="AH561" s="1" t="str">
        <f t="shared" si="502"/>
        <v/>
      </c>
      <c r="AI561" s="1">
        <v>1</v>
      </c>
      <c r="AJ561" s="1">
        <f>IF(HRXPH,1,0)</f>
        <v>0</v>
      </c>
      <c r="AK561" s="1">
        <v>2</v>
      </c>
      <c r="AL561" s="1">
        <v>2</v>
      </c>
      <c r="AM561" s="1">
        <v>2</v>
      </c>
      <c r="AN561" s="1">
        <f>IF(IsLycanthrope,2,0)</f>
        <v>0</v>
      </c>
      <c r="AO561" s="1">
        <v>2</v>
      </c>
      <c r="AP561" s="1">
        <v>2</v>
      </c>
      <c r="AQ561" s="1">
        <v>2</v>
      </c>
      <c r="AR561" s="1">
        <v>2</v>
      </c>
      <c r="AS561" s="1">
        <v>2</v>
      </c>
      <c r="AT561" s="1">
        <v>2</v>
      </c>
      <c r="AU561" s="1">
        <v>2</v>
      </c>
      <c r="AV561" s="1">
        <v>2</v>
      </c>
      <c r="AW561" s="1">
        <v>1</v>
      </c>
      <c r="AX561" s="1">
        <v>2</v>
      </c>
      <c r="AY561" s="1">
        <v>1</v>
      </c>
      <c r="AZ561" s="1">
        <v>1</v>
      </c>
      <c r="BA561" s="1">
        <v>2</v>
      </c>
      <c r="BB561" s="1">
        <v>1</v>
      </c>
      <c r="BC561" s="1">
        <v>1</v>
      </c>
      <c r="BD561" s="1">
        <v>1</v>
      </c>
      <c r="BE561" s="1">
        <v>1</v>
      </c>
      <c r="BF561" s="1">
        <v>2</v>
      </c>
      <c r="BG561" s="1">
        <f>IF(HRRVL,1,0)</f>
        <v>0</v>
      </c>
      <c r="BH561" s="1">
        <f>IF(HROA,1,0)</f>
        <v>0</v>
      </c>
      <c r="BI561" s="1">
        <v>1</v>
      </c>
      <c r="BJ561" s="1">
        <v>2</v>
      </c>
      <c r="BK561" s="1">
        <v>1</v>
      </c>
      <c r="BL561" s="1">
        <v>1</v>
      </c>
      <c r="BM561" s="1">
        <v>1</v>
      </c>
      <c r="BN561" s="1">
        <v>2</v>
      </c>
      <c r="BO561" s="1">
        <v>1</v>
      </c>
      <c r="BP561" s="1">
        <v>1</v>
      </c>
      <c r="BQ561" s="1">
        <f>IF(HRRVL,1,0)</f>
        <v>0</v>
      </c>
      <c r="BR561" s="1">
        <v>1</v>
      </c>
      <c r="BS561" s="1">
        <v>1</v>
      </c>
      <c r="BT561" s="1">
        <f>IF(HRXPH,1,0)</f>
        <v>0</v>
      </c>
      <c r="BU561" s="1">
        <f>IF(HRRVL,1,0)</f>
        <v>0</v>
      </c>
      <c r="BV561" s="1">
        <v>1</v>
      </c>
      <c r="BW561" s="1">
        <v>1</v>
      </c>
      <c r="BX561" s="1">
        <v>1</v>
      </c>
      <c r="BY561" s="1">
        <v>1</v>
      </c>
      <c r="BZ561" s="1">
        <v>1</v>
      </c>
      <c r="CA561" s="1">
        <v>1</v>
      </c>
      <c r="CB561" s="1">
        <v>1</v>
      </c>
      <c r="CC561" s="1">
        <v>1</v>
      </c>
      <c r="CD561" s="1">
        <v>1</v>
      </c>
      <c r="CE561" s="1">
        <v>1</v>
      </c>
      <c r="CF561" s="1">
        <v>2</v>
      </c>
      <c r="CG561" s="1">
        <f>IF(HRToB,1,0)</f>
        <v>0</v>
      </c>
      <c r="CH561" s="1">
        <v>2</v>
      </c>
      <c r="CI561" s="1">
        <v>1</v>
      </c>
      <c r="CJ561" s="1">
        <v>1</v>
      </c>
      <c r="CK561" s="1">
        <v>1</v>
      </c>
      <c r="CL561" s="1">
        <v>1</v>
      </c>
      <c r="CM561" s="1">
        <v>1</v>
      </c>
      <c r="CN561" s="1">
        <v>1</v>
      </c>
      <c r="CO561" s="1">
        <v>1</v>
      </c>
      <c r="CP561" s="1">
        <v>2</v>
      </c>
      <c r="CQ561" s="1">
        <v>2</v>
      </c>
      <c r="CR561" s="1">
        <v>2</v>
      </c>
      <c r="CS561" s="1">
        <v>2</v>
      </c>
      <c r="CT561" s="1">
        <v>2</v>
      </c>
      <c r="CU561" s="1">
        <v>2</v>
      </c>
      <c r="CV561" s="1">
        <f>IF(HRXPH,1,0)</f>
        <v>0</v>
      </c>
      <c r="CW561" s="1">
        <v>1</v>
      </c>
      <c r="CX561" s="1">
        <v>1</v>
      </c>
      <c r="CY561" s="1">
        <v>1</v>
      </c>
      <c r="CZ561" s="1">
        <f>IF(HRCS,1,0)</f>
        <v>0</v>
      </c>
      <c r="DA561" s="1">
        <v>1</v>
      </c>
      <c r="DB561" s="1">
        <v>1</v>
      </c>
      <c r="DC561" s="1">
        <v>1</v>
      </c>
      <c r="DD561" s="1">
        <v>2</v>
      </c>
      <c r="DE561" s="1">
        <v>1</v>
      </c>
      <c r="DF561" s="1">
        <v>2</v>
      </c>
      <c r="DG561" s="1">
        <v>2</v>
      </c>
      <c r="DH561" s="1">
        <v>2</v>
      </c>
      <c r="DI561" s="1">
        <f>IF(HRXPH,1,0)</f>
        <v>0</v>
      </c>
      <c r="DJ561" s="1">
        <v>2</v>
      </c>
      <c r="DK561" s="1" t="s">
        <v>1356</v>
      </c>
      <c r="DL561" s="1" t="s">
        <v>170</v>
      </c>
      <c r="DT561" s="1" t="b">
        <f>RaceCi="Half-Elf"</f>
        <v>0</v>
      </c>
      <c r="DU561" s="1" t="b">
        <f>SkBalanceRanks&gt;3</f>
        <v>0</v>
      </c>
      <c r="DV561" s="1" t="b">
        <f>IF(NOT(ISNA(MATCH("sailor",TblProfessionSkills,0))),INDEX(TblProfessionRanks,MATCH("sailor",TblProfessionSkills,0),1)&gt;=10,FALSE)</f>
        <v>0</v>
      </c>
      <c r="DW561" s="1" t="b">
        <f>SkUseMagicDeviceRanks&gt;5</f>
        <v>0</v>
      </c>
      <c r="DX561" s="1" t="b">
        <f>AND(EBCSHouse="Lyrandar",FtLeastDragonmark)</f>
        <v>0</v>
      </c>
      <c r="DY561" s="1" t="b">
        <f>OR(TotalArcaneCasterLevel&gt;=1,MaxArtificerLevel&gt;=1)</f>
        <v>1</v>
      </c>
      <c r="DZ561" s="1" t="b">
        <f>NOT(HRLivingGreyhawk)</f>
        <v>1</v>
      </c>
      <c r="EA561" s="1" t="b">
        <f>AND(DM561:DZ561)</f>
        <v>0</v>
      </c>
      <c r="EB561" s="11" t="s">
        <v>338</v>
      </c>
      <c r="EC561" s="1" t="str">
        <f>IF(DT561,"","• Half-Elf.
")&amp;IF(DU561,"","• 4 ranks in Balance.
")&amp;IF(DV561,"","• 10 ranks in Profession(sailor).
")&amp;IF(DW561,"","• 6 ranks in Use Magic Device.
")&amp;IF(DX561,"","• Feat: Least Mark of Storm (Must have wind's favor ability).
")&amp;IF(DY561,"","• Must be able to cast 1st level Arcane spells or imbue 1st level Infusions.
")&amp;IF(DZ561,"","• Not available in Living Greyhawk.")&amp;"
• Must have piloted an airship or wind galleon while in the service of House Lyrander."</f>
        <v>• Half-Elf.
• 4 ranks in Balance.
• 10 ranks in Profession(sailor).
• 6 ranks in Use Magic Device.
• Feat: Least Mark of Storm (Must have wind's favor ability).
• Must have piloted an airship or wind galleon while in the service of House Lyrander.</v>
      </c>
      <c r="ED561" s="11" t="s">
        <v>335</v>
      </c>
    </row>
    <row r="562" spans="1:134" ht="11.25" customHeight="1" x14ac:dyDescent="0.2">
      <c r="A562" s="1">
        <f t="shared" si="493"/>
        <v>559</v>
      </c>
      <c r="B562" s="1" t="s">
        <v>1361</v>
      </c>
      <c r="E562" s="1">
        <f t="shared" si="517"/>
        <v>0</v>
      </c>
      <c r="F562" s="1">
        <v>1</v>
      </c>
      <c r="Z562" s="1" t="b">
        <f>FALSE</f>
        <v>0</v>
      </c>
      <c r="AA562" s="1" t="str">
        <f t="shared" si="520"/>
        <v/>
      </c>
      <c r="AB562" s="1" t="str">
        <f t="shared" si="521"/>
        <v/>
      </c>
      <c r="AC562" s="1">
        <f t="shared" si="518"/>
        <v>0</v>
      </c>
      <c r="AD562" s="1" t="str">
        <f t="shared" si="522"/>
        <v/>
      </c>
      <c r="AE562" s="1" t="str">
        <f t="shared" si="523"/>
        <v/>
      </c>
      <c r="AF562" s="1">
        <f t="shared" si="519"/>
        <v>0</v>
      </c>
      <c r="AG562" s="1">
        <f t="shared" si="509"/>
        <v>5</v>
      </c>
      <c r="AH562" s="1" t="str">
        <f t="shared" si="502"/>
        <v/>
      </c>
      <c r="EB562" s="11"/>
      <c r="ED562" s="11" t="s">
        <v>335</v>
      </c>
    </row>
    <row r="563" spans="1:134" ht="11.25" customHeight="1" x14ac:dyDescent="0.2">
      <c r="A563" s="1">
        <f t="shared" si="493"/>
        <v>560</v>
      </c>
      <c r="B563" s="1" t="s">
        <v>1362</v>
      </c>
      <c r="C563" s="1" t="s">
        <v>1363</v>
      </c>
      <c r="D563" s="1" t="s">
        <v>1363</v>
      </c>
      <c r="E563" s="1">
        <f t="shared" si="517"/>
        <v>0</v>
      </c>
      <c r="G563" s="1">
        <f>IF(LFWLvl-1&lt;0,0,LFWLvl-1)</f>
        <v>0</v>
      </c>
      <c r="K563" s="1">
        <v>4</v>
      </c>
      <c r="L563" s="1">
        <v>8</v>
      </c>
      <c r="V563" s="1">
        <v>0.75</v>
      </c>
      <c r="W563" s="1">
        <v>0.5</v>
      </c>
      <c r="X563" s="1">
        <v>0.34</v>
      </c>
      <c r="Y563" s="1">
        <v>0.34</v>
      </c>
      <c r="Z563" s="1" t="b">
        <f>FALSE</f>
        <v>0</v>
      </c>
      <c r="AA563" s="1" t="str">
        <f t="shared" si="520"/>
        <v/>
      </c>
      <c r="AB563" s="1" t="str">
        <f t="shared" si="521"/>
        <v/>
      </c>
      <c r="AC563" s="1">
        <f t="shared" si="518"/>
        <v>0</v>
      </c>
      <c r="AD563" s="1" t="str">
        <f t="shared" si="522"/>
        <v/>
      </c>
      <c r="AE563" s="1" t="str">
        <f t="shared" si="523"/>
        <v/>
      </c>
      <c r="AF563" s="1">
        <f t="shared" si="519"/>
        <v>0</v>
      </c>
      <c r="AG563" s="1">
        <f t="shared" si="509"/>
        <v>5</v>
      </c>
      <c r="AH563" s="1" t="str">
        <f t="shared" si="502"/>
        <v/>
      </c>
      <c r="AI563" s="1">
        <v>1</v>
      </c>
      <c r="AJ563" s="1">
        <f>IF(HRXPH,1,0)</f>
        <v>0</v>
      </c>
      <c r="AK563" s="1">
        <v>1</v>
      </c>
      <c r="AL563" s="1">
        <v>1</v>
      </c>
      <c r="AM563" s="1">
        <v>2</v>
      </c>
      <c r="AN563" s="1">
        <f>IF(IsLycanthrope,2,0)</f>
        <v>0</v>
      </c>
      <c r="AO563" s="1">
        <v>2</v>
      </c>
      <c r="AP563" s="1">
        <v>2</v>
      </c>
      <c r="AQ563" s="1">
        <v>2</v>
      </c>
      <c r="AR563" s="1">
        <v>2</v>
      </c>
      <c r="AS563" s="1">
        <v>2</v>
      </c>
      <c r="AT563" s="1">
        <v>2</v>
      </c>
      <c r="AU563" s="1">
        <v>2</v>
      </c>
      <c r="AV563" s="1">
        <v>2</v>
      </c>
      <c r="AW563" s="1">
        <v>1</v>
      </c>
      <c r="AX563" s="1">
        <v>1</v>
      </c>
      <c r="AY563" s="1">
        <v>1</v>
      </c>
      <c r="AZ563" s="1">
        <v>1</v>
      </c>
      <c r="BA563" s="1">
        <v>1</v>
      </c>
      <c r="BB563" s="1">
        <v>1</v>
      </c>
      <c r="BC563" s="1">
        <v>1</v>
      </c>
      <c r="BD563" s="1">
        <v>2</v>
      </c>
      <c r="BE563" s="1">
        <v>2</v>
      </c>
      <c r="BF563" s="1">
        <v>2</v>
      </c>
      <c r="BG563" s="1">
        <f>IF(HRRVL,1,0)</f>
        <v>0</v>
      </c>
      <c r="BH563" s="1">
        <f>IF(HROA,1,0)</f>
        <v>0</v>
      </c>
      <c r="BI563" s="1">
        <v>1</v>
      </c>
      <c r="BJ563" s="1">
        <v>1</v>
      </c>
      <c r="BK563" s="1">
        <v>1</v>
      </c>
      <c r="BL563" s="1">
        <v>1</v>
      </c>
      <c r="BM563" s="1">
        <v>1</v>
      </c>
      <c r="BN563" s="1">
        <v>2</v>
      </c>
      <c r="BO563" s="1">
        <v>1</v>
      </c>
      <c r="BP563" s="1">
        <v>1</v>
      </c>
      <c r="BQ563" s="1">
        <f>IF(HRRVL,1,0)</f>
        <v>0</v>
      </c>
      <c r="BR563" s="1">
        <v>2</v>
      </c>
      <c r="BS563" s="1">
        <v>1</v>
      </c>
      <c r="BT563" s="1">
        <f>IF(HRXPH,1,0)</f>
        <v>0</v>
      </c>
      <c r="BU563" s="1">
        <f>IF(HRRVL,1,0)</f>
        <v>0</v>
      </c>
      <c r="BV563" s="1">
        <v>1</v>
      </c>
      <c r="BW563" s="1">
        <v>1</v>
      </c>
      <c r="BX563" s="1">
        <v>1</v>
      </c>
      <c r="BY563" s="1">
        <v>1</v>
      </c>
      <c r="BZ563" s="1">
        <v>1</v>
      </c>
      <c r="CA563" s="1">
        <v>1</v>
      </c>
      <c r="CB563" s="1">
        <v>1</v>
      </c>
      <c r="CC563" s="1">
        <v>1</v>
      </c>
      <c r="CD563" s="1">
        <v>1</v>
      </c>
      <c r="CE563" s="1">
        <v>1</v>
      </c>
      <c r="CF563" s="1">
        <v>1</v>
      </c>
      <c r="CG563" s="1">
        <f>IF(HRToB,1,0)</f>
        <v>0</v>
      </c>
      <c r="CH563" s="1">
        <v>2</v>
      </c>
      <c r="CI563" s="1">
        <v>1</v>
      </c>
      <c r="CJ563" s="1">
        <v>1</v>
      </c>
      <c r="CK563" s="1">
        <v>1</v>
      </c>
      <c r="CL563" s="1">
        <v>1</v>
      </c>
      <c r="CM563" s="1">
        <v>1</v>
      </c>
      <c r="CN563" s="1">
        <v>1</v>
      </c>
      <c r="CO563" s="1">
        <v>1</v>
      </c>
      <c r="CP563" s="1">
        <v>2</v>
      </c>
      <c r="CQ563" s="1">
        <v>2</v>
      </c>
      <c r="CR563" s="1">
        <v>2</v>
      </c>
      <c r="CS563" s="1">
        <v>2</v>
      </c>
      <c r="CT563" s="1">
        <v>2</v>
      </c>
      <c r="CU563" s="1">
        <v>2</v>
      </c>
      <c r="CV563" s="1">
        <f>IF(HRXPH,1,0)</f>
        <v>0</v>
      </c>
      <c r="CW563" s="1">
        <v>1</v>
      </c>
      <c r="CX563" s="1">
        <v>1</v>
      </c>
      <c r="CY563" s="1">
        <v>1</v>
      </c>
      <c r="CZ563" s="1">
        <f>IF(HRCS,1,0)</f>
        <v>0</v>
      </c>
      <c r="DA563" s="1">
        <v>1</v>
      </c>
      <c r="DB563" s="1">
        <v>1</v>
      </c>
      <c r="DC563" s="1">
        <v>2</v>
      </c>
      <c r="DD563" s="1">
        <v>1</v>
      </c>
      <c r="DE563" s="1">
        <v>2</v>
      </c>
      <c r="DF563" s="1">
        <v>2</v>
      </c>
      <c r="DG563" s="1">
        <v>1</v>
      </c>
      <c r="DH563" s="1">
        <v>1</v>
      </c>
      <c r="DI563" s="1">
        <f>IF(HRXPH,1,0)</f>
        <v>0</v>
      </c>
      <c r="DJ563" s="1">
        <v>1</v>
      </c>
      <c r="DK563" s="1" t="s">
        <v>1364</v>
      </c>
      <c r="DL563" s="1" t="s">
        <v>170</v>
      </c>
      <c r="DU563" s="1" t="b">
        <f>RaceCi="Warforged"</f>
        <v>0</v>
      </c>
      <c r="DV563" s="1" t="b">
        <f>SkKnowledgeGeographyRanks&gt;1</f>
        <v>0</v>
      </c>
      <c r="DW563" s="1" t="b">
        <f>SkKnowledgeNatureRanks&gt;3</f>
        <v>0</v>
      </c>
      <c r="DX563" s="1" t="b">
        <f>SkSurvivalRanks&gt;7</f>
        <v>0</v>
      </c>
      <c r="DY563" s="1" t="b">
        <f>NOT(ISNA(MATCH("Knowledge (nature)",TblSkillFocus,0)))</f>
        <v>0</v>
      </c>
      <c r="DZ563" s="1" t="b">
        <f>NOT(HRLivingGreyhawk)</f>
        <v>1</v>
      </c>
      <c r="EA563" s="1" t="b">
        <f>AND(DL563:DY563)</f>
        <v>0</v>
      </c>
      <c r="EB563" s="11" t="s">
        <v>334</v>
      </c>
      <c r="EC563" s="1" t="str">
        <f>IF(DU563,"","• Warforged.
")&amp;IF(DV563,"","• 2 ranks in Knowledge(geography).
")&amp;IF(DW563,"","• 4 ranks in Knowledge(nature).
")&amp;IF(DX563,"","• 8 ranks in Survival.
")&amp;IF(DY563,"","• Feat: Ironwood Body or Skill Focus(Knowledge(nature)).
")&amp;IF(DZ563,"","• Not available in Living Greyhawk.")</f>
        <v xml:space="preserve">• Warforged.
• 2 ranks in Knowledge(geography).
• 4 ranks in Knowledge(nature).
• 8 ranks in Survival.
• Feat: Ironwood Body or Skill Focus(Knowledge(nature)).
</v>
      </c>
      <c r="ED563" s="11" t="s">
        <v>335</v>
      </c>
    </row>
    <row r="564" spans="1:134" ht="11.25" customHeight="1" x14ac:dyDescent="0.2">
      <c r="A564" s="1">
        <f t="shared" si="493"/>
        <v>561</v>
      </c>
      <c r="B564" s="1" t="s">
        <v>1365</v>
      </c>
      <c r="C564" s="1" t="s">
        <v>1366</v>
      </c>
      <c r="D564" s="1" t="s">
        <v>1366</v>
      </c>
      <c r="E564" s="1">
        <f t="shared" si="517"/>
        <v>0</v>
      </c>
      <c r="G564" s="1">
        <f>PrSLvl</f>
        <v>0</v>
      </c>
      <c r="K564" s="1">
        <v>4</v>
      </c>
      <c r="L564" s="1">
        <v>4</v>
      </c>
      <c r="V564" s="1">
        <v>0.5</v>
      </c>
      <c r="W564" s="1">
        <v>0.34</v>
      </c>
      <c r="X564" s="1">
        <v>0.34</v>
      </c>
      <c r="Y564" s="1">
        <v>0.5</v>
      </c>
      <c r="Z564" s="1" t="b">
        <f>FALSE</f>
        <v>0</v>
      </c>
      <c r="AA564" s="1" t="str">
        <f t="shared" si="520"/>
        <v/>
      </c>
      <c r="AB564" s="1" t="str">
        <f t="shared" si="521"/>
        <v/>
      </c>
      <c r="AC564" s="1">
        <f t="shared" si="518"/>
        <v>0</v>
      </c>
      <c r="AD564" s="1" t="str">
        <f t="shared" si="522"/>
        <v/>
      </c>
      <c r="AE564" s="1" t="str">
        <f t="shared" si="523"/>
        <v/>
      </c>
      <c r="AF564" s="1">
        <f t="shared" si="519"/>
        <v>0</v>
      </c>
      <c r="AG564" s="1">
        <f t="shared" si="509"/>
        <v>5</v>
      </c>
      <c r="AH564" s="1" t="str">
        <f t="shared" si="502"/>
        <v/>
      </c>
      <c r="AI564" s="1">
        <v>1</v>
      </c>
      <c r="AJ564" s="1">
        <f>IF(HRXPH,1,0)</f>
        <v>0</v>
      </c>
      <c r="AK564" s="1">
        <v>1</v>
      </c>
      <c r="AL564" s="1">
        <v>1</v>
      </c>
      <c r="AM564" s="1">
        <v>1</v>
      </c>
      <c r="AN564" s="1">
        <f>IF(IsLycanthrope,2,0)</f>
        <v>0</v>
      </c>
      <c r="AO564" s="1">
        <v>2</v>
      </c>
      <c r="AP564" s="1">
        <v>1</v>
      </c>
      <c r="AQ564" s="1">
        <v>1</v>
      </c>
      <c r="AR564" s="1">
        <v>1</v>
      </c>
      <c r="AS564" s="1">
        <v>1</v>
      </c>
      <c r="AT564" s="1">
        <v>1</v>
      </c>
      <c r="AU564" s="1">
        <v>1</v>
      </c>
      <c r="AV564" s="1">
        <v>1</v>
      </c>
      <c r="AW564" s="1">
        <v>2</v>
      </c>
      <c r="AX564" s="1">
        <v>1</v>
      </c>
      <c r="AY564" s="1">
        <v>1</v>
      </c>
      <c r="AZ564" s="1">
        <v>1</v>
      </c>
      <c r="BA564" s="1">
        <v>1</v>
      </c>
      <c r="BB564" s="1">
        <v>1</v>
      </c>
      <c r="BC564" s="1">
        <v>1</v>
      </c>
      <c r="BD564" s="1">
        <v>1</v>
      </c>
      <c r="BE564" s="1">
        <v>1</v>
      </c>
      <c r="BF564" s="1">
        <v>1</v>
      </c>
      <c r="BG564" s="1">
        <f>IF(HRRVL,1,0)</f>
        <v>0</v>
      </c>
      <c r="BH564" s="1">
        <f>IF(HROA,1,0)</f>
        <v>0</v>
      </c>
      <c r="BI564" s="1">
        <v>1</v>
      </c>
      <c r="BJ564" s="1">
        <v>1</v>
      </c>
      <c r="BK564" s="1">
        <v>2</v>
      </c>
      <c r="BL564" s="1">
        <v>2</v>
      </c>
      <c r="BM564" s="1">
        <v>2</v>
      </c>
      <c r="BN564" s="1">
        <v>2</v>
      </c>
      <c r="BO564" s="1">
        <v>2</v>
      </c>
      <c r="BP564" s="1">
        <v>2</v>
      </c>
      <c r="BQ564" s="1">
        <f>IF(HRRVL,1,0)</f>
        <v>0</v>
      </c>
      <c r="BR564" s="1">
        <v>2</v>
      </c>
      <c r="BS564" s="1">
        <v>2</v>
      </c>
      <c r="BT564" s="1">
        <f>IF(HRXPH,2,0)</f>
        <v>0</v>
      </c>
      <c r="BU564" s="1">
        <f>IF(HRRVL,1,0)</f>
        <v>0</v>
      </c>
      <c r="BV564" s="1">
        <v>2</v>
      </c>
      <c r="BW564" s="1">
        <v>2</v>
      </c>
      <c r="BX564" s="1">
        <v>2</v>
      </c>
      <c r="BY564" s="1">
        <v>2</v>
      </c>
      <c r="BZ564" s="1">
        <v>2</v>
      </c>
      <c r="CA564" s="1">
        <v>2</v>
      </c>
      <c r="CB564" s="1">
        <v>2</v>
      </c>
      <c r="CC564" s="1">
        <v>2</v>
      </c>
      <c r="CD564" s="1">
        <v>2</v>
      </c>
      <c r="CE564" s="1">
        <v>2</v>
      </c>
      <c r="CF564" s="1">
        <v>1</v>
      </c>
      <c r="CG564" s="1">
        <f>IF(HRToB,1,0)</f>
        <v>0</v>
      </c>
      <c r="CH564" s="1">
        <v>1</v>
      </c>
      <c r="CI564" s="1">
        <v>1</v>
      </c>
      <c r="CJ564" s="1">
        <v>1</v>
      </c>
      <c r="CK564" s="1">
        <v>1</v>
      </c>
      <c r="CL564" s="1">
        <v>1</v>
      </c>
      <c r="CM564" s="1">
        <v>1</v>
      </c>
      <c r="CN564" s="1">
        <v>1</v>
      </c>
      <c r="CO564" s="1">
        <v>1</v>
      </c>
      <c r="CP564" s="1">
        <v>1</v>
      </c>
      <c r="CQ564" s="1">
        <v>1</v>
      </c>
      <c r="CR564" s="1">
        <v>1</v>
      </c>
      <c r="CS564" s="1">
        <v>1</v>
      </c>
      <c r="CT564" s="1">
        <v>1</v>
      </c>
      <c r="CU564" s="1">
        <v>1</v>
      </c>
      <c r="CV564" s="1">
        <f>IF(HRXPH,1,0)</f>
        <v>0</v>
      </c>
      <c r="CW564" s="1">
        <v>1</v>
      </c>
      <c r="CX564" s="1">
        <v>1</v>
      </c>
      <c r="CY564" s="1">
        <v>1</v>
      </c>
      <c r="CZ564" s="1">
        <f>IF(HRCS,1,0)</f>
        <v>0</v>
      </c>
      <c r="DA564" s="1">
        <v>1</v>
      </c>
      <c r="DB564" s="1">
        <v>1</v>
      </c>
      <c r="DC564" s="1">
        <v>2</v>
      </c>
      <c r="DD564" s="1">
        <v>1</v>
      </c>
      <c r="DE564" s="1">
        <v>1</v>
      </c>
      <c r="DF564" s="1">
        <v>1</v>
      </c>
      <c r="DG564" s="1">
        <v>1</v>
      </c>
      <c r="DH564" s="1">
        <v>2</v>
      </c>
      <c r="DI564" s="1">
        <f>IF(HRXPH,1,0)</f>
        <v>0</v>
      </c>
      <c r="DJ564" s="1">
        <v>1</v>
      </c>
      <c r="DK564" s="1" t="s">
        <v>1364</v>
      </c>
      <c r="DL564" s="1" t="s">
        <v>170</v>
      </c>
      <c r="DT564" s="1" t="b">
        <f>SkKnowledgeArcanaRanks&gt;4</f>
        <v>0</v>
      </c>
      <c r="DU564" s="1" t="b">
        <f>SkKnowledgeHistoryRanks&gt;9</f>
        <v>0</v>
      </c>
      <c r="DV564" s="1" t="b">
        <f>SkSpellcraftRanks&gt;9</f>
        <v>0</v>
      </c>
      <c r="DW564" s="1" t="b">
        <f>MetamagicSelected&gt;0</f>
        <v>0</v>
      </c>
      <c r="DX564" s="1" t="b">
        <f>FtMysteriousMagic</f>
        <v>0</v>
      </c>
      <c r="DY564" s="1" t="b">
        <f>MaxCasterLevel&gt;6</f>
        <v>0</v>
      </c>
      <c r="DZ564" s="1" t="b">
        <f>NOT(HRLivingGreyhawk)</f>
        <v>1</v>
      </c>
      <c r="EA564" s="1" t="b">
        <f>AND(DL564:DY564)</f>
        <v>0</v>
      </c>
      <c r="EB564" s="11" t="s">
        <v>338</v>
      </c>
      <c r="EC564" s="1" t="str">
        <f>IF(DT564,"","• 5 ranks in Knowledge(arcana).
")&amp;IF(DU564,"","• 10 ranks in Knowledge(history).
")&amp;IF(DV564,"","• 10 ranks in Spellcraft.
")&amp;IF(DW564,"","• Feat: Any Metamagic.
")&amp;IF(DX564,"","• Feat: Mysterious Magic.
")&amp;IF(DY564,"","• Must have a Caster Level of 7.
")&amp;IF(DZ564,"","• Not available in Living Greyhawk.")
&amp;"• Must have spent at least 6 mo. in Xen'drik studying it's ancient magic (not verified)."</f>
        <v>• 5 ranks in Knowledge(arcana).
• 10 ranks in Knowledge(history).
• 10 ranks in Spellcraft.
• Feat: Any Metamagic.
• Feat: Mysterious Magic.
• Must have a Caster Level of 7.
• Must have spent at least 6 mo. in Xen'drik studying it's ancient magic (not verified).</v>
      </c>
      <c r="ED564" s="11" t="s">
        <v>335</v>
      </c>
    </row>
    <row r="565" spans="1:134" ht="11.25" customHeight="1" x14ac:dyDescent="0.2">
      <c r="A565" s="1">
        <f t="shared" si="493"/>
        <v>562</v>
      </c>
      <c r="B565" s="1" t="s">
        <v>1367</v>
      </c>
      <c r="C565" s="1" t="s">
        <v>1368</v>
      </c>
      <c r="D565" s="1" t="s">
        <v>1368</v>
      </c>
      <c r="E565" s="1">
        <f t="shared" si="517"/>
        <v>0</v>
      </c>
      <c r="K565" s="1">
        <v>6</v>
      </c>
      <c r="L565" s="1">
        <v>8</v>
      </c>
      <c r="V565" s="1">
        <v>1</v>
      </c>
      <c r="W565" s="1">
        <v>0.34</v>
      </c>
      <c r="X565" s="1">
        <v>0.5</v>
      </c>
      <c r="Y565" s="1">
        <v>0.34</v>
      </c>
      <c r="Z565" s="1" t="b">
        <f>FALSE</f>
        <v>0</v>
      </c>
      <c r="AA565" s="1" t="str">
        <f t="shared" si="520"/>
        <v/>
      </c>
      <c r="AB565" s="1" t="str">
        <f t="shared" si="521"/>
        <v/>
      </c>
      <c r="AC565" s="1">
        <f t="shared" si="518"/>
        <v>0</v>
      </c>
      <c r="AD565" s="1" t="str">
        <f t="shared" si="522"/>
        <v/>
      </c>
      <c r="AE565" s="1" t="str">
        <f t="shared" si="523"/>
        <v/>
      </c>
      <c r="AF565" s="1">
        <f t="shared" si="519"/>
        <v>0</v>
      </c>
      <c r="AG565" s="1">
        <f t="shared" si="509"/>
        <v>5</v>
      </c>
      <c r="AH565" s="1" t="str">
        <f t="shared" si="502"/>
        <v/>
      </c>
      <c r="AI565" s="1">
        <v>1</v>
      </c>
      <c r="AJ565" s="1">
        <f>IF(HRXPH,1,0)</f>
        <v>0</v>
      </c>
      <c r="AK565" s="1">
        <v>1</v>
      </c>
      <c r="AL565" s="1">
        <v>1</v>
      </c>
      <c r="AM565" s="1">
        <v>2</v>
      </c>
      <c r="AN565" s="1">
        <f>IF(IsLycanthrope,2,0)</f>
        <v>0</v>
      </c>
      <c r="AO565" s="1">
        <v>1</v>
      </c>
      <c r="AP565" s="1">
        <v>1</v>
      </c>
      <c r="AQ565" s="1">
        <v>1</v>
      </c>
      <c r="AR565" s="1">
        <v>1</v>
      </c>
      <c r="AS565" s="1">
        <v>1</v>
      </c>
      <c r="AT565" s="1">
        <v>1</v>
      </c>
      <c r="AU565" s="1">
        <v>1</v>
      </c>
      <c r="AV565" s="1">
        <v>1</v>
      </c>
      <c r="AW565" s="1">
        <v>1</v>
      </c>
      <c r="AX565" s="1">
        <v>1</v>
      </c>
      <c r="AY565" s="1">
        <v>1</v>
      </c>
      <c r="AZ565" s="1">
        <v>1</v>
      </c>
      <c r="BA565" s="1">
        <v>1</v>
      </c>
      <c r="BB565" s="1">
        <v>1</v>
      </c>
      <c r="BC565" s="1">
        <v>1</v>
      </c>
      <c r="BD565" s="1">
        <v>2</v>
      </c>
      <c r="BE565" s="1">
        <v>1</v>
      </c>
      <c r="BF565" s="1">
        <v>2</v>
      </c>
      <c r="BG565" s="1">
        <f>IF(HRRVL,1,0)</f>
        <v>0</v>
      </c>
      <c r="BH565" s="1">
        <f>IF(HROA,1,0)</f>
        <v>0</v>
      </c>
      <c r="BI565" s="1">
        <v>1</v>
      </c>
      <c r="BJ565" s="1">
        <v>2</v>
      </c>
      <c r="BK565" s="1">
        <v>1</v>
      </c>
      <c r="BL565" s="1">
        <v>1</v>
      </c>
      <c r="BM565" s="1">
        <v>1</v>
      </c>
      <c r="BN565" s="1">
        <v>1</v>
      </c>
      <c r="BO565" s="1">
        <v>1</v>
      </c>
      <c r="BP565" s="1">
        <v>1</v>
      </c>
      <c r="BQ565" s="1">
        <f>IF(HRRVL,1,0)</f>
        <v>0</v>
      </c>
      <c r="BR565" s="1">
        <v>2</v>
      </c>
      <c r="BS565" s="1">
        <v>1</v>
      </c>
      <c r="BT565" s="1">
        <f>IF(HRXPH,1,0)</f>
        <v>0</v>
      </c>
      <c r="BU565" s="1">
        <f>IF(HRRVL,1,0)</f>
        <v>0</v>
      </c>
      <c r="BV565" s="1">
        <v>1</v>
      </c>
      <c r="BW565" s="1">
        <v>1</v>
      </c>
      <c r="BX565" s="1">
        <v>1</v>
      </c>
      <c r="BY565" s="1">
        <v>1</v>
      </c>
      <c r="BZ565" s="1">
        <v>1</v>
      </c>
      <c r="CA565" s="1">
        <v>1</v>
      </c>
      <c r="CB565" s="1">
        <v>1</v>
      </c>
      <c r="CC565" s="1">
        <v>1</v>
      </c>
      <c r="CD565" s="1">
        <v>1</v>
      </c>
      <c r="CE565" s="1">
        <v>1</v>
      </c>
      <c r="CF565" s="1">
        <v>2</v>
      </c>
      <c r="CG565" s="1">
        <f>IF(HRToB,1,0)</f>
        <v>0</v>
      </c>
      <c r="CH565" s="1">
        <v>2</v>
      </c>
      <c r="CI565" s="1">
        <v>1</v>
      </c>
      <c r="CJ565" s="1">
        <v>1</v>
      </c>
      <c r="CK565" s="1">
        <v>1</v>
      </c>
      <c r="CL565" s="1">
        <v>1</v>
      </c>
      <c r="CM565" s="1">
        <v>1</v>
      </c>
      <c r="CN565" s="1">
        <v>1</v>
      </c>
      <c r="CO565" s="1">
        <v>1</v>
      </c>
      <c r="CP565" s="1">
        <v>1</v>
      </c>
      <c r="CQ565" s="1">
        <v>1</v>
      </c>
      <c r="CR565" s="1">
        <v>1</v>
      </c>
      <c r="CS565" s="1">
        <v>1</v>
      </c>
      <c r="CT565" s="1">
        <v>1</v>
      </c>
      <c r="CU565" s="1">
        <v>1</v>
      </c>
      <c r="CV565" s="1">
        <f>IF(HRXPH,1,0)</f>
        <v>0</v>
      </c>
      <c r="CW565" s="1">
        <v>1</v>
      </c>
      <c r="CX565" s="1">
        <v>1</v>
      </c>
      <c r="CY565" s="1">
        <v>1</v>
      </c>
      <c r="CZ565" s="1">
        <f>IF(HRCS,1,0)</f>
        <v>0</v>
      </c>
      <c r="DA565" s="1">
        <v>1</v>
      </c>
      <c r="DB565" s="1">
        <v>1</v>
      </c>
      <c r="DC565" s="1">
        <v>1</v>
      </c>
      <c r="DD565" s="1">
        <v>2</v>
      </c>
      <c r="DE565" s="1">
        <v>2</v>
      </c>
      <c r="DF565" s="1">
        <v>2</v>
      </c>
      <c r="DG565" s="1">
        <v>2</v>
      </c>
      <c r="DH565" s="1">
        <v>1</v>
      </c>
      <c r="DI565" s="1">
        <f>IF(HRXPH,1,0)</f>
        <v>0</v>
      </c>
      <c r="DJ565" s="1">
        <v>1</v>
      </c>
      <c r="DK565" s="1" t="s">
        <v>1364</v>
      </c>
      <c r="DL565" s="1" t="s">
        <v>170</v>
      </c>
      <c r="DS565" s="1" t="b">
        <f>BaseAtk&gt;3</f>
        <v>0</v>
      </c>
      <c r="DT565" s="1" t="b">
        <f>SkHideRanks&gt;7</f>
        <v>0</v>
      </c>
      <c r="DU565" s="1" t="b">
        <f>SkKnowledgeNatureRanks&gt;3</f>
        <v>0</v>
      </c>
      <c r="DV565" s="1" t="b">
        <f>SkMoveSilentlyRanks&gt;7</f>
        <v>0</v>
      </c>
      <c r="DW565" s="1" t="b">
        <f>FtBlindFight</f>
        <v>0</v>
      </c>
      <c r="DX565" s="1" t="b">
        <f>FtImprovedInitiative</f>
        <v>0</v>
      </c>
      <c r="DY565" s="1" t="b">
        <f>WildLevel&gt;0</f>
        <v>0</v>
      </c>
      <c r="DZ565" s="1" t="b">
        <f>NOT(HRLivingGreyhawk)</f>
        <v>1</v>
      </c>
      <c r="EA565" s="1" t="b">
        <f>AND(DL565:DY565)</f>
        <v>0</v>
      </c>
      <c r="EB565" s="11" t="s">
        <v>338</v>
      </c>
      <c r="EC565" s="1" t="str">
        <f>IF(DS565,"","• Base Attack Bonus +4.
")&amp;IF(DT565,"","• 8 ranks in Hide.
")&amp;IF(DU565,"","• 4 ranks in Knowledge(nature).
")&amp;IF(DV565,"","• 8 ranks in Move Silently.
")&amp;IF(DW565,"","• Feat: Blindfight.
")&amp;IF(DX565,"","• Feat: Improved Initiative.
")&amp;IF(DY565,"","• Wild Empathy Class Feature.
")&amp;IF(DZ565,"","• Not available in Living Greyhawk.")
&amp;"• Must have been trained in Xen'drik by another Scorpion Wraith (not verified)."</f>
        <v>• Base Attack Bonus +4.
• 8 ranks in Hide.
• 4 ranks in Knowledge(nature).
• 8 ranks in Move Silently.
• Feat: Blindfight.
• Feat: Improved Initiative.
• Wild Empathy Class Feature.
• Must have been trained in Xen'drik by another Scorpion Wraith (not verified).</v>
      </c>
      <c r="ED565" s="11" t="s">
        <v>335</v>
      </c>
    </row>
    <row r="566" spans="1:134" ht="11.25" customHeight="1" x14ac:dyDescent="0.2">
      <c r="A566" s="1">
        <f t="shared" si="493"/>
        <v>563</v>
      </c>
      <c r="B566" s="1" t="s">
        <v>1369</v>
      </c>
      <c r="E566" s="1">
        <f t="shared" si="517"/>
        <v>0</v>
      </c>
      <c r="F566" s="1">
        <v>1</v>
      </c>
      <c r="Z566" s="1" t="b">
        <f>FALSE</f>
        <v>0</v>
      </c>
      <c r="AA566" s="1" t="str">
        <f t="shared" si="520"/>
        <v/>
      </c>
      <c r="AB566" s="1" t="str">
        <f t="shared" si="521"/>
        <v/>
      </c>
      <c r="AC566" s="1">
        <f t="shared" si="518"/>
        <v>0</v>
      </c>
      <c r="AD566" s="1" t="str">
        <f t="shared" si="522"/>
        <v/>
      </c>
      <c r="AE566" s="1" t="str">
        <f t="shared" si="523"/>
        <v/>
      </c>
      <c r="AF566" s="1">
        <f t="shared" si="519"/>
        <v>0</v>
      </c>
      <c r="AG566" s="1">
        <f t="shared" si="509"/>
        <v>5</v>
      </c>
      <c r="AH566" s="1" t="str">
        <f t="shared" si="502"/>
        <v/>
      </c>
      <c r="EB566" s="11"/>
      <c r="ED566" s="11" t="s">
        <v>335</v>
      </c>
    </row>
    <row r="567" spans="1:134" ht="11.25" customHeight="1" x14ac:dyDescent="0.2">
      <c r="A567" s="1">
        <f t="shared" si="493"/>
        <v>564</v>
      </c>
      <c r="B567" s="1" t="s">
        <v>1370</v>
      </c>
      <c r="C567" s="1" t="s">
        <v>1371</v>
      </c>
      <c r="D567" s="1" t="s">
        <v>1371</v>
      </c>
      <c r="E567" s="1">
        <f t="shared" si="517"/>
        <v>0</v>
      </c>
      <c r="G567" s="1">
        <f>MAX(HEBLvl-1,0)</f>
        <v>0</v>
      </c>
      <c r="K567" s="1">
        <v>2</v>
      </c>
      <c r="L567" s="1">
        <v>6</v>
      </c>
      <c r="V567" s="1">
        <v>0.75</v>
      </c>
      <c r="W567" s="1">
        <v>0.34</v>
      </c>
      <c r="X567" s="1">
        <v>0.34</v>
      </c>
      <c r="Y567" s="1">
        <v>0.5</v>
      </c>
      <c r="Z567" s="1" t="b">
        <f>FALSE</f>
        <v>0</v>
      </c>
      <c r="AA567" s="1" t="str">
        <f t="shared" si="520"/>
        <v/>
      </c>
      <c r="AB567" s="1" t="str">
        <f t="shared" si="521"/>
        <v/>
      </c>
      <c r="AC567" s="1">
        <f t="shared" si="518"/>
        <v>0</v>
      </c>
      <c r="AD567" s="1" t="str">
        <f t="shared" si="522"/>
        <v/>
      </c>
      <c r="AE567" s="1" t="str">
        <f t="shared" si="523"/>
        <v/>
      </c>
      <c r="AF567" s="1">
        <f t="shared" si="519"/>
        <v>0</v>
      </c>
      <c r="AG567" s="1">
        <f t="shared" si="509"/>
        <v>5</v>
      </c>
      <c r="AH567" s="1" t="str">
        <f t="shared" si="502"/>
        <v/>
      </c>
      <c r="AI567" s="1">
        <v>1</v>
      </c>
      <c r="AJ567" s="1">
        <f>IF(HRXPH,1,0)</f>
        <v>0</v>
      </c>
      <c r="AK567" s="1">
        <v>1</v>
      </c>
      <c r="AL567" s="1">
        <v>1</v>
      </c>
      <c r="AM567" s="1">
        <v>1</v>
      </c>
      <c r="AN567" s="1">
        <f>IF(IsLycanthrope,2,0)</f>
        <v>0</v>
      </c>
      <c r="AO567" s="1">
        <v>2</v>
      </c>
      <c r="AP567" s="1">
        <v>2</v>
      </c>
      <c r="AQ567" s="1">
        <v>2</v>
      </c>
      <c r="AR567" s="1">
        <v>2</v>
      </c>
      <c r="AS567" s="1">
        <v>2</v>
      </c>
      <c r="AT567" s="1">
        <v>2</v>
      </c>
      <c r="AU567" s="1">
        <v>2</v>
      </c>
      <c r="AV567" s="1">
        <v>2</v>
      </c>
      <c r="AW567" s="1">
        <v>1</v>
      </c>
      <c r="AX567" s="1">
        <v>1</v>
      </c>
      <c r="AY567" s="1">
        <v>1</v>
      </c>
      <c r="AZ567" s="1">
        <v>1</v>
      </c>
      <c r="BA567" s="1">
        <v>1</v>
      </c>
      <c r="BB567" s="1">
        <v>1</v>
      </c>
      <c r="BC567" s="1">
        <v>1</v>
      </c>
      <c r="BD567" s="1">
        <v>1</v>
      </c>
      <c r="BE567" s="1">
        <v>1</v>
      </c>
      <c r="BF567" s="1">
        <v>1</v>
      </c>
      <c r="BG567" s="1">
        <f>IF(HRRVL,1,0)</f>
        <v>0</v>
      </c>
      <c r="BH567" s="1">
        <f>IF(HROA,1,0)</f>
        <v>0</v>
      </c>
      <c r="BI567" s="1">
        <v>1</v>
      </c>
      <c r="BJ567" s="1">
        <v>1</v>
      </c>
      <c r="BK567" s="1">
        <v>2</v>
      </c>
      <c r="BL567" s="1">
        <v>1</v>
      </c>
      <c r="BM567" s="1">
        <v>1</v>
      </c>
      <c r="BN567" s="1">
        <v>1</v>
      </c>
      <c r="BO567" s="1">
        <v>1</v>
      </c>
      <c r="BP567" s="1">
        <v>1</v>
      </c>
      <c r="BQ567" s="1">
        <f>IF(HRRVL,1,0)</f>
        <v>0</v>
      </c>
      <c r="BR567" s="1">
        <v>1</v>
      </c>
      <c r="BS567" s="1">
        <v>1</v>
      </c>
      <c r="BT567" s="1">
        <f>IF(HRXPH,1,0)</f>
        <v>0</v>
      </c>
      <c r="BU567" s="1">
        <f>IF(HRRVL,1,0)</f>
        <v>0</v>
      </c>
      <c r="BV567" s="1">
        <v>1</v>
      </c>
      <c r="BW567" s="1">
        <v>2</v>
      </c>
      <c r="BX567" s="1">
        <v>1</v>
      </c>
      <c r="BY567" s="1">
        <v>1</v>
      </c>
      <c r="BZ567" s="1">
        <v>1</v>
      </c>
      <c r="CA567" s="1">
        <v>1</v>
      </c>
      <c r="CB567" s="1">
        <v>1</v>
      </c>
      <c r="CC567" s="1">
        <v>1</v>
      </c>
      <c r="CD567" s="1">
        <v>1</v>
      </c>
      <c r="CE567" s="1">
        <v>1</v>
      </c>
      <c r="CF567" s="1">
        <v>1</v>
      </c>
      <c r="CG567" s="1">
        <f>IF(HRToB,1,0)</f>
        <v>0</v>
      </c>
      <c r="CH567" s="1">
        <v>1</v>
      </c>
      <c r="CI567" s="1">
        <v>1</v>
      </c>
      <c r="CJ567" s="1">
        <v>1</v>
      </c>
      <c r="CK567" s="1">
        <v>1</v>
      </c>
      <c r="CL567" s="1">
        <v>1</v>
      </c>
      <c r="CM567" s="1">
        <v>1</v>
      </c>
      <c r="CN567" s="1">
        <v>1</v>
      </c>
      <c r="CO567" s="1">
        <v>1</v>
      </c>
      <c r="CP567" s="1">
        <v>1</v>
      </c>
      <c r="CQ567" s="1">
        <v>1</v>
      </c>
      <c r="CR567" s="1">
        <v>1</v>
      </c>
      <c r="CS567" s="1">
        <v>1</v>
      </c>
      <c r="CT567" s="1">
        <v>1</v>
      </c>
      <c r="CU567" s="1">
        <v>1</v>
      </c>
      <c r="CV567" s="1">
        <f>IF(HRXPH,1,0)</f>
        <v>0</v>
      </c>
      <c r="CW567" s="1">
        <v>1</v>
      </c>
      <c r="CX567" s="1">
        <v>1</v>
      </c>
      <c r="CY567" s="1">
        <v>1</v>
      </c>
      <c r="CZ567" s="1">
        <f>IF(HRCS,1,0)</f>
        <v>0</v>
      </c>
      <c r="DA567" s="1">
        <v>1</v>
      </c>
      <c r="DB567" s="1">
        <v>1</v>
      </c>
      <c r="DC567" s="1">
        <v>2</v>
      </c>
      <c r="DD567" s="1">
        <v>1</v>
      </c>
      <c r="DE567" s="1">
        <v>1</v>
      </c>
      <c r="DF567" s="1">
        <v>1</v>
      </c>
      <c r="DG567" s="1">
        <v>1</v>
      </c>
      <c r="DH567" s="1">
        <v>2</v>
      </c>
      <c r="DI567" s="1">
        <f>IF(HRXPH,1,0)</f>
        <v>0</v>
      </c>
      <c r="DJ567" s="1">
        <v>1</v>
      </c>
      <c r="DK567" s="1" t="s">
        <v>1372</v>
      </c>
      <c r="DT567" s="1" t="b">
        <f>SkConcentrationRanks&gt;7</f>
        <v>0</v>
      </c>
      <c r="DU567" s="1" t="b">
        <f>SkKnowledgeArcanaRanks&gt;3</f>
        <v>0</v>
      </c>
      <c r="DV567" s="1" t="b">
        <f>SkKnowledgePlanesRanks&gt;7</f>
        <v>0</v>
      </c>
      <c r="DW567" s="1" t="b">
        <f>FtBindElemental</f>
        <v>0</v>
      </c>
      <c r="DX567" s="1" t="b">
        <f>FtCraftWonderousItem</f>
        <v>0</v>
      </c>
      <c r="DY567" s="1" t="b">
        <f>OR(MaxArtificerLevel&gt;2,TotalArcaneCasterLevel&gt;2)</f>
        <v>0</v>
      </c>
      <c r="DZ567" s="1" t="b">
        <f>NOT(HRLivingGreyhawk)</f>
        <v>1</v>
      </c>
      <c r="EA567" s="1" t="b">
        <f>AND(DL567:DY567)</f>
        <v>0</v>
      </c>
      <c r="EB567" s="11" t="s">
        <v>338</v>
      </c>
      <c r="EC567" s="1" t="str">
        <f>IF(DT567,"","• 8 ranks in Concentration.
")&amp;IF(DU567,"","• 4 ranks in Knowledge(arcana).
")&amp;IF(DV567,"","• 8 ranks in Knowledge(the planes).
")&amp;IF(DW567,"","• Feat:Bind Elemental.
")&amp;IF(DX567,"","• Feat: Craft Wondrous Item.
")&amp;IF(DY567,"","• Ability to Cast 3rd-level spells or infusions.")</f>
        <v>• 8 ranks in Concentration.
• 4 ranks in Knowledge(arcana).
• 8 ranks in Knowledge(the planes).
• Feat:Bind Elemental.
• Feat: Craft Wondrous Item.
• Ability to Cast 3rd-level spells or infusions.</v>
      </c>
      <c r="ED567" s="11" t="s">
        <v>335</v>
      </c>
    </row>
    <row r="568" spans="1:134" ht="11.25" customHeight="1" x14ac:dyDescent="0.2">
      <c r="A568" s="1">
        <f t="shared" si="493"/>
        <v>565</v>
      </c>
      <c r="B568" s="1" t="s">
        <v>1373</v>
      </c>
      <c r="C568" s="1" t="s">
        <v>1374</v>
      </c>
      <c r="D568" s="1" t="s">
        <v>1374</v>
      </c>
      <c r="E568" s="1">
        <f t="shared" si="517"/>
        <v>0</v>
      </c>
      <c r="K568" s="1">
        <v>4</v>
      </c>
      <c r="L568" s="1">
        <v>8</v>
      </c>
      <c r="V568" s="1">
        <v>1</v>
      </c>
      <c r="W568" s="1">
        <v>0.34</v>
      </c>
      <c r="X568" s="1">
        <v>0.34</v>
      </c>
      <c r="Y568" s="1">
        <v>0.5</v>
      </c>
      <c r="Z568" s="1" t="b">
        <f>FALSE</f>
        <v>0</v>
      </c>
      <c r="AA568" s="1" t="str">
        <f t="shared" si="520"/>
        <v/>
      </c>
      <c r="AB568" s="1" t="str">
        <f t="shared" si="521"/>
        <v/>
      </c>
      <c r="AC568" s="1">
        <f t="shared" si="518"/>
        <v>0</v>
      </c>
      <c r="AD568" s="1" t="str">
        <f t="shared" si="522"/>
        <v/>
      </c>
      <c r="AE568" s="1" t="str">
        <f t="shared" si="523"/>
        <v/>
      </c>
      <c r="AF568" s="1">
        <f t="shared" si="519"/>
        <v>0</v>
      </c>
      <c r="AG568" s="1">
        <f t="shared" si="509"/>
        <v>5</v>
      </c>
      <c r="AH568" s="1" t="str">
        <f t="shared" si="502"/>
        <v/>
      </c>
      <c r="AI568" s="1">
        <v>1</v>
      </c>
      <c r="AJ568" s="1">
        <f>IF(HRXPH,1,0)</f>
        <v>0</v>
      </c>
      <c r="AK568" s="1">
        <v>1</v>
      </c>
      <c r="AL568" s="1">
        <v>1</v>
      </c>
      <c r="AM568" s="1">
        <v>2</v>
      </c>
      <c r="AN568" s="1">
        <f>IF(IsLycanthrope,2,0)</f>
        <v>0</v>
      </c>
      <c r="AO568" s="1">
        <v>1</v>
      </c>
      <c r="AP568" s="1">
        <v>2</v>
      </c>
      <c r="AQ568" s="1">
        <v>2</v>
      </c>
      <c r="AR568" s="1">
        <v>2</v>
      </c>
      <c r="AS568" s="1">
        <v>2</v>
      </c>
      <c r="AT568" s="1">
        <v>2</v>
      </c>
      <c r="AU568" s="1">
        <v>2</v>
      </c>
      <c r="AV568" s="1">
        <v>2</v>
      </c>
      <c r="AW568" s="1">
        <v>1</v>
      </c>
      <c r="AX568" s="1">
        <v>1</v>
      </c>
      <c r="AY568" s="1">
        <v>1</v>
      </c>
      <c r="AZ568" s="1">
        <v>1</v>
      </c>
      <c r="BA568" s="1">
        <v>1</v>
      </c>
      <c r="BB568" s="1">
        <v>1</v>
      </c>
      <c r="BC568" s="1">
        <v>1</v>
      </c>
      <c r="BD568" s="1">
        <v>2</v>
      </c>
      <c r="BE568" s="1">
        <v>2</v>
      </c>
      <c r="BF568" s="1">
        <v>2</v>
      </c>
      <c r="BG568" s="1">
        <f>IF(HRRVL,1,0)</f>
        <v>0</v>
      </c>
      <c r="BH568" s="1">
        <f>IF(HROA,1,0)</f>
        <v>0</v>
      </c>
      <c r="BI568" s="1">
        <v>2</v>
      </c>
      <c r="BJ568" s="1">
        <v>2</v>
      </c>
      <c r="BK568" s="1">
        <v>1</v>
      </c>
      <c r="BL568" s="1">
        <v>1</v>
      </c>
      <c r="BM568" s="1">
        <v>1</v>
      </c>
      <c r="BN568" s="1">
        <v>2</v>
      </c>
      <c r="BO568" s="1">
        <v>2</v>
      </c>
      <c r="BP568" s="1">
        <v>1</v>
      </c>
      <c r="BQ568" s="1">
        <f>IF(HRRVL,1,0)</f>
        <v>0</v>
      </c>
      <c r="BR568" s="1">
        <v>2</v>
      </c>
      <c r="BS568" s="1">
        <v>1</v>
      </c>
      <c r="BT568" s="1">
        <f>IF(HRXPH,1,0)</f>
        <v>0</v>
      </c>
      <c r="BU568" s="1">
        <f>IF(HRRVL,1,0)</f>
        <v>0</v>
      </c>
      <c r="BV568" s="1">
        <v>1</v>
      </c>
      <c r="BW568" s="1">
        <v>1</v>
      </c>
      <c r="BX568" s="1">
        <v>1</v>
      </c>
      <c r="BY568" s="1">
        <v>1</v>
      </c>
      <c r="BZ568" s="1">
        <v>1</v>
      </c>
      <c r="CA568" s="1">
        <v>1</v>
      </c>
      <c r="CB568" s="1">
        <v>1</v>
      </c>
      <c r="CC568" s="1">
        <v>1</v>
      </c>
      <c r="CD568" s="1">
        <v>1</v>
      </c>
      <c r="CE568" s="1">
        <v>1</v>
      </c>
      <c r="CF568" s="1">
        <v>2</v>
      </c>
      <c r="CG568" s="1">
        <f>IF(HRToB,1,0)</f>
        <v>0</v>
      </c>
      <c r="CH568" s="1">
        <v>2</v>
      </c>
      <c r="CI568" s="1">
        <v>1</v>
      </c>
      <c r="CJ568" s="1">
        <v>1</v>
      </c>
      <c r="CK568" s="1">
        <v>1</v>
      </c>
      <c r="CL568" s="1">
        <v>1</v>
      </c>
      <c r="CM568" s="1">
        <v>1</v>
      </c>
      <c r="CN568" s="1">
        <v>1</v>
      </c>
      <c r="CO568" s="1">
        <v>1</v>
      </c>
      <c r="CP568" s="1">
        <v>2</v>
      </c>
      <c r="CQ568" s="1">
        <v>2</v>
      </c>
      <c r="CR568" s="1">
        <v>2</v>
      </c>
      <c r="CS568" s="1">
        <v>2</v>
      </c>
      <c r="CT568" s="1">
        <v>2</v>
      </c>
      <c r="CU568" s="1">
        <v>2</v>
      </c>
      <c r="CV568" s="1">
        <f>IF(HRXPH,1,0)</f>
        <v>0</v>
      </c>
      <c r="CW568" s="1">
        <v>2</v>
      </c>
      <c r="CX568" s="1">
        <v>2</v>
      </c>
      <c r="CY568" s="1">
        <v>1</v>
      </c>
      <c r="CZ568" s="1">
        <f>IF(HRCS,1,0)</f>
        <v>0</v>
      </c>
      <c r="DA568" s="1">
        <v>1</v>
      </c>
      <c r="DB568" s="1">
        <v>1</v>
      </c>
      <c r="DC568" s="1">
        <v>1</v>
      </c>
      <c r="DD568" s="1">
        <v>2</v>
      </c>
      <c r="DE568" s="1">
        <v>2</v>
      </c>
      <c r="DF568" s="1">
        <v>2</v>
      </c>
      <c r="DG568" s="1">
        <v>1</v>
      </c>
      <c r="DH568" s="1">
        <v>1</v>
      </c>
      <c r="DI568" s="1">
        <f>IF(HRXPH,1,0)</f>
        <v>0</v>
      </c>
      <c r="DJ568" s="1">
        <v>2</v>
      </c>
      <c r="DK568" s="1" t="s">
        <v>1372</v>
      </c>
      <c r="DQ568" s="1" t="b">
        <f>Race="Elf"</f>
        <v>0</v>
      </c>
      <c r="DR568" s="1" t="b">
        <f>Region="Valenar"</f>
        <v>0</v>
      </c>
      <c r="DS568" s="1" t="b">
        <f>BaseAtk&gt;4</f>
        <v>0</v>
      </c>
      <c r="DT568" s="1" t="b">
        <f>SkHideRanks&gt;4</f>
        <v>0</v>
      </c>
      <c r="DU568" s="1" t="b">
        <f>SkKnowledgeHistoryRanks&gt;1</f>
        <v>0</v>
      </c>
      <c r="DV568" s="1" t="b">
        <f>SkMoveSilentlyRanks&gt;4</f>
        <v>0</v>
      </c>
      <c r="DW568" s="1" t="b">
        <f>FtBladebearerOfTheValenar</f>
        <v>0</v>
      </c>
      <c r="DX568" s="1" t="b">
        <f>OR(FtTwoWeaponFighting,RslHeFtr2)</f>
        <v>0</v>
      </c>
      <c r="DY568" s="1" t="b">
        <f>AND(FtWeaponFocus,OR(WeaponFocus1="Scimitar, Valenar double",WeaponFocus2="Scimitar, Valenar double",WeaponFocus3="Scimitar, Valenar double"))</f>
        <v>0</v>
      </c>
      <c r="DZ568" s="1" t="b">
        <f>NOT(HRLivingGreyhawk)</f>
        <v>1</v>
      </c>
      <c r="EA568" s="1" t="b">
        <f>AND(DL568:DY568)</f>
        <v>0</v>
      </c>
      <c r="EB568" s="11" t="s">
        <v>338</v>
      </c>
      <c r="EC568" s="1" t="str">
        <f>IF(DQ568,"","• Elf
")&amp;IF(DR568,"","• Region of Origin: Valenar.
")&amp;IF(DS568,"","• BAB +5.
")&amp;IF(DT568,"","• 5 ranks in Hide.
")&amp;IF(DU568,"","• 2 ranks in Knowledge(history).
")&amp;IF(DV568,"","• 5 ranks in Move Silently.
")&amp;IF(DW568,"","• Feat: Bladebearer of the Valenar.
")&amp;IF(DX568,"","• Feat: Two-Weapon Fighting.
")&amp;IF(DY568,"","• Feat: Weapon Focus (Scimitar, Valenar double).
")</f>
        <v xml:space="preserve">• Elf
• Region of Origin: Valenar.
• BAB +5.
• 5 ranks in Hide.
• 2 ranks in Knowledge(history).
• 5 ranks in Move Silently.
• Feat: Bladebearer of the Valenar.
• Feat: Two-Weapon Fighting.
• Feat: Weapon Focus (Scimitar, Valenar double).
</v>
      </c>
      <c r="ED568" s="11" t="s">
        <v>335</v>
      </c>
    </row>
    <row r="569" spans="1:134" ht="11.25" customHeight="1" x14ac:dyDescent="0.2">
      <c r="A569" s="1">
        <f t="shared" si="493"/>
        <v>566</v>
      </c>
      <c r="B569" s="1" t="s">
        <v>1375</v>
      </c>
      <c r="E569" s="1">
        <f t="shared" si="517"/>
        <v>0</v>
      </c>
      <c r="F569" s="1">
        <v>1</v>
      </c>
      <c r="Z569" s="1" t="b">
        <f>FALSE</f>
        <v>0</v>
      </c>
      <c r="AA569" s="1" t="str">
        <f t="shared" si="520"/>
        <v/>
      </c>
      <c r="AB569" s="1" t="str">
        <f t="shared" si="521"/>
        <v/>
      </c>
      <c r="AC569" s="1">
        <f t="shared" si="518"/>
        <v>0</v>
      </c>
      <c r="AD569" s="1" t="str">
        <f t="shared" si="522"/>
        <v/>
      </c>
      <c r="AE569" s="1" t="str">
        <f t="shared" si="523"/>
        <v/>
      </c>
      <c r="AF569" s="1">
        <f t="shared" si="519"/>
        <v>0</v>
      </c>
      <c r="AG569" s="1">
        <f t="shared" si="509"/>
        <v>5</v>
      </c>
      <c r="AH569" s="1" t="str">
        <f t="shared" si="502"/>
        <v/>
      </c>
      <c r="EB569" s="11"/>
      <c r="ED569" s="11" t="s">
        <v>335</v>
      </c>
    </row>
    <row r="570" spans="1:134" ht="11.25" customHeight="1" x14ac:dyDescent="0.2">
      <c r="A570" s="1">
        <f t="shared" si="493"/>
        <v>567</v>
      </c>
      <c r="B570" s="1" t="s">
        <v>1376</v>
      </c>
      <c r="C570" s="1" t="s">
        <v>1377</v>
      </c>
      <c r="D570" s="1" t="s">
        <v>1377</v>
      </c>
      <c r="E570" s="1">
        <f t="shared" si="517"/>
        <v>0</v>
      </c>
      <c r="G570" s="1">
        <f>AlSLvl</f>
        <v>0</v>
      </c>
      <c r="K570" s="1">
        <v>2</v>
      </c>
      <c r="L570" s="1">
        <v>4</v>
      </c>
      <c r="V570" s="1">
        <v>0.75</v>
      </c>
      <c r="W570" s="1">
        <v>0.5</v>
      </c>
      <c r="X570" s="1">
        <v>0.34</v>
      </c>
      <c r="Y570" s="1">
        <v>0.34</v>
      </c>
      <c r="Z570" s="1" t="b">
        <f>FALSE</f>
        <v>0</v>
      </c>
      <c r="AA570" s="1" t="str">
        <f t="shared" si="520"/>
        <v/>
      </c>
      <c r="AB570" s="1" t="str">
        <f t="shared" si="521"/>
        <v/>
      </c>
      <c r="AC570" s="1">
        <f t="shared" si="518"/>
        <v>0</v>
      </c>
      <c r="AD570" s="1" t="str">
        <f t="shared" si="522"/>
        <v/>
      </c>
      <c r="AE570" s="1" t="str">
        <f t="shared" si="523"/>
        <v/>
      </c>
      <c r="AF570" s="1">
        <f t="shared" si="519"/>
        <v>0</v>
      </c>
      <c r="AG570" s="1">
        <f t="shared" si="509"/>
        <v>5</v>
      </c>
      <c r="AH570" s="1" t="str">
        <f t="shared" si="502"/>
        <v/>
      </c>
      <c r="AI570" s="1">
        <v>2</v>
      </c>
      <c r="AJ570" s="1">
        <f>IF(HRXPH,1,0)</f>
        <v>0</v>
      </c>
      <c r="AK570" s="1">
        <v>1</v>
      </c>
      <c r="AL570" s="1">
        <v>1</v>
      </c>
      <c r="AM570" s="1">
        <v>1</v>
      </c>
      <c r="AN570" s="1">
        <f t="shared" ref="AN570:AN580" si="524">IF(IsLycanthrope,2,0)</f>
        <v>0</v>
      </c>
      <c r="AO570" s="1">
        <v>2</v>
      </c>
      <c r="AP570" s="1">
        <v>2</v>
      </c>
      <c r="AQ570" s="1">
        <v>2</v>
      </c>
      <c r="AR570" s="1">
        <v>2</v>
      </c>
      <c r="AS570" s="1">
        <v>2</v>
      </c>
      <c r="AT570" s="1">
        <v>2</v>
      </c>
      <c r="AU570" s="1">
        <v>2</v>
      </c>
      <c r="AV570" s="1">
        <v>2</v>
      </c>
      <c r="AW570" s="1">
        <v>2</v>
      </c>
      <c r="AX570" s="1">
        <v>1</v>
      </c>
      <c r="AY570" s="1">
        <v>1</v>
      </c>
      <c r="AZ570" s="1">
        <v>1</v>
      </c>
      <c r="BA570" s="1">
        <v>1</v>
      </c>
      <c r="BB570" s="1">
        <v>1</v>
      </c>
      <c r="BC570" s="1">
        <v>1</v>
      </c>
      <c r="BD570" s="1">
        <v>1</v>
      </c>
      <c r="BE570" s="1">
        <v>2</v>
      </c>
      <c r="BF570" s="1">
        <v>1</v>
      </c>
      <c r="BG570" s="1">
        <f t="shared" ref="BG570:BG576" si="525">IF(HRRVL,1,0)</f>
        <v>0</v>
      </c>
      <c r="BH570" s="1">
        <f t="shared" ref="BH570:BH577" si="526">IF(HROA,1,0)</f>
        <v>0</v>
      </c>
      <c r="BI570" s="1">
        <v>1</v>
      </c>
      <c r="BJ570" s="1">
        <v>1</v>
      </c>
      <c r="BK570" s="1">
        <v>2</v>
      </c>
      <c r="BL570" s="1">
        <v>1</v>
      </c>
      <c r="BM570" s="1">
        <v>1</v>
      </c>
      <c r="BN570" s="1">
        <v>1</v>
      </c>
      <c r="BO570" s="1">
        <v>1</v>
      </c>
      <c r="BP570" s="1">
        <v>1</v>
      </c>
      <c r="BQ570" s="1">
        <f t="shared" ref="BQ570:BQ577" si="527">IF(HRRVL,1,0)</f>
        <v>0</v>
      </c>
      <c r="BR570" s="1">
        <v>1</v>
      </c>
      <c r="BS570" s="1">
        <v>1</v>
      </c>
      <c r="BT570" s="1">
        <f>IF(HRXPH,1,0)</f>
        <v>0</v>
      </c>
      <c r="BU570" s="1">
        <f t="shared" ref="BU570:BU577" si="528">IF(HRRVL,1,0)</f>
        <v>0</v>
      </c>
      <c r="BV570" s="1">
        <v>1</v>
      </c>
      <c r="BW570" s="1">
        <v>1</v>
      </c>
      <c r="BX570" s="1">
        <v>1</v>
      </c>
      <c r="BY570" s="1">
        <v>1</v>
      </c>
      <c r="BZ570" s="1">
        <v>1</v>
      </c>
      <c r="CA570" s="1">
        <v>1</v>
      </c>
      <c r="CB570" s="1">
        <v>1</v>
      </c>
      <c r="CC570" s="1">
        <v>1</v>
      </c>
      <c r="CD570" s="1">
        <v>1</v>
      </c>
      <c r="CE570" s="1">
        <v>1</v>
      </c>
      <c r="CF570" s="1">
        <v>1</v>
      </c>
      <c r="CG570" s="1">
        <f t="shared" ref="CG570:CG577" si="529">IF(HRToB,1,0)</f>
        <v>0</v>
      </c>
      <c r="CH570" s="1">
        <v>1</v>
      </c>
      <c r="CI570" s="1">
        <v>1</v>
      </c>
      <c r="CJ570" s="1">
        <v>1</v>
      </c>
      <c r="CK570" s="1">
        <v>1</v>
      </c>
      <c r="CL570" s="1">
        <v>1</v>
      </c>
      <c r="CM570" s="1">
        <v>1</v>
      </c>
      <c r="CN570" s="1">
        <v>1</v>
      </c>
      <c r="CO570" s="1">
        <v>1</v>
      </c>
      <c r="CP570" s="1">
        <v>2</v>
      </c>
      <c r="CQ570" s="1">
        <v>2</v>
      </c>
      <c r="CR570" s="1">
        <v>2</v>
      </c>
      <c r="CS570" s="1">
        <v>2</v>
      </c>
      <c r="CT570" s="1">
        <v>2</v>
      </c>
      <c r="CU570" s="1">
        <v>2</v>
      </c>
      <c r="CV570" s="1">
        <f>IF(HRXPH,1,0)</f>
        <v>0</v>
      </c>
      <c r="CW570" s="1">
        <v>1</v>
      </c>
      <c r="CX570" s="1">
        <v>1</v>
      </c>
      <c r="CY570" s="1">
        <v>1</v>
      </c>
      <c r="CZ570" s="1">
        <f t="shared" ref="CZ570:CZ577" si="530">IF(HRCS,1,0)</f>
        <v>0</v>
      </c>
      <c r="DA570" s="1">
        <v>1</v>
      </c>
      <c r="DB570" s="1">
        <v>1</v>
      </c>
      <c r="DC570" s="1">
        <v>2</v>
      </c>
      <c r="DD570" s="1">
        <v>1</v>
      </c>
      <c r="DE570" s="1">
        <v>1</v>
      </c>
      <c r="DF570" s="1">
        <v>1</v>
      </c>
      <c r="DG570" s="1">
        <v>1</v>
      </c>
      <c r="DH570" s="1">
        <v>1</v>
      </c>
      <c r="DI570" s="1">
        <f t="shared" ref="DI570:DI577" si="531">IF(HRXPH,1,0)</f>
        <v>0</v>
      </c>
      <c r="DJ570" s="1">
        <v>1</v>
      </c>
      <c r="DK570" s="1" t="s">
        <v>1378</v>
      </c>
      <c r="DV570" s="1" t="b">
        <f>IF(NOT(ISNA(MATCH("Alchemy",TblCraftSkills,0))),INDEX(TblCraftRanks,MATCH("Alchemy",TblCraftSkills,0),1)&gt;=8,FALSE)</f>
        <v>0</v>
      </c>
      <c r="DW570" s="1" t="b">
        <f>FtBrewPotion</f>
        <v>0</v>
      </c>
      <c r="DX570" s="1" t="b">
        <f ca="1">OR(MaxArcaneSpellLevel&gt;=3)</f>
        <v>0</v>
      </c>
      <c r="DY570" s="1" t="b">
        <f>AND(OR(FtFavoredInHouse,FtLeastDragonmark),EBCSHouse="Cannith")</f>
        <v>0</v>
      </c>
      <c r="DZ570" s="1" t="b">
        <f t="shared" ref="DZ570:DZ579" si="532">NOT(HRLivingGreyhawk)</f>
        <v>1</v>
      </c>
      <c r="EA570" s="1" t="b">
        <f t="shared" ref="EA570:EA577" ca="1" si="533">AND(DL570:DY570)</f>
        <v>0</v>
      </c>
      <c r="EB570" s="11" t="s">
        <v>334</v>
      </c>
      <c r="EC570" s="1" t="str">
        <f ca="1">IF(DV570,"","• Craft(Alchemy) 8 ranks
")&amp;IF(DW570,"","• Brew Potion feat
")&amp;IF(DX570,"","• Ability to cast 3rd level spells or infusions
")&amp;IF(DY570,"","• Favored in House (Cannith) or Least Dragonmark (Mark of Making) feat")</f>
        <v>• Craft(Alchemy) 8 ranks
• Brew Potion feat
• Ability to cast 3rd level spells or infusions
• Favored in House (Cannith) or Least Dragonmark (Mark of Making) feat</v>
      </c>
      <c r="ED570" s="11" t="s">
        <v>335</v>
      </c>
    </row>
    <row r="571" spans="1:134" ht="11.25" customHeight="1" x14ac:dyDescent="0.2">
      <c r="A571" s="1">
        <f t="shared" si="493"/>
        <v>568</v>
      </c>
      <c r="B571" s="1" t="s">
        <v>1379</v>
      </c>
      <c r="C571" s="1" t="s">
        <v>1380</v>
      </c>
      <c r="D571" s="1" t="s">
        <v>1380</v>
      </c>
      <c r="E571" s="1">
        <f t="shared" si="517"/>
        <v>0</v>
      </c>
      <c r="G571" s="1">
        <f>MAX(0,DgmLvl-1)</f>
        <v>0</v>
      </c>
      <c r="K571" s="1">
        <v>4</v>
      </c>
      <c r="L571" s="1">
        <v>8</v>
      </c>
      <c r="M571" s="1">
        <f>DgmLvl</f>
        <v>0</v>
      </c>
      <c r="V571" s="1">
        <v>1</v>
      </c>
      <c r="W571" s="1">
        <v>0.34</v>
      </c>
      <c r="X571" s="1">
        <v>0.34</v>
      </c>
      <c r="Y571" s="1">
        <v>0.5</v>
      </c>
      <c r="Z571" s="1" t="b">
        <f>FALSE</f>
        <v>0</v>
      </c>
      <c r="AA571" s="1" t="str">
        <f t="shared" si="520"/>
        <v/>
      </c>
      <c r="AB571" s="1" t="str">
        <f t="shared" si="521"/>
        <v/>
      </c>
      <c r="AC571" s="1">
        <f t="shared" si="518"/>
        <v>0</v>
      </c>
      <c r="AD571" s="1" t="str">
        <f t="shared" si="522"/>
        <v/>
      </c>
      <c r="AE571" s="1" t="str">
        <f t="shared" si="523"/>
        <v/>
      </c>
      <c r="AF571" s="1">
        <f t="shared" si="519"/>
        <v>0</v>
      </c>
      <c r="AG571" s="1">
        <f t="shared" si="509"/>
        <v>5</v>
      </c>
      <c r="AH571" s="1" t="str">
        <f t="shared" si="502"/>
        <v/>
      </c>
      <c r="AI571" s="1">
        <v>1</v>
      </c>
      <c r="AJ571" s="1">
        <f>IF(HRXPH,1,0)</f>
        <v>0</v>
      </c>
      <c r="AK571" s="1">
        <v>1</v>
      </c>
      <c r="AL571" s="1">
        <v>1</v>
      </c>
      <c r="AM571" s="1">
        <v>1</v>
      </c>
      <c r="AN571" s="1">
        <f t="shared" si="524"/>
        <v>0</v>
      </c>
      <c r="AO571" s="1">
        <v>2</v>
      </c>
      <c r="AP571" s="1">
        <v>1</v>
      </c>
      <c r="AQ571" s="1">
        <v>1</v>
      </c>
      <c r="AR571" s="1">
        <v>1</v>
      </c>
      <c r="AS571" s="1">
        <v>1</v>
      </c>
      <c r="AT571" s="1">
        <v>1</v>
      </c>
      <c r="AU571" s="1">
        <v>1</v>
      </c>
      <c r="AV571" s="1">
        <v>1</v>
      </c>
      <c r="AW571" s="1">
        <v>1</v>
      </c>
      <c r="AX571" s="1">
        <v>1</v>
      </c>
      <c r="AY571" s="1">
        <v>1</v>
      </c>
      <c r="AZ571" s="1">
        <v>1</v>
      </c>
      <c r="BA571" s="1">
        <v>1</v>
      </c>
      <c r="BB571" s="1">
        <v>1</v>
      </c>
      <c r="BC571" s="1">
        <v>1</v>
      </c>
      <c r="BD571" s="1">
        <v>1</v>
      </c>
      <c r="BE571" s="1">
        <v>2</v>
      </c>
      <c r="BF571" s="1">
        <v>1</v>
      </c>
      <c r="BG571" s="1">
        <f t="shared" si="525"/>
        <v>0</v>
      </c>
      <c r="BH571" s="1">
        <f t="shared" si="526"/>
        <v>0</v>
      </c>
      <c r="BI571" s="1">
        <v>2</v>
      </c>
      <c r="BJ571" s="1">
        <v>1</v>
      </c>
      <c r="BK571" s="1">
        <v>1</v>
      </c>
      <c r="BL571" s="1">
        <v>1</v>
      </c>
      <c r="BM571" s="1">
        <v>1</v>
      </c>
      <c r="BN571" s="1">
        <v>1</v>
      </c>
      <c r="BO571" s="1">
        <v>1</v>
      </c>
      <c r="BP571" s="1">
        <v>1</v>
      </c>
      <c r="BQ571" s="1">
        <f t="shared" si="527"/>
        <v>0</v>
      </c>
      <c r="BR571" s="1">
        <v>1</v>
      </c>
      <c r="BS571" s="1">
        <v>1</v>
      </c>
      <c r="BT571" s="1">
        <f>IF(HRXPH,1,0)</f>
        <v>0</v>
      </c>
      <c r="BU571" s="1">
        <f t="shared" si="528"/>
        <v>0</v>
      </c>
      <c r="BV571" s="1">
        <v>2</v>
      </c>
      <c r="BW571" s="1">
        <v>1</v>
      </c>
      <c r="BX571" s="1">
        <v>1</v>
      </c>
      <c r="BY571" s="1">
        <v>1</v>
      </c>
      <c r="BZ571" s="1">
        <v>1</v>
      </c>
      <c r="CA571" s="1">
        <v>1</v>
      </c>
      <c r="CB571" s="1">
        <v>1</v>
      </c>
      <c r="CC571" s="1">
        <v>1</v>
      </c>
      <c r="CD571" s="1">
        <v>1</v>
      </c>
      <c r="CE571" s="1">
        <v>1</v>
      </c>
      <c r="CF571" s="1">
        <v>2</v>
      </c>
      <c r="CG571" s="1">
        <f t="shared" si="529"/>
        <v>0</v>
      </c>
      <c r="CH571" s="1">
        <v>1</v>
      </c>
      <c r="CI571" s="1">
        <v>1</v>
      </c>
      <c r="CJ571" s="1">
        <v>1</v>
      </c>
      <c r="CK571" s="1">
        <v>1</v>
      </c>
      <c r="CL571" s="1">
        <v>1</v>
      </c>
      <c r="CM571" s="1">
        <v>1</v>
      </c>
      <c r="CN571" s="1">
        <v>1</v>
      </c>
      <c r="CO571" s="1">
        <v>1</v>
      </c>
      <c r="CP571" s="1">
        <v>1</v>
      </c>
      <c r="CQ571" s="1">
        <v>1</v>
      </c>
      <c r="CR571" s="1">
        <v>1</v>
      </c>
      <c r="CS571" s="1">
        <v>1</v>
      </c>
      <c r="CT571" s="1">
        <v>1</v>
      </c>
      <c r="CU571" s="1">
        <v>1</v>
      </c>
      <c r="CV571" s="1">
        <f>IF(HRXPH,1,0)</f>
        <v>0</v>
      </c>
      <c r="CW571" s="1">
        <v>1</v>
      </c>
      <c r="CX571" s="1">
        <v>1</v>
      </c>
      <c r="CY571" s="1">
        <v>2</v>
      </c>
      <c r="CZ571" s="1">
        <f t="shared" si="530"/>
        <v>0</v>
      </c>
      <c r="DA571" s="1">
        <v>1</v>
      </c>
      <c r="DB571" s="1">
        <v>1</v>
      </c>
      <c r="DC571" s="1">
        <v>2</v>
      </c>
      <c r="DD571" s="1">
        <v>2</v>
      </c>
      <c r="DE571" s="1">
        <v>2</v>
      </c>
      <c r="DF571" s="1">
        <v>1</v>
      </c>
      <c r="DG571" s="1">
        <v>1</v>
      </c>
      <c r="DH571" s="1">
        <v>1</v>
      </c>
      <c r="DI571" s="1">
        <f t="shared" si="531"/>
        <v>0</v>
      </c>
      <c r="DJ571" s="1">
        <v>1</v>
      </c>
      <c r="DK571" s="1" t="s">
        <v>1378</v>
      </c>
      <c r="DU571" s="1" t="b">
        <f>AlignmentNonEvil</f>
        <v>1</v>
      </c>
      <c r="DV571" s="1" t="b">
        <f>BaseAtk&gt;=5</f>
        <v>0</v>
      </c>
      <c r="DW571" s="1" t="b">
        <f>SkKnowledgeReligionRanks&gt;=4</f>
        <v>0</v>
      </c>
      <c r="DX571" s="1" t="b">
        <f ca="1">MaxDivineSpellLevel&gt;=1</f>
        <v>0</v>
      </c>
      <c r="DY571" s="1" t="b">
        <f>OR(AND(TurnLvl&gt;=1,TurnRebuke="Turn"),NOT(ISNA(MATCH("Undead",TblFavEnemies,0))))</f>
        <v>0</v>
      </c>
      <c r="DZ571" s="1" t="b">
        <f t="shared" si="532"/>
        <v>1</v>
      </c>
      <c r="EA571" s="1" t="b">
        <f t="shared" ca="1" si="533"/>
        <v>0</v>
      </c>
      <c r="EB571" s="11" t="s">
        <v>338</v>
      </c>
      <c r="EC571" s="1" t="str">
        <f ca="1">IF(DU571,"","• Any non-evil alignment.
")&amp;IF(DV571,"","• Base Attack Bonus +5
")&amp;IF(DW571,"","• Knowledge (Religion) 4 ranks
")&amp;IF(DX571,"","• Ability to cast 1st-level divine spells
")&amp;IF(DY571,"","• Ability to turn undead or favored enemy (undead)
")&amp;"• Must have survived an encounter with an undead creature with a CR at least equal to his or her level (not verified).
"&amp;"• Must be a sworn member of the Red Watchers organization (not verified)."</f>
        <v>• Base Attack Bonus +5
• Knowledge (Religion) 4 ranks
• Ability to cast 1st-level divine spells
• Ability to turn undead or favored enemy (undead)
• Must have survived an encounter with an undead creature with a CR at least equal to his or her level (not verified).
• Must be a sworn member of the Red Watchers organization (not verified).</v>
      </c>
      <c r="ED571" s="11" t="s">
        <v>335</v>
      </c>
    </row>
    <row r="572" spans="1:134" ht="11.25" customHeight="1" x14ac:dyDescent="0.2">
      <c r="A572" s="1">
        <f t="shared" si="493"/>
        <v>569</v>
      </c>
      <c r="B572" s="1" t="s">
        <v>1381</v>
      </c>
      <c r="C572" s="1" t="s">
        <v>1382</v>
      </c>
      <c r="D572" s="1" t="s">
        <v>1382</v>
      </c>
      <c r="E572" s="1">
        <f t="shared" si="517"/>
        <v>0</v>
      </c>
      <c r="G572" s="1">
        <f>MAX(0,DrPLvl-1)</f>
        <v>0</v>
      </c>
      <c r="K572" s="1">
        <v>4</v>
      </c>
      <c r="L572" s="1">
        <v>4</v>
      </c>
      <c r="V572" s="1">
        <v>0.5</v>
      </c>
      <c r="W572" s="1">
        <v>0.34</v>
      </c>
      <c r="X572" s="1">
        <v>0.34</v>
      </c>
      <c r="Y572" s="1">
        <v>0.5</v>
      </c>
      <c r="Z572" s="1" t="b">
        <f>FALSE</f>
        <v>0</v>
      </c>
      <c r="AA572" s="1" t="str">
        <f t="shared" si="520"/>
        <v/>
      </c>
      <c r="AB572" s="1" t="str">
        <f t="shared" si="521"/>
        <v/>
      </c>
      <c r="AC572" s="1">
        <f t="shared" si="518"/>
        <v>0</v>
      </c>
      <c r="AD572" s="1" t="str">
        <f t="shared" si="522"/>
        <v/>
      </c>
      <c r="AE572" s="1" t="str">
        <f t="shared" si="523"/>
        <v/>
      </c>
      <c r="AF572" s="1">
        <f t="shared" si="519"/>
        <v>0</v>
      </c>
      <c r="AG572" s="1">
        <f t="shared" si="509"/>
        <v>5</v>
      </c>
      <c r="AH572" s="1" t="str">
        <f t="shared" si="502"/>
        <v/>
      </c>
      <c r="AI572" s="1">
        <v>2</v>
      </c>
      <c r="AJ572" s="1">
        <f>IF(HRXPH,1,0)</f>
        <v>0</v>
      </c>
      <c r="AK572" s="1">
        <v>1</v>
      </c>
      <c r="AL572" s="1">
        <v>1</v>
      </c>
      <c r="AM572" s="1">
        <v>1</v>
      </c>
      <c r="AN572" s="1">
        <f t="shared" si="524"/>
        <v>0</v>
      </c>
      <c r="AO572" s="1">
        <v>2</v>
      </c>
      <c r="AP572" s="1">
        <v>2</v>
      </c>
      <c r="AQ572" s="1">
        <v>2</v>
      </c>
      <c r="AR572" s="1">
        <v>2</v>
      </c>
      <c r="AS572" s="1">
        <v>2</v>
      </c>
      <c r="AT572" s="1">
        <v>2</v>
      </c>
      <c r="AU572" s="1">
        <v>2</v>
      </c>
      <c r="AV572" s="1">
        <v>2</v>
      </c>
      <c r="AW572" s="1">
        <v>1</v>
      </c>
      <c r="AX572" s="1">
        <v>2</v>
      </c>
      <c r="AY572" s="1">
        <v>1</v>
      </c>
      <c r="AZ572" s="1">
        <v>1</v>
      </c>
      <c r="BA572" s="1">
        <v>1</v>
      </c>
      <c r="BB572" s="1">
        <v>1</v>
      </c>
      <c r="BC572" s="1">
        <v>2</v>
      </c>
      <c r="BD572" s="1">
        <v>1</v>
      </c>
      <c r="BE572" s="1">
        <v>1</v>
      </c>
      <c r="BF572" s="1">
        <v>1</v>
      </c>
      <c r="BG572" s="1">
        <f t="shared" si="525"/>
        <v>0</v>
      </c>
      <c r="BH572" s="1">
        <f t="shared" si="526"/>
        <v>0</v>
      </c>
      <c r="BI572" s="1">
        <v>1</v>
      </c>
      <c r="BJ572" s="1">
        <v>1</v>
      </c>
      <c r="BK572" s="1">
        <f>IF(COUNTIF(ConstellationPowers,9),2,2)</f>
        <v>2</v>
      </c>
      <c r="BL572" s="1">
        <f>IF(COUNTIF(ConstellationPowers,9),2,1)</f>
        <v>1</v>
      </c>
      <c r="BM572" s="1">
        <f>IF(COUNTIF(ConstellationPowers,9),2,1)</f>
        <v>1</v>
      </c>
      <c r="BN572" s="1">
        <f>IF(COUNTIF(ConstellationPowers,9),2,1)</f>
        <v>1</v>
      </c>
      <c r="BO572" s="1">
        <f>IF(COUNTIF(ConstellationPowers,9),2,2)</f>
        <v>2</v>
      </c>
      <c r="BP572" s="1">
        <f>IF(COUNTIF(ConstellationPowers,9),2,1)</f>
        <v>1</v>
      </c>
      <c r="BQ572" s="1">
        <f>IF(AND(COUNTIF(ConstellationPowers,9),HRRVL),2,IF(HRRVL,1,0))</f>
        <v>0</v>
      </c>
      <c r="BR572" s="1">
        <f>IF(COUNTIF(ConstellationPowers,9),2,1)</f>
        <v>1</v>
      </c>
      <c r="BS572" s="1">
        <f>IF(COUNTIF(ConstellationPowers,9),2,1)</f>
        <v>1</v>
      </c>
      <c r="BT572" s="1">
        <f>IF(AND(HRXPH,COUNTIF(ConstellationPowers,9)),2,IF(HRXPH,1,0))</f>
        <v>0</v>
      </c>
      <c r="BU572" s="1">
        <f>IF(AND(COUNTIF(ConstellationPowers,9),HRRVL),2,IF(HRRVL,1,0))</f>
        <v>0</v>
      </c>
      <c r="BV572" s="1">
        <f t="shared" ref="BV572:CE572" si="534">IF(COUNTIF(ConstellationPowers,9),2,1)</f>
        <v>1</v>
      </c>
      <c r="BW572" s="1">
        <f t="shared" si="534"/>
        <v>1</v>
      </c>
      <c r="BX572" s="1">
        <f t="shared" si="534"/>
        <v>1</v>
      </c>
      <c r="BY572" s="1">
        <f t="shared" si="534"/>
        <v>1</v>
      </c>
      <c r="BZ572" s="1">
        <f t="shared" si="534"/>
        <v>1</v>
      </c>
      <c r="CA572" s="1">
        <f t="shared" si="534"/>
        <v>1</v>
      </c>
      <c r="CB572" s="1">
        <f t="shared" si="534"/>
        <v>1</v>
      </c>
      <c r="CC572" s="1">
        <f t="shared" si="534"/>
        <v>1</v>
      </c>
      <c r="CD572" s="1">
        <f t="shared" si="534"/>
        <v>1</v>
      </c>
      <c r="CE572" s="1">
        <f t="shared" si="534"/>
        <v>1</v>
      </c>
      <c r="CF572" s="1">
        <v>1</v>
      </c>
      <c r="CG572" s="1">
        <f t="shared" si="529"/>
        <v>0</v>
      </c>
      <c r="CH572" s="1">
        <v>1</v>
      </c>
      <c r="CI572" s="1">
        <v>1</v>
      </c>
      <c r="CJ572" s="1">
        <v>1</v>
      </c>
      <c r="CK572" s="1">
        <v>1</v>
      </c>
      <c r="CL572" s="1">
        <v>1</v>
      </c>
      <c r="CM572" s="1">
        <v>1</v>
      </c>
      <c r="CN572" s="1">
        <v>1</v>
      </c>
      <c r="CO572" s="1">
        <v>1</v>
      </c>
      <c r="CP572" s="1">
        <v>2</v>
      </c>
      <c r="CQ572" s="1">
        <v>2</v>
      </c>
      <c r="CR572" s="1">
        <v>2</v>
      </c>
      <c r="CS572" s="1">
        <v>2</v>
      </c>
      <c r="CT572" s="1">
        <v>2</v>
      </c>
      <c r="CU572" s="1">
        <v>2</v>
      </c>
      <c r="CV572" s="1">
        <f>IF(HRXPH,1,0)</f>
        <v>0</v>
      </c>
      <c r="CW572" s="1">
        <v>1</v>
      </c>
      <c r="CX572" s="1">
        <v>2</v>
      </c>
      <c r="CY572" s="1">
        <v>1</v>
      </c>
      <c r="CZ572" s="1">
        <f t="shared" si="530"/>
        <v>0</v>
      </c>
      <c r="DA572" s="1">
        <v>1</v>
      </c>
      <c r="DB572" s="1">
        <v>1</v>
      </c>
      <c r="DC572" s="1">
        <v>2</v>
      </c>
      <c r="DD572" s="1">
        <v>1</v>
      </c>
      <c r="DE572" s="1">
        <v>1</v>
      </c>
      <c r="DF572" s="1">
        <v>1</v>
      </c>
      <c r="DG572" s="1">
        <v>1</v>
      </c>
      <c r="DH572" s="1">
        <v>2</v>
      </c>
      <c r="DI572" s="1">
        <f t="shared" si="531"/>
        <v>0</v>
      </c>
      <c r="DJ572" s="1">
        <v>1</v>
      </c>
      <c r="DK572" s="1" t="s">
        <v>1378</v>
      </c>
      <c r="DU572" s="1" t="b">
        <f>SkKnowledgeArcanaRanks&gt;=8</f>
        <v>0</v>
      </c>
      <c r="DV572" s="1" t="b">
        <f>SkKnowledgeHistoryRanks&gt;=4</f>
        <v>0</v>
      </c>
      <c r="DW572" s="1" t="b">
        <f>NOT(ISNA(MATCH("Draconic",TblLangKnown,0)))</f>
        <v>0</v>
      </c>
      <c r="DX572" s="1" t="b">
        <f>FtDragonProphesier</f>
        <v>0</v>
      </c>
      <c r="DY572" s="1" t="b">
        <f ca="1">OR(MaxArcaneSpellLevel&gt;=3)</f>
        <v>0</v>
      </c>
      <c r="DZ572" s="1" t="b">
        <f t="shared" si="532"/>
        <v>1</v>
      </c>
      <c r="EA572" s="1" t="b">
        <f t="shared" ca="1" si="533"/>
        <v>0</v>
      </c>
      <c r="EB572" s="11" t="s">
        <v>338</v>
      </c>
      <c r="EC572" s="1" t="str">
        <f ca="1">IF(DU572,"","• Knowledge (Arcana) 8 ranks
")&amp;IF(DV572,"","• Knowledge (History) 4 ranks
")&amp;IF(DW572,"","• Speak Language (Draconic)
")&amp;IF(DX572,"","• Dragon Prophesier feat.
")&amp;IF(DY572,"","• Ability to cast 3rd level arcane spells or imbue 3rd level infusions
")&amp;"• Must be recruited by a dragon to become a dragon prophet (not verified)."</f>
        <v>• Knowledge (Arcana) 8 ranks
• Knowledge (History) 4 ranks
• Speak Language (Draconic)
• Dragon Prophesier feat.
• Ability to cast 3rd level arcane spells or imbue 3rd level infusions
• Must be recruited by a dragon to become a dragon prophet (not verified).</v>
      </c>
      <c r="ED572" s="11" t="s">
        <v>335</v>
      </c>
    </row>
    <row r="573" spans="1:134" ht="11.25" customHeight="1" x14ac:dyDescent="0.2">
      <c r="A573" s="1">
        <f t="shared" si="493"/>
        <v>570</v>
      </c>
      <c r="B573" s="1" t="s">
        <v>1383</v>
      </c>
      <c r="C573" s="1" t="s">
        <v>1384</v>
      </c>
      <c r="D573" s="1" t="s">
        <v>1384</v>
      </c>
      <c r="E573" s="1">
        <f t="shared" si="517"/>
        <v>0</v>
      </c>
      <c r="K573" s="1">
        <v>2</v>
      </c>
      <c r="L573" s="1">
        <v>8</v>
      </c>
      <c r="V573" s="1">
        <v>0.75</v>
      </c>
      <c r="W573" s="1">
        <v>0.5</v>
      </c>
      <c r="X573" s="1">
        <v>0.34</v>
      </c>
      <c r="Y573" s="1">
        <v>0.34</v>
      </c>
      <c r="Z573" s="1" t="b">
        <f>FALSE</f>
        <v>0</v>
      </c>
      <c r="AA573" s="1" t="str">
        <f t="shared" si="520"/>
        <v/>
      </c>
      <c r="AB573" s="1" t="str">
        <f t="shared" si="521"/>
        <v/>
      </c>
      <c r="AC573" s="1">
        <f t="shared" si="518"/>
        <v>0</v>
      </c>
      <c r="AD573" s="1" t="str">
        <f t="shared" si="522"/>
        <v/>
      </c>
      <c r="AE573" s="1" t="str">
        <f t="shared" si="523"/>
        <v/>
      </c>
      <c r="AF573" s="1">
        <f t="shared" si="519"/>
        <v>0</v>
      </c>
      <c r="AG573" s="1">
        <f t="shared" si="509"/>
        <v>5</v>
      </c>
      <c r="AH573" s="1" t="str">
        <f t="shared" si="502"/>
        <v/>
      </c>
      <c r="AI573" s="1">
        <v>1</v>
      </c>
      <c r="AJ573" s="1">
        <f>IF(HRXPH,1,0)</f>
        <v>0</v>
      </c>
      <c r="AK573" s="1">
        <v>1</v>
      </c>
      <c r="AL573" s="1">
        <v>1</v>
      </c>
      <c r="AM573" s="1">
        <v>2</v>
      </c>
      <c r="AN573" s="1">
        <f t="shared" si="524"/>
        <v>0</v>
      </c>
      <c r="AO573" s="1">
        <v>1</v>
      </c>
      <c r="AP573" s="1">
        <v>2</v>
      </c>
      <c r="AQ573" s="1">
        <v>2</v>
      </c>
      <c r="AR573" s="1">
        <v>2</v>
      </c>
      <c r="AS573" s="1">
        <v>2</v>
      </c>
      <c r="AT573" s="1">
        <v>2</v>
      </c>
      <c r="AU573" s="1">
        <v>2</v>
      </c>
      <c r="AV573" s="1">
        <v>2</v>
      </c>
      <c r="AW573" s="1">
        <v>1</v>
      </c>
      <c r="AX573" s="1">
        <v>1</v>
      </c>
      <c r="AY573" s="1">
        <v>1</v>
      </c>
      <c r="AZ573" s="1">
        <v>1</v>
      </c>
      <c r="BA573" s="1">
        <v>1</v>
      </c>
      <c r="BB573" s="1">
        <v>1</v>
      </c>
      <c r="BC573" s="1">
        <v>1</v>
      </c>
      <c r="BD573" s="1">
        <v>1</v>
      </c>
      <c r="BE573" s="1">
        <v>1</v>
      </c>
      <c r="BF573" s="1">
        <v>1</v>
      </c>
      <c r="BG573" s="1">
        <f t="shared" si="525"/>
        <v>0</v>
      </c>
      <c r="BH573" s="1">
        <f t="shared" si="526"/>
        <v>0</v>
      </c>
      <c r="BI573" s="1">
        <v>2</v>
      </c>
      <c r="BJ573" s="1">
        <v>2</v>
      </c>
      <c r="BK573" s="1">
        <v>1</v>
      </c>
      <c r="BL573" s="1">
        <v>1</v>
      </c>
      <c r="BM573" s="1">
        <v>1</v>
      </c>
      <c r="BN573" s="1">
        <v>1</v>
      </c>
      <c r="BO573" s="1">
        <v>1</v>
      </c>
      <c r="BP573" s="1">
        <v>1</v>
      </c>
      <c r="BQ573" s="1">
        <f t="shared" si="527"/>
        <v>0</v>
      </c>
      <c r="BR573" s="1">
        <v>2</v>
      </c>
      <c r="BS573" s="1">
        <v>1</v>
      </c>
      <c r="BT573" s="1">
        <f>IF(HRXPH,1,0)</f>
        <v>0</v>
      </c>
      <c r="BU573" s="1">
        <f t="shared" si="528"/>
        <v>0</v>
      </c>
      <c r="BV573" s="1">
        <v>1</v>
      </c>
      <c r="BW573" s="1">
        <v>2</v>
      </c>
      <c r="BX573" s="1">
        <v>1</v>
      </c>
      <c r="BY573" s="1">
        <v>1</v>
      </c>
      <c r="BZ573" s="1">
        <v>1</v>
      </c>
      <c r="CA573" s="1">
        <v>1</v>
      </c>
      <c r="CB573" s="1">
        <v>1</v>
      </c>
      <c r="CC573" s="1">
        <v>1</v>
      </c>
      <c r="CD573" s="1">
        <v>1</v>
      </c>
      <c r="CE573" s="1">
        <v>1</v>
      </c>
      <c r="CF573" s="1">
        <v>1</v>
      </c>
      <c r="CG573" s="1">
        <f t="shared" si="529"/>
        <v>0</v>
      </c>
      <c r="CH573" s="1">
        <v>1</v>
      </c>
      <c r="CI573" s="1">
        <v>1</v>
      </c>
      <c r="CJ573" s="1">
        <v>1</v>
      </c>
      <c r="CK573" s="1">
        <v>1</v>
      </c>
      <c r="CL573" s="1">
        <v>1</v>
      </c>
      <c r="CM573" s="1">
        <v>1</v>
      </c>
      <c r="CN573" s="1">
        <v>1</v>
      </c>
      <c r="CO573" s="1">
        <v>1</v>
      </c>
      <c r="CP573" s="1">
        <v>2</v>
      </c>
      <c r="CQ573" s="1">
        <v>2</v>
      </c>
      <c r="CR573" s="1">
        <v>2</v>
      </c>
      <c r="CS573" s="1">
        <v>2</v>
      </c>
      <c r="CT573" s="1">
        <v>2</v>
      </c>
      <c r="CU573" s="1">
        <v>2</v>
      </c>
      <c r="CV573" s="1">
        <f>IF(HRXPH,1,0)</f>
        <v>0</v>
      </c>
      <c r="CW573" s="1">
        <v>1</v>
      </c>
      <c r="CX573" s="1">
        <v>1</v>
      </c>
      <c r="CY573" s="1">
        <v>1</v>
      </c>
      <c r="CZ573" s="1">
        <f t="shared" si="530"/>
        <v>0</v>
      </c>
      <c r="DA573" s="1">
        <v>1</v>
      </c>
      <c r="DB573" s="1">
        <v>1</v>
      </c>
      <c r="DC573" s="1">
        <v>1</v>
      </c>
      <c r="DD573" s="1">
        <v>1</v>
      </c>
      <c r="DE573" s="1">
        <v>2</v>
      </c>
      <c r="DF573" s="1">
        <v>2</v>
      </c>
      <c r="DG573" s="1">
        <v>1</v>
      </c>
      <c r="DH573" s="1">
        <v>1</v>
      </c>
      <c r="DI573" s="1">
        <f t="shared" si="531"/>
        <v>0</v>
      </c>
      <c r="DJ573" s="1">
        <v>1</v>
      </c>
      <c r="DK573" s="1" t="s">
        <v>1378</v>
      </c>
      <c r="DV573" s="1" t="b">
        <f>BaseAtk&gt;=5</f>
        <v>0</v>
      </c>
      <c r="DW573" s="1" t="b">
        <f>SkKnowledgeNatureRanks&gt;=2</f>
        <v>0</v>
      </c>
      <c r="DX573" s="1" t="b">
        <f>SkKnowledgePlanesRanks&gt;=2</f>
        <v>0</v>
      </c>
      <c r="DY573" s="1" t="b">
        <f>OR(NOT(ISNA(MATCH("Auran",TblLangKnown,0))),NOT(ISNA(MATCH("Aquan",TblLangKnown,0))),NOT(ISNA(MATCH("Ignan",TblLangKnown,0))),NOT(ISNA(MATCH("Terran",TblLangKnown,0))))</f>
        <v>0</v>
      </c>
      <c r="DZ573" s="1" t="b">
        <f t="shared" si="532"/>
        <v>1</v>
      </c>
      <c r="EA573" s="1" t="b">
        <f t="shared" si="533"/>
        <v>0</v>
      </c>
      <c r="EB573" s="11" t="s">
        <v>338</v>
      </c>
      <c r="EC573" s="1" t="str">
        <f>IF(DV573,"","• Base Attack Bonus +5
")&amp;IF(DW573,"","• Knowledge (Nature) 2 ranks
")&amp;IF(DX573,"","• Knowledge (The Planes) 2 ranks
")&amp;IF(DY573,"","• Speak Language (Auran, Aquan, Ignan or Terran). The elemental language know must match the type of elemental that provides the scion's graft.
")&amp;"• Must have at least one elemental graft (not verified)."</f>
        <v>• Base Attack Bonus +5
• Knowledge (Nature) 2 ranks
• Knowledge (The Planes) 2 ranks
• Speak Language (Auran, Aquan, Ignan or Terran). The elemental language know must match the type of elemental that provides the scion's graft.
• Must have at least one elemental graft (not verified).</v>
      </c>
      <c r="ED573" s="11" t="s">
        <v>335</v>
      </c>
    </row>
    <row r="574" spans="1:134" ht="11.25" customHeight="1" x14ac:dyDescent="0.2">
      <c r="A574" s="1">
        <f t="shared" si="493"/>
        <v>571</v>
      </c>
      <c r="B574" s="1" t="s">
        <v>1385</v>
      </c>
      <c r="C574" s="1" t="s">
        <v>1386</v>
      </c>
      <c r="D574" s="1" t="s">
        <v>1386</v>
      </c>
      <c r="E574" s="1">
        <f t="shared" si="517"/>
        <v>0</v>
      </c>
      <c r="G574" s="1">
        <f>(IPrLvl&gt;=2)+(IPrLvl&gt;=3)+(IPrLvl&gt;=4)+(IPrLvl&gt;=5)</f>
        <v>0</v>
      </c>
      <c r="K574" s="1">
        <v>4</v>
      </c>
      <c r="L574" s="1">
        <v>8</v>
      </c>
      <c r="V574" s="1">
        <v>1</v>
      </c>
      <c r="W574" s="1">
        <v>0.34</v>
      </c>
      <c r="X574" s="1">
        <v>0.34</v>
      </c>
      <c r="Y574" s="1">
        <v>0.5</v>
      </c>
      <c r="Z574" s="1" t="b">
        <f>FALSE</f>
        <v>0</v>
      </c>
      <c r="AA574" s="1" t="str">
        <f t="shared" si="520"/>
        <v/>
      </c>
      <c r="AB574" s="1" t="str">
        <f t="shared" si="521"/>
        <v/>
      </c>
      <c r="AC574" s="1">
        <f t="shared" si="518"/>
        <v>0</v>
      </c>
      <c r="AD574" s="1" t="str">
        <f t="shared" si="522"/>
        <v/>
      </c>
      <c r="AE574" s="1" t="str">
        <f t="shared" si="523"/>
        <v/>
      </c>
      <c r="AF574" s="1">
        <f t="shared" si="519"/>
        <v>0</v>
      </c>
      <c r="AG574" s="1">
        <f t="shared" si="509"/>
        <v>5</v>
      </c>
      <c r="AH574" s="1" t="str">
        <f t="shared" si="502"/>
        <v/>
      </c>
      <c r="AI574" s="1">
        <v>1</v>
      </c>
      <c r="AJ574" s="1">
        <f>IF(HRXPH,1,0)</f>
        <v>0</v>
      </c>
      <c r="AK574" s="1">
        <v>1</v>
      </c>
      <c r="AL574" s="1">
        <v>2</v>
      </c>
      <c r="AM574" s="1">
        <v>2</v>
      </c>
      <c r="AN574" s="1">
        <f t="shared" si="524"/>
        <v>0</v>
      </c>
      <c r="AO574" s="1">
        <v>2</v>
      </c>
      <c r="AP574" s="1">
        <v>1</v>
      </c>
      <c r="AQ574" s="1">
        <v>1</v>
      </c>
      <c r="AR574" s="1">
        <v>1</v>
      </c>
      <c r="AS574" s="1">
        <v>1</v>
      </c>
      <c r="AT574" s="1">
        <v>1</v>
      </c>
      <c r="AU574" s="1">
        <v>1</v>
      </c>
      <c r="AV574" s="1">
        <v>1</v>
      </c>
      <c r="AW574" s="1">
        <v>1</v>
      </c>
      <c r="AX574" s="1">
        <v>1</v>
      </c>
      <c r="AY574" s="1">
        <v>1</v>
      </c>
      <c r="AZ574" s="1">
        <v>2</v>
      </c>
      <c r="BA574" s="1">
        <v>1</v>
      </c>
      <c r="BB574" s="1">
        <v>1</v>
      </c>
      <c r="BC574" s="1">
        <v>2</v>
      </c>
      <c r="BD574" s="1">
        <v>1</v>
      </c>
      <c r="BE574" s="1">
        <v>1</v>
      </c>
      <c r="BF574" s="1">
        <v>2</v>
      </c>
      <c r="BG574" s="1">
        <f t="shared" si="525"/>
        <v>0</v>
      </c>
      <c r="BH574" s="1">
        <f t="shared" si="526"/>
        <v>0</v>
      </c>
      <c r="BI574" s="1">
        <v>1</v>
      </c>
      <c r="BJ574" s="1">
        <v>2</v>
      </c>
      <c r="BK574" s="1">
        <v>1</v>
      </c>
      <c r="BL574" s="1">
        <v>1</v>
      </c>
      <c r="BM574" s="1">
        <v>2</v>
      </c>
      <c r="BN574" s="1">
        <v>1</v>
      </c>
      <c r="BO574" s="1">
        <v>1</v>
      </c>
      <c r="BP574" s="1">
        <v>2</v>
      </c>
      <c r="BQ574" s="1">
        <f t="shared" si="527"/>
        <v>0</v>
      </c>
      <c r="BR574" s="1">
        <v>1</v>
      </c>
      <c r="BS574" s="1">
        <v>1</v>
      </c>
      <c r="BT574" s="1">
        <f>IF(HRXPH,1,0)</f>
        <v>0</v>
      </c>
      <c r="BU574" s="1">
        <f t="shared" si="528"/>
        <v>0</v>
      </c>
      <c r="BV574" s="1">
        <v>1</v>
      </c>
      <c r="BW574" s="1">
        <v>2</v>
      </c>
      <c r="BX574" s="1">
        <v>1</v>
      </c>
      <c r="BY574" s="1">
        <v>1</v>
      </c>
      <c r="BZ574" s="1">
        <v>1</v>
      </c>
      <c r="CA574" s="1">
        <v>1</v>
      </c>
      <c r="CB574" s="1">
        <v>1</v>
      </c>
      <c r="CC574" s="1">
        <v>1</v>
      </c>
      <c r="CD574" s="1">
        <v>1</v>
      </c>
      <c r="CE574" s="1">
        <v>1</v>
      </c>
      <c r="CF574" s="1">
        <v>2</v>
      </c>
      <c r="CG574" s="1">
        <f t="shared" si="529"/>
        <v>0</v>
      </c>
      <c r="CH574" s="1">
        <v>2</v>
      </c>
      <c r="CI574" s="1">
        <v>1</v>
      </c>
      <c r="CJ574" s="1">
        <v>1</v>
      </c>
      <c r="CK574" s="1">
        <v>1</v>
      </c>
      <c r="CL574" s="1">
        <v>1</v>
      </c>
      <c r="CM574" s="1">
        <v>1</v>
      </c>
      <c r="CN574" s="1">
        <v>1</v>
      </c>
      <c r="CO574" s="1">
        <v>1</v>
      </c>
      <c r="CP574" s="1">
        <v>1</v>
      </c>
      <c r="CQ574" s="1">
        <v>1</v>
      </c>
      <c r="CR574" s="1">
        <v>1</v>
      </c>
      <c r="CS574" s="1">
        <v>1</v>
      </c>
      <c r="CT574" s="1">
        <v>1</v>
      </c>
      <c r="CU574" s="1">
        <v>1</v>
      </c>
      <c r="CV574" s="1">
        <f>IF(HRXPH,1,0)</f>
        <v>0</v>
      </c>
      <c r="CW574" s="1">
        <v>1</v>
      </c>
      <c r="CX574" s="1">
        <v>2</v>
      </c>
      <c r="CY574" s="1">
        <v>2</v>
      </c>
      <c r="CZ574" s="1">
        <f t="shared" si="530"/>
        <v>0</v>
      </c>
      <c r="DA574" s="1">
        <v>1</v>
      </c>
      <c r="DB574" s="1">
        <v>1</v>
      </c>
      <c r="DC574" s="1">
        <v>1</v>
      </c>
      <c r="DD574" s="1">
        <v>2</v>
      </c>
      <c r="DE574" s="1">
        <v>2</v>
      </c>
      <c r="DF574" s="1">
        <v>1</v>
      </c>
      <c r="DG574" s="1">
        <v>1</v>
      </c>
      <c r="DH574" s="1">
        <v>1</v>
      </c>
      <c r="DI574" s="1">
        <f t="shared" si="531"/>
        <v>0</v>
      </c>
      <c r="DJ574" s="1">
        <v>1</v>
      </c>
      <c r="DK574" s="1" t="s">
        <v>1378</v>
      </c>
      <c r="DT574" s="1" t="b">
        <f>SkGatherInformationRanks&gt;=4</f>
        <v>0</v>
      </c>
      <c r="DU574" s="1" t="b">
        <f>SkKnowledgeDungeoneeringRanks&gt;=8</f>
        <v>0</v>
      </c>
      <c r="DV574" s="1" t="b">
        <f>SkSearchRanks&gt;=4</f>
        <v>0</v>
      </c>
      <c r="DW574" s="1" t="b">
        <f>NOT(ISNA(MATCH("Daelkyr",TblLangKnown,0)))</f>
        <v>0</v>
      </c>
      <c r="DX574" s="1" t="b">
        <f>FtSymbiontMastery</f>
        <v>0</v>
      </c>
      <c r="DY574" s="1" t="b">
        <f>OR(FtGatekeeperInitiate,NOT(ISNA(MATCH("Aberration",TblFavEnemies,0))))</f>
        <v>0</v>
      </c>
      <c r="DZ574" s="1" t="b">
        <f t="shared" si="532"/>
        <v>1</v>
      </c>
      <c r="EA574" s="1" t="b">
        <f t="shared" si="533"/>
        <v>0</v>
      </c>
      <c r="EB574" s="11" t="s">
        <v>334</v>
      </c>
      <c r="EC574" s="1" t="str">
        <f>IF(DT574,"","• Gather Information 4 ranks
")&amp;IF(DU574,"","• Knowledge (Dungeoneering) 8 ranks
")&amp;IF(DV574,"","• Search 4 ranks
")&amp;IF(DW574,"","• Speak Language (Daelkyr)
")&amp;IF(DX574,"","• Symbiont Mastery feat
")&amp;IF(DY574,"","• Favored Enemy (Aberrations) or Gatekeeper Initiate feat")</f>
        <v>• Gather Information 4 ranks
• Knowledge (Dungeoneering) 8 ranks
• Search 4 ranks
• Speak Language (Daelkyr)
• Symbiont Mastery feat
• Favored Enemy (Aberrations) or Gatekeeper Initiate feat</v>
      </c>
      <c r="ED574" s="11" t="s">
        <v>335</v>
      </c>
    </row>
    <row r="575" spans="1:134" ht="11.25" customHeight="1" x14ac:dyDescent="0.2">
      <c r="A575" s="1">
        <f t="shared" si="493"/>
        <v>572</v>
      </c>
      <c r="B575" s="1" t="s">
        <v>1387</v>
      </c>
      <c r="C575" s="1" t="s">
        <v>1388</v>
      </c>
      <c r="D575" s="1" t="s">
        <v>1388</v>
      </c>
      <c r="E575" s="1">
        <f t="shared" si="517"/>
        <v>0</v>
      </c>
      <c r="I575" s="1">
        <f>MAX(0,QMhLvl-1)</f>
        <v>0</v>
      </c>
      <c r="K575" s="1">
        <v>2</v>
      </c>
      <c r="L575" s="1">
        <v>6</v>
      </c>
      <c r="V575" s="1">
        <v>0.75</v>
      </c>
      <c r="W575" s="1">
        <v>0.34</v>
      </c>
      <c r="X575" s="1">
        <v>0.34</v>
      </c>
      <c r="Y575" s="1">
        <v>0.5</v>
      </c>
      <c r="Z575" s="1" t="b">
        <f>FALSE</f>
        <v>0</v>
      </c>
      <c r="AA575" s="1" t="str">
        <f t="shared" si="520"/>
        <v/>
      </c>
      <c r="AB575" s="1" t="str">
        <f t="shared" si="521"/>
        <v/>
      </c>
      <c r="AC575" s="1">
        <f t="shared" si="518"/>
        <v>0</v>
      </c>
      <c r="AD575" s="1" t="str">
        <f t="shared" si="522"/>
        <v/>
      </c>
      <c r="AE575" s="1" t="str">
        <f t="shared" si="523"/>
        <v/>
      </c>
      <c r="AF575" s="1">
        <f t="shared" si="519"/>
        <v>0</v>
      </c>
      <c r="AG575" s="1">
        <f t="shared" si="509"/>
        <v>5</v>
      </c>
      <c r="AH575" s="1" t="str">
        <f t="shared" si="502"/>
        <v/>
      </c>
      <c r="AI575" s="1">
        <v>1</v>
      </c>
      <c r="AJ575" s="1">
        <v>2</v>
      </c>
      <c r="AK575" s="1">
        <v>1</v>
      </c>
      <c r="AL575" s="1">
        <v>2</v>
      </c>
      <c r="AM575" s="1">
        <v>1</v>
      </c>
      <c r="AN575" s="1">
        <f t="shared" si="524"/>
        <v>0</v>
      </c>
      <c r="AO575" s="1">
        <v>2</v>
      </c>
      <c r="AP575" s="1">
        <v>2</v>
      </c>
      <c r="AQ575" s="1">
        <v>2</v>
      </c>
      <c r="AR575" s="1">
        <v>2</v>
      </c>
      <c r="AS575" s="1">
        <v>2</v>
      </c>
      <c r="AT575" s="1">
        <v>2</v>
      </c>
      <c r="AU575" s="1">
        <v>2</v>
      </c>
      <c r="AV575" s="1">
        <v>2</v>
      </c>
      <c r="AW575" s="1">
        <v>1</v>
      </c>
      <c r="AX575" s="1">
        <v>1</v>
      </c>
      <c r="AY575" s="1">
        <v>1</v>
      </c>
      <c r="AZ575" s="1">
        <v>1</v>
      </c>
      <c r="BA575" s="1">
        <v>1</v>
      </c>
      <c r="BB575" s="1">
        <v>1</v>
      </c>
      <c r="BC575" s="1">
        <v>1</v>
      </c>
      <c r="BD575" s="1">
        <v>1</v>
      </c>
      <c r="BE575" s="1">
        <v>1</v>
      </c>
      <c r="BF575" s="1">
        <v>1</v>
      </c>
      <c r="BG575" s="1">
        <f t="shared" si="525"/>
        <v>0</v>
      </c>
      <c r="BH575" s="1">
        <f t="shared" si="526"/>
        <v>0</v>
      </c>
      <c r="BI575" s="1">
        <v>2</v>
      </c>
      <c r="BJ575" s="1">
        <v>1</v>
      </c>
      <c r="BK575" s="1">
        <v>1</v>
      </c>
      <c r="BL575" s="1">
        <v>1</v>
      </c>
      <c r="BM575" s="1">
        <v>1</v>
      </c>
      <c r="BN575" s="1">
        <v>1</v>
      </c>
      <c r="BO575" s="1">
        <v>1</v>
      </c>
      <c r="BP575" s="1">
        <v>1</v>
      </c>
      <c r="BQ575" s="1">
        <f t="shared" si="527"/>
        <v>0</v>
      </c>
      <c r="BR575" s="1">
        <v>1</v>
      </c>
      <c r="BS575" s="1">
        <v>1</v>
      </c>
      <c r="BT575" s="1">
        <v>2</v>
      </c>
      <c r="BU575" s="1">
        <f t="shared" si="528"/>
        <v>0</v>
      </c>
      <c r="BV575" s="1">
        <v>1</v>
      </c>
      <c r="BW575" s="1">
        <v>2</v>
      </c>
      <c r="BX575" s="1">
        <v>1</v>
      </c>
      <c r="BY575" s="1">
        <v>1</v>
      </c>
      <c r="BZ575" s="1">
        <v>1</v>
      </c>
      <c r="CA575" s="1">
        <v>1</v>
      </c>
      <c r="CB575" s="1">
        <v>1</v>
      </c>
      <c r="CC575" s="1">
        <v>1</v>
      </c>
      <c r="CD575" s="1">
        <v>1</v>
      </c>
      <c r="CE575" s="1">
        <v>1</v>
      </c>
      <c r="CF575" s="1">
        <v>1</v>
      </c>
      <c r="CG575" s="1">
        <f t="shared" si="529"/>
        <v>0</v>
      </c>
      <c r="CH575" s="1">
        <v>1</v>
      </c>
      <c r="CI575" s="1">
        <v>1</v>
      </c>
      <c r="CJ575" s="1">
        <v>1</v>
      </c>
      <c r="CK575" s="1">
        <v>1</v>
      </c>
      <c r="CL575" s="1">
        <v>1</v>
      </c>
      <c r="CM575" s="1">
        <v>1</v>
      </c>
      <c r="CN575" s="1">
        <v>1</v>
      </c>
      <c r="CO575" s="1">
        <v>1</v>
      </c>
      <c r="CP575" s="1">
        <v>2</v>
      </c>
      <c r="CQ575" s="1">
        <v>2</v>
      </c>
      <c r="CR575" s="1">
        <v>2</v>
      </c>
      <c r="CS575" s="1">
        <v>2</v>
      </c>
      <c r="CT575" s="1">
        <v>2</v>
      </c>
      <c r="CU575" s="1">
        <v>2</v>
      </c>
      <c r="CV575" s="1">
        <v>2</v>
      </c>
      <c r="CW575" s="1">
        <v>1</v>
      </c>
      <c r="CX575" s="1">
        <v>1</v>
      </c>
      <c r="CY575" s="1">
        <v>2</v>
      </c>
      <c r="CZ575" s="1">
        <f t="shared" si="530"/>
        <v>0</v>
      </c>
      <c r="DA575" s="1">
        <v>1</v>
      </c>
      <c r="DB575" s="1">
        <v>1</v>
      </c>
      <c r="DC575" s="1">
        <v>1</v>
      </c>
      <c r="DD575" s="1">
        <v>1</v>
      </c>
      <c r="DE575" s="1">
        <v>1</v>
      </c>
      <c r="DF575" s="1">
        <v>1</v>
      </c>
      <c r="DG575" s="1">
        <v>1</v>
      </c>
      <c r="DH575" s="1">
        <v>1</v>
      </c>
      <c r="DI575" s="1">
        <f t="shared" si="531"/>
        <v>0</v>
      </c>
      <c r="DJ575" s="1">
        <v>1</v>
      </c>
      <c r="DK575" s="1" t="s">
        <v>1378</v>
      </c>
      <c r="DV575" s="1" t="b">
        <f>AlignmentNonEvil</f>
        <v>1</v>
      </c>
      <c r="DW575" s="1" t="b">
        <f>SkConcentrationRanks&gt;=9</f>
        <v>0</v>
      </c>
      <c r="DX575" s="1" t="b">
        <f>FtIronWill</f>
        <v>0</v>
      </c>
      <c r="DY575" s="1" t="b">
        <f>FtNarrowMind</f>
        <v>0</v>
      </c>
      <c r="DZ575" s="1" t="b">
        <f t="shared" si="532"/>
        <v>1</v>
      </c>
      <c r="EA575" s="1" t="b">
        <f t="shared" si="533"/>
        <v>0</v>
      </c>
      <c r="EB575" s="11" t="s">
        <v>338</v>
      </c>
      <c r="EC575" s="1" t="str">
        <f>IF(DV575,"","• Any non-evil
")&amp;IF(DW575,"","• Concentration 9 ranks
")&amp;IF(DX575,"","• Iron Will feat
")&amp;IF(DY575,"","• Narrow Mind feat
")&amp;"• Must know thought shield (not verified)."
&amp;"• Must lure and defeat a quori spirit in a dreamstate combat (not verified)."</f>
        <v>• Concentration 9 ranks
• Iron Will feat
• Narrow Mind feat
• Must know thought shield (not verified).• Must lure and defeat a quori spirit in a dreamstate combat (not verified).</v>
      </c>
      <c r="ED575" s="11" t="s">
        <v>335</v>
      </c>
    </row>
    <row r="576" spans="1:134" ht="11.25" customHeight="1" x14ac:dyDescent="0.2">
      <c r="A576" s="1">
        <f t="shared" si="493"/>
        <v>573</v>
      </c>
      <c r="B576" s="1" t="s">
        <v>1389</v>
      </c>
      <c r="C576" s="1" t="s">
        <v>690</v>
      </c>
      <c r="D576" s="1" t="s">
        <v>690</v>
      </c>
      <c r="E576" s="1">
        <f t="shared" si="517"/>
        <v>0</v>
      </c>
      <c r="G576" s="1">
        <f>MAX(0,RMmLvl-1*(RMmLvl=1)+(RMmLvl=7))</f>
        <v>0</v>
      </c>
      <c r="K576" s="1">
        <v>4</v>
      </c>
      <c r="L576" s="1">
        <v>6</v>
      </c>
      <c r="V576" s="1">
        <v>0.75</v>
      </c>
      <c r="W576" s="1">
        <v>0.5</v>
      </c>
      <c r="X576" s="1">
        <v>0.34</v>
      </c>
      <c r="Y576" s="1">
        <v>0.5</v>
      </c>
      <c r="Z576" s="1" t="b">
        <f>FALSE</f>
        <v>0</v>
      </c>
      <c r="AA576" s="1" t="str">
        <f t="shared" si="520"/>
        <v/>
      </c>
      <c r="AB576" s="1" t="str">
        <f t="shared" si="521"/>
        <v/>
      </c>
      <c r="AC576" s="1">
        <f t="shared" si="518"/>
        <v>0</v>
      </c>
      <c r="AD576" s="1" t="str">
        <f t="shared" si="522"/>
        <v/>
      </c>
      <c r="AE576" s="1" t="str">
        <f t="shared" si="523"/>
        <v/>
      </c>
      <c r="AF576" s="1">
        <f t="shared" si="519"/>
        <v>0</v>
      </c>
      <c r="AG576" s="1">
        <f t="shared" si="509"/>
        <v>5</v>
      </c>
      <c r="AH576" s="1" t="str">
        <f t="shared" si="502"/>
        <v/>
      </c>
      <c r="AI576" s="1">
        <v>2</v>
      </c>
      <c r="AJ576" s="1">
        <f>IF(HRXPH,1,0)</f>
        <v>0</v>
      </c>
      <c r="AK576" s="1">
        <v>1</v>
      </c>
      <c r="AL576" s="1">
        <v>1</v>
      </c>
      <c r="AM576" s="1">
        <v>1</v>
      </c>
      <c r="AN576" s="1">
        <f t="shared" si="524"/>
        <v>0</v>
      </c>
      <c r="AO576" s="1">
        <v>2</v>
      </c>
      <c r="AP576" s="1">
        <v>2</v>
      </c>
      <c r="AQ576" s="1">
        <v>2</v>
      </c>
      <c r="AR576" s="1">
        <v>2</v>
      </c>
      <c r="AS576" s="1">
        <v>2</v>
      </c>
      <c r="AT576" s="1">
        <v>2</v>
      </c>
      <c r="AU576" s="1">
        <v>2</v>
      </c>
      <c r="AV576" s="1">
        <v>2</v>
      </c>
      <c r="AW576" s="1">
        <v>1</v>
      </c>
      <c r="AX576" s="1">
        <v>1</v>
      </c>
      <c r="AY576" s="1">
        <v>2</v>
      </c>
      <c r="AZ576" s="1">
        <v>1</v>
      </c>
      <c r="BA576" s="1">
        <v>1</v>
      </c>
      <c r="BB576" s="1">
        <v>1</v>
      </c>
      <c r="BC576" s="1">
        <v>1</v>
      </c>
      <c r="BD576" s="1">
        <v>1</v>
      </c>
      <c r="BE576" s="1">
        <v>1</v>
      </c>
      <c r="BF576" s="1">
        <v>1</v>
      </c>
      <c r="BG576" s="1">
        <f t="shared" si="525"/>
        <v>0</v>
      </c>
      <c r="BH576" s="1">
        <f t="shared" si="526"/>
        <v>0</v>
      </c>
      <c r="BI576" s="1">
        <v>1</v>
      </c>
      <c r="BJ576" s="1">
        <v>1</v>
      </c>
      <c r="BK576" s="1">
        <v>2</v>
      </c>
      <c r="BL576" s="1">
        <v>2</v>
      </c>
      <c r="BM576" s="1">
        <v>1</v>
      </c>
      <c r="BN576" s="1">
        <v>1</v>
      </c>
      <c r="BO576" s="1">
        <v>1</v>
      </c>
      <c r="BP576" s="1">
        <v>1</v>
      </c>
      <c r="BQ576" s="1">
        <f t="shared" si="527"/>
        <v>0</v>
      </c>
      <c r="BR576" s="1">
        <v>1</v>
      </c>
      <c r="BS576" s="1">
        <v>1</v>
      </c>
      <c r="BT576" s="1">
        <f>IF(HRXPH,1,0)</f>
        <v>0</v>
      </c>
      <c r="BU576" s="1">
        <f t="shared" si="528"/>
        <v>0</v>
      </c>
      <c r="BV576" s="1">
        <v>1</v>
      </c>
      <c r="BW576" s="1">
        <v>2</v>
      </c>
      <c r="BX576" s="1">
        <v>1</v>
      </c>
      <c r="BY576" s="1">
        <v>1</v>
      </c>
      <c r="BZ576" s="1">
        <v>1</v>
      </c>
      <c r="CA576" s="1">
        <v>1</v>
      </c>
      <c r="CB576" s="1">
        <v>1</v>
      </c>
      <c r="CC576" s="1">
        <v>1</v>
      </c>
      <c r="CD576" s="1">
        <v>1</v>
      </c>
      <c r="CE576" s="1">
        <v>1</v>
      </c>
      <c r="CF576" s="1">
        <v>1</v>
      </c>
      <c r="CG576" s="1">
        <f t="shared" si="529"/>
        <v>0</v>
      </c>
      <c r="CH576" s="1">
        <v>1</v>
      </c>
      <c r="CI576" s="1">
        <v>2</v>
      </c>
      <c r="CJ576" s="1">
        <v>1</v>
      </c>
      <c r="CK576" s="1">
        <v>1</v>
      </c>
      <c r="CL576" s="1">
        <v>1</v>
      </c>
      <c r="CM576" s="1">
        <v>1</v>
      </c>
      <c r="CN576" s="1">
        <v>1</v>
      </c>
      <c r="CO576" s="1">
        <v>1</v>
      </c>
      <c r="CP576" s="1">
        <v>2</v>
      </c>
      <c r="CQ576" s="1">
        <v>2</v>
      </c>
      <c r="CR576" s="1">
        <v>2</v>
      </c>
      <c r="CS576" s="1">
        <v>2</v>
      </c>
      <c r="CT576" s="1">
        <v>2</v>
      </c>
      <c r="CU576" s="1">
        <v>2</v>
      </c>
      <c r="CV576" s="1">
        <f>IF(HRXPH,1,0)</f>
        <v>0</v>
      </c>
      <c r="CW576" s="1">
        <v>1</v>
      </c>
      <c r="CX576" s="1">
        <v>2</v>
      </c>
      <c r="CY576" s="1">
        <v>1</v>
      </c>
      <c r="CZ576" s="1">
        <f t="shared" si="530"/>
        <v>0</v>
      </c>
      <c r="DA576" s="1">
        <v>1</v>
      </c>
      <c r="DB576" s="1">
        <v>1</v>
      </c>
      <c r="DC576" s="1">
        <v>2</v>
      </c>
      <c r="DD576" s="1">
        <v>1</v>
      </c>
      <c r="DE576" s="1">
        <v>1</v>
      </c>
      <c r="DF576" s="1">
        <v>1</v>
      </c>
      <c r="DG576" s="1">
        <v>1</v>
      </c>
      <c r="DH576" s="1">
        <v>2</v>
      </c>
      <c r="DI576" s="1">
        <f t="shared" si="531"/>
        <v>0</v>
      </c>
      <c r="DJ576" s="1">
        <v>1</v>
      </c>
      <c r="DK576" s="1" t="s">
        <v>1378</v>
      </c>
      <c r="DV576" s="1" t="b">
        <f>(LEFT(TypeInfo,8)="Humanoid")</f>
        <v>1</v>
      </c>
      <c r="DW576" s="1" t="b">
        <f>OR(IF(NOT(ISNA(MATCH("armorsmithing",TblCraftSkills,0))),INDEX(TblCraftRanks,MATCH("armorsmithing",TblCraftSkills,0),1)&gt;=8,FALSE),IF(NOT(ISNA(MATCH("blacksmithing",TblCraftSkills,0))),INDEX(TblCraftRanks,MATCH("blacksmithing",TblCraftSkills,0),1)&gt;=8,FALSE),IF(NOT(ISNA(MATCH("gemcutting",TblCraftSkills,0))),INDEX(TblCraftRanks,MATCH("gemcutting",TblCraftSkills,0),1)&gt;=8,FALSE),IF(NOT(ISNA(MATCH("sculpting",TblCraftSkills,0))),INDEX(TblCraftRanks,MATCH("sculpting",TblCraftSkills,0),1)&gt;=8,FALSE))</f>
        <v>0</v>
      </c>
      <c r="DX576" s="1" t="b">
        <f>FtCraftMagicArmsAndArmor</f>
        <v>0</v>
      </c>
      <c r="DY576" s="1" t="b">
        <f>FtCraftWonderousItem</f>
        <v>0</v>
      </c>
      <c r="DZ576" s="1" t="b">
        <f t="shared" si="532"/>
        <v>1</v>
      </c>
      <c r="EA576" s="1" t="b">
        <f t="shared" si="533"/>
        <v>0</v>
      </c>
      <c r="EB576" s="11" t="s">
        <v>334</v>
      </c>
      <c r="EC576" s="1" t="str">
        <f>IF(DV576,"","• Type: Humanoid
")&amp;IF(DW576,"","• Craft(armorsmithing, blacksmithing, gemcutting or sculpting) 8 ranks
")&amp;IF(DX576,"","• Craft Magic Arms and Armor feat
")&amp;IF(DY576,"","• Craft Wondrous Item feat")</f>
        <v>• Craft(armorsmithing, blacksmithing, gemcutting or sculpting) 8 ranks
• Craft Magic Arms and Armor feat
• Craft Wondrous Item feat</v>
      </c>
      <c r="ED576" s="11" t="s">
        <v>335</v>
      </c>
    </row>
    <row r="577" spans="1:134" ht="11.25" customHeight="1" x14ac:dyDescent="0.2">
      <c r="A577" s="1">
        <f t="shared" si="493"/>
        <v>574</v>
      </c>
      <c r="B577" s="1" t="s">
        <v>1390</v>
      </c>
      <c r="C577" s="1" t="s">
        <v>1391</v>
      </c>
      <c r="D577" s="1" t="s">
        <v>1391</v>
      </c>
      <c r="E577" s="1">
        <f t="shared" si="517"/>
        <v>0</v>
      </c>
      <c r="K577" s="1">
        <v>6</v>
      </c>
      <c r="L577" s="1">
        <v>8</v>
      </c>
      <c r="V577" s="1">
        <v>0.75</v>
      </c>
      <c r="W577" s="1">
        <v>0.34</v>
      </c>
      <c r="X577" s="1">
        <v>0.5</v>
      </c>
      <c r="Y577" s="1">
        <v>0.5</v>
      </c>
      <c r="Z577" s="1" t="b">
        <f>FALSE</f>
        <v>0</v>
      </c>
      <c r="AA577" s="1" t="str">
        <f t="shared" si="520"/>
        <v/>
      </c>
      <c r="AB577" s="1" t="str">
        <f t="shared" si="521"/>
        <v/>
      </c>
      <c r="AC577" s="1">
        <f t="shared" si="518"/>
        <v>0</v>
      </c>
      <c r="AD577" s="1" t="str">
        <f t="shared" si="522"/>
        <v/>
      </c>
      <c r="AE577" s="1" t="str">
        <f t="shared" si="523"/>
        <v/>
      </c>
      <c r="AF577" s="1">
        <f t="shared" si="519"/>
        <v>0</v>
      </c>
      <c r="AG577" s="1">
        <f t="shared" si="509"/>
        <v>5</v>
      </c>
      <c r="AH577" s="1" t="str">
        <f t="shared" si="502"/>
        <v/>
      </c>
      <c r="AI577" s="1">
        <v>1</v>
      </c>
      <c r="AJ577" s="1">
        <f>IF(HRXPH,1,0)</f>
        <v>0</v>
      </c>
      <c r="AK577" s="1">
        <v>1</v>
      </c>
      <c r="AL577" s="1">
        <v>2</v>
      </c>
      <c r="AM577" s="1">
        <v>2</v>
      </c>
      <c r="AN577" s="1">
        <f t="shared" si="524"/>
        <v>0</v>
      </c>
      <c r="AO577" s="1">
        <v>2</v>
      </c>
      <c r="AP577" s="1">
        <v>2</v>
      </c>
      <c r="AQ577" s="1">
        <v>2</v>
      </c>
      <c r="AR577" s="1">
        <v>2</v>
      </c>
      <c r="AS577" s="1">
        <v>2</v>
      </c>
      <c r="AT577" s="1">
        <v>2</v>
      </c>
      <c r="AU577" s="1">
        <v>2</v>
      </c>
      <c r="AV577" s="1">
        <v>2</v>
      </c>
      <c r="AW577" s="1">
        <v>1</v>
      </c>
      <c r="AX577" s="1">
        <v>2</v>
      </c>
      <c r="AY577" s="1">
        <v>1</v>
      </c>
      <c r="AZ577" s="1">
        <v>2</v>
      </c>
      <c r="BA577" s="1">
        <v>2</v>
      </c>
      <c r="BB577" s="1">
        <v>2</v>
      </c>
      <c r="BC577" s="1">
        <v>2</v>
      </c>
      <c r="BD577" s="1">
        <v>1</v>
      </c>
      <c r="BE577" s="1">
        <v>1</v>
      </c>
      <c r="BF577" s="1">
        <v>2</v>
      </c>
      <c r="BG577" s="1">
        <f>IF(HRRVL,1,0)</f>
        <v>0</v>
      </c>
      <c r="BH577" s="1">
        <f t="shared" si="526"/>
        <v>0</v>
      </c>
      <c r="BI577" s="1">
        <v>2</v>
      </c>
      <c r="BJ577" s="1">
        <v>2</v>
      </c>
      <c r="BK577" s="1">
        <v>1</v>
      </c>
      <c r="BL577" s="1">
        <v>1</v>
      </c>
      <c r="BM577" s="1">
        <v>1</v>
      </c>
      <c r="BN577" s="1">
        <v>1</v>
      </c>
      <c r="BO577" s="1">
        <v>1</v>
      </c>
      <c r="BP577" s="1">
        <v>2</v>
      </c>
      <c r="BQ577" s="1">
        <f t="shared" si="527"/>
        <v>0</v>
      </c>
      <c r="BR577" s="1">
        <v>1</v>
      </c>
      <c r="BS577" s="1">
        <v>1</v>
      </c>
      <c r="BT577" s="1">
        <f>IF(HRXPH,1,0)</f>
        <v>0</v>
      </c>
      <c r="BU577" s="1">
        <f t="shared" si="528"/>
        <v>0</v>
      </c>
      <c r="BV577" s="1">
        <v>1</v>
      </c>
      <c r="BW577" s="1">
        <v>1</v>
      </c>
      <c r="BX577" s="1">
        <v>1</v>
      </c>
      <c r="BY577" s="1">
        <v>1</v>
      </c>
      <c r="BZ577" s="1">
        <v>1</v>
      </c>
      <c r="CA577" s="1">
        <v>1</v>
      </c>
      <c r="CB577" s="1">
        <v>1</v>
      </c>
      <c r="CC577" s="1">
        <v>1</v>
      </c>
      <c r="CD577" s="1">
        <v>1</v>
      </c>
      <c r="CE577" s="1">
        <v>1</v>
      </c>
      <c r="CF577" s="1">
        <v>2</v>
      </c>
      <c r="CG577" s="1">
        <f t="shared" si="529"/>
        <v>0</v>
      </c>
      <c r="CH577" s="1">
        <v>2</v>
      </c>
      <c r="CI577" s="1">
        <v>2</v>
      </c>
      <c r="CJ577" s="1">
        <v>2</v>
      </c>
      <c r="CK577" s="1">
        <v>2</v>
      </c>
      <c r="CL577" s="1">
        <v>2</v>
      </c>
      <c r="CM577" s="1">
        <v>2</v>
      </c>
      <c r="CN577" s="1">
        <v>2</v>
      </c>
      <c r="CO577" s="1">
        <v>2</v>
      </c>
      <c r="CP577" s="1">
        <v>2</v>
      </c>
      <c r="CQ577" s="1">
        <v>2</v>
      </c>
      <c r="CR577" s="1">
        <v>2</v>
      </c>
      <c r="CS577" s="1">
        <v>2</v>
      </c>
      <c r="CT577" s="1">
        <v>2</v>
      </c>
      <c r="CU577" s="1">
        <v>2</v>
      </c>
      <c r="CV577" s="1">
        <f>IF(HRXPH,1,0)</f>
        <v>0</v>
      </c>
      <c r="CW577" s="1">
        <v>1</v>
      </c>
      <c r="CX577" s="1">
        <v>2</v>
      </c>
      <c r="CY577" s="1">
        <v>2</v>
      </c>
      <c r="CZ577" s="1">
        <f t="shared" si="530"/>
        <v>0</v>
      </c>
      <c r="DA577" s="1">
        <v>2</v>
      </c>
      <c r="DB577" s="1">
        <v>2</v>
      </c>
      <c r="DC577" s="1">
        <v>1</v>
      </c>
      <c r="DD577" s="1">
        <v>2</v>
      </c>
      <c r="DE577" s="1">
        <v>1</v>
      </c>
      <c r="DF577" s="1">
        <v>1</v>
      </c>
      <c r="DG577" s="1">
        <v>2</v>
      </c>
      <c r="DH577" s="1">
        <v>2</v>
      </c>
      <c r="DI577" s="1">
        <f t="shared" si="531"/>
        <v>0</v>
      </c>
      <c r="DJ577" s="1">
        <v>1</v>
      </c>
      <c r="DK577" s="1" t="s">
        <v>1378</v>
      </c>
      <c r="DU577" s="1" t="b">
        <f>AND(Region="Aerenal",OR(Race="Elf",Race="Half-Elf"))</f>
        <v>0</v>
      </c>
      <c r="DV577" s="1" t="b">
        <f>SkDiplomacyRanks&gt;=8</f>
        <v>0</v>
      </c>
      <c r="DW577" s="1" t="b">
        <f>SkHideRanks&gt;=4</f>
        <v>0</v>
      </c>
      <c r="DX577" s="1" t="b">
        <f>SkMoveSilentlyRanks&gt;=4</f>
        <v>0</v>
      </c>
      <c r="DY577" s="1" t="b">
        <f>SkSenseMotiveRanks&gt;=8</f>
        <v>0</v>
      </c>
      <c r="DZ577" s="1" t="b">
        <f t="shared" si="532"/>
        <v>1</v>
      </c>
      <c r="EA577" s="1" t="b">
        <f t="shared" si="533"/>
        <v>0</v>
      </c>
      <c r="EB577" s="11" t="s">
        <v>338</v>
      </c>
      <c r="EC577" s="1" t="str">
        <f>IF(DU577,"","• Aerenal elf or half-elf.
")&amp;IF(DV577,"","• Diplomacy 8 ranks
")&amp;IF(DW577,"","• Hide 4 ranks
")&amp;IF(DX577,"","• Move Silently 4 ranks
")&amp;IF(DY577,"","• Sense Motive 8 ranks
")&amp;"• Must have been accepted into the Order of the Vigilant Sentinels and accept an oath to obey its masters in all you do (not verified)."</f>
        <v>• Aerenal elf or half-elf.
• Diplomacy 8 ranks
• Hide 4 ranks
• Move Silently 4 ranks
• Sense Motive 8 ranks
• Must have been accepted into the Order of the Vigilant Sentinels and accept an oath to obey its masters in all you do (not verified).</v>
      </c>
      <c r="ED577" s="11" t="s">
        <v>335</v>
      </c>
    </row>
    <row r="578" spans="1:134" ht="11.25" customHeight="1" x14ac:dyDescent="0.2">
      <c r="A578" s="1">
        <f t="shared" si="493"/>
        <v>575</v>
      </c>
      <c r="B578" s="1" t="s">
        <v>1392</v>
      </c>
      <c r="E578" s="1">
        <f t="shared" si="517"/>
        <v>0</v>
      </c>
      <c r="F578" s="1">
        <v>1</v>
      </c>
      <c r="Z578" s="1" t="b">
        <f>FALSE</f>
        <v>0</v>
      </c>
      <c r="AA578" s="1" t="str">
        <f t="shared" si="520"/>
        <v/>
      </c>
      <c r="AB578" s="1" t="str">
        <f t="shared" si="521"/>
        <v/>
      </c>
      <c r="AC578" s="1">
        <f t="shared" si="518"/>
        <v>0</v>
      </c>
      <c r="AD578" s="1" t="str">
        <f t="shared" si="522"/>
        <v/>
      </c>
      <c r="AE578" s="1" t="str">
        <f t="shared" si="523"/>
        <v/>
      </c>
      <c r="AF578" s="1">
        <f t="shared" si="519"/>
        <v>0</v>
      </c>
      <c r="AG578" s="1">
        <f t="shared" si="509"/>
        <v>5</v>
      </c>
      <c r="AH578" s="1" t="str">
        <f t="shared" si="502"/>
        <v/>
      </c>
      <c r="AN578" s="1">
        <f t="shared" si="524"/>
        <v>0</v>
      </c>
      <c r="EB578" s="11"/>
      <c r="ED578" s="11" t="s">
        <v>335</v>
      </c>
    </row>
    <row r="579" spans="1:134" ht="11.25" customHeight="1" x14ac:dyDescent="0.2">
      <c r="A579" s="1">
        <f t="shared" si="493"/>
        <v>576</v>
      </c>
      <c r="B579" s="1" t="s">
        <v>1393</v>
      </c>
      <c r="C579" s="1" t="s">
        <v>1394</v>
      </c>
      <c r="D579" s="1" t="s">
        <v>1394</v>
      </c>
      <c r="E579" s="1">
        <f t="shared" si="517"/>
        <v>0</v>
      </c>
      <c r="K579" s="1">
        <v>2</v>
      </c>
      <c r="L579" s="1">
        <v>10</v>
      </c>
      <c r="V579" s="1">
        <v>0.75</v>
      </c>
      <c r="W579" s="1">
        <v>0.5</v>
      </c>
      <c r="X579" s="1">
        <v>0.34</v>
      </c>
      <c r="Y579" s="1">
        <v>0.5</v>
      </c>
      <c r="Z579" s="1" t="b">
        <f>FALSE</f>
        <v>0</v>
      </c>
      <c r="AA579" s="1" t="str">
        <f t="shared" si="520"/>
        <v/>
      </c>
      <c r="AB579" s="1" t="str">
        <f t="shared" si="521"/>
        <v/>
      </c>
      <c r="AC579" s="1">
        <f t="shared" si="518"/>
        <v>0</v>
      </c>
      <c r="AD579" s="1" t="str">
        <f t="shared" si="522"/>
        <v/>
      </c>
      <c r="AE579" s="1" t="str">
        <f t="shared" si="523"/>
        <v/>
      </c>
      <c r="AF579" s="1">
        <f t="shared" si="519"/>
        <v>0</v>
      </c>
      <c r="AG579" s="1">
        <f t="shared" si="509"/>
        <v>5</v>
      </c>
      <c r="AH579" s="1" t="str">
        <f t="shared" si="502"/>
        <v/>
      </c>
      <c r="AI579" s="1">
        <v>1</v>
      </c>
      <c r="AJ579" s="1">
        <f>IF(HRXPH,1,0)</f>
        <v>0</v>
      </c>
      <c r="AK579" s="1">
        <v>1</v>
      </c>
      <c r="AL579" s="1">
        <v>1</v>
      </c>
      <c r="AM579" s="1">
        <v>2</v>
      </c>
      <c r="AN579" s="1">
        <f t="shared" si="524"/>
        <v>0</v>
      </c>
      <c r="AO579" s="1">
        <v>1</v>
      </c>
      <c r="AP579" s="1">
        <v>1</v>
      </c>
      <c r="AQ579" s="1">
        <v>1</v>
      </c>
      <c r="AR579" s="1">
        <v>1</v>
      </c>
      <c r="AS579" s="1">
        <v>1</v>
      </c>
      <c r="AT579" s="1">
        <v>1</v>
      </c>
      <c r="AU579" s="1">
        <v>1</v>
      </c>
      <c r="AV579" s="1">
        <v>1</v>
      </c>
      <c r="AW579" s="1">
        <v>1</v>
      </c>
      <c r="AX579" s="1">
        <v>1</v>
      </c>
      <c r="AY579" s="1">
        <v>1</v>
      </c>
      <c r="AZ579" s="1">
        <v>1</v>
      </c>
      <c r="BA579" s="1">
        <v>1</v>
      </c>
      <c r="BB579" s="1">
        <v>1</v>
      </c>
      <c r="BC579" s="1">
        <v>1</v>
      </c>
      <c r="BD579" s="1">
        <v>1</v>
      </c>
      <c r="BE579" s="1">
        <v>2</v>
      </c>
      <c r="BF579" s="1">
        <v>1</v>
      </c>
      <c r="BG579" s="1">
        <f>IF(HRRVL,1,0)</f>
        <v>0</v>
      </c>
      <c r="BH579" s="1">
        <f>IF(HROA,1,0)</f>
        <v>0</v>
      </c>
      <c r="BI579" s="1">
        <v>1</v>
      </c>
      <c r="BJ579" s="1">
        <v>2</v>
      </c>
      <c r="BK579" s="1">
        <v>1</v>
      </c>
      <c r="BL579" s="1">
        <v>1</v>
      </c>
      <c r="BM579" s="1">
        <v>1</v>
      </c>
      <c r="BN579" s="1">
        <v>1</v>
      </c>
      <c r="BO579" s="1">
        <v>1</v>
      </c>
      <c r="BP579" s="1">
        <v>1</v>
      </c>
      <c r="BQ579" s="1">
        <f>IF(HRRVL,1,0)</f>
        <v>0</v>
      </c>
      <c r="BR579" s="1">
        <v>1</v>
      </c>
      <c r="BS579" s="1">
        <v>1</v>
      </c>
      <c r="BT579" s="1">
        <v>2</v>
      </c>
      <c r="BU579" s="1">
        <f>IF(HRRVL,1,0)</f>
        <v>0</v>
      </c>
      <c r="BV579" s="1">
        <v>1</v>
      </c>
      <c r="BW579" s="1">
        <v>2</v>
      </c>
      <c r="BX579" s="1">
        <v>1</v>
      </c>
      <c r="BY579" s="1">
        <v>1</v>
      </c>
      <c r="BZ579" s="1">
        <v>1</v>
      </c>
      <c r="CA579" s="1">
        <v>1</v>
      </c>
      <c r="CB579" s="1">
        <v>1</v>
      </c>
      <c r="CC579" s="1">
        <v>1</v>
      </c>
      <c r="CD579" s="1">
        <v>1</v>
      </c>
      <c r="CE579" s="1">
        <v>1</v>
      </c>
      <c r="CF579" s="1">
        <v>1</v>
      </c>
      <c r="CG579" s="1">
        <f>IF(HRToB,1,0)</f>
        <v>0</v>
      </c>
      <c r="CH579" s="1">
        <v>1</v>
      </c>
      <c r="CI579" s="1">
        <v>1</v>
      </c>
      <c r="CJ579" s="1">
        <v>1</v>
      </c>
      <c r="CK579" s="1">
        <v>1</v>
      </c>
      <c r="CL579" s="1">
        <v>1</v>
      </c>
      <c r="CM579" s="1">
        <v>1</v>
      </c>
      <c r="CN579" s="1">
        <v>1</v>
      </c>
      <c r="CO579" s="1">
        <v>1</v>
      </c>
      <c r="CP579" s="1">
        <v>1</v>
      </c>
      <c r="CQ579" s="1">
        <v>1</v>
      </c>
      <c r="CR579" s="1">
        <v>1</v>
      </c>
      <c r="CS579" s="1">
        <v>1</v>
      </c>
      <c r="CT579" s="1">
        <v>1</v>
      </c>
      <c r="CU579" s="1">
        <v>1</v>
      </c>
      <c r="CV579" s="1">
        <f>IF(HRXPH,1,0)</f>
        <v>0</v>
      </c>
      <c r="CW579" s="1">
        <v>2</v>
      </c>
      <c r="CX579" s="1">
        <v>1</v>
      </c>
      <c r="CY579" s="1">
        <v>1</v>
      </c>
      <c r="CZ579" s="1">
        <f>IF(HRCS,1,0)</f>
        <v>0</v>
      </c>
      <c r="DA579" s="1">
        <v>1</v>
      </c>
      <c r="DB579" s="1">
        <v>1</v>
      </c>
      <c r="DC579" s="1">
        <v>1</v>
      </c>
      <c r="DD579" s="1">
        <v>1</v>
      </c>
      <c r="DE579" s="1">
        <v>2</v>
      </c>
      <c r="DF579" s="1">
        <v>1</v>
      </c>
      <c r="DG579" s="1">
        <v>1</v>
      </c>
      <c r="DH579" s="1">
        <v>1</v>
      </c>
      <c r="DI579" s="1">
        <f>IF(HRXPH,1,0)</f>
        <v>0</v>
      </c>
      <c r="DJ579" s="1">
        <v>1</v>
      </c>
      <c r="DK579" s="1" t="s">
        <v>1146</v>
      </c>
      <c r="DL579" s="1" t="s">
        <v>170</v>
      </c>
      <c r="DW579" s="1" t="b">
        <f>SkKnowledgePlanesRanks&gt;=4</f>
        <v>0</v>
      </c>
      <c r="DX579" s="1" t="b">
        <f>BaseAtk&gt;=4</f>
        <v>0</v>
      </c>
      <c r="DY579" s="1" t="b">
        <f>OR(Race="Chosen",Race="Inspired",Race="Kalashtar")</f>
        <v>0</v>
      </c>
      <c r="DZ579" s="1" t="b">
        <f t="shared" si="532"/>
        <v>1</v>
      </c>
      <c r="EA579" s="1" t="b">
        <f>AND(DM579:DZ579)</f>
        <v>0</v>
      </c>
      <c r="EB579" s="11" t="s">
        <v>338</v>
      </c>
      <c r="EC579" s="1" t="str">
        <f>IF(DY579,"","• Chosen, Inspired or Kalashtar.
")&amp;IF(DX579,"","• Base Attack Bonus +4.
")&amp;IF(DW579,"","• 4 ranks in Knowledge (the planes).
")&amp;IF(DZ579,"","• Not available in Living Greyhawk.
")&amp;"• Any one psionic feat (not checked)
• Proficiency with any martial or exotic weapon, or mind blade."</f>
        <v>• Chosen, Inspired or Kalashtar.
• Base Attack Bonus +4.
• 4 ranks in Knowledge (the planes).
• Any one psionic feat (not checked)
• Proficiency with any martial or exotic weapon, or mind blade.</v>
      </c>
      <c r="ED579" s="11" t="s">
        <v>335</v>
      </c>
    </row>
    <row r="580" spans="1:134" ht="11.25" customHeight="1" x14ac:dyDescent="0.2">
      <c r="A580" s="1">
        <f t="shared" si="493"/>
        <v>577</v>
      </c>
      <c r="B580" s="1" t="s">
        <v>1395</v>
      </c>
      <c r="C580" s="1" t="s">
        <v>949</v>
      </c>
      <c r="D580" s="1" t="s">
        <v>949</v>
      </c>
      <c r="E580" s="1">
        <f t="shared" si="517"/>
        <v>0</v>
      </c>
      <c r="K580" s="1">
        <v>4</v>
      </c>
      <c r="L580" s="1">
        <v>8</v>
      </c>
      <c r="V580" s="1">
        <v>0.75</v>
      </c>
      <c r="W580" s="1">
        <v>0.34</v>
      </c>
      <c r="X580" s="1">
        <v>0.5</v>
      </c>
      <c r="Y580" s="1">
        <v>0.5</v>
      </c>
      <c r="Z580" s="1" t="b">
        <f>FALSE</f>
        <v>0</v>
      </c>
      <c r="AA580" s="1" t="str">
        <f t="shared" si="520"/>
        <v/>
      </c>
      <c r="AB580" s="1" t="str">
        <f t="shared" si="521"/>
        <v/>
      </c>
      <c r="AC580" s="1">
        <f t="shared" si="518"/>
        <v>0</v>
      </c>
      <c r="AD580" s="1" t="str">
        <f t="shared" si="522"/>
        <v/>
      </c>
      <c r="AE580" s="1" t="str">
        <f t="shared" si="523"/>
        <v/>
      </c>
      <c r="AF580" s="1">
        <f t="shared" si="519"/>
        <v>0</v>
      </c>
      <c r="AG580" s="1">
        <f t="shared" si="509"/>
        <v>5</v>
      </c>
      <c r="AH580" s="1" t="str">
        <f t="shared" si="502"/>
        <v/>
      </c>
      <c r="AI580" s="1">
        <v>1</v>
      </c>
      <c r="AJ580" s="1">
        <v>2</v>
      </c>
      <c r="AK580" s="1">
        <v>2</v>
      </c>
      <c r="AL580" s="1">
        <v>1</v>
      </c>
      <c r="AM580" s="1">
        <v>2</v>
      </c>
      <c r="AN580" s="1">
        <f t="shared" si="524"/>
        <v>0</v>
      </c>
      <c r="AO580" s="1">
        <v>2</v>
      </c>
      <c r="AP580" s="1">
        <v>1</v>
      </c>
      <c r="AQ580" s="1">
        <v>1</v>
      </c>
      <c r="AR580" s="1">
        <v>1</v>
      </c>
      <c r="AS580" s="1">
        <v>1</v>
      </c>
      <c r="AT580" s="1">
        <v>1</v>
      </c>
      <c r="AU580" s="1">
        <v>1</v>
      </c>
      <c r="AV580" s="1">
        <v>1</v>
      </c>
      <c r="AW580" s="1">
        <v>1</v>
      </c>
      <c r="AX580" s="1">
        <v>1</v>
      </c>
      <c r="AY580" s="1">
        <v>1</v>
      </c>
      <c r="AZ580" s="1">
        <v>1</v>
      </c>
      <c r="BA580" s="1">
        <v>2</v>
      </c>
      <c r="BB580" s="1">
        <v>1</v>
      </c>
      <c r="BC580" s="1">
        <v>1</v>
      </c>
      <c r="BD580" s="1">
        <v>1</v>
      </c>
      <c r="BE580" s="1">
        <v>1</v>
      </c>
      <c r="BF580" s="1">
        <v>2</v>
      </c>
      <c r="BG580" s="1">
        <f>IF(HRRVL,1,0)</f>
        <v>0</v>
      </c>
      <c r="BH580" s="1">
        <f>IF(HROA,1,0)</f>
        <v>0</v>
      </c>
      <c r="BI580" s="1">
        <v>1</v>
      </c>
      <c r="BJ580" s="1">
        <v>2</v>
      </c>
      <c r="BK580" s="1">
        <v>1</v>
      </c>
      <c r="BL580" s="1">
        <v>1</v>
      </c>
      <c r="BM580" s="1">
        <v>1</v>
      </c>
      <c r="BN580" s="1">
        <v>1</v>
      </c>
      <c r="BO580" s="1">
        <v>1</v>
      </c>
      <c r="BP580" s="1">
        <v>2</v>
      </c>
      <c r="BQ580" s="1">
        <f>IF(HRRVL,1,0)</f>
        <v>0</v>
      </c>
      <c r="BR580" s="1">
        <v>2</v>
      </c>
      <c r="BS580" s="1">
        <v>1</v>
      </c>
      <c r="BT580" s="1">
        <f>IF(HRXPH,1,0)</f>
        <v>0</v>
      </c>
      <c r="BU580" s="1">
        <f>IF(HRRVL,1,0)</f>
        <v>0</v>
      </c>
      <c r="BV580" s="1">
        <v>1</v>
      </c>
      <c r="BW580" s="1">
        <v>1</v>
      </c>
      <c r="BX580" s="1">
        <v>1</v>
      </c>
      <c r="BY580" s="1">
        <v>1</v>
      </c>
      <c r="BZ580" s="1">
        <v>1</v>
      </c>
      <c r="CA580" s="1">
        <v>1</v>
      </c>
      <c r="CB580" s="1">
        <v>1</v>
      </c>
      <c r="CC580" s="1">
        <v>1</v>
      </c>
      <c r="CD580" s="1">
        <v>1</v>
      </c>
      <c r="CE580" s="1">
        <v>1</v>
      </c>
      <c r="CF580" s="1">
        <v>1</v>
      </c>
      <c r="CG580" s="1">
        <f>IF(HRToB,1,0)</f>
        <v>0</v>
      </c>
      <c r="CH580" s="1">
        <v>2</v>
      </c>
      <c r="CI580" s="1">
        <v>1</v>
      </c>
      <c r="CJ580" s="1">
        <v>2</v>
      </c>
      <c r="CK580" s="1">
        <v>2</v>
      </c>
      <c r="CL580" s="1">
        <v>2</v>
      </c>
      <c r="CM580" s="1">
        <v>2</v>
      </c>
      <c r="CN580" s="1">
        <v>2</v>
      </c>
      <c r="CO580" s="1">
        <v>2</v>
      </c>
      <c r="CP580" s="1">
        <v>1</v>
      </c>
      <c r="CQ580" s="1">
        <v>1</v>
      </c>
      <c r="CR580" s="1">
        <v>1</v>
      </c>
      <c r="CS580" s="1">
        <v>1</v>
      </c>
      <c r="CT580" s="1">
        <v>1</v>
      </c>
      <c r="CU580" s="1">
        <v>1</v>
      </c>
      <c r="CV580" s="1">
        <f>IF(HRXPH,1,0)</f>
        <v>0</v>
      </c>
      <c r="CW580" s="1">
        <v>1</v>
      </c>
      <c r="CX580" s="1">
        <v>1</v>
      </c>
      <c r="CY580" s="1">
        <v>1</v>
      </c>
      <c r="CZ580" s="1">
        <f>IF(HRCS,1,0)</f>
        <v>0</v>
      </c>
      <c r="DA580" s="1">
        <v>1</v>
      </c>
      <c r="DB580" s="1">
        <v>1</v>
      </c>
      <c r="DC580" s="1">
        <v>1</v>
      </c>
      <c r="DD580" s="1">
        <v>1</v>
      </c>
      <c r="DE580" s="1">
        <v>2</v>
      </c>
      <c r="DF580" s="1">
        <v>2</v>
      </c>
      <c r="DG580" s="1">
        <v>2</v>
      </c>
      <c r="DH580" s="1">
        <v>1</v>
      </c>
      <c r="DI580" s="1">
        <f>IF(HRXPH,1,0)</f>
        <v>0</v>
      </c>
      <c r="DJ580" s="1">
        <v>1</v>
      </c>
      <c r="DK580" s="1" t="s">
        <v>1146</v>
      </c>
      <c r="DL580" s="1" t="s">
        <v>170</v>
      </c>
      <c r="DT580" s="1" t="b">
        <f>AND(MnkLvl&gt;=1,NOT(PHB2MnkDecisiveStrike),NOT(RslHaMnk1),NOT(RslKaMnk1))</f>
        <v>0</v>
      </c>
      <c r="DU580" s="1" t="b">
        <f>FtStunningFist</f>
        <v>0</v>
      </c>
      <c r="DV580" s="1" t="b">
        <f>FtAltitudeAdaptation</f>
        <v>0</v>
      </c>
      <c r="DW580" s="1" t="b">
        <f>SkSurvivalRanks&gt;=2</f>
        <v>0</v>
      </c>
      <c r="DX580" s="1" t="b">
        <f>SkKnowledgeNatureRanks&gt;=2</f>
        <v>0</v>
      </c>
      <c r="DY580" s="1" t="b">
        <f>SkConcentrationRanks&gt;=8</f>
        <v>0</v>
      </c>
      <c r="DZ580" s="1" t="b">
        <f>NOT(HRLivingGreyhawk)</f>
        <v>1</v>
      </c>
      <c r="EA580" s="1" t="b">
        <f>AND(DT580:DZ580)</f>
        <v>0</v>
      </c>
      <c r="EB580" s="11" t="s">
        <v>338</v>
      </c>
      <c r="EC580" s="1" t="str">
        <f>IF(DY580,"","• Concentration 8 ranks.
")&amp;IF(DX580,"","• Knowledge (nature) 2 ranks.
")&amp;IF(DW580,"","• Survival 2 ranks.
")&amp;IF(DV580,"","• Altitude Adaptation feat.
")&amp;IF(DU580,"","• Stunning Fist feat.
")&amp;IF(DT580,"","• Flurry of Blows class feature.
")&amp;IF(DZ580,"","• Not available in Living Greyhawk.
")&amp;"• Race: Any non-Inspired (not checked).
• Must visit the Haztaratain monastery and gain approval from the masters there (not checked)."</f>
        <v>• Concentration 8 ranks.
• Knowledge (nature) 2 ranks.
• Survival 2 ranks.
• Altitude Adaptation feat.
• Stunning Fist feat.
• Flurry of Blows class feature.
• Race: Any non-Inspired (not checked).
• Must visit the Haztaratain monastery and gain approval from the masters there (not checked).</v>
      </c>
      <c r="ED580" s="11" t="s">
        <v>335</v>
      </c>
    </row>
    <row r="581" spans="1:134" ht="11.25" customHeight="1" x14ac:dyDescent="0.2">
      <c r="A581" s="1">
        <f t="shared" si="493"/>
        <v>578</v>
      </c>
      <c r="B581" s="1" t="s">
        <v>1396</v>
      </c>
      <c r="E581" s="1">
        <f t="shared" si="517"/>
        <v>0</v>
      </c>
      <c r="F581" s="1">
        <v>1</v>
      </c>
      <c r="Z581" s="1" t="b">
        <f>FALSE</f>
        <v>0</v>
      </c>
      <c r="AA581" s="1" t="str">
        <f t="shared" si="520"/>
        <v/>
      </c>
      <c r="AB581" s="1" t="str">
        <f t="shared" si="521"/>
        <v/>
      </c>
      <c r="AC581" s="1">
        <f t="shared" si="518"/>
        <v>0</v>
      </c>
      <c r="AD581" s="1" t="str">
        <f t="shared" si="522"/>
        <v/>
      </c>
      <c r="AE581" s="1" t="str">
        <f t="shared" si="523"/>
        <v/>
      </c>
      <c r="AF581" s="1">
        <f t="shared" si="519"/>
        <v>0</v>
      </c>
      <c r="AG581" s="1">
        <f t="shared" si="509"/>
        <v>5</v>
      </c>
      <c r="AH581" s="1" t="str">
        <f t="shared" si="502"/>
        <v/>
      </c>
      <c r="EB581" s="11"/>
      <c r="ED581" s="11" t="s">
        <v>335</v>
      </c>
    </row>
    <row r="582" spans="1:134" ht="11.25" customHeight="1" x14ac:dyDescent="0.2">
      <c r="A582" s="1">
        <f t="shared" ref="A582:A645" si="535">A581+1</f>
        <v>579</v>
      </c>
      <c r="B582" s="1" t="s">
        <v>1397</v>
      </c>
      <c r="C582" s="1" t="s">
        <v>1398</v>
      </c>
      <c r="D582" s="1" t="s">
        <v>1398</v>
      </c>
      <c r="E582" s="1">
        <f t="shared" si="517"/>
        <v>0</v>
      </c>
      <c r="K582" s="1">
        <v>2</v>
      </c>
      <c r="L582" s="1">
        <v>10</v>
      </c>
      <c r="S582" s="1" t="b">
        <v>1</v>
      </c>
      <c r="T582" s="1" t="b">
        <v>1</v>
      </c>
      <c r="V582" s="1">
        <v>1</v>
      </c>
      <c r="W582" s="1">
        <v>0.5</v>
      </c>
      <c r="X582" s="1">
        <v>0.34</v>
      </c>
      <c r="Y582" s="1">
        <v>0.34</v>
      </c>
      <c r="Z582" s="1" t="b">
        <f>FALSE</f>
        <v>0</v>
      </c>
      <c r="AA582" s="1" t="str">
        <f t="shared" si="520"/>
        <v/>
      </c>
      <c r="AB582" s="1" t="str">
        <f t="shared" si="521"/>
        <v/>
      </c>
      <c r="AC582" s="1">
        <f t="shared" si="518"/>
        <v>0</v>
      </c>
      <c r="AD582" s="1" t="str">
        <f t="shared" si="522"/>
        <v/>
      </c>
      <c r="AE582" s="1" t="str">
        <f t="shared" si="523"/>
        <v/>
      </c>
      <c r="AF582" s="1">
        <f t="shared" si="519"/>
        <v>0</v>
      </c>
      <c r="AG582" s="1">
        <f t="shared" si="509"/>
        <v>5</v>
      </c>
      <c r="AH582" s="1" t="str">
        <f t="shared" si="502"/>
        <v/>
      </c>
      <c r="AI582" s="1">
        <v>1</v>
      </c>
      <c r="AJ582" s="1">
        <f t="shared" ref="AJ582:AJ611" si="536">IF(HRXPH,1,0)</f>
        <v>0</v>
      </c>
      <c r="AK582" s="1">
        <v>1</v>
      </c>
      <c r="AL582" s="1">
        <v>1</v>
      </c>
      <c r="AM582" s="1">
        <v>1</v>
      </c>
      <c r="AN582" s="1">
        <f t="shared" ref="AN582:AN593" si="537">IF(IsLycanthrope,2,0)</f>
        <v>0</v>
      </c>
      <c r="AO582" s="1">
        <v>1</v>
      </c>
      <c r="AP582" s="1">
        <v>2</v>
      </c>
      <c r="AQ582" s="1">
        <v>2</v>
      </c>
      <c r="AR582" s="1">
        <v>2</v>
      </c>
      <c r="AS582" s="1">
        <v>2</v>
      </c>
      <c r="AT582" s="1">
        <v>2</v>
      </c>
      <c r="AU582" s="1">
        <v>2</v>
      </c>
      <c r="AV582" s="1">
        <v>2</v>
      </c>
      <c r="AW582" s="1">
        <v>1</v>
      </c>
      <c r="AX582" s="1">
        <v>2</v>
      </c>
      <c r="AY582" s="1">
        <v>1</v>
      </c>
      <c r="AZ582" s="1">
        <v>1</v>
      </c>
      <c r="BA582" s="1">
        <v>1</v>
      </c>
      <c r="BB582" s="1">
        <v>1</v>
      </c>
      <c r="BC582" s="1">
        <v>1</v>
      </c>
      <c r="BD582" s="1">
        <v>1</v>
      </c>
      <c r="BE582" s="1">
        <v>1</v>
      </c>
      <c r="BF582" s="1">
        <v>1</v>
      </c>
      <c r="BG582" s="1">
        <f t="shared" ref="BG582:BG611" si="538">IF(HRRVL,1,0)</f>
        <v>0</v>
      </c>
      <c r="BH582" s="1">
        <f t="shared" ref="BH582:BH593" si="539">IF(HROA,1,0)</f>
        <v>0</v>
      </c>
      <c r="BI582" s="1">
        <v>2</v>
      </c>
      <c r="BJ582" s="1">
        <v>1</v>
      </c>
      <c r="BK582" s="1">
        <v>1</v>
      </c>
      <c r="BL582" s="1">
        <v>1</v>
      </c>
      <c r="BM582" s="1">
        <v>1</v>
      </c>
      <c r="BN582" s="1">
        <v>1</v>
      </c>
      <c r="BO582" s="1">
        <v>1</v>
      </c>
      <c r="BP582" s="1">
        <v>1</v>
      </c>
      <c r="BQ582" s="1">
        <f>IF(HRRVL,1,0)</f>
        <v>0</v>
      </c>
      <c r="BR582" s="1">
        <v>1</v>
      </c>
      <c r="BS582" s="1">
        <v>2</v>
      </c>
      <c r="BT582" s="1">
        <f>IF(HRXPH,1,0)</f>
        <v>0</v>
      </c>
      <c r="BU582" s="1">
        <f>IF(HRRVL,1,0)</f>
        <v>0</v>
      </c>
      <c r="BV582" s="1">
        <v>2</v>
      </c>
      <c r="BW582" s="1">
        <v>1</v>
      </c>
      <c r="BX582" s="1">
        <v>1</v>
      </c>
      <c r="BY582" s="1">
        <v>1</v>
      </c>
      <c r="BZ582" s="1">
        <v>1</v>
      </c>
      <c r="CA582" s="1">
        <v>1</v>
      </c>
      <c r="CB582" s="1">
        <v>1</v>
      </c>
      <c r="CC582" s="1">
        <v>1</v>
      </c>
      <c r="CD582" s="1">
        <v>1</v>
      </c>
      <c r="CE582" s="1">
        <v>1</v>
      </c>
      <c r="CF582" s="1">
        <v>1</v>
      </c>
      <c r="CG582" s="1">
        <f t="shared" ref="CG582:CG593" si="540">IF(HRToB,1,0)</f>
        <v>0</v>
      </c>
      <c r="CH582" s="1">
        <v>1</v>
      </c>
      <c r="CI582" s="1">
        <v>1</v>
      </c>
      <c r="CJ582" s="1">
        <v>1</v>
      </c>
      <c r="CK582" s="1">
        <v>1</v>
      </c>
      <c r="CL582" s="1">
        <v>1</v>
      </c>
      <c r="CM582" s="1">
        <v>1</v>
      </c>
      <c r="CN582" s="1">
        <v>1</v>
      </c>
      <c r="CO582" s="1">
        <v>1</v>
      </c>
      <c r="CP582" s="1">
        <v>2</v>
      </c>
      <c r="CQ582" s="1">
        <v>2</v>
      </c>
      <c r="CR582" s="1">
        <v>2</v>
      </c>
      <c r="CS582" s="1">
        <v>2</v>
      </c>
      <c r="CT582" s="1">
        <v>2</v>
      </c>
      <c r="CU582" s="1">
        <v>2</v>
      </c>
      <c r="CV582" s="1">
        <f t="shared" ref="CV582:CV634" si="541">IF(HRXPH,1,0)</f>
        <v>0</v>
      </c>
      <c r="CW582" s="1">
        <v>2</v>
      </c>
      <c r="CX582" s="1">
        <v>1</v>
      </c>
      <c r="CY582" s="1">
        <v>1</v>
      </c>
      <c r="CZ582" s="1">
        <f t="shared" ref="CZ582:CZ593" si="542">IF(HRCS,1,0)</f>
        <v>0</v>
      </c>
      <c r="DA582" s="1">
        <v>1</v>
      </c>
      <c r="DB582" s="1">
        <v>1</v>
      </c>
      <c r="DC582" s="1">
        <v>1</v>
      </c>
      <c r="DD582" s="1">
        <v>1</v>
      </c>
      <c r="DE582" s="1">
        <v>1</v>
      </c>
      <c r="DF582" s="1">
        <v>1</v>
      </c>
      <c r="DG582" s="1">
        <v>1</v>
      </c>
      <c r="DH582" s="1">
        <v>1</v>
      </c>
      <c r="DI582" s="1">
        <f t="shared" ref="DI582:DI634" si="543">IF(HRXPH,1,0)</f>
        <v>0</v>
      </c>
      <c r="DJ582" s="1">
        <v>1</v>
      </c>
      <c r="DK582" s="1" t="s">
        <v>297</v>
      </c>
      <c r="DL582" s="1" t="s">
        <v>170</v>
      </c>
      <c r="DQ582" s="1" t="b">
        <f>AND(AlignmentLawful,AlignmentGood)</f>
        <v>1</v>
      </c>
      <c r="DR582" s="1" t="b">
        <f>BaseAtk&gt;=3</f>
        <v>0</v>
      </c>
      <c r="DS582" s="1" t="b">
        <f>FortSave&gt;=4</f>
        <v>0</v>
      </c>
      <c r="DT582" s="1" t="b">
        <f>SkDiplomacyRanks&gt;=2</f>
        <v>0</v>
      </c>
      <c r="DU582" s="1" t="b">
        <f>SkKnowledgeReligionRanks&gt;=2</f>
        <v>0</v>
      </c>
      <c r="DV582" s="1" t="b">
        <f>SkRideRanks&gt;=2</f>
        <v>0</v>
      </c>
      <c r="DW582" s="1" t="b">
        <f>HvyArmorProf</f>
        <v>1</v>
      </c>
      <c r="DX582" s="1" t="b">
        <f>FtHonorBound</f>
        <v>0</v>
      </c>
      <c r="DY582" s="1" t="b">
        <f>FtMartialWeapon</f>
        <v>0</v>
      </c>
      <c r="DZ582" s="1" t="b">
        <f>FtShieldProficiency</f>
        <v>0</v>
      </c>
      <c r="EA582" s="1" t="b">
        <f>AND(DL582:DZ582)</f>
        <v>0</v>
      </c>
      <c r="EB582" s="11" t="s">
        <v>334</v>
      </c>
      <c r="EC582" s="1" t="str">
        <f>IF(DQ582,"","• Lawful Good
")&amp;IF(DR582,"","• Base attack bonus +3.
")&amp;IF(DS582,"","• Base Fort save +4.
")&amp;IF(DT582,"","• 2 ranks in Diplomacy.
")&amp;IF(DU582,"","• 2 ranks in Knowledge (religion).
")&amp;IF(DV582,"","• 2 ranks in Ride.
")&amp;IF(DW582,"","• Armor proficiency (heavy).
")&amp;IF(DX582,"","• Honor-Bound feat.
")&amp;IF(DY582,"","• Martial Weapon Proficiency (any).
")&amp;IF(DZ582,"","•  Shield Proficiency.")</f>
        <v>• Base attack bonus +3.
• Base Fort save +4.
• 2 ranks in Diplomacy.
• 2 ranks in Knowledge (religion).
• 2 ranks in Ride.
• Honor-Bound feat.
• Martial Weapon Proficiency (any).
•  Shield Proficiency.</v>
      </c>
      <c r="ED582" s="11" t="s">
        <v>335</v>
      </c>
    </row>
    <row r="583" spans="1:134" ht="11.25" customHeight="1" x14ac:dyDescent="0.2">
      <c r="A583" s="1">
        <f t="shared" si="535"/>
        <v>580</v>
      </c>
      <c r="B583" s="1" t="s">
        <v>1399</v>
      </c>
      <c r="C583" s="1" t="s">
        <v>1400</v>
      </c>
      <c r="D583" s="1" t="s">
        <v>1400</v>
      </c>
      <c r="E583" s="1">
        <f t="shared" si="517"/>
        <v>0</v>
      </c>
      <c r="G583" s="1">
        <f>KnoSwLvl</f>
        <v>0</v>
      </c>
      <c r="K583" s="1">
        <v>2</v>
      </c>
      <c r="L583" s="1">
        <v>8</v>
      </c>
      <c r="M583" s="1">
        <f>IF(KnoSwLvl&gt;=2,KnoSwLvl-1,0)</f>
        <v>0</v>
      </c>
      <c r="V583" s="1">
        <v>0.75</v>
      </c>
      <c r="W583" s="1">
        <v>0.5</v>
      </c>
      <c r="X583" s="1">
        <v>0.34</v>
      </c>
      <c r="Y583" s="1">
        <v>0.5</v>
      </c>
      <c r="Z583" s="1" t="b">
        <f>FALSE</f>
        <v>0</v>
      </c>
      <c r="AA583" s="1" t="str">
        <f t="shared" si="520"/>
        <v/>
      </c>
      <c r="AB583" s="1" t="str">
        <f t="shared" si="521"/>
        <v/>
      </c>
      <c r="AC583" s="1">
        <f t="shared" si="518"/>
        <v>0</v>
      </c>
      <c r="AD583" s="1" t="str">
        <f t="shared" si="522"/>
        <v/>
      </c>
      <c r="AE583" s="1" t="str">
        <f t="shared" si="523"/>
        <v/>
      </c>
      <c r="AF583" s="1">
        <f t="shared" si="519"/>
        <v>0</v>
      </c>
      <c r="AG583" s="1">
        <f t="shared" si="509"/>
        <v>5</v>
      </c>
      <c r="AH583" s="1" t="str">
        <f t="shared" si="502"/>
        <v/>
      </c>
      <c r="AI583" s="1">
        <v>1</v>
      </c>
      <c r="AJ583" s="1">
        <f t="shared" si="536"/>
        <v>0</v>
      </c>
      <c r="AK583" s="1">
        <v>1</v>
      </c>
      <c r="AL583" s="1">
        <v>1</v>
      </c>
      <c r="AM583" s="1">
        <v>1</v>
      </c>
      <c r="AN583" s="1">
        <f t="shared" si="537"/>
        <v>0</v>
      </c>
      <c r="AO583" s="1">
        <v>2</v>
      </c>
      <c r="AP583" s="1">
        <v>2</v>
      </c>
      <c r="AQ583" s="1">
        <v>2</v>
      </c>
      <c r="AR583" s="1">
        <v>2</v>
      </c>
      <c r="AS583" s="1">
        <v>2</v>
      </c>
      <c r="AT583" s="1">
        <v>2</v>
      </c>
      <c r="AU583" s="1">
        <v>2</v>
      </c>
      <c r="AV583" s="1">
        <v>2</v>
      </c>
      <c r="AW583" s="1">
        <v>1</v>
      </c>
      <c r="AX583" s="1">
        <v>2</v>
      </c>
      <c r="AY583" s="1">
        <v>1</v>
      </c>
      <c r="AZ583" s="1">
        <v>1</v>
      </c>
      <c r="BA583" s="1">
        <v>1</v>
      </c>
      <c r="BB583" s="1">
        <v>1</v>
      </c>
      <c r="BC583" s="1">
        <v>1</v>
      </c>
      <c r="BD583" s="1">
        <v>1</v>
      </c>
      <c r="BE583" s="1">
        <v>1</v>
      </c>
      <c r="BF583" s="1">
        <v>1</v>
      </c>
      <c r="BG583" s="1">
        <f t="shared" si="538"/>
        <v>0</v>
      </c>
      <c r="BH583" s="1">
        <f t="shared" si="539"/>
        <v>0</v>
      </c>
      <c r="BI583" s="1">
        <v>2</v>
      </c>
      <c r="BJ583" s="1">
        <v>1</v>
      </c>
      <c r="BK583" s="1">
        <v>1</v>
      </c>
      <c r="BL583" s="1">
        <v>1</v>
      </c>
      <c r="BM583" s="1">
        <v>1</v>
      </c>
      <c r="BN583" s="1">
        <v>1</v>
      </c>
      <c r="BO583" s="1">
        <v>1</v>
      </c>
      <c r="BP583" s="1">
        <v>1</v>
      </c>
      <c r="BQ583" s="1">
        <f>IF(HRRVL,1,0)</f>
        <v>0</v>
      </c>
      <c r="BR583" s="1">
        <v>1</v>
      </c>
      <c r="BS583" s="1">
        <v>2</v>
      </c>
      <c r="BT583" s="1">
        <f>IF(HRXPH,1,0)</f>
        <v>0</v>
      </c>
      <c r="BU583" s="1">
        <f>IF(HRRVL,1,0)</f>
        <v>0</v>
      </c>
      <c r="BV583" s="1">
        <v>2</v>
      </c>
      <c r="BW583" s="1">
        <v>1</v>
      </c>
      <c r="BX583" s="1">
        <v>1</v>
      </c>
      <c r="BY583" s="1">
        <v>1</v>
      </c>
      <c r="BZ583" s="1">
        <v>1</v>
      </c>
      <c r="CA583" s="1">
        <v>1</v>
      </c>
      <c r="CB583" s="1">
        <v>1</v>
      </c>
      <c r="CC583" s="1">
        <v>1</v>
      </c>
      <c r="CD583" s="1">
        <v>1</v>
      </c>
      <c r="CE583" s="1">
        <v>1</v>
      </c>
      <c r="CF583" s="1">
        <v>1</v>
      </c>
      <c r="CG583" s="1">
        <f t="shared" si="540"/>
        <v>0</v>
      </c>
      <c r="CH583" s="1">
        <v>1</v>
      </c>
      <c r="CI583" s="1">
        <v>1</v>
      </c>
      <c r="CJ583" s="1">
        <v>1</v>
      </c>
      <c r="CK583" s="1">
        <v>1</v>
      </c>
      <c r="CL583" s="1">
        <v>1</v>
      </c>
      <c r="CM583" s="1">
        <v>1</v>
      </c>
      <c r="CN583" s="1">
        <v>1</v>
      </c>
      <c r="CO583" s="1">
        <v>1</v>
      </c>
      <c r="CP583" s="1">
        <v>2</v>
      </c>
      <c r="CQ583" s="1">
        <v>2</v>
      </c>
      <c r="CR583" s="1">
        <v>2</v>
      </c>
      <c r="CS583" s="1">
        <v>2</v>
      </c>
      <c r="CT583" s="1">
        <v>2</v>
      </c>
      <c r="CU583" s="1">
        <v>2</v>
      </c>
      <c r="CV583" s="1">
        <f t="shared" si="541"/>
        <v>0</v>
      </c>
      <c r="CW583" s="1">
        <v>2</v>
      </c>
      <c r="CX583" s="1">
        <v>1</v>
      </c>
      <c r="CY583" s="1">
        <v>1</v>
      </c>
      <c r="CZ583" s="1">
        <f t="shared" si="542"/>
        <v>0</v>
      </c>
      <c r="DA583" s="1">
        <v>1</v>
      </c>
      <c r="DB583" s="1">
        <v>1</v>
      </c>
      <c r="DC583" s="1">
        <v>1</v>
      </c>
      <c r="DD583" s="1">
        <v>1</v>
      </c>
      <c r="DE583" s="1">
        <v>1</v>
      </c>
      <c r="DF583" s="1">
        <v>1</v>
      </c>
      <c r="DG583" s="1">
        <v>1</v>
      </c>
      <c r="DH583" s="1">
        <v>1</v>
      </c>
      <c r="DI583" s="1">
        <f t="shared" si="543"/>
        <v>0</v>
      </c>
      <c r="DJ583" s="1">
        <v>1</v>
      </c>
      <c r="DK583" s="1" t="s">
        <v>297</v>
      </c>
      <c r="DL583" s="1" t="s">
        <v>170</v>
      </c>
      <c r="DP583" s="1" t="b">
        <f>AND(AlignmentLawful,AlignmentGood)</f>
        <v>1</v>
      </c>
      <c r="DQ583" s="1" t="b">
        <f>BaseAtk&gt;=6</f>
        <v>0</v>
      </c>
      <c r="DR583" s="1" t="b">
        <f>WillSave&gt;=4</f>
        <v>0</v>
      </c>
      <c r="DS583" s="1" t="b">
        <f>SkKnowledgeNobilityRanks&gt;=2</f>
        <v>0</v>
      </c>
      <c r="DT583" s="1" t="b">
        <f>SkKnowledgeReligionRanks&gt;=4</f>
        <v>0</v>
      </c>
      <c r="DU583" s="1" t="b">
        <f>SkRideRanks&gt;=4</f>
        <v>0</v>
      </c>
      <c r="DV583" s="1" t="b">
        <f>FtDiehard</f>
        <v>0</v>
      </c>
      <c r="DW583" s="1" t="b">
        <f>FtEndurance</f>
        <v>0</v>
      </c>
      <c r="DX583" s="1" t="b">
        <f>FtHonorBound</f>
        <v>0</v>
      </c>
      <c r="DY583" s="1" t="b">
        <f ca="1">MaxDivineSpellLevel&gt;=1</f>
        <v>0</v>
      </c>
      <c r="DZ583" s="1" t="b">
        <f>KnoCLvl&gt;=1</f>
        <v>0</v>
      </c>
      <c r="EA583" s="1" t="b">
        <f ca="1">AND(DL583:DZ583)</f>
        <v>0</v>
      </c>
      <c r="EB583" s="11" t="s">
        <v>334</v>
      </c>
      <c r="EC583" s="1" t="str">
        <f ca="1">IF(DP583,"","• Lawful Good
")&amp;IF(DQ583,"","• Base attack bonus +6.
")&amp;IF(DR583,"","• Base Will save +4.
")&amp;IF(DS583,"","• 2 ranks in Knowledge (nobility).
")&amp;IF(DT583,"","• 4 ranks in Knowledge (religion).
")&amp;IF(DU583,"","• 4 ranks in Ride.
")&amp;IF(DV583,"","• Diehard feat.
")&amp;IF(DW583,"","• Endurance feat.
")&amp;IF(DX583,"","• Honor-Bound feat.
")&amp;IF(DY583,"","• Ability to cast 1st level divine spells.
")&amp;IF(DZ583,"","• Must have 1 level of Knight of the Crown and have the knightly courage class ability.")</f>
        <v>• Base attack bonus +6.
• Base Will save +4.
• 2 ranks in Knowledge (nobility).
• 4 ranks in Knowledge (religion).
• 4 ranks in Ride.
• Diehard feat.
• Endurance feat.
• Honor-Bound feat.
• Ability to cast 1st level divine spells.
• Must have 1 level of Knight of the Crown and have the knightly courage class ability.</v>
      </c>
      <c r="ED583" s="11" t="s">
        <v>335</v>
      </c>
    </row>
    <row r="584" spans="1:134" ht="11.25" customHeight="1" x14ac:dyDescent="0.2">
      <c r="A584" s="1">
        <f t="shared" si="535"/>
        <v>581</v>
      </c>
      <c r="B584" s="1" t="s">
        <v>1401</v>
      </c>
      <c r="C584" s="1" t="s">
        <v>1402</v>
      </c>
      <c r="D584" s="1" t="s">
        <v>1402</v>
      </c>
      <c r="E584" s="1">
        <f t="shared" si="517"/>
        <v>0</v>
      </c>
      <c r="G584" s="1">
        <f>KnoRLvl</f>
        <v>0</v>
      </c>
      <c r="K584" s="1">
        <v>2</v>
      </c>
      <c r="L584" s="1">
        <v>10</v>
      </c>
      <c r="M584" s="1">
        <f>IF(KnoRLvl&gt;=4,KnoRLvl-3,0)</f>
        <v>0</v>
      </c>
      <c r="V584" s="1">
        <v>1</v>
      </c>
      <c r="W584" s="1">
        <v>0.5</v>
      </c>
      <c r="X584" s="1">
        <v>0.34</v>
      </c>
      <c r="Y584" s="1">
        <v>0.5</v>
      </c>
      <c r="Z584" s="1" t="b">
        <f>FALSE</f>
        <v>0</v>
      </c>
      <c r="AA584" s="1" t="str">
        <f t="shared" si="520"/>
        <v/>
      </c>
      <c r="AB584" s="1" t="str">
        <f t="shared" si="521"/>
        <v/>
      </c>
      <c r="AC584" s="1">
        <f t="shared" si="518"/>
        <v>0</v>
      </c>
      <c r="AD584" s="1" t="str">
        <f t="shared" si="522"/>
        <v/>
      </c>
      <c r="AE584" s="1" t="str">
        <f t="shared" si="523"/>
        <v/>
      </c>
      <c r="AF584" s="1">
        <f t="shared" si="519"/>
        <v>0</v>
      </c>
      <c r="AG584" s="1">
        <f t="shared" si="509"/>
        <v>5</v>
      </c>
      <c r="AH584" s="1" t="str">
        <f t="shared" si="502"/>
        <v/>
      </c>
      <c r="AI584" s="1">
        <v>1</v>
      </c>
      <c r="AJ584" s="1">
        <f t="shared" si="536"/>
        <v>0</v>
      </c>
      <c r="AK584" s="1">
        <v>1</v>
      </c>
      <c r="AL584" s="1">
        <v>1</v>
      </c>
      <c r="AM584" s="1">
        <v>1</v>
      </c>
      <c r="AN584" s="1">
        <f t="shared" si="537"/>
        <v>0</v>
      </c>
      <c r="AO584" s="1">
        <v>2</v>
      </c>
      <c r="AP584" s="1">
        <v>2</v>
      </c>
      <c r="AQ584" s="1">
        <v>2</v>
      </c>
      <c r="AR584" s="1">
        <v>2</v>
      </c>
      <c r="AS584" s="1">
        <v>2</v>
      </c>
      <c r="AT584" s="1">
        <v>2</v>
      </c>
      <c r="AU584" s="1">
        <v>2</v>
      </c>
      <c r="AV584" s="1">
        <v>2</v>
      </c>
      <c r="AW584" s="1">
        <v>1</v>
      </c>
      <c r="AX584" s="1">
        <v>2</v>
      </c>
      <c r="AY584" s="1">
        <v>1</v>
      </c>
      <c r="AZ584" s="1">
        <v>1</v>
      </c>
      <c r="BA584" s="1">
        <v>1</v>
      </c>
      <c r="BB584" s="1">
        <v>1</v>
      </c>
      <c r="BC584" s="1">
        <v>1</v>
      </c>
      <c r="BD584" s="1">
        <v>1</v>
      </c>
      <c r="BE584" s="1">
        <v>1</v>
      </c>
      <c r="BF584" s="1">
        <v>1</v>
      </c>
      <c r="BG584" s="1">
        <f t="shared" si="538"/>
        <v>0</v>
      </c>
      <c r="BH584" s="1">
        <f t="shared" si="539"/>
        <v>0</v>
      </c>
      <c r="BI584" s="1">
        <v>2</v>
      </c>
      <c r="BJ584" s="1">
        <v>1</v>
      </c>
      <c r="BK584" s="1">
        <v>1</v>
      </c>
      <c r="BL584" s="1">
        <v>1</v>
      </c>
      <c r="BM584" s="1">
        <v>1</v>
      </c>
      <c r="BN584" s="1">
        <v>1</v>
      </c>
      <c r="BO584" s="1">
        <v>1</v>
      </c>
      <c r="BP584" s="1">
        <v>1</v>
      </c>
      <c r="BQ584" s="1">
        <f>IF(HRRVL,1,0)</f>
        <v>0</v>
      </c>
      <c r="BR584" s="1">
        <v>1</v>
      </c>
      <c r="BS584" s="1">
        <v>2</v>
      </c>
      <c r="BT584" s="1">
        <f>IF(HRXPH,1,0)</f>
        <v>0</v>
      </c>
      <c r="BU584" s="1">
        <f>IF(HRRVL,1,0)</f>
        <v>0</v>
      </c>
      <c r="BV584" s="1">
        <v>2</v>
      </c>
      <c r="BW584" s="1">
        <v>1</v>
      </c>
      <c r="BX584" s="1">
        <v>1</v>
      </c>
      <c r="BY584" s="1">
        <v>1</v>
      </c>
      <c r="BZ584" s="1">
        <v>1</v>
      </c>
      <c r="CA584" s="1">
        <v>1</v>
      </c>
      <c r="CB584" s="1">
        <v>1</v>
      </c>
      <c r="CC584" s="1">
        <v>1</v>
      </c>
      <c r="CD584" s="1">
        <v>1</v>
      </c>
      <c r="CE584" s="1">
        <v>1</v>
      </c>
      <c r="CF584" s="1">
        <v>1</v>
      </c>
      <c r="CG584" s="1">
        <f t="shared" si="540"/>
        <v>0</v>
      </c>
      <c r="CH584" s="1">
        <v>1</v>
      </c>
      <c r="CI584" s="1">
        <v>1</v>
      </c>
      <c r="CJ584" s="1">
        <v>1</v>
      </c>
      <c r="CK584" s="1">
        <v>1</v>
      </c>
      <c r="CL584" s="1">
        <v>1</v>
      </c>
      <c r="CM584" s="1">
        <v>1</v>
      </c>
      <c r="CN584" s="1">
        <v>1</v>
      </c>
      <c r="CO584" s="1">
        <v>1</v>
      </c>
      <c r="CP584" s="1">
        <v>2</v>
      </c>
      <c r="CQ584" s="1">
        <v>2</v>
      </c>
      <c r="CR584" s="1">
        <v>2</v>
      </c>
      <c r="CS584" s="1">
        <v>2</v>
      </c>
      <c r="CT584" s="1">
        <v>2</v>
      </c>
      <c r="CU584" s="1">
        <v>2</v>
      </c>
      <c r="CV584" s="1">
        <f t="shared" si="541"/>
        <v>0</v>
      </c>
      <c r="CW584" s="1">
        <v>2</v>
      </c>
      <c r="CX584" s="1">
        <v>1</v>
      </c>
      <c r="CY584" s="1">
        <v>1</v>
      </c>
      <c r="CZ584" s="1">
        <f t="shared" si="542"/>
        <v>0</v>
      </c>
      <c r="DA584" s="1">
        <v>1</v>
      </c>
      <c r="DB584" s="1">
        <v>1</v>
      </c>
      <c r="DC584" s="1">
        <v>1</v>
      </c>
      <c r="DD584" s="1">
        <v>1</v>
      </c>
      <c r="DE584" s="1">
        <v>1</v>
      </c>
      <c r="DF584" s="1">
        <v>1</v>
      </c>
      <c r="DG584" s="1">
        <v>1</v>
      </c>
      <c r="DH584" s="1">
        <v>1</v>
      </c>
      <c r="DI584" s="1">
        <f t="shared" si="543"/>
        <v>0</v>
      </c>
      <c r="DJ584" s="1">
        <v>1</v>
      </c>
      <c r="DK584" s="1" t="s">
        <v>297</v>
      </c>
      <c r="DL584" s="1" t="s">
        <v>170</v>
      </c>
      <c r="DN584" s="1" t="b">
        <f>AND(AlignmentLawful,AlignmentGood)</f>
        <v>1</v>
      </c>
      <c r="DO584" s="1" t="b">
        <f>BaseAtk&gt;=8</f>
        <v>0</v>
      </c>
      <c r="DP584" s="1" t="b">
        <f>WillSave&gt;=7</f>
        <v>0</v>
      </c>
      <c r="DQ584" s="1" t="b">
        <f>SkDiplomacyRanks&gt;=8</f>
        <v>0</v>
      </c>
      <c r="DR584" s="1" t="b">
        <f>SkKnowledgeNobilityRanks&gt;=8</f>
        <v>0</v>
      </c>
      <c r="DS584" s="1" t="b">
        <f>SkRideRanks&gt;=8</f>
        <v>0</v>
      </c>
      <c r="DT584" s="1" t="b">
        <f>FtEndurance</f>
        <v>0</v>
      </c>
      <c r="DU584" s="1" t="b">
        <f>FtHonorBound</f>
        <v>0</v>
      </c>
      <c r="DV584" s="1" t="b">
        <f>FtLeadership</f>
        <v>0</v>
      </c>
      <c r="DW584" s="1" t="b">
        <f>FtMountedCombat</f>
        <v>0</v>
      </c>
      <c r="DX584" s="1" t="b">
        <f ca="1">MaxDivineSpellLevel&gt;=2</f>
        <v>0</v>
      </c>
      <c r="DY584" s="1" t="b">
        <f>KnoCLvl&gt;=1</f>
        <v>0</v>
      </c>
      <c r="DZ584" s="1" t="b">
        <f>KnoSwLvl&gt;=3</f>
        <v>0</v>
      </c>
      <c r="EA584" s="1" t="b">
        <f ca="1">AND(DL584:DZ584)</f>
        <v>0</v>
      </c>
      <c r="EB584" s="11" t="s">
        <v>334</v>
      </c>
      <c r="EC584" s="1" t="str">
        <f ca="1">IF(DN584,"","• Lawful Good
")&amp;IF(DO584,"","• Base attack bonus +8.
")&amp;IF(DP584,"","• Base Will save +7.
")&amp;IF(DQ584,"","• 8 ranks in Diplomacy.
")&amp;IF(DR584,"","• 8 ranks in Knowledge (nobility).
")&amp;IF(DS584,"","• 8 ranks in Ride.
")&amp;IF(DT584,"","• Endurance feat.
")&amp;IF(DU584,"","• Honor-Bound feat.
")&amp;IF(DV584,"","• Leadership feat.
")&amp;IF(DW584,"","• Mounted Combat feat.
")&amp;IF(DX584,"","• Ability to cast 2nd level divine spells
")&amp;IF(DY584,"","• Must have 1 level of Knight of the Crown and have the knightly 
  courage class ability.
")&amp;IF(DZ584,"","• Must have 3 levels of Knight of the Sword and the Arua of Courage 
  Knight of the Sword class ability.")</f>
        <v>• Base attack bonus +8.
• Base Will save +7.
• 8 ranks in Diplomacy.
• 8 ranks in Knowledge (nobility).
• 8 ranks in Ride.
• Endurance feat.
• Honor-Bound feat.
• Leadership feat.
• Mounted Combat feat.
• Ability to cast 2nd level divine spells
• Must have 1 level of Knight of the Crown and have the knightly 
  courage class ability.
• Must have 3 levels of Knight of the Sword and the Arua of Courage 
  Knight of the Sword class ability.</v>
      </c>
      <c r="ED584" s="11" t="s">
        <v>335</v>
      </c>
    </row>
    <row r="585" spans="1:134" ht="11.25" customHeight="1" x14ac:dyDescent="0.2">
      <c r="A585" s="1">
        <f t="shared" si="535"/>
        <v>582</v>
      </c>
      <c r="B585" s="1" t="s">
        <v>1403</v>
      </c>
      <c r="C585" s="1" t="s">
        <v>1404</v>
      </c>
      <c r="D585" s="1" t="s">
        <v>1404</v>
      </c>
      <c r="E585" s="1">
        <f t="shared" si="517"/>
        <v>0</v>
      </c>
      <c r="K585" s="1">
        <v>2</v>
      </c>
      <c r="L585" s="1">
        <v>10</v>
      </c>
      <c r="N585" s="1" t="b">
        <v>1</v>
      </c>
      <c r="O585" s="1" t="b">
        <v>1</v>
      </c>
      <c r="P585" s="1" t="b">
        <v>1</v>
      </c>
      <c r="Q585" s="1" t="b">
        <v>1</v>
      </c>
      <c r="S585" s="1" t="b">
        <v>1</v>
      </c>
      <c r="T585" s="1" t="b">
        <v>1</v>
      </c>
      <c r="V585" s="1">
        <v>1</v>
      </c>
      <c r="W585" s="1">
        <v>0.5</v>
      </c>
      <c r="X585" s="1">
        <v>0.34</v>
      </c>
      <c r="Y585" s="1">
        <v>0.34</v>
      </c>
      <c r="Z585" s="1" t="b">
        <f>FALSE</f>
        <v>0</v>
      </c>
      <c r="AA585" s="1" t="str">
        <f t="shared" si="520"/>
        <v/>
      </c>
      <c r="AB585" s="1" t="str">
        <f t="shared" si="521"/>
        <v/>
      </c>
      <c r="AC585" s="1">
        <f t="shared" si="518"/>
        <v>0</v>
      </c>
      <c r="AD585" s="1" t="str">
        <f t="shared" si="522"/>
        <v/>
      </c>
      <c r="AE585" s="1" t="str">
        <f t="shared" si="523"/>
        <v/>
      </c>
      <c r="AF585" s="1">
        <f t="shared" si="519"/>
        <v>0</v>
      </c>
      <c r="AG585" s="1">
        <f t="shared" si="509"/>
        <v>5</v>
      </c>
      <c r="AH585" s="1" t="str">
        <f t="shared" si="502"/>
        <v/>
      </c>
      <c r="AI585" s="1">
        <v>1</v>
      </c>
      <c r="AJ585" s="1">
        <f t="shared" si="536"/>
        <v>0</v>
      </c>
      <c r="AK585" s="1">
        <v>1</v>
      </c>
      <c r="AL585" s="1">
        <v>1</v>
      </c>
      <c r="AM585" s="1">
        <v>2</v>
      </c>
      <c r="AN585" s="1">
        <f t="shared" si="537"/>
        <v>0</v>
      </c>
      <c r="AO585" s="1">
        <v>2</v>
      </c>
      <c r="AP585" s="1">
        <v>2</v>
      </c>
      <c r="AQ585" s="1">
        <v>2</v>
      </c>
      <c r="AR585" s="1">
        <v>2</v>
      </c>
      <c r="AS585" s="1">
        <v>2</v>
      </c>
      <c r="AT585" s="1">
        <v>2</v>
      </c>
      <c r="AU585" s="1">
        <v>2</v>
      </c>
      <c r="AV585" s="1">
        <v>2</v>
      </c>
      <c r="AW585" s="1">
        <v>1</v>
      </c>
      <c r="AX585" s="1">
        <v>2</v>
      </c>
      <c r="AY585" s="1">
        <v>1</v>
      </c>
      <c r="AZ585" s="1">
        <v>1</v>
      </c>
      <c r="BA585" s="1">
        <v>1</v>
      </c>
      <c r="BB585" s="1">
        <v>1</v>
      </c>
      <c r="BC585" s="1">
        <v>1</v>
      </c>
      <c r="BD585" s="1">
        <v>1</v>
      </c>
      <c r="BE585" s="1">
        <v>1</v>
      </c>
      <c r="BF585" s="1">
        <v>1</v>
      </c>
      <c r="BG585" s="1">
        <f t="shared" si="538"/>
        <v>0</v>
      </c>
      <c r="BH585" s="1">
        <f t="shared" si="539"/>
        <v>0</v>
      </c>
      <c r="BI585" s="1">
        <v>2</v>
      </c>
      <c r="BJ585" s="1">
        <v>2</v>
      </c>
      <c r="BK585" s="1">
        <v>1</v>
      </c>
      <c r="BL585" s="1">
        <v>1</v>
      </c>
      <c r="BM585" s="1">
        <v>1</v>
      </c>
      <c r="BN585" s="1">
        <v>1</v>
      </c>
      <c r="BO585" s="1">
        <v>1</v>
      </c>
      <c r="BP585" s="1">
        <v>1</v>
      </c>
      <c r="BQ585" s="1">
        <f>IF(HRRVL,1,0)</f>
        <v>0</v>
      </c>
      <c r="BR585" s="1">
        <v>1</v>
      </c>
      <c r="BS585" s="1">
        <v>1</v>
      </c>
      <c r="BT585" s="1">
        <f>IF(HRXPH,1,0)</f>
        <v>0</v>
      </c>
      <c r="BU585" s="1">
        <f>IF(HRRVL,1,0)</f>
        <v>0</v>
      </c>
      <c r="BV585" s="1">
        <v>2</v>
      </c>
      <c r="BW585" s="1">
        <v>1</v>
      </c>
      <c r="BX585" s="1">
        <v>1</v>
      </c>
      <c r="BY585" s="1">
        <v>1</v>
      </c>
      <c r="BZ585" s="1">
        <v>1</v>
      </c>
      <c r="CA585" s="1">
        <v>1</v>
      </c>
      <c r="CB585" s="1">
        <v>1</v>
      </c>
      <c r="CC585" s="1">
        <v>1</v>
      </c>
      <c r="CD585" s="1">
        <v>1</v>
      </c>
      <c r="CE585" s="1">
        <v>1</v>
      </c>
      <c r="CF585" s="1">
        <v>1</v>
      </c>
      <c r="CG585" s="1">
        <f t="shared" si="540"/>
        <v>0</v>
      </c>
      <c r="CH585" s="1">
        <v>1</v>
      </c>
      <c r="CI585" s="1">
        <v>1</v>
      </c>
      <c r="CJ585" s="1">
        <v>1</v>
      </c>
      <c r="CK585" s="1">
        <v>1</v>
      </c>
      <c r="CL585" s="1">
        <v>1</v>
      </c>
      <c r="CM585" s="1">
        <v>1</v>
      </c>
      <c r="CN585" s="1">
        <v>1</v>
      </c>
      <c r="CO585" s="1">
        <v>1</v>
      </c>
      <c r="CP585" s="1">
        <v>2</v>
      </c>
      <c r="CQ585" s="1">
        <v>2</v>
      </c>
      <c r="CR585" s="1">
        <v>2</v>
      </c>
      <c r="CS585" s="1">
        <v>2</v>
      </c>
      <c r="CT585" s="1">
        <v>2</v>
      </c>
      <c r="CU585" s="1">
        <v>2</v>
      </c>
      <c r="CV585" s="1">
        <f t="shared" si="541"/>
        <v>0</v>
      </c>
      <c r="CW585" s="1">
        <v>2</v>
      </c>
      <c r="CX585" s="1">
        <v>1</v>
      </c>
      <c r="CY585" s="1">
        <v>1</v>
      </c>
      <c r="CZ585" s="1">
        <f t="shared" si="542"/>
        <v>0</v>
      </c>
      <c r="DA585" s="1">
        <v>1</v>
      </c>
      <c r="DB585" s="1">
        <v>1</v>
      </c>
      <c r="DC585" s="1">
        <v>1</v>
      </c>
      <c r="DD585" s="1">
        <v>1</v>
      </c>
      <c r="DE585" s="1">
        <v>1</v>
      </c>
      <c r="DF585" s="1">
        <v>1</v>
      </c>
      <c r="DG585" s="1">
        <v>1</v>
      </c>
      <c r="DH585" s="1">
        <v>1</v>
      </c>
      <c r="DI585" s="1">
        <f t="shared" si="543"/>
        <v>0</v>
      </c>
      <c r="DJ585" s="1">
        <v>1</v>
      </c>
      <c r="DK585" s="1" t="s">
        <v>297</v>
      </c>
      <c r="DL585" s="1" t="s">
        <v>170</v>
      </c>
      <c r="DV585" s="1" t="b">
        <f>AND(AlignmentLawful,AlignmentEvil)</f>
        <v>0</v>
      </c>
      <c r="DW585" s="1" t="b">
        <f>BaseAtk&gt;=5</f>
        <v>0</v>
      </c>
      <c r="DX585" s="1" t="b">
        <f>SkKnowledgeReligionRanks&gt;=2</f>
        <v>0</v>
      </c>
      <c r="DY585" s="1" t="b">
        <f>SkIntimidateRanks&gt;=2</f>
        <v>0</v>
      </c>
      <c r="DZ585" s="1" t="b">
        <f>FtHonorBound</f>
        <v>0</v>
      </c>
      <c r="EA585" s="1" t="b">
        <f t="shared" ref="EA585:EA593" si="544">AND(DL585:DZ585)</f>
        <v>0</v>
      </c>
      <c r="EB585" s="11" t="s">
        <v>334</v>
      </c>
      <c r="EC585" s="1" t="str">
        <f>IF(DV585,"","• Lawful Evil.
")&amp;IF(DW585,"","• Base attack bonus +5.
")&amp;IF(DX585,"","• 2 ranks Knowledge (religion).
")&amp;IF(DY585,"","• 4 ranks Intimidate.
")&amp;IF(DZ585,"","• Honor-Bound feat.
")</f>
        <v xml:space="preserve">• Lawful Evil.
• Base attack bonus +5.
• 2 ranks Knowledge (religion).
• 4 ranks Intimidate.
• Honor-Bound feat.
</v>
      </c>
      <c r="ED585" s="11" t="s">
        <v>335</v>
      </c>
    </row>
    <row r="586" spans="1:134" ht="11.25" customHeight="1" x14ac:dyDescent="0.2">
      <c r="A586" s="1">
        <f t="shared" si="535"/>
        <v>583</v>
      </c>
      <c r="B586" s="1" t="s">
        <v>1405</v>
      </c>
      <c r="C586" s="1" t="s">
        <v>1406</v>
      </c>
      <c r="D586" s="1" t="s">
        <v>1406</v>
      </c>
      <c r="E586" s="1">
        <f t="shared" si="517"/>
        <v>0</v>
      </c>
      <c r="G586" s="1">
        <f>MAX(0,KnoSkLvl-1)</f>
        <v>0</v>
      </c>
      <c r="K586" s="1">
        <v>2</v>
      </c>
      <c r="L586" s="1">
        <v>8</v>
      </c>
      <c r="M586" s="1">
        <f>IF(KnoSkLvl&gt;=3,KnoSkLvl-2,0)</f>
        <v>0</v>
      </c>
      <c r="V586" s="1">
        <v>0.75</v>
      </c>
      <c r="W586" s="1">
        <v>0.5</v>
      </c>
      <c r="X586" s="1">
        <v>0.34</v>
      </c>
      <c r="Y586" s="1">
        <v>0.5</v>
      </c>
      <c r="Z586" s="1" t="b">
        <f>FALSE</f>
        <v>0</v>
      </c>
      <c r="AA586" s="1" t="str">
        <f t="shared" si="520"/>
        <v/>
      </c>
      <c r="AB586" s="1" t="str">
        <f t="shared" si="521"/>
        <v/>
      </c>
      <c r="AC586" s="1">
        <f t="shared" si="518"/>
        <v>0</v>
      </c>
      <c r="AD586" s="1" t="str">
        <f t="shared" si="522"/>
        <v/>
      </c>
      <c r="AE586" s="1" t="str">
        <f t="shared" si="523"/>
        <v/>
      </c>
      <c r="AF586" s="1">
        <f t="shared" si="519"/>
        <v>0</v>
      </c>
      <c r="AG586" s="1">
        <f t="shared" si="509"/>
        <v>5</v>
      </c>
      <c r="AH586" s="1" t="str">
        <f t="shared" si="502"/>
        <v/>
      </c>
      <c r="AI586" s="1">
        <v>1</v>
      </c>
      <c r="AJ586" s="1">
        <f t="shared" si="536"/>
        <v>0</v>
      </c>
      <c r="AK586" s="1">
        <v>1</v>
      </c>
      <c r="AL586" s="1">
        <v>1</v>
      </c>
      <c r="AM586" s="1">
        <v>1</v>
      </c>
      <c r="AN586" s="1">
        <f t="shared" si="537"/>
        <v>0</v>
      </c>
      <c r="AO586" s="1">
        <v>2</v>
      </c>
      <c r="AP586" s="1">
        <v>2</v>
      </c>
      <c r="AQ586" s="1">
        <v>2</v>
      </c>
      <c r="AR586" s="1">
        <v>2</v>
      </c>
      <c r="AS586" s="1">
        <v>2</v>
      </c>
      <c r="AT586" s="1">
        <v>2</v>
      </c>
      <c r="AU586" s="1">
        <v>2</v>
      </c>
      <c r="AV586" s="1">
        <v>2</v>
      </c>
      <c r="AW586" s="1">
        <v>1</v>
      </c>
      <c r="AX586" s="1">
        <v>2</v>
      </c>
      <c r="AY586" s="1">
        <v>1</v>
      </c>
      <c r="AZ586" s="1">
        <v>1</v>
      </c>
      <c r="BA586" s="1">
        <v>1</v>
      </c>
      <c r="BB586" s="1">
        <v>1</v>
      </c>
      <c r="BC586" s="1">
        <v>1</v>
      </c>
      <c r="BD586" s="1">
        <v>1</v>
      </c>
      <c r="BE586" s="1">
        <v>1</v>
      </c>
      <c r="BF586" s="1">
        <v>1</v>
      </c>
      <c r="BG586" s="1">
        <f t="shared" si="538"/>
        <v>0</v>
      </c>
      <c r="BH586" s="1">
        <f t="shared" si="539"/>
        <v>0</v>
      </c>
      <c r="BI586" s="1">
        <v>2</v>
      </c>
      <c r="BJ586" s="1">
        <v>1</v>
      </c>
      <c r="BK586" s="1">
        <v>1</v>
      </c>
      <c r="BL586" s="1">
        <v>1</v>
      </c>
      <c r="BM586" s="1">
        <v>1</v>
      </c>
      <c r="BN586" s="1">
        <v>1</v>
      </c>
      <c r="BO586" s="1">
        <v>1</v>
      </c>
      <c r="BP586" s="1">
        <v>1</v>
      </c>
      <c r="BQ586" s="1">
        <f>IF(HRRVL,1,0)</f>
        <v>0</v>
      </c>
      <c r="BR586" s="1">
        <v>1</v>
      </c>
      <c r="BS586" s="1">
        <v>1</v>
      </c>
      <c r="BT586" s="1">
        <f>IF(HRXPH,1,0)</f>
        <v>0</v>
      </c>
      <c r="BU586" s="1">
        <f>IF(HRRVL,1,0)</f>
        <v>0</v>
      </c>
      <c r="BV586" s="1">
        <v>2</v>
      </c>
      <c r="BW586" s="1">
        <v>1</v>
      </c>
      <c r="BX586" s="1">
        <v>1</v>
      </c>
      <c r="BY586" s="1">
        <v>1</v>
      </c>
      <c r="BZ586" s="1">
        <v>1</v>
      </c>
      <c r="CA586" s="1">
        <v>1</v>
      </c>
      <c r="CB586" s="1">
        <v>1</v>
      </c>
      <c r="CC586" s="1">
        <v>1</v>
      </c>
      <c r="CD586" s="1">
        <v>1</v>
      </c>
      <c r="CE586" s="1">
        <v>1</v>
      </c>
      <c r="CF586" s="1">
        <v>1</v>
      </c>
      <c r="CG586" s="1">
        <f t="shared" si="540"/>
        <v>0</v>
      </c>
      <c r="CH586" s="1">
        <v>1</v>
      </c>
      <c r="CI586" s="1">
        <v>1</v>
      </c>
      <c r="CJ586" s="1">
        <v>1</v>
      </c>
      <c r="CK586" s="1">
        <v>1</v>
      </c>
      <c r="CL586" s="1">
        <v>1</v>
      </c>
      <c r="CM586" s="1">
        <v>1</v>
      </c>
      <c r="CN586" s="1">
        <v>1</v>
      </c>
      <c r="CO586" s="1">
        <v>1</v>
      </c>
      <c r="CP586" s="1">
        <v>2</v>
      </c>
      <c r="CQ586" s="1">
        <v>2</v>
      </c>
      <c r="CR586" s="1">
        <v>2</v>
      </c>
      <c r="CS586" s="1">
        <v>2</v>
      </c>
      <c r="CT586" s="1">
        <v>2</v>
      </c>
      <c r="CU586" s="1">
        <v>2</v>
      </c>
      <c r="CV586" s="1">
        <f t="shared" si="541"/>
        <v>0</v>
      </c>
      <c r="CW586" s="1">
        <v>2</v>
      </c>
      <c r="CX586" s="1">
        <v>1</v>
      </c>
      <c r="CY586" s="1">
        <v>1</v>
      </c>
      <c r="CZ586" s="1">
        <f t="shared" si="542"/>
        <v>0</v>
      </c>
      <c r="DA586" s="1">
        <v>1</v>
      </c>
      <c r="DB586" s="1">
        <v>1</v>
      </c>
      <c r="DC586" s="1">
        <v>1</v>
      </c>
      <c r="DD586" s="1">
        <v>1</v>
      </c>
      <c r="DE586" s="1">
        <v>1</v>
      </c>
      <c r="DF586" s="1">
        <v>1</v>
      </c>
      <c r="DG586" s="1">
        <v>1</v>
      </c>
      <c r="DH586" s="1">
        <v>1</v>
      </c>
      <c r="DI586" s="1">
        <f t="shared" si="543"/>
        <v>0</v>
      </c>
      <c r="DJ586" s="1">
        <v>1</v>
      </c>
      <c r="DK586" s="1" t="s">
        <v>297</v>
      </c>
      <c r="DL586" s="1" t="s">
        <v>170</v>
      </c>
      <c r="DV586" s="1" t="b">
        <f>AND(AlignmentLawful,AlignmentEvil)</f>
        <v>0</v>
      </c>
      <c r="DW586" s="1" t="b">
        <f>BaseAtk&gt;=3</f>
        <v>0</v>
      </c>
      <c r="DX586" s="1" t="b">
        <f>SkKnowledgeReligionRanks&gt;=4</f>
        <v>0</v>
      </c>
      <c r="DY586" s="1" t="b">
        <f>FtAlertness</f>
        <v>0</v>
      </c>
      <c r="DZ586" s="1" t="b">
        <f ca="1">MaxDivineSpellLevel&gt;=3</f>
        <v>0</v>
      </c>
      <c r="EA586" s="1" t="b">
        <f ca="1">AND(DL586:DZ586)</f>
        <v>0</v>
      </c>
      <c r="EB586" s="11" t="s">
        <v>334</v>
      </c>
      <c r="EC586" s="1" t="str">
        <f ca="1">IF(DV586,"","• Lawful Evil.
")&amp;IF(DW586,"","• Base attack bonus +3.
")&amp;IF(DX586,"","• 4 ranks Knowledge (religion).
")&amp;IF(DY586,"","• Alertness feat.
")&amp;IF(DZ586,"","• Ability to cast 3rd level divine spells.
")</f>
        <v xml:space="preserve">• Lawful Evil.
• Base attack bonus +3.
• 4 ranks Knowledge (religion).
• Alertness feat.
• Ability to cast 3rd level divine spells.
</v>
      </c>
      <c r="ED586" s="11" t="s">
        <v>335</v>
      </c>
    </row>
    <row r="587" spans="1:134" ht="11.25" customHeight="1" x14ac:dyDescent="0.2">
      <c r="A587" s="1">
        <f t="shared" si="535"/>
        <v>584</v>
      </c>
      <c r="B587" s="1" t="s">
        <v>1407</v>
      </c>
      <c r="C587" s="1" t="s">
        <v>1408</v>
      </c>
      <c r="D587" s="1" t="s">
        <v>1408</v>
      </c>
      <c r="E587" s="1">
        <f t="shared" si="517"/>
        <v>0</v>
      </c>
      <c r="G587" s="1">
        <f>KnoTLvl</f>
        <v>0</v>
      </c>
      <c r="K587" s="1">
        <v>2</v>
      </c>
      <c r="L587" s="1">
        <v>6</v>
      </c>
      <c r="V587" s="1">
        <v>0.5</v>
      </c>
      <c r="W587" s="1">
        <v>0.34</v>
      </c>
      <c r="X587" s="1">
        <v>0.34</v>
      </c>
      <c r="Y587" s="1">
        <v>0.5</v>
      </c>
      <c r="Z587" s="1" t="b">
        <f>FALSE</f>
        <v>0</v>
      </c>
      <c r="AA587" s="1" t="str">
        <f t="shared" si="520"/>
        <v/>
      </c>
      <c r="AB587" s="1" t="str">
        <f t="shared" si="521"/>
        <v/>
      </c>
      <c r="AC587" s="1">
        <f t="shared" si="518"/>
        <v>0</v>
      </c>
      <c r="AD587" s="1" t="str">
        <f t="shared" si="522"/>
        <v/>
      </c>
      <c r="AE587" s="1" t="str">
        <f t="shared" si="523"/>
        <v/>
      </c>
      <c r="AF587" s="1">
        <f t="shared" si="519"/>
        <v>0</v>
      </c>
      <c r="AG587" s="1">
        <f t="shared" si="509"/>
        <v>5</v>
      </c>
      <c r="AH587" s="1" t="str">
        <f t="shared" si="502"/>
        <v/>
      </c>
      <c r="AI587" s="1">
        <v>1</v>
      </c>
      <c r="AJ587" s="1">
        <f t="shared" si="536"/>
        <v>0</v>
      </c>
      <c r="AK587" s="1">
        <v>1</v>
      </c>
      <c r="AL587" s="1">
        <v>1</v>
      </c>
      <c r="AM587" s="1">
        <v>1</v>
      </c>
      <c r="AN587" s="1">
        <f t="shared" si="537"/>
        <v>0</v>
      </c>
      <c r="AO587" s="1">
        <v>2</v>
      </c>
      <c r="AP587" s="1">
        <v>2</v>
      </c>
      <c r="AQ587" s="1">
        <v>2</v>
      </c>
      <c r="AR587" s="1">
        <v>2</v>
      </c>
      <c r="AS587" s="1">
        <v>2</v>
      </c>
      <c r="AT587" s="1">
        <v>2</v>
      </c>
      <c r="AU587" s="1">
        <v>2</v>
      </c>
      <c r="AV587" s="1">
        <v>2</v>
      </c>
      <c r="AW587" s="1">
        <v>1</v>
      </c>
      <c r="AX587" s="1">
        <v>2</v>
      </c>
      <c r="AY587" s="1">
        <v>1</v>
      </c>
      <c r="AZ587" s="1">
        <v>1</v>
      </c>
      <c r="BA587" s="1">
        <v>1</v>
      </c>
      <c r="BB587" s="1">
        <v>1</v>
      </c>
      <c r="BC587" s="1">
        <v>1</v>
      </c>
      <c r="BD587" s="1">
        <v>1</v>
      </c>
      <c r="BE587" s="1">
        <v>1</v>
      </c>
      <c r="BF587" s="1">
        <v>1</v>
      </c>
      <c r="BG587" s="1">
        <f t="shared" si="538"/>
        <v>0</v>
      </c>
      <c r="BH587" s="1">
        <f t="shared" si="539"/>
        <v>0</v>
      </c>
      <c r="BI587" s="1">
        <v>2</v>
      </c>
      <c r="BJ587" s="1">
        <v>1</v>
      </c>
      <c r="BK587" s="1">
        <v>2</v>
      </c>
      <c r="BL587" s="1">
        <v>2</v>
      </c>
      <c r="BM587" s="1">
        <v>2</v>
      </c>
      <c r="BN587" s="1">
        <v>2</v>
      </c>
      <c r="BO587" s="1">
        <v>2</v>
      </c>
      <c r="BP587" s="1">
        <v>2</v>
      </c>
      <c r="BQ587" s="1">
        <f>IF(HRRVL,2,0)</f>
        <v>0</v>
      </c>
      <c r="BR587" s="1">
        <v>2</v>
      </c>
      <c r="BS587" s="1">
        <v>2</v>
      </c>
      <c r="BT587" s="1">
        <f>IF(HRXPH,2,0)</f>
        <v>0</v>
      </c>
      <c r="BU587" s="1">
        <f>IF(HRRVL,2,0)</f>
        <v>0</v>
      </c>
      <c r="BV587" s="1">
        <v>2</v>
      </c>
      <c r="BW587" s="1">
        <v>2</v>
      </c>
      <c r="BX587" s="1">
        <v>2</v>
      </c>
      <c r="BY587" s="1">
        <v>2</v>
      </c>
      <c r="BZ587" s="1">
        <v>2</v>
      </c>
      <c r="CA587" s="1">
        <v>2</v>
      </c>
      <c r="CB587" s="1">
        <v>2</v>
      </c>
      <c r="CC587" s="1">
        <v>2</v>
      </c>
      <c r="CD587" s="1">
        <v>2</v>
      </c>
      <c r="CE587" s="1">
        <v>2</v>
      </c>
      <c r="CF587" s="1">
        <v>1</v>
      </c>
      <c r="CG587" s="1">
        <f t="shared" si="540"/>
        <v>0</v>
      </c>
      <c r="CH587" s="1">
        <v>1</v>
      </c>
      <c r="CI587" s="1">
        <v>1</v>
      </c>
      <c r="CJ587" s="1">
        <v>1</v>
      </c>
      <c r="CK587" s="1">
        <v>1</v>
      </c>
      <c r="CL587" s="1">
        <v>1</v>
      </c>
      <c r="CM587" s="1">
        <v>1</v>
      </c>
      <c r="CN587" s="1">
        <v>1</v>
      </c>
      <c r="CO587" s="1">
        <v>1</v>
      </c>
      <c r="CP587" s="1">
        <v>2</v>
      </c>
      <c r="CQ587" s="1">
        <v>2</v>
      </c>
      <c r="CR587" s="1">
        <v>2</v>
      </c>
      <c r="CS587" s="1">
        <v>2</v>
      </c>
      <c r="CT587" s="1">
        <v>2</v>
      </c>
      <c r="CU587" s="1">
        <v>2</v>
      </c>
      <c r="CV587" s="1">
        <f t="shared" si="541"/>
        <v>0</v>
      </c>
      <c r="CW587" s="1">
        <v>2</v>
      </c>
      <c r="CX587" s="1">
        <v>1</v>
      </c>
      <c r="CY587" s="1">
        <v>1</v>
      </c>
      <c r="CZ587" s="1">
        <f t="shared" si="542"/>
        <v>0</v>
      </c>
      <c r="DA587" s="1">
        <v>1</v>
      </c>
      <c r="DB587" s="1">
        <v>1</v>
      </c>
      <c r="DC587" s="1">
        <v>2</v>
      </c>
      <c r="DD587" s="1">
        <v>1</v>
      </c>
      <c r="DE587" s="1">
        <v>1</v>
      </c>
      <c r="DF587" s="1">
        <v>1</v>
      </c>
      <c r="DG587" s="1">
        <v>1</v>
      </c>
      <c r="DH587" s="1">
        <v>1</v>
      </c>
      <c r="DI587" s="1">
        <f t="shared" si="543"/>
        <v>0</v>
      </c>
      <c r="DJ587" s="1">
        <v>1</v>
      </c>
      <c r="DK587" s="1" t="s">
        <v>297</v>
      </c>
      <c r="DL587" s="1" t="s">
        <v>170</v>
      </c>
      <c r="DP587" s="1" t="b">
        <f>AND(AlignmentLawful,AlignmentEvil)</f>
        <v>0</v>
      </c>
      <c r="DQ587" s="1" t="b">
        <f>BaseAtk&gt;=3</f>
        <v>0</v>
      </c>
      <c r="DR587" s="1" t="b">
        <f>FortSave&gt;=4</f>
        <v>0</v>
      </c>
      <c r="DS587" s="1" t="b">
        <f>WillSave&gt;=3</f>
        <v>0</v>
      </c>
      <c r="DT587" s="1" t="b">
        <f>SkKnowledgeArcanaRanks&gt;=4</f>
        <v>0</v>
      </c>
      <c r="DU587" s="1" t="b">
        <f>SkKnowledgeReligionRanks&gt;=4</f>
        <v>0</v>
      </c>
      <c r="DV587" s="1" t="b">
        <f>SkSpellcraftRanks&gt;=8</f>
        <v>0</v>
      </c>
      <c r="DW587" s="1" t="b">
        <f>MetamagicSelected&gt;=1</f>
        <v>0</v>
      </c>
      <c r="DX587" s="1" t="b">
        <f>FtArmorHeavy</f>
        <v>0</v>
      </c>
      <c r="DY587" s="1" t="b">
        <f>FtMartialWeapon</f>
        <v>0</v>
      </c>
      <c r="DZ587" s="1" t="b">
        <f ca="1">MaxArcaneSpellLevel&gt;=2</f>
        <v>0</v>
      </c>
      <c r="EA587" s="1" t="b">
        <f ca="1">AND(DL587:DZ587)</f>
        <v>0</v>
      </c>
      <c r="EB587" s="11" t="s">
        <v>334</v>
      </c>
      <c r="EC587" s="1" t="str">
        <f ca="1">IF(DP587,"","• Lawful Evil
")&amp;IF(DQ587,"","• Base attack bonus +3.
")&amp;IF(DR587,"","• Base Fort save +4.
")&amp;IF(DS587,"","• Base Will save +3.
")&amp;IF(DT587,"","• 4 ranks in Knowledge (arcana).
")&amp;IF(DU587,"","• 4 ranks in Knowledge (religion).
")&amp;IF(DV587,"","• 8 ranks in Spellcraft.
")&amp;IF(DW587,"","• Any one metamagic feat.
")&amp;IF(DX587,"","• Armor Proficiency (heavy).
")&amp;IF(DY587,"","• Proficient in all martial weapons.
")&amp;IF(DZ587,"","• Ability to cast 2nd level arcane spells.
")</f>
        <v xml:space="preserve">• Lawful Evil
• Base attack bonus +3.
• Base Fort save +4.
• Base Will save +3.
• 4 ranks in Knowledge (arcana).
• 4 ranks in Knowledge (religion).
• 8 ranks in Spellcraft.
• Any one metamagic feat.
• Armor Proficiency (heavy).
• Proficient in all martial weapons.
• Ability to cast 2nd level arcane spells.
</v>
      </c>
      <c r="ED587" s="11" t="s">
        <v>335</v>
      </c>
    </row>
    <row r="588" spans="1:134" ht="11.25" customHeight="1" x14ac:dyDescent="0.2">
      <c r="A588" s="1">
        <f t="shared" si="535"/>
        <v>585</v>
      </c>
      <c r="B588" s="1" t="s">
        <v>1409</v>
      </c>
      <c r="C588" s="1" t="s">
        <v>1410</v>
      </c>
      <c r="D588" s="1" t="s">
        <v>1410</v>
      </c>
      <c r="E588" s="1">
        <f t="shared" si="517"/>
        <v>0</v>
      </c>
      <c r="K588" s="1">
        <v>4</v>
      </c>
      <c r="L588" s="1">
        <v>8</v>
      </c>
      <c r="V588" s="1">
        <v>1</v>
      </c>
      <c r="W588" s="1">
        <v>0.5</v>
      </c>
      <c r="X588" s="1">
        <v>0.34</v>
      </c>
      <c r="Y588" s="1">
        <v>0.5</v>
      </c>
      <c r="Z588" s="1" t="b">
        <f>FALSE</f>
        <v>0</v>
      </c>
      <c r="AA588" s="1" t="str">
        <f t="shared" si="520"/>
        <v/>
      </c>
      <c r="AB588" s="1" t="str">
        <f t="shared" si="521"/>
        <v/>
      </c>
      <c r="AC588" s="1">
        <f t="shared" si="518"/>
        <v>0</v>
      </c>
      <c r="AD588" s="1" t="str">
        <f t="shared" si="522"/>
        <v/>
      </c>
      <c r="AE588" s="1" t="str">
        <f t="shared" si="523"/>
        <v/>
      </c>
      <c r="AF588" s="1">
        <f t="shared" si="519"/>
        <v>0</v>
      </c>
      <c r="AG588" s="1">
        <f t="shared" si="509"/>
        <v>5</v>
      </c>
      <c r="AH588" s="1" t="str">
        <f t="shared" si="502"/>
        <v/>
      </c>
      <c r="AI588" s="1">
        <v>1</v>
      </c>
      <c r="AJ588" s="1">
        <f t="shared" si="536"/>
        <v>0</v>
      </c>
      <c r="AK588" s="1">
        <v>1</v>
      </c>
      <c r="AL588" s="1">
        <v>2</v>
      </c>
      <c r="AM588" s="1">
        <v>2</v>
      </c>
      <c r="AN588" s="1">
        <f t="shared" si="537"/>
        <v>0</v>
      </c>
      <c r="AO588" s="1">
        <v>1</v>
      </c>
      <c r="AP588" s="1">
        <v>2</v>
      </c>
      <c r="AQ588" s="1">
        <v>2</v>
      </c>
      <c r="AR588" s="1">
        <v>2</v>
      </c>
      <c r="AS588" s="1">
        <v>2</v>
      </c>
      <c r="AT588" s="1">
        <v>2</v>
      </c>
      <c r="AU588" s="1">
        <v>2</v>
      </c>
      <c r="AV588" s="1">
        <v>2</v>
      </c>
      <c r="AW588" s="1">
        <v>1</v>
      </c>
      <c r="AX588" s="1">
        <v>2</v>
      </c>
      <c r="AY588" s="1">
        <v>1</v>
      </c>
      <c r="AZ588" s="1">
        <v>2</v>
      </c>
      <c r="BA588" s="1">
        <v>1</v>
      </c>
      <c r="BB588" s="1">
        <v>1</v>
      </c>
      <c r="BC588" s="1">
        <v>2</v>
      </c>
      <c r="BD588" s="1">
        <v>1</v>
      </c>
      <c r="BE588" s="1">
        <v>1</v>
      </c>
      <c r="BF588" s="1">
        <v>2</v>
      </c>
      <c r="BG588" s="1">
        <f t="shared" si="538"/>
        <v>0</v>
      </c>
      <c r="BH588" s="1">
        <f t="shared" si="539"/>
        <v>0</v>
      </c>
      <c r="BI588" s="1">
        <v>1</v>
      </c>
      <c r="BJ588" s="1">
        <v>2</v>
      </c>
      <c r="BK588" s="1">
        <v>2</v>
      </c>
      <c r="BL588" s="1">
        <v>2</v>
      </c>
      <c r="BM588" s="1">
        <v>2</v>
      </c>
      <c r="BN588" s="1">
        <v>2</v>
      </c>
      <c r="BO588" s="1">
        <v>2</v>
      </c>
      <c r="BP588" s="1">
        <v>2</v>
      </c>
      <c r="BQ588" s="1">
        <f>IF(HRRVL,2,0)</f>
        <v>0</v>
      </c>
      <c r="BR588" s="1">
        <v>2</v>
      </c>
      <c r="BS588" s="1">
        <v>2</v>
      </c>
      <c r="BT588" s="1">
        <f>IF(HRXPH,2,0)</f>
        <v>0</v>
      </c>
      <c r="BU588" s="1">
        <f>IF(HRRVL,2,0)</f>
        <v>0</v>
      </c>
      <c r="BV588" s="1">
        <v>2</v>
      </c>
      <c r="BW588" s="1">
        <v>2</v>
      </c>
      <c r="BX588" s="1">
        <v>2</v>
      </c>
      <c r="BY588" s="1">
        <v>2</v>
      </c>
      <c r="BZ588" s="1">
        <v>2</v>
      </c>
      <c r="CA588" s="1">
        <v>2</v>
      </c>
      <c r="CB588" s="1">
        <v>2</v>
      </c>
      <c r="CC588" s="1">
        <v>2</v>
      </c>
      <c r="CD588" s="1">
        <v>2</v>
      </c>
      <c r="CE588" s="1">
        <v>2</v>
      </c>
      <c r="CF588" s="1">
        <v>1</v>
      </c>
      <c r="CG588" s="1">
        <f t="shared" si="540"/>
        <v>0</v>
      </c>
      <c r="CH588" s="1">
        <v>1</v>
      </c>
      <c r="CI588" s="1">
        <v>1</v>
      </c>
      <c r="CJ588" s="1">
        <v>1</v>
      </c>
      <c r="CK588" s="1">
        <v>1</v>
      </c>
      <c r="CL588" s="1">
        <v>1</v>
      </c>
      <c r="CM588" s="1">
        <v>1</v>
      </c>
      <c r="CN588" s="1">
        <v>1</v>
      </c>
      <c r="CO588" s="1">
        <v>1</v>
      </c>
      <c r="CP588" s="1">
        <v>2</v>
      </c>
      <c r="CQ588" s="1">
        <v>2</v>
      </c>
      <c r="CR588" s="1">
        <v>2</v>
      </c>
      <c r="CS588" s="1">
        <v>2</v>
      </c>
      <c r="CT588" s="1">
        <v>2</v>
      </c>
      <c r="CU588" s="1">
        <v>2</v>
      </c>
      <c r="CV588" s="1">
        <f t="shared" si="541"/>
        <v>0</v>
      </c>
      <c r="CW588" s="1">
        <v>1</v>
      </c>
      <c r="CX588" s="1">
        <v>1</v>
      </c>
      <c r="CY588" s="1">
        <v>2</v>
      </c>
      <c r="CZ588" s="1">
        <f t="shared" si="542"/>
        <v>0</v>
      </c>
      <c r="DA588" s="1">
        <v>1</v>
      </c>
      <c r="DB588" s="1">
        <v>2</v>
      </c>
      <c r="DC588" s="1">
        <v>1</v>
      </c>
      <c r="DD588" s="1">
        <v>1</v>
      </c>
      <c r="DE588" s="1">
        <v>1</v>
      </c>
      <c r="DF588" s="1">
        <v>2</v>
      </c>
      <c r="DG588" s="1">
        <v>1</v>
      </c>
      <c r="DH588" s="1">
        <v>1</v>
      </c>
      <c r="DI588" s="1">
        <f t="shared" si="543"/>
        <v>0</v>
      </c>
      <c r="DJ588" s="1">
        <v>1</v>
      </c>
      <c r="DK588" s="1" t="s">
        <v>297</v>
      </c>
      <c r="DL588" s="1" t="s">
        <v>170</v>
      </c>
      <c r="DT588" s="1" t="b">
        <f>AlignmentNonEvil</f>
        <v>1</v>
      </c>
      <c r="DU588" s="1" t="b">
        <f>BaseAtk&gt;=4</f>
        <v>0</v>
      </c>
      <c r="DV588" s="1" t="b">
        <f>FortSave&gt;=2</f>
        <v>0</v>
      </c>
      <c r="DW588" s="1" t="b">
        <f>RefSave&gt;=2</f>
        <v>0</v>
      </c>
      <c r="DX588" s="1" t="b">
        <f>WillSave&gt;=2</f>
        <v>1</v>
      </c>
      <c r="DY588" s="1" t="b">
        <f>SkBluffRanks&gt;=3</f>
        <v>0</v>
      </c>
      <c r="DZ588" s="1" t="b">
        <f>SkDiplomacyRanks&gt;=4</f>
        <v>0</v>
      </c>
      <c r="EA588" s="1" t="b">
        <f>AND(DL588:DZ588)</f>
        <v>0</v>
      </c>
      <c r="EB588" s="11" t="s">
        <v>338</v>
      </c>
      <c r="EC588" s="1" t="str">
        <f>IF(DT588,"","• Any non-evil.
")&amp;IF(DU588,"","• Base attack bonus +4.
")&amp;IF(DV588,"","• Base Fort +2.
")&amp;IF(DW588,"","• Base Ref +2.
")&amp;IF(DX588,"","• Base Will +2.
")&amp;IF(DY588,"","• 3 ranks in Bluff.
")&amp;IF(DZ588,"","• 4 ranks in Diplomacy
")&amp;"• Any one skill with 9 ranks (not verified)."</f>
        <v>• Base attack bonus +4.
• Base Fort +2.
• Base Ref +2.
• 3 ranks in Bluff.
• 4 ranks in Diplomacy
• Any one skill with 9 ranks (not verified).</v>
      </c>
      <c r="ED588" s="11" t="s">
        <v>335</v>
      </c>
    </row>
    <row r="589" spans="1:134" ht="11.25" customHeight="1" x14ac:dyDescent="0.2">
      <c r="A589" s="1">
        <f t="shared" si="535"/>
        <v>586</v>
      </c>
      <c r="B589" s="1" t="s">
        <v>1411</v>
      </c>
      <c r="C589" s="1" t="s">
        <v>1412</v>
      </c>
      <c r="D589" s="1" t="s">
        <v>1412</v>
      </c>
      <c r="E589" s="1">
        <f t="shared" si="517"/>
        <v>0</v>
      </c>
      <c r="G589" s="1">
        <f>WoHSLvl</f>
        <v>0</v>
      </c>
      <c r="K589" s="1">
        <v>2</v>
      </c>
      <c r="L589" s="1">
        <v>4</v>
      </c>
      <c r="V589" s="1">
        <v>0.5</v>
      </c>
      <c r="W589" s="1">
        <v>0.34</v>
      </c>
      <c r="X589" s="1">
        <v>0.34</v>
      </c>
      <c r="Y589" s="1">
        <v>0.5</v>
      </c>
      <c r="Z589" s="1" t="b">
        <f>FALSE</f>
        <v>0</v>
      </c>
      <c r="AA589" s="1" t="str">
        <f t="shared" si="520"/>
        <v/>
      </c>
      <c r="AB589" s="1" t="str">
        <f t="shared" si="521"/>
        <v/>
      </c>
      <c r="AC589" s="1">
        <f t="shared" si="518"/>
        <v>0</v>
      </c>
      <c r="AD589" s="1" t="str">
        <f t="shared" si="522"/>
        <v/>
      </c>
      <c r="AE589" s="1" t="str">
        <f t="shared" si="523"/>
        <v/>
      </c>
      <c r="AF589" s="1">
        <f t="shared" si="519"/>
        <v>0</v>
      </c>
      <c r="AG589" s="1">
        <f t="shared" si="509"/>
        <v>5</v>
      </c>
      <c r="AH589" s="1" t="str">
        <f t="shared" si="502"/>
        <v/>
      </c>
      <c r="AI589" s="1">
        <v>1</v>
      </c>
      <c r="AJ589" s="1">
        <f t="shared" si="536"/>
        <v>0</v>
      </c>
      <c r="AK589" s="1">
        <v>1</v>
      </c>
      <c r="AL589" s="1">
        <v>1</v>
      </c>
      <c r="AM589" s="1">
        <v>1</v>
      </c>
      <c r="AN589" s="1">
        <f t="shared" si="537"/>
        <v>0</v>
      </c>
      <c r="AO589" s="1">
        <v>2</v>
      </c>
      <c r="AP589" s="1">
        <v>2</v>
      </c>
      <c r="AQ589" s="1">
        <v>2</v>
      </c>
      <c r="AR589" s="1">
        <v>2</v>
      </c>
      <c r="AS589" s="1">
        <v>2</v>
      </c>
      <c r="AT589" s="1">
        <v>2</v>
      </c>
      <c r="AU589" s="1">
        <v>2</v>
      </c>
      <c r="AV589" s="1">
        <v>2</v>
      </c>
      <c r="AW589" s="1">
        <v>1</v>
      </c>
      <c r="AX589" s="1">
        <v>1</v>
      </c>
      <c r="AY589" s="1">
        <v>1</v>
      </c>
      <c r="AZ589" s="1">
        <v>1</v>
      </c>
      <c r="BA589" s="1">
        <v>1</v>
      </c>
      <c r="BB589" s="1">
        <v>1</v>
      </c>
      <c r="BC589" s="1">
        <v>1</v>
      </c>
      <c r="BD589" s="1">
        <v>1</v>
      </c>
      <c r="BE589" s="1">
        <v>1</v>
      </c>
      <c r="BF589" s="1">
        <v>1</v>
      </c>
      <c r="BG589" s="1">
        <f t="shared" si="538"/>
        <v>0</v>
      </c>
      <c r="BH589" s="1">
        <f t="shared" si="539"/>
        <v>0</v>
      </c>
      <c r="BI589" s="1">
        <v>2</v>
      </c>
      <c r="BJ589" s="1">
        <v>1</v>
      </c>
      <c r="BK589" s="1">
        <v>2</v>
      </c>
      <c r="BL589" s="1">
        <v>2</v>
      </c>
      <c r="BM589" s="1">
        <v>2</v>
      </c>
      <c r="BN589" s="1">
        <v>2</v>
      </c>
      <c r="BO589" s="1">
        <v>2</v>
      </c>
      <c r="BP589" s="1">
        <v>2</v>
      </c>
      <c r="BQ589" s="1">
        <f>IF(HRRVL,2,0)</f>
        <v>0</v>
      </c>
      <c r="BR589" s="1">
        <v>2</v>
      </c>
      <c r="BS589" s="1">
        <v>2</v>
      </c>
      <c r="BT589" s="1">
        <f>IF(HRXPH,2,0)</f>
        <v>0</v>
      </c>
      <c r="BU589" s="1">
        <f>IF(HRRVL,2,0)</f>
        <v>0</v>
      </c>
      <c r="BV589" s="1">
        <v>2</v>
      </c>
      <c r="BW589" s="1">
        <v>2</v>
      </c>
      <c r="BX589" s="1">
        <v>2</v>
      </c>
      <c r="BY589" s="1">
        <v>2</v>
      </c>
      <c r="BZ589" s="1">
        <v>2</v>
      </c>
      <c r="CA589" s="1">
        <v>2</v>
      </c>
      <c r="CB589" s="1">
        <v>2</v>
      </c>
      <c r="CC589" s="1">
        <v>2</v>
      </c>
      <c r="CD589" s="1">
        <v>2</v>
      </c>
      <c r="CE589" s="1">
        <v>2</v>
      </c>
      <c r="CF589" s="1">
        <v>1</v>
      </c>
      <c r="CG589" s="1">
        <f t="shared" si="540"/>
        <v>0</v>
      </c>
      <c r="CH589" s="1">
        <v>1</v>
      </c>
      <c r="CI589" s="1">
        <v>1</v>
      </c>
      <c r="CJ589" s="1">
        <v>1</v>
      </c>
      <c r="CK589" s="1">
        <v>1</v>
      </c>
      <c r="CL589" s="1">
        <v>1</v>
      </c>
      <c r="CM589" s="1">
        <v>1</v>
      </c>
      <c r="CN589" s="1">
        <v>1</v>
      </c>
      <c r="CO589" s="1">
        <v>1</v>
      </c>
      <c r="CP589" s="1">
        <v>2</v>
      </c>
      <c r="CQ589" s="1">
        <v>2</v>
      </c>
      <c r="CR589" s="1">
        <v>2</v>
      </c>
      <c r="CS589" s="1">
        <v>2</v>
      </c>
      <c r="CT589" s="1">
        <v>2</v>
      </c>
      <c r="CU589" s="1">
        <v>2</v>
      </c>
      <c r="CV589" s="1">
        <f t="shared" si="541"/>
        <v>0</v>
      </c>
      <c r="CW589" s="1">
        <v>1</v>
      </c>
      <c r="CX589" s="1">
        <v>1</v>
      </c>
      <c r="CY589" s="1">
        <v>1</v>
      </c>
      <c r="CZ589" s="1">
        <f t="shared" si="542"/>
        <v>0</v>
      </c>
      <c r="DA589" s="1">
        <v>1</v>
      </c>
      <c r="DB589" s="1">
        <v>2</v>
      </c>
      <c r="DC589" s="1">
        <v>2</v>
      </c>
      <c r="DD589" s="1">
        <v>1</v>
      </c>
      <c r="DE589" s="1">
        <v>1</v>
      </c>
      <c r="DF589" s="1">
        <v>1</v>
      </c>
      <c r="DG589" s="1">
        <v>1</v>
      </c>
      <c r="DH589" s="1">
        <v>1</v>
      </c>
      <c r="DI589" s="1">
        <f t="shared" si="543"/>
        <v>0</v>
      </c>
      <c r="DJ589" s="1">
        <v>1</v>
      </c>
      <c r="DK589" s="1" t="s">
        <v>297</v>
      </c>
      <c r="DL589" s="1" t="s">
        <v>170</v>
      </c>
      <c r="DU589" s="1" t="b">
        <f>WillSave&gt;=4</f>
        <v>0</v>
      </c>
      <c r="DV589" s="1" t="b">
        <f ca="1">MaxArcaneSpellLevel&gt;=2</f>
        <v>0</v>
      </c>
      <c r="DW589" s="1" t="b">
        <f>SpecWiz&gt;1</f>
        <v>0</v>
      </c>
      <c r="DX589" s="1" t="b">
        <f>SkSpellcraftRanks&gt;=7</f>
        <v>0</v>
      </c>
      <c r="DY589" s="1" t="b">
        <f>FtSpellFocus</f>
        <v>0</v>
      </c>
      <c r="DZ589" s="1" t="b">
        <f>OR(ItemCreationSelected&gt;=2,MetamagicSelected&gt;=2)</f>
        <v>0</v>
      </c>
      <c r="EA589" s="1" t="b">
        <f ca="1">AND(DL589:DZ589)</f>
        <v>0</v>
      </c>
      <c r="EB589" s="11" t="s">
        <v>334</v>
      </c>
      <c r="EC589" s="1" t="str">
        <f ca="1">IF(DU589,"","• Base Will save +4.
")&amp;IF(DV589,"","• Ability to prepare and cast 2nd level Arcane spells.
")&amp;IF(DW589,"","• Specialized in a school of magic.
")&amp;IF(DX589,"","• 7 ranks in Spellcraft.
")&amp;IF(DY589,"","• Spell Focus (any) feat.
")&amp;IF(DZ589,"","• Any two Item Creation or Metamagic feats.")</f>
        <v>• Base Will save +4.
• Ability to prepare and cast 2nd level Arcane spells.
• Specialized in a school of magic.
• 7 ranks in Spellcraft.
• Spell Focus (any) feat.
• Any two Item Creation or Metamagic feats.</v>
      </c>
      <c r="ED589" s="11" t="s">
        <v>335</v>
      </c>
    </row>
    <row r="590" spans="1:134" ht="11.25" customHeight="1" x14ac:dyDescent="0.2">
      <c r="A590" s="1">
        <f t="shared" si="535"/>
        <v>587</v>
      </c>
      <c r="B590" s="1" t="s">
        <v>1413</v>
      </c>
      <c r="C590" s="1" t="s">
        <v>1414</v>
      </c>
      <c r="D590" s="1" t="s">
        <v>1414</v>
      </c>
      <c r="E590" s="1">
        <f t="shared" si="517"/>
        <v>0</v>
      </c>
      <c r="K590" s="1">
        <v>4</v>
      </c>
      <c r="L590" s="1">
        <v>8</v>
      </c>
      <c r="V590" s="1">
        <v>0.75</v>
      </c>
      <c r="W590" s="1">
        <v>0.5</v>
      </c>
      <c r="X590" s="1">
        <v>0.5</v>
      </c>
      <c r="Y590" s="1">
        <v>0.34</v>
      </c>
      <c r="Z590" s="1" t="b">
        <f>FALSE</f>
        <v>0</v>
      </c>
      <c r="AA590" s="1" t="str">
        <f t="shared" si="520"/>
        <v/>
      </c>
      <c r="AB590" s="1" t="str">
        <f t="shared" si="521"/>
        <v/>
      </c>
      <c r="AC590" s="1">
        <f t="shared" si="518"/>
        <v>0</v>
      </c>
      <c r="AD590" s="1" t="str">
        <f t="shared" si="522"/>
        <v/>
      </c>
      <c r="AE590" s="1" t="str">
        <f t="shared" si="523"/>
        <v/>
      </c>
      <c r="AF590" s="1">
        <f t="shared" si="519"/>
        <v>0</v>
      </c>
      <c r="AG590" s="1">
        <f t="shared" si="509"/>
        <v>5</v>
      </c>
      <c r="AH590" s="1" t="str">
        <f t="shared" si="502"/>
        <v/>
      </c>
      <c r="AI590" s="1">
        <v>1</v>
      </c>
      <c r="AJ590" s="1">
        <f t="shared" si="536"/>
        <v>0</v>
      </c>
      <c r="AK590" s="1">
        <v>2</v>
      </c>
      <c r="AL590" s="1">
        <v>1</v>
      </c>
      <c r="AM590" s="1">
        <v>1</v>
      </c>
      <c r="AN590" s="1">
        <f t="shared" si="537"/>
        <v>0</v>
      </c>
      <c r="AO590" s="1">
        <v>2</v>
      </c>
      <c r="AP590" s="1">
        <v>2</v>
      </c>
      <c r="AQ590" s="1">
        <v>2</v>
      </c>
      <c r="AR590" s="1">
        <v>2</v>
      </c>
      <c r="AS590" s="1">
        <v>2</v>
      </c>
      <c r="AT590" s="1">
        <v>2</v>
      </c>
      <c r="AU590" s="1">
        <v>2</v>
      </c>
      <c r="AV590" s="1">
        <v>2</v>
      </c>
      <c r="AW590" s="1">
        <v>1</v>
      </c>
      <c r="AX590" s="1">
        <v>2</v>
      </c>
      <c r="AY590" s="1">
        <v>1</v>
      </c>
      <c r="AZ590" s="1">
        <v>1</v>
      </c>
      <c r="BA590" s="1">
        <v>1</v>
      </c>
      <c r="BB590" s="1">
        <v>1</v>
      </c>
      <c r="BC590" s="1">
        <v>1</v>
      </c>
      <c r="BD590" s="1">
        <v>2</v>
      </c>
      <c r="BE590" s="1">
        <v>2</v>
      </c>
      <c r="BF590" s="1">
        <v>1</v>
      </c>
      <c r="BG590" s="1">
        <f t="shared" si="538"/>
        <v>0</v>
      </c>
      <c r="BH590" s="1">
        <f t="shared" si="539"/>
        <v>0</v>
      </c>
      <c r="BI590" s="1">
        <v>1</v>
      </c>
      <c r="BJ590" s="1">
        <v>2</v>
      </c>
      <c r="BK590" s="1">
        <v>1</v>
      </c>
      <c r="BL590" s="1">
        <v>1</v>
      </c>
      <c r="BM590" s="1">
        <v>1</v>
      </c>
      <c r="BN590" s="1">
        <v>1</v>
      </c>
      <c r="BO590" s="1">
        <v>1</v>
      </c>
      <c r="BP590" s="1">
        <v>1</v>
      </c>
      <c r="BQ590" s="1">
        <f>IF(HRRVL,1,0)</f>
        <v>0</v>
      </c>
      <c r="BR590" s="1">
        <v>1</v>
      </c>
      <c r="BS590" s="1">
        <v>1</v>
      </c>
      <c r="BT590" s="1">
        <f>IF(HRXPH,1,0)</f>
        <v>0</v>
      </c>
      <c r="BU590" s="1">
        <f>IF(HRRVL,1,0)</f>
        <v>0</v>
      </c>
      <c r="BV590" s="1">
        <v>1</v>
      </c>
      <c r="BW590" s="1">
        <v>1</v>
      </c>
      <c r="BX590" s="1">
        <v>1</v>
      </c>
      <c r="BY590" s="1">
        <v>1</v>
      </c>
      <c r="BZ590" s="1">
        <v>1</v>
      </c>
      <c r="CA590" s="1">
        <v>1</v>
      </c>
      <c r="CB590" s="1">
        <v>1</v>
      </c>
      <c r="CC590" s="1">
        <v>1</v>
      </c>
      <c r="CD590" s="1">
        <v>1</v>
      </c>
      <c r="CE590" s="1">
        <v>1</v>
      </c>
      <c r="CF590" s="1">
        <v>1</v>
      </c>
      <c r="CG590" s="1">
        <f t="shared" si="540"/>
        <v>0</v>
      </c>
      <c r="CH590" s="1">
        <v>1</v>
      </c>
      <c r="CI590" s="1">
        <v>1</v>
      </c>
      <c r="CJ590" s="1">
        <v>1</v>
      </c>
      <c r="CK590" s="1">
        <v>1</v>
      </c>
      <c r="CL590" s="1">
        <v>1</v>
      </c>
      <c r="CM590" s="1">
        <v>1</v>
      </c>
      <c r="CN590" s="1">
        <v>1</v>
      </c>
      <c r="CO590" s="1">
        <v>1</v>
      </c>
      <c r="CP590" s="1">
        <v>2</v>
      </c>
      <c r="CQ590" s="1">
        <v>2</v>
      </c>
      <c r="CR590" s="1">
        <v>2</v>
      </c>
      <c r="CS590" s="1">
        <v>2</v>
      </c>
      <c r="CT590" s="1">
        <v>2</v>
      </c>
      <c r="CU590" s="1">
        <v>2</v>
      </c>
      <c r="CV590" s="1">
        <f t="shared" si="541"/>
        <v>0</v>
      </c>
      <c r="CW590" s="1">
        <v>2</v>
      </c>
      <c r="CX590" s="1">
        <v>1</v>
      </c>
      <c r="CY590" s="1">
        <v>1</v>
      </c>
      <c r="CZ590" s="1">
        <f t="shared" si="542"/>
        <v>0</v>
      </c>
      <c r="DA590" s="1">
        <v>1</v>
      </c>
      <c r="DB590" s="1">
        <v>1</v>
      </c>
      <c r="DC590" s="1">
        <v>1</v>
      </c>
      <c r="DD590" s="1">
        <v>1</v>
      </c>
      <c r="DE590" s="1">
        <v>1</v>
      </c>
      <c r="DF590" s="1">
        <v>1</v>
      </c>
      <c r="DG590" s="1">
        <v>1</v>
      </c>
      <c r="DH590" s="1">
        <v>1</v>
      </c>
      <c r="DI590" s="1">
        <f t="shared" si="543"/>
        <v>0</v>
      </c>
      <c r="DJ590" s="1">
        <v>1</v>
      </c>
      <c r="DK590" s="1" t="s">
        <v>297</v>
      </c>
      <c r="DL590" s="1" t="s">
        <v>170</v>
      </c>
      <c r="DU590" s="1" t="b">
        <f>BaseAtk&gt;=10</f>
        <v>0</v>
      </c>
      <c r="DV590" s="1" t="b">
        <f>SkHandleAnimalRanks&gt;=8</f>
        <v>0</v>
      </c>
      <c r="DW590" s="1" t="b">
        <f>SkRideRanks&gt;=8</f>
        <v>0</v>
      </c>
      <c r="DX590" s="1" t="b">
        <f>FtLeadership</f>
        <v>0</v>
      </c>
      <c r="DY590" s="1" t="b">
        <f>FtMountedCombat</f>
        <v>0</v>
      </c>
      <c r="DZ590" s="1" t="b">
        <f>FtResistDragonfear</f>
        <v>0</v>
      </c>
      <c r="EA590" s="1" t="b">
        <f t="shared" si="544"/>
        <v>0</v>
      </c>
      <c r="EB590" s="11" t="s">
        <v>338</v>
      </c>
      <c r="EC590" s="1" t="str">
        <f>IF(DU590,"","• Base attack bonus +10.
")&amp;IF(DV590,"","• 8 ranks in Handle Animal.
")&amp;IF(DW590,"","• 8 ranks in Ride.
")&amp;IF(DX590,"","• Leadership feat.
")&amp;IF(DY590,"","• Mounted Combat feat.
")&amp;IF(DZ590,"","• Resist Dragonfear feat.
")&amp;"• Must have ridden a dragon (not verified)."</f>
        <v>• Base attack bonus +10.
• 8 ranks in Handle Animal.
• 8 ranks in Ride.
• Leadership feat.
• Mounted Combat feat.
• Resist Dragonfear feat.
• Must have ridden a dragon (not verified).</v>
      </c>
      <c r="ED590" s="11" t="s">
        <v>335</v>
      </c>
    </row>
    <row r="591" spans="1:134" ht="11.25" customHeight="1" x14ac:dyDescent="0.2">
      <c r="A591" s="1">
        <f t="shared" si="535"/>
        <v>588</v>
      </c>
      <c r="B591" s="1" t="s">
        <v>1415</v>
      </c>
      <c r="C591" s="1" t="s">
        <v>1416</v>
      </c>
      <c r="D591" s="1" t="s">
        <v>1416</v>
      </c>
      <c r="E591" s="1">
        <f t="shared" si="517"/>
        <v>0</v>
      </c>
      <c r="K591" s="1">
        <v>6</v>
      </c>
      <c r="L591" s="1">
        <v>6</v>
      </c>
      <c r="V591" s="1">
        <v>0.75</v>
      </c>
      <c r="W591" s="1">
        <v>0.34</v>
      </c>
      <c r="X591" s="1">
        <v>0.34</v>
      </c>
      <c r="Y591" s="1">
        <v>0.5</v>
      </c>
      <c r="Z591" s="1" t="b">
        <f>FALSE</f>
        <v>0</v>
      </c>
      <c r="AA591" s="1" t="str">
        <f t="shared" si="520"/>
        <v/>
      </c>
      <c r="AB591" s="1" t="str">
        <f t="shared" si="521"/>
        <v/>
      </c>
      <c r="AC591" s="1">
        <f t="shared" si="518"/>
        <v>0</v>
      </c>
      <c r="AD591" s="1" t="str">
        <f t="shared" si="522"/>
        <v/>
      </c>
      <c r="AE591" s="1" t="str">
        <f t="shared" si="523"/>
        <v/>
      </c>
      <c r="AF591" s="1">
        <f t="shared" si="519"/>
        <v>0</v>
      </c>
      <c r="AG591" s="1">
        <f t="shared" si="509"/>
        <v>5</v>
      </c>
      <c r="AH591" s="1" t="str">
        <f t="shared" si="502"/>
        <v/>
      </c>
      <c r="AI591" s="1">
        <v>2</v>
      </c>
      <c r="AJ591" s="1">
        <f t="shared" si="536"/>
        <v>0</v>
      </c>
      <c r="AK591" s="1">
        <v>1</v>
      </c>
      <c r="AL591" s="1">
        <v>2</v>
      </c>
      <c r="AM591" s="1">
        <v>1</v>
      </c>
      <c r="AN591" s="1">
        <f t="shared" si="537"/>
        <v>0</v>
      </c>
      <c r="AO591" s="1">
        <v>2</v>
      </c>
      <c r="AP591" s="1">
        <v>2</v>
      </c>
      <c r="AQ591" s="1">
        <v>2</v>
      </c>
      <c r="AR591" s="1">
        <v>2</v>
      </c>
      <c r="AS591" s="1">
        <v>2</v>
      </c>
      <c r="AT591" s="1">
        <v>2</v>
      </c>
      <c r="AU591" s="1">
        <v>2</v>
      </c>
      <c r="AV591" s="1">
        <v>2</v>
      </c>
      <c r="AW591" s="1">
        <v>2</v>
      </c>
      <c r="AX591" s="1">
        <v>2</v>
      </c>
      <c r="AY591" s="1">
        <v>1</v>
      </c>
      <c r="AZ591" s="1">
        <v>2</v>
      </c>
      <c r="BA591" s="1">
        <v>1</v>
      </c>
      <c r="BB591" s="1">
        <v>1</v>
      </c>
      <c r="BC591" s="1">
        <v>2</v>
      </c>
      <c r="BD591" s="1">
        <v>1</v>
      </c>
      <c r="BE591" s="1">
        <v>1</v>
      </c>
      <c r="BF591" s="1">
        <v>2</v>
      </c>
      <c r="BG591" s="1">
        <f t="shared" si="538"/>
        <v>0</v>
      </c>
      <c r="BH591" s="1">
        <f t="shared" si="539"/>
        <v>0</v>
      </c>
      <c r="BI591" s="1">
        <v>2</v>
      </c>
      <c r="BJ591" s="1">
        <v>1</v>
      </c>
      <c r="BK591" s="1">
        <v>2</v>
      </c>
      <c r="BL591" s="1">
        <v>2</v>
      </c>
      <c r="BM591" s="1">
        <v>2</v>
      </c>
      <c r="BN591" s="1">
        <v>2</v>
      </c>
      <c r="BO591" s="1">
        <v>2</v>
      </c>
      <c r="BP591" s="1">
        <v>2</v>
      </c>
      <c r="BQ591" s="1">
        <f>IF(HRRVL,2,0)</f>
        <v>0</v>
      </c>
      <c r="BR591" s="1">
        <v>2</v>
      </c>
      <c r="BS591" s="1">
        <v>2</v>
      </c>
      <c r="BT591" s="1">
        <f>IF(HRXPH,2,0)</f>
        <v>0</v>
      </c>
      <c r="BU591" s="1">
        <f>IF(HRRVL,2,0)</f>
        <v>0</v>
      </c>
      <c r="BV591" s="1">
        <v>2</v>
      </c>
      <c r="BW591" s="1">
        <v>2</v>
      </c>
      <c r="BX591" s="1">
        <v>2</v>
      </c>
      <c r="BY591" s="1">
        <v>2</v>
      </c>
      <c r="BZ591" s="1">
        <v>2</v>
      </c>
      <c r="CA591" s="1">
        <v>2</v>
      </c>
      <c r="CB591" s="1">
        <v>2</v>
      </c>
      <c r="CC591" s="1">
        <v>2</v>
      </c>
      <c r="CD591" s="1">
        <v>2</v>
      </c>
      <c r="CE591" s="1">
        <v>2</v>
      </c>
      <c r="CF591" s="1">
        <v>2</v>
      </c>
      <c r="CG591" s="1">
        <f t="shared" si="540"/>
        <v>0</v>
      </c>
      <c r="CH591" s="1">
        <v>2</v>
      </c>
      <c r="CI591" s="1">
        <v>2</v>
      </c>
      <c r="CJ591" s="1">
        <v>1</v>
      </c>
      <c r="CK591" s="1">
        <v>1</v>
      </c>
      <c r="CL591" s="1">
        <v>1</v>
      </c>
      <c r="CM591" s="1">
        <v>1</v>
      </c>
      <c r="CN591" s="1">
        <v>1</v>
      </c>
      <c r="CO591" s="1">
        <v>1</v>
      </c>
      <c r="CP591" s="1">
        <v>2</v>
      </c>
      <c r="CQ591" s="1">
        <v>2</v>
      </c>
      <c r="CR591" s="1">
        <v>2</v>
      </c>
      <c r="CS591" s="1">
        <v>2</v>
      </c>
      <c r="CT591" s="1">
        <v>2</v>
      </c>
      <c r="CU591" s="1">
        <v>2</v>
      </c>
      <c r="CV591" s="1">
        <f t="shared" si="541"/>
        <v>0</v>
      </c>
      <c r="CW591" s="1">
        <v>1</v>
      </c>
      <c r="CX591" s="1">
        <v>2</v>
      </c>
      <c r="CY591" s="1">
        <v>1</v>
      </c>
      <c r="CZ591" s="1">
        <f t="shared" si="542"/>
        <v>0</v>
      </c>
      <c r="DA591" s="1">
        <v>1</v>
      </c>
      <c r="DB591" s="1">
        <v>2</v>
      </c>
      <c r="DC591" s="1">
        <v>1</v>
      </c>
      <c r="DD591" s="1">
        <v>2</v>
      </c>
      <c r="DE591" s="1">
        <v>1</v>
      </c>
      <c r="DF591" s="1">
        <v>1</v>
      </c>
      <c r="DG591" s="1">
        <v>1</v>
      </c>
      <c r="DH591" s="1">
        <v>1</v>
      </c>
      <c r="DI591" s="1">
        <f t="shared" si="543"/>
        <v>0</v>
      </c>
      <c r="DJ591" s="1">
        <v>1</v>
      </c>
      <c r="DK591" s="1" t="s">
        <v>297</v>
      </c>
      <c r="DL591" s="1" t="s">
        <v>170</v>
      </c>
      <c r="DU591" s="1" t="b">
        <f>AlignmentNonChaotic</f>
        <v>1</v>
      </c>
      <c r="DV591" s="1" t="b">
        <f>BaseAtk&gt;=3</f>
        <v>0</v>
      </c>
      <c r="DW591" s="1" t="b">
        <f>SkGatherInformationRanks&gt;=8</f>
        <v>0</v>
      </c>
      <c r="DY591" s="1" t="b">
        <f>SkSenseMotiveRanks&gt;=5</f>
        <v>0</v>
      </c>
      <c r="DZ591" s="1" t="b">
        <f>FtAlertness</f>
        <v>0</v>
      </c>
      <c r="EA591" s="1" t="b">
        <f>AND(DL591:DZ591)</f>
        <v>0</v>
      </c>
      <c r="EB591" s="11" t="s">
        <v>338</v>
      </c>
      <c r="EC591" s="1" t="str">
        <f>IF(DU591,"","• Any nonchaotic.
")&amp;IF(DV591,"","• Base attack bonus +3.
")&amp;IF(DW591,"","• 8 ranks in Gather Information.
")&amp;IF(DY591,"","• 5 ranks in Sense Motive.
")&amp;IF(DZ591,"","• Alertness feat.
")&amp;"• Any one Knowledge skill with 6 ranks (not verified)."</f>
        <v>• Base attack bonus +3.
• 8 ranks in Gather Information.
• 5 ranks in Sense Motive.
• Alertness feat.
• Any one Knowledge skill with 6 ranks (not verified).</v>
      </c>
      <c r="ED591" s="11" t="s">
        <v>335</v>
      </c>
    </row>
    <row r="592" spans="1:134" ht="11.25" customHeight="1" x14ac:dyDescent="0.2">
      <c r="A592" s="1">
        <f t="shared" si="535"/>
        <v>589</v>
      </c>
      <c r="B592" s="1" t="s">
        <v>1417</v>
      </c>
      <c r="C592" s="1" t="s">
        <v>1418</v>
      </c>
      <c r="D592" s="1" t="s">
        <v>1418</v>
      </c>
      <c r="E592" s="1">
        <f t="shared" si="517"/>
        <v>0</v>
      </c>
      <c r="K592" s="1">
        <v>4</v>
      </c>
      <c r="L592" s="1">
        <v>8</v>
      </c>
      <c r="N592" s="1" t="b">
        <v>1</v>
      </c>
      <c r="O592" s="1" t="b">
        <v>1</v>
      </c>
      <c r="P592" s="1" t="b">
        <v>1</v>
      </c>
      <c r="Q592" s="1" t="b">
        <v>1</v>
      </c>
      <c r="R592" s="1" t="b">
        <v>1</v>
      </c>
      <c r="S592" s="1" t="b">
        <v>1</v>
      </c>
      <c r="T592" s="1" t="b">
        <v>1</v>
      </c>
      <c r="V592" s="1">
        <v>1</v>
      </c>
      <c r="W592" s="1">
        <v>0.5</v>
      </c>
      <c r="X592" s="1">
        <v>0.34</v>
      </c>
      <c r="Y592" s="1">
        <v>0.34</v>
      </c>
      <c r="Z592" s="1" t="b">
        <f>FALSE</f>
        <v>0</v>
      </c>
      <c r="AA592" s="1" t="str">
        <f t="shared" si="520"/>
        <v/>
      </c>
      <c r="AB592" s="1" t="str">
        <f t="shared" si="521"/>
        <v/>
      </c>
      <c r="AC592" s="1">
        <f t="shared" si="518"/>
        <v>0</v>
      </c>
      <c r="AD592" s="1" t="str">
        <f t="shared" si="522"/>
        <v/>
      </c>
      <c r="AE592" s="1" t="str">
        <f t="shared" si="523"/>
        <v/>
      </c>
      <c r="AF592" s="1">
        <f t="shared" si="519"/>
        <v>0</v>
      </c>
      <c r="AG592" s="1">
        <f t="shared" si="509"/>
        <v>5</v>
      </c>
      <c r="AH592" s="1" t="str">
        <f t="shared" si="502"/>
        <v/>
      </c>
      <c r="AI592" s="1">
        <v>1</v>
      </c>
      <c r="AJ592" s="1">
        <f t="shared" si="536"/>
        <v>0</v>
      </c>
      <c r="AK592" s="1">
        <v>1</v>
      </c>
      <c r="AL592" s="1">
        <v>2</v>
      </c>
      <c r="AM592" s="1">
        <v>1</v>
      </c>
      <c r="AN592" s="1">
        <f t="shared" si="537"/>
        <v>0</v>
      </c>
      <c r="AO592" s="1">
        <v>2</v>
      </c>
      <c r="AP592" s="1">
        <v>2</v>
      </c>
      <c r="AQ592" s="1">
        <v>2</v>
      </c>
      <c r="AR592" s="1">
        <v>2</v>
      </c>
      <c r="AS592" s="1">
        <v>2</v>
      </c>
      <c r="AT592" s="1">
        <v>2</v>
      </c>
      <c r="AU592" s="1">
        <v>2</v>
      </c>
      <c r="AV592" s="1">
        <v>2</v>
      </c>
      <c r="AW592" s="1">
        <v>1</v>
      </c>
      <c r="AX592" s="1">
        <v>2</v>
      </c>
      <c r="AY592" s="1">
        <v>1</v>
      </c>
      <c r="AZ592" s="1">
        <v>1</v>
      </c>
      <c r="BA592" s="1">
        <v>1</v>
      </c>
      <c r="BB592" s="1">
        <v>1</v>
      </c>
      <c r="BC592" s="1">
        <v>1</v>
      </c>
      <c r="BD592" s="1">
        <v>1</v>
      </c>
      <c r="BE592" s="1">
        <v>1</v>
      </c>
      <c r="BF592" s="1">
        <v>1</v>
      </c>
      <c r="BG592" s="1">
        <f t="shared" si="538"/>
        <v>0</v>
      </c>
      <c r="BH592" s="1">
        <f t="shared" si="539"/>
        <v>0</v>
      </c>
      <c r="BI592" s="1">
        <v>2</v>
      </c>
      <c r="BJ592" s="1">
        <v>1</v>
      </c>
      <c r="BK592" s="1">
        <v>1</v>
      </c>
      <c r="BL592" s="1">
        <v>1</v>
      </c>
      <c r="BM592" s="1">
        <v>1</v>
      </c>
      <c r="BN592" s="1">
        <v>1</v>
      </c>
      <c r="BO592" s="1">
        <v>2</v>
      </c>
      <c r="BP592" s="1">
        <v>1</v>
      </c>
      <c r="BQ592" s="1">
        <f>IF(HRRVL,1,0)</f>
        <v>0</v>
      </c>
      <c r="BR592" s="1">
        <v>1</v>
      </c>
      <c r="BS592" s="1">
        <v>1</v>
      </c>
      <c r="BT592" s="1">
        <f>IF(HRXPH,1,0)</f>
        <v>0</v>
      </c>
      <c r="BU592" s="1">
        <f>IF(HRRVL,1,0)</f>
        <v>0</v>
      </c>
      <c r="BV592" s="1">
        <v>1</v>
      </c>
      <c r="BW592" s="1">
        <v>1</v>
      </c>
      <c r="BX592" s="1">
        <v>1</v>
      </c>
      <c r="BY592" s="1">
        <v>1</v>
      </c>
      <c r="BZ592" s="1">
        <v>1</v>
      </c>
      <c r="CA592" s="1">
        <v>1</v>
      </c>
      <c r="CB592" s="1">
        <v>1</v>
      </c>
      <c r="CC592" s="1">
        <v>1</v>
      </c>
      <c r="CD592" s="1">
        <v>1</v>
      </c>
      <c r="CE592" s="1">
        <v>1</v>
      </c>
      <c r="CF592" s="1">
        <v>1</v>
      </c>
      <c r="CG592" s="1">
        <f t="shared" si="540"/>
        <v>0</v>
      </c>
      <c r="CH592" s="1">
        <v>1</v>
      </c>
      <c r="CI592" s="1">
        <v>1</v>
      </c>
      <c r="CJ592" s="1">
        <v>1</v>
      </c>
      <c r="CK592" s="1">
        <v>1</v>
      </c>
      <c r="CL592" s="1">
        <v>1</v>
      </c>
      <c r="CM592" s="1">
        <v>1</v>
      </c>
      <c r="CN592" s="1">
        <v>1</v>
      </c>
      <c r="CO592" s="1">
        <v>1</v>
      </c>
      <c r="CP592" s="1">
        <v>2</v>
      </c>
      <c r="CQ592" s="1">
        <v>2</v>
      </c>
      <c r="CR592" s="1">
        <v>2</v>
      </c>
      <c r="CS592" s="1">
        <v>2</v>
      </c>
      <c r="CT592" s="1">
        <v>2</v>
      </c>
      <c r="CU592" s="1">
        <v>2</v>
      </c>
      <c r="CV592" s="1">
        <f t="shared" si="541"/>
        <v>0</v>
      </c>
      <c r="CW592" s="1">
        <v>2</v>
      </c>
      <c r="CX592" s="1">
        <v>1</v>
      </c>
      <c r="CY592" s="1">
        <v>2</v>
      </c>
      <c r="CZ592" s="1">
        <f t="shared" si="542"/>
        <v>0</v>
      </c>
      <c r="DA592" s="1">
        <v>1</v>
      </c>
      <c r="DB592" s="1">
        <v>1</v>
      </c>
      <c r="DC592" s="1">
        <v>1</v>
      </c>
      <c r="DD592" s="1">
        <v>1</v>
      </c>
      <c r="DE592" s="1">
        <v>1</v>
      </c>
      <c r="DF592" s="1">
        <v>1</v>
      </c>
      <c r="DG592" s="1">
        <v>1</v>
      </c>
      <c r="DH592" s="1">
        <v>1</v>
      </c>
      <c r="DI592" s="1">
        <f t="shared" si="543"/>
        <v>0</v>
      </c>
      <c r="DJ592" s="1">
        <v>1</v>
      </c>
      <c r="DK592" s="1" t="s">
        <v>297</v>
      </c>
      <c r="DL592" s="1" t="s">
        <v>170</v>
      </c>
      <c r="DX592" s="1" t="b">
        <f>BaseAtk&gt;=5</f>
        <v>0</v>
      </c>
      <c r="DY592" s="1" t="b">
        <f>SkDiplomacyRanks&gt;=4</f>
        <v>0</v>
      </c>
      <c r="DZ592" s="1" t="b">
        <f>FtLeadership</f>
        <v>0</v>
      </c>
      <c r="EA592" s="1" t="b">
        <f t="shared" si="544"/>
        <v>0</v>
      </c>
      <c r="EB592" s="11" t="s">
        <v>338</v>
      </c>
      <c r="EC592" s="1" t="str">
        <f>IF(DX592,"","• Base attack bonus +5.
")&amp;IF(DY592,"","• 4 ranks in Diplomacy.
")&amp;IF(DZ592,"","• Leadership feat.
")&amp;"• Must have been in 3 major skirmishes one of which must have been a defeat (not verified)."</f>
        <v>• Base attack bonus +5.
• 4 ranks in Diplomacy.
• Leadership feat.
• Must have been in 3 major skirmishes one of which must have been a defeat (not verified).</v>
      </c>
      <c r="ED592" s="11" t="s">
        <v>335</v>
      </c>
    </row>
    <row r="593" spans="1:134" ht="11.25" customHeight="1" x14ac:dyDescent="0.2">
      <c r="A593" s="1">
        <f t="shared" si="535"/>
        <v>590</v>
      </c>
      <c r="B593" s="1" t="s">
        <v>1419</v>
      </c>
      <c r="C593" s="1" t="s">
        <v>1420</v>
      </c>
      <c r="D593" s="1" t="s">
        <v>1420</v>
      </c>
      <c r="E593" s="1">
        <f t="shared" si="517"/>
        <v>0</v>
      </c>
      <c r="K593" s="1">
        <v>4</v>
      </c>
      <c r="L593" s="1">
        <v>6</v>
      </c>
      <c r="V593" s="1">
        <v>0.5</v>
      </c>
      <c r="W593" s="1">
        <v>0.34</v>
      </c>
      <c r="X593" s="1">
        <v>0.34</v>
      </c>
      <c r="Y593" s="1">
        <v>0.5</v>
      </c>
      <c r="Z593" s="1" t="b">
        <f>FALSE</f>
        <v>0</v>
      </c>
      <c r="AA593" s="1" t="str">
        <f t="shared" si="520"/>
        <v/>
      </c>
      <c r="AB593" s="1" t="str">
        <f t="shared" si="521"/>
        <v/>
      </c>
      <c r="AC593" s="1">
        <f t="shared" si="518"/>
        <v>0</v>
      </c>
      <c r="AD593" s="1" t="str">
        <f t="shared" si="522"/>
        <v/>
      </c>
      <c r="AE593" s="1" t="str">
        <f t="shared" si="523"/>
        <v/>
      </c>
      <c r="AF593" s="1">
        <f t="shared" si="519"/>
        <v>0</v>
      </c>
      <c r="AG593" s="1">
        <f t="shared" si="509"/>
        <v>5</v>
      </c>
      <c r="AH593" s="1" t="str">
        <f t="shared" si="502"/>
        <v/>
      </c>
      <c r="AI593" s="1">
        <v>1</v>
      </c>
      <c r="AJ593" s="1">
        <f t="shared" si="536"/>
        <v>0</v>
      </c>
      <c r="AK593" s="1">
        <v>1</v>
      </c>
      <c r="AL593" s="1">
        <v>2</v>
      </c>
      <c r="AM593" s="1">
        <v>1</v>
      </c>
      <c r="AN593" s="1">
        <f t="shared" si="537"/>
        <v>0</v>
      </c>
      <c r="AO593" s="1">
        <v>2</v>
      </c>
      <c r="AP593" s="1">
        <v>1</v>
      </c>
      <c r="AQ593" s="1">
        <v>1</v>
      </c>
      <c r="AR593" s="1">
        <v>1</v>
      </c>
      <c r="AS593" s="1">
        <v>1</v>
      </c>
      <c r="AT593" s="1">
        <v>1</v>
      </c>
      <c r="AU593" s="1">
        <v>1</v>
      </c>
      <c r="AV593" s="1">
        <v>1</v>
      </c>
      <c r="AW593" s="1">
        <v>1</v>
      </c>
      <c r="AX593" s="1">
        <v>2</v>
      </c>
      <c r="AY593" s="1">
        <v>1</v>
      </c>
      <c r="AZ593" s="1">
        <v>1</v>
      </c>
      <c r="BA593" s="1">
        <v>1</v>
      </c>
      <c r="BB593" s="1">
        <v>1</v>
      </c>
      <c r="BC593" s="1">
        <v>2</v>
      </c>
      <c r="BD593" s="1">
        <v>1</v>
      </c>
      <c r="BE593" s="1">
        <v>1</v>
      </c>
      <c r="BF593" s="1">
        <v>1</v>
      </c>
      <c r="BG593" s="1">
        <f t="shared" si="538"/>
        <v>0</v>
      </c>
      <c r="BH593" s="1">
        <f t="shared" si="539"/>
        <v>0</v>
      </c>
      <c r="BI593" s="1">
        <v>2</v>
      </c>
      <c r="BJ593" s="1">
        <v>1</v>
      </c>
      <c r="BK593" s="1">
        <v>1</v>
      </c>
      <c r="BL593" s="1">
        <v>1</v>
      </c>
      <c r="BM593" s="1">
        <v>1</v>
      </c>
      <c r="BN593" s="1">
        <v>1</v>
      </c>
      <c r="BO593" s="1">
        <v>1</v>
      </c>
      <c r="BP593" s="1">
        <v>1</v>
      </c>
      <c r="BQ593" s="1">
        <f>IF(HRRVL,1,0)</f>
        <v>0</v>
      </c>
      <c r="BR593" s="1">
        <v>1</v>
      </c>
      <c r="BS593" s="1">
        <v>1</v>
      </c>
      <c r="BT593" s="1">
        <f>IF(HRXPH,1,0)</f>
        <v>0</v>
      </c>
      <c r="BU593" s="1">
        <f>IF(HRRVL,1,0)</f>
        <v>0</v>
      </c>
      <c r="BV593" s="1">
        <v>2</v>
      </c>
      <c r="BW593" s="1">
        <v>1</v>
      </c>
      <c r="BX593" s="1">
        <v>1</v>
      </c>
      <c r="BY593" s="1">
        <v>1</v>
      </c>
      <c r="BZ593" s="1">
        <v>1</v>
      </c>
      <c r="CA593" s="1">
        <v>1</v>
      </c>
      <c r="CB593" s="1">
        <v>1</v>
      </c>
      <c r="CC593" s="1">
        <v>1</v>
      </c>
      <c r="CD593" s="1">
        <v>1</v>
      </c>
      <c r="CE593" s="1">
        <v>1</v>
      </c>
      <c r="CF593" s="1">
        <v>1</v>
      </c>
      <c r="CG593" s="1">
        <f t="shared" si="540"/>
        <v>0</v>
      </c>
      <c r="CH593" s="1">
        <v>1</v>
      </c>
      <c r="CI593" s="1">
        <v>1</v>
      </c>
      <c r="CJ593" s="1">
        <v>2</v>
      </c>
      <c r="CK593" s="1">
        <v>2</v>
      </c>
      <c r="CL593" s="1">
        <v>2</v>
      </c>
      <c r="CM593" s="1">
        <v>2</v>
      </c>
      <c r="CN593" s="1">
        <v>2</v>
      </c>
      <c r="CO593" s="1">
        <v>2</v>
      </c>
      <c r="CP593" s="1">
        <v>2</v>
      </c>
      <c r="CQ593" s="1">
        <v>2</v>
      </c>
      <c r="CR593" s="1">
        <v>2</v>
      </c>
      <c r="CS593" s="1">
        <v>2</v>
      </c>
      <c r="CT593" s="1">
        <v>2</v>
      </c>
      <c r="CU593" s="1">
        <v>2</v>
      </c>
      <c r="CV593" s="1">
        <f t="shared" si="541"/>
        <v>0</v>
      </c>
      <c r="CW593" s="1">
        <v>1</v>
      </c>
      <c r="CX593" s="1">
        <v>1</v>
      </c>
      <c r="CY593" s="1">
        <v>2</v>
      </c>
      <c r="CZ593" s="1">
        <f t="shared" si="542"/>
        <v>0</v>
      </c>
      <c r="DA593" s="1">
        <v>1</v>
      </c>
      <c r="DB593" s="1">
        <v>2</v>
      </c>
      <c r="DC593" s="1">
        <v>1</v>
      </c>
      <c r="DD593" s="1">
        <v>1</v>
      </c>
      <c r="DE593" s="1">
        <v>1</v>
      </c>
      <c r="DF593" s="1">
        <v>1</v>
      </c>
      <c r="DG593" s="1">
        <v>1</v>
      </c>
      <c r="DH593" s="1">
        <v>1</v>
      </c>
      <c r="DI593" s="1">
        <f t="shared" si="543"/>
        <v>0</v>
      </c>
      <c r="DJ593" s="1">
        <v>1</v>
      </c>
      <c r="DK593" s="1" t="s">
        <v>297</v>
      </c>
      <c r="DL593" s="1" t="s">
        <v>170</v>
      </c>
      <c r="DW593" s="1" t="b">
        <f>SkBluffRanks&gt;=3</f>
        <v>0</v>
      </c>
      <c r="DX593" s="1" t="b">
        <f>SkConcentrationRanks&gt;=8</f>
        <v>0</v>
      </c>
      <c r="DY593" s="1" t="b">
        <f>SkDiplomacyRanks&gt;=8</f>
        <v>0</v>
      </c>
      <c r="DZ593" s="1" t="b">
        <f>SkSenseMotiveRanks&gt;=4</f>
        <v>0</v>
      </c>
      <c r="EA593" s="1" t="b">
        <f t="shared" si="544"/>
        <v>0</v>
      </c>
      <c r="EB593" s="11" t="s">
        <v>338</v>
      </c>
      <c r="EC593" s="1" t="str">
        <f>IF(DW593,"","• 3 ranks in Bluff.
")&amp;IF(DX593,"","• 8 ranks in Concentration.
")&amp;IF(DY593,"","• 8 ranks in Diplomacy.
")&amp;IF(DZ593,"","• 4 ranks in Sense Motive.
")&amp;"• 3 ranks in any Perform skill including (Storytelling) (not verified)."</f>
        <v>• 3 ranks in Bluff.
• 8 ranks in Concentration.
• 8 ranks in Diplomacy.
• 4 ranks in Sense Motive.
• 3 ranks in any Perform skill including (Storytelling) (not verified).</v>
      </c>
      <c r="ED593" s="11" t="s">
        <v>335</v>
      </c>
    </row>
    <row r="594" spans="1:134" ht="11.25" customHeight="1" x14ac:dyDescent="0.2">
      <c r="A594" s="1">
        <f t="shared" si="535"/>
        <v>591</v>
      </c>
      <c r="B594" s="1" t="s">
        <v>1421</v>
      </c>
      <c r="E594" s="1">
        <f t="shared" si="517"/>
        <v>0</v>
      </c>
      <c r="F594" s="1">
        <v>1</v>
      </c>
      <c r="Z594" s="1" t="b">
        <f>FALSE</f>
        <v>0</v>
      </c>
      <c r="AA594" s="1" t="str">
        <f t="shared" si="520"/>
        <v/>
      </c>
      <c r="AB594" s="1" t="str">
        <f t="shared" si="521"/>
        <v/>
      </c>
      <c r="AC594" s="1">
        <f t="shared" si="518"/>
        <v>0</v>
      </c>
      <c r="AD594" s="1" t="str">
        <f t="shared" si="522"/>
        <v/>
      </c>
      <c r="AE594" s="1" t="str">
        <f t="shared" si="523"/>
        <v/>
      </c>
      <c r="AF594" s="1">
        <f t="shared" si="519"/>
        <v>0</v>
      </c>
      <c r="AG594" s="1">
        <f t="shared" si="509"/>
        <v>5</v>
      </c>
      <c r="AH594" s="1" t="str">
        <f t="shared" si="502"/>
        <v/>
      </c>
      <c r="EB594" s="11"/>
      <c r="ED594" s="11" t="s">
        <v>335</v>
      </c>
    </row>
    <row r="595" spans="1:134" ht="11.25" customHeight="1" x14ac:dyDescent="0.2">
      <c r="A595" s="1">
        <f t="shared" si="535"/>
        <v>592</v>
      </c>
      <c r="B595" s="1" t="s">
        <v>1422</v>
      </c>
      <c r="C595" s="1" t="s">
        <v>1423</v>
      </c>
      <c r="D595" s="1" t="s">
        <v>1423</v>
      </c>
      <c r="E595" s="1">
        <f t="shared" si="517"/>
        <v>0</v>
      </c>
      <c r="G595" s="1">
        <f>MAX(AmTLvl-1,0)</f>
        <v>0</v>
      </c>
      <c r="K595" s="1">
        <v>2</v>
      </c>
      <c r="L595" s="1">
        <v>4</v>
      </c>
      <c r="V595" s="1">
        <v>0.5</v>
      </c>
      <c r="W595" s="1">
        <v>0.34</v>
      </c>
      <c r="X595" s="1">
        <v>0.34</v>
      </c>
      <c r="Y595" s="1">
        <v>0.5</v>
      </c>
      <c r="Z595" s="1" t="b">
        <f>FALSE</f>
        <v>0</v>
      </c>
      <c r="AA595" s="1" t="str">
        <f t="shared" si="520"/>
        <v/>
      </c>
      <c r="AB595" s="1" t="str">
        <f t="shared" si="521"/>
        <v/>
      </c>
      <c r="AC595" s="1">
        <f t="shared" si="518"/>
        <v>0</v>
      </c>
      <c r="AD595" s="1" t="str">
        <f t="shared" si="522"/>
        <v/>
      </c>
      <c r="AE595" s="1" t="str">
        <f t="shared" si="523"/>
        <v/>
      </c>
      <c r="AF595" s="1">
        <f t="shared" si="519"/>
        <v>0</v>
      </c>
      <c r="AG595" s="1">
        <f t="shared" si="509"/>
        <v>5</v>
      </c>
      <c r="AH595" s="1" t="str">
        <f t="shared" ref="AH595:AH658" si="545">IF(ROW()&gt;$AG$2,"",INDEX($B$5:$B$794,MATCH(ROW(),$AG$5:$AG$794,0)))</f>
        <v/>
      </c>
      <c r="AI595" s="1">
        <v>1</v>
      </c>
      <c r="AJ595" s="1">
        <f t="shared" si="536"/>
        <v>0</v>
      </c>
      <c r="AK595" s="1">
        <v>1</v>
      </c>
      <c r="AL595" s="1">
        <v>2</v>
      </c>
      <c r="AM595" s="1">
        <v>1</v>
      </c>
      <c r="AN595" s="1">
        <f>IF(IsLycanthrope,2,0)</f>
        <v>0</v>
      </c>
      <c r="AO595" s="1">
        <v>2</v>
      </c>
      <c r="AP595" s="1">
        <v>1</v>
      </c>
      <c r="AQ595" s="1">
        <v>1</v>
      </c>
      <c r="AR595" s="1">
        <v>1</v>
      </c>
      <c r="AS595" s="1">
        <v>1</v>
      </c>
      <c r="AT595" s="1">
        <v>1</v>
      </c>
      <c r="AU595" s="1">
        <v>1</v>
      </c>
      <c r="AV595" s="1">
        <v>1</v>
      </c>
      <c r="AW595" s="1">
        <v>1</v>
      </c>
      <c r="AX595" s="1">
        <v>1</v>
      </c>
      <c r="AY595" s="1">
        <v>1</v>
      </c>
      <c r="AZ595" s="1">
        <v>1</v>
      </c>
      <c r="BA595" s="1">
        <v>1</v>
      </c>
      <c r="BB595" s="1">
        <v>1</v>
      </c>
      <c r="BC595" s="1">
        <v>1</v>
      </c>
      <c r="BD595" s="1">
        <v>1</v>
      </c>
      <c r="BE595" s="1">
        <v>1</v>
      </c>
      <c r="BF595" s="1">
        <v>1</v>
      </c>
      <c r="BG595" s="1">
        <f t="shared" si="538"/>
        <v>0</v>
      </c>
      <c r="BH595" s="1">
        <f>IF(HROA,1,0)</f>
        <v>0</v>
      </c>
      <c r="BI595" s="1">
        <v>1</v>
      </c>
      <c r="BJ595" s="1">
        <v>1</v>
      </c>
      <c r="BK595" s="1">
        <v>2</v>
      </c>
      <c r="BL595" s="1">
        <v>1</v>
      </c>
      <c r="BM595" s="1">
        <v>1</v>
      </c>
      <c r="BN595" s="1">
        <v>1</v>
      </c>
      <c r="BO595" s="1">
        <v>1</v>
      </c>
      <c r="BP595" s="1">
        <v>1</v>
      </c>
      <c r="BQ595" s="1">
        <f>IF(HRRVL,1,0)</f>
        <v>0</v>
      </c>
      <c r="BR595" s="1">
        <v>1</v>
      </c>
      <c r="BS595" s="1">
        <v>1</v>
      </c>
      <c r="BT595" s="1">
        <f>IF(HRXPH,1,0)</f>
        <v>0</v>
      </c>
      <c r="BU595" s="1">
        <f>IF(HRRVL,1,0)</f>
        <v>0</v>
      </c>
      <c r="BV595" s="1">
        <v>1</v>
      </c>
      <c r="BW595" s="1">
        <v>1</v>
      </c>
      <c r="BX595" s="1">
        <v>1</v>
      </c>
      <c r="BY595" s="1">
        <v>1</v>
      </c>
      <c r="BZ595" s="1">
        <v>1</v>
      </c>
      <c r="CA595" s="1">
        <v>1</v>
      </c>
      <c r="CB595" s="1">
        <v>1</v>
      </c>
      <c r="CC595" s="1">
        <v>1</v>
      </c>
      <c r="CD595" s="1">
        <v>1</v>
      </c>
      <c r="CE595" s="1">
        <v>1</v>
      </c>
      <c r="CF595" s="1">
        <v>1</v>
      </c>
      <c r="CG595" s="1">
        <f>IF(HRToB,1,0)</f>
        <v>0</v>
      </c>
      <c r="CH595" s="1">
        <v>1</v>
      </c>
      <c r="CI595" s="1">
        <v>1</v>
      </c>
      <c r="CJ595" s="1">
        <v>1</v>
      </c>
      <c r="CK595" s="1">
        <v>1</v>
      </c>
      <c r="CL595" s="1">
        <v>1</v>
      </c>
      <c r="CM595" s="1">
        <v>1</v>
      </c>
      <c r="CN595" s="1">
        <v>1</v>
      </c>
      <c r="CO595" s="1">
        <v>1</v>
      </c>
      <c r="CP595" s="1">
        <v>1</v>
      </c>
      <c r="CQ595" s="1">
        <v>1</v>
      </c>
      <c r="CR595" s="1">
        <v>1</v>
      </c>
      <c r="CS595" s="1">
        <v>1</v>
      </c>
      <c r="CT595" s="1">
        <v>1</v>
      </c>
      <c r="CU595" s="1">
        <v>1</v>
      </c>
      <c r="CV595" s="1">
        <f t="shared" si="541"/>
        <v>0</v>
      </c>
      <c r="CW595" s="1">
        <v>1</v>
      </c>
      <c r="CX595" s="1">
        <v>1</v>
      </c>
      <c r="CY595" s="1">
        <v>2</v>
      </c>
      <c r="CZ595" s="1">
        <f>IF(HRCS,1,0)</f>
        <v>0</v>
      </c>
      <c r="DA595" s="1">
        <v>1</v>
      </c>
      <c r="DB595" s="1">
        <v>1</v>
      </c>
      <c r="DC595" s="1">
        <v>2</v>
      </c>
      <c r="DD595" s="1">
        <v>1</v>
      </c>
      <c r="DE595" s="1">
        <v>1</v>
      </c>
      <c r="DF595" s="1">
        <v>1</v>
      </c>
      <c r="DG595" s="1">
        <v>1</v>
      </c>
      <c r="DH595" s="1">
        <v>2</v>
      </c>
      <c r="DI595" s="1">
        <f t="shared" si="543"/>
        <v>0</v>
      </c>
      <c r="DJ595" s="1">
        <v>1</v>
      </c>
      <c r="DK595" s="1" t="s">
        <v>1424</v>
      </c>
      <c r="DL595" s="1" t="s">
        <v>170</v>
      </c>
      <c r="DV595" s="1" t="b">
        <f>OR(FtEnlargeSpell,FtExtendSpell,FtSpellFocus,FtWidenSpell)</f>
        <v>0</v>
      </c>
      <c r="DW595" s="1" t="b">
        <f>OR(FtEnlargeSpell,FtExtendSpell,FtSpellFocus,FtWidenSpell)</f>
        <v>0</v>
      </c>
      <c r="DX595" s="1" t="b">
        <f>SkSpellcraftRanks&gt;8</f>
        <v>0</v>
      </c>
      <c r="DY595" s="1" t="b">
        <f>SkKnowledgeArcanaRanks&gt;8</f>
        <v>0</v>
      </c>
      <c r="DZ595" s="1" t="b">
        <f>NOT(HRLivingGreyhawk)</f>
        <v>1</v>
      </c>
      <c r="EA595" s="1" t="b">
        <f>AND(DL595:DY595)</f>
        <v>0</v>
      </c>
      <c r="EB595" s="11" t="s">
        <v>338</v>
      </c>
      <c r="EC595" s="1" t="str">
        <f>IF(DV595,"","• Any 2 Metamagic feats from the list on p.134 of BoK.
")&amp;IF(DW595,"","• Any 2 Metamagic feats from the list on p.134 of BoK..
")&amp;IF(DX595,"","• 9 ranks in Spellcraft.
")&amp;IF(DY595,"","• 9 ranks in Knowledge(arcana).
")&amp;"• Ability to cast 3rd level spells spontaneously without Divine Patronage (not verified).
• Any 1 Supernatural or Spell-like ability or 2 extra metamagic feats from the list (Not verified)."</f>
        <v>• Any 2 Metamagic feats from the list on p.134 of BoK.
• Any 2 Metamagic feats from the list on p.134 of BoK..
• 9 ranks in Spellcraft.
• 9 ranks in Knowledge(arcana).
• Ability to cast 3rd level spells spontaneously without Divine Patronage (not verified).
• Any 1 Supernatural or Spell-like ability or 2 extra metamagic feats from the list (Not verified).</v>
      </c>
      <c r="ED595" s="11" t="s">
        <v>335</v>
      </c>
    </row>
    <row r="596" spans="1:134" ht="11.25" customHeight="1" x14ac:dyDescent="0.2">
      <c r="A596" s="1">
        <f t="shared" si="535"/>
        <v>593</v>
      </c>
      <c r="B596" s="1" t="s">
        <v>1425</v>
      </c>
      <c r="C596" s="1" t="s">
        <v>1426</v>
      </c>
      <c r="D596" s="1" t="s">
        <v>1426</v>
      </c>
      <c r="E596" s="1">
        <f t="shared" si="517"/>
        <v>0</v>
      </c>
      <c r="K596" s="1">
        <v>2</v>
      </c>
      <c r="L596" s="1">
        <v>8</v>
      </c>
      <c r="V596" s="1">
        <v>0.75</v>
      </c>
      <c r="W596" s="1">
        <v>0.5</v>
      </c>
      <c r="X596" s="1">
        <v>0.34</v>
      </c>
      <c r="Y596" s="1">
        <v>0.5</v>
      </c>
      <c r="Z596" s="1" t="b">
        <f>FALSE</f>
        <v>0</v>
      </c>
      <c r="AA596" s="1" t="str">
        <f t="shared" si="520"/>
        <v/>
      </c>
      <c r="AB596" s="1" t="str">
        <f t="shared" si="521"/>
        <v/>
      </c>
      <c r="AC596" s="1">
        <f t="shared" si="518"/>
        <v>0</v>
      </c>
      <c r="AD596" s="1" t="str">
        <f t="shared" si="522"/>
        <v/>
      </c>
      <c r="AE596" s="1" t="str">
        <f t="shared" si="523"/>
        <v/>
      </c>
      <c r="AF596" s="1">
        <f t="shared" si="519"/>
        <v>0</v>
      </c>
      <c r="AG596" s="1">
        <f t="shared" si="509"/>
        <v>5</v>
      </c>
      <c r="AH596" s="1" t="str">
        <f t="shared" si="545"/>
        <v/>
      </c>
      <c r="AI596" s="1">
        <v>1</v>
      </c>
      <c r="AJ596" s="1">
        <f t="shared" si="536"/>
        <v>0</v>
      </c>
      <c r="AK596" s="1">
        <v>1</v>
      </c>
      <c r="AL596" s="1">
        <v>1</v>
      </c>
      <c r="AM596" s="1">
        <v>1</v>
      </c>
      <c r="AN596" s="1">
        <f>IF(IsLycanthrope,2,0)</f>
        <v>0</v>
      </c>
      <c r="AO596" s="1">
        <v>2</v>
      </c>
      <c r="AP596" s="1">
        <v>1</v>
      </c>
      <c r="AQ596" s="1">
        <v>1</v>
      </c>
      <c r="AR596" s="1">
        <v>1</v>
      </c>
      <c r="AS596" s="1">
        <v>1</v>
      </c>
      <c r="AT596" s="1">
        <v>1</v>
      </c>
      <c r="AU596" s="1">
        <v>1</v>
      </c>
      <c r="AV596" s="1">
        <v>1</v>
      </c>
      <c r="AW596" s="1">
        <v>1</v>
      </c>
      <c r="AX596" s="1">
        <v>2</v>
      </c>
      <c r="AY596" s="1">
        <v>1</v>
      </c>
      <c r="AZ596" s="1">
        <v>1</v>
      </c>
      <c r="BA596" s="1">
        <v>1</v>
      </c>
      <c r="BB596" s="1">
        <v>1</v>
      </c>
      <c r="BC596" s="1">
        <v>1</v>
      </c>
      <c r="BD596" s="1">
        <v>1</v>
      </c>
      <c r="BE596" s="1">
        <v>2</v>
      </c>
      <c r="BF596" s="1">
        <v>1</v>
      </c>
      <c r="BG596" s="1">
        <f t="shared" si="538"/>
        <v>0</v>
      </c>
      <c r="BH596" s="1">
        <f>IF(HROA,1,0)</f>
        <v>0</v>
      </c>
      <c r="BI596" s="1">
        <v>1</v>
      </c>
      <c r="BJ596" s="1">
        <v>1</v>
      </c>
      <c r="BK596" s="1">
        <v>1</v>
      </c>
      <c r="BL596" s="1">
        <v>1</v>
      </c>
      <c r="BM596" s="1">
        <v>1</v>
      </c>
      <c r="BN596" s="1">
        <v>1</v>
      </c>
      <c r="BO596" s="1">
        <v>2</v>
      </c>
      <c r="BP596" s="1">
        <v>1</v>
      </c>
      <c r="BQ596" s="1">
        <f>IF(HRRVL,1,0)</f>
        <v>0</v>
      </c>
      <c r="BR596" s="1">
        <v>1</v>
      </c>
      <c r="BS596" s="1">
        <v>1</v>
      </c>
      <c r="BT596" s="1">
        <f>IF(HRXPH,1,0)</f>
        <v>0</v>
      </c>
      <c r="BU596" s="1">
        <f>IF(HRRVL,1,0)</f>
        <v>0</v>
      </c>
      <c r="BV596" s="1">
        <v>2</v>
      </c>
      <c r="BW596" s="1">
        <v>1</v>
      </c>
      <c r="BX596" s="1">
        <v>1</v>
      </c>
      <c r="BY596" s="1">
        <v>1</v>
      </c>
      <c r="BZ596" s="1">
        <v>1</v>
      </c>
      <c r="CA596" s="1">
        <v>1</v>
      </c>
      <c r="CB596" s="1">
        <v>1</v>
      </c>
      <c r="CC596" s="1">
        <v>1</v>
      </c>
      <c r="CD596" s="1">
        <v>1</v>
      </c>
      <c r="CE596" s="1">
        <v>1</v>
      </c>
      <c r="CF596" s="1">
        <v>2</v>
      </c>
      <c r="CG596" s="1">
        <f>IF(HRToB,1,0)</f>
        <v>0</v>
      </c>
      <c r="CH596" s="1">
        <v>1</v>
      </c>
      <c r="CI596" s="1">
        <v>1</v>
      </c>
      <c r="CJ596" s="1">
        <v>1</v>
      </c>
      <c r="CK596" s="1">
        <v>1</v>
      </c>
      <c r="CL596" s="1">
        <v>1</v>
      </c>
      <c r="CM596" s="1">
        <v>1</v>
      </c>
      <c r="CN596" s="1">
        <v>1</v>
      </c>
      <c r="CO596" s="1">
        <v>1</v>
      </c>
      <c r="CP596" s="1">
        <v>1</v>
      </c>
      <c r="CQ596" s="1">
        <v>1</v>
      </c>
      <c r="CR596" s="1">
        <v>1</v>
      </c>
      <c r="CS596" s="1">
        <v>1</v>
      </c>
      <c r="CT596" s="1">
        <v>1</v>
      </c>
      <c r="CU596" s="1">
        <v>1</v>
      </c>
      <c r="CV596" s="1">
        <f t="shared" si="541"/>
        <v>0</v>
      </c>
      <c r="CW596" s="1">
        <v>1</v>
      </c>
      <c r="CX596" s="1">
        <v>1</v>
      </c>
      <c r="CY596" s="1">
        <v>2</v>
      </c>
      <c r="CZ596" s="1">
        <f>IF(HRCS,1,0)</f>
        <v>0</v>
      </c>
      <c r="DA596" s="1">
        <v>1</v>
      </c>
      <c r="DB596" s="1">
        <v>1</v>
      </c>
      <c r="DC596" s="1">
        <v>2</v>
      </c>
      <c r="DD596" s="1">
        <v>2</v>
      </c>
      <c r="DE596" s="1">
        <v>1</v>
      </c>
      <c r="DF596" s="1">
        <v>1</v>
      </c>
      <c r="DG596" s="1">
        <v>1</v>
      </c>
      <c r="DH596" s="1">
        <v>1</v>
      </c>
      <c r="DI596" s="1">
        <f t="shared" si="543"/>
        <v>0</v>
      </c>
      <c r="DJ596" s="1">
        <v>1</v>
      </c>
      <c r="DK596" s="1" t="s">
        <v>1424</v>
      </c>
      <c r="DL596" s="1" t="s">
        <v>170</v>
      </c>
      <c r="DP596" s="1" t="b">
        <f>MonType="Plant"</f>
        <v>0</v>
      </c>
      <c r="DQ596" s="1" t="b">
        <f>SkDiplomacyRanks&gt;5</f>
        <v>0</v>
      </c>
      <c r="DR596" s="1" t="b">
        <f>SkKnowledgeNatureRanks&gt;7</f>
        <v>0</v>
      </c>
      <c r="DS596" s="1" t="b">
        <f>SkSenseMotiveRanks&gt;7</f>
        <v>0</v>
      </c>
      <c r="DT596" s="1" t="b">
        <f>AlignmentNeutral</f>
        <v>0</v>
      </c>
      <c r="DU596" s="1" t="b">
        <f>FtIronWill</f>
        <v>0</v>
      </c>
      <c r="DV596" s="1" t="b">
        <f>FtNegotiator</f>
        <v>0</v>
      </c>
      <c r="DW596" s="1" t="b">
        <f>FtToughnessEquiv</f>
        <v>0</v>
      </c>
      <c r="DX596" s="1" t="b">
        <f>TotalDivineCasterLevel&gt;1</f>
        <v>0</v>
      </c>
      <c r="DZ596" s="1" t="b">
        <f>NOT(HRLivingGreyhawk)</f>
        <v>1</v>
      </c>
      <c r="EA596" s="1" t="b">
        <f>AND(DL596:DZ596)</f>
        <v>0</v>
      </c>
      <c r="EB596" s="11" t="s">
        <v>338</v>
      </c>
      <c r="EC596" s="1" t="str">
        <f>IF(DP596,"","• Type must be Plant.
")&amp;IF(DQ596,"","• 6 ranks in Diplomacy.
")&amp;IF(DS596,"","• 8 ranks in Sense Motive.
")&amp;IF(DR596,"","• 8 ranks in Knowledge(nature).
")&amp;IF(DT596,"","• Any Neutral alignment.
")&amp;IF(DU596,"","• Feat: Iron Will
")&amp;IF(DV596,"","• Feat: Negotiator
")&amp;IF(DW596,"","• Feat: Toughness
")&amp;IF(DX596,"","• Ability to cast 2nd level divine spells.
")&amp;"• Patron God: Zivilyn (not verified).
• Special: Must be 500 yrs. or older (Not verified)."</f>
        <v>• Type must be Plant.
• 6 ranks in Diplomacy.
• 8 ranks in Sense Motive.
• 8 ranks in Knowledge(nature).
• Any Neutral alignment.
• Feat: Iron Will
• Feat: Negotiator
• Feat: Toughness
• Ability to cast 2nd level divine spells.
• Patron God: Zivilyn (not verified).
• Special: Must be 500 yrs. or older (Not verified).</v>
      </c>
      <c r="ED596" s="11" t="s">
        <v>335</v>
      </c>
    </row>
    <row r="597" spans="1:134" ht="11.25" customHeight="1" x14ac:dyDescent="0.2">
      <c r="A597" s="1">
        <f t="shared" si="535"/>
        <v>594</v>
      </c>
      <c r="B597" s="1" t="s">
        <v>1427</v>
      </c>
      <c r="C597" s="1" t="s">
        <v>1428</v>
      </c>
      <c r="D597" s="1" t="s">
        <v>1428</v>
      </c>
      <c r="E597" s="1">
        <f t="shared" si="517"/>
        <v>0</v>
      </c>
      <c r="G597" s="1">
        <f>(1*ChChLvl&gt;0)+(1*ChChLvl&gt;2)+(1*ChChLvl&gt;4)</f>
        <v>0</v>
      </c>
      <c r="K597" s="1">
        <v>2</v>
      </c>
      <c r="L597" s="1">
        <v>8</v>
      </c>
      <c r="M597" s="1">
        <f>ChChLvl</f>
        <v>0</v>
      </c>
      <c r="V597" s="1">
        <v>0.75</v>
      </c>
      <c r="W597" s="1">
        <v>0.34</v>
      </c>
      <c r="X597" s="1">
        <v>0.34</v>
      </c>
      <c r="Y597" s="1">
        <v>0.5</v>
      </c>
      <c r="Z597" s="1" t="b">
        <f>FALSE</f>
        <v>0</v>
      </c>
      <c r="AA597" s="1" t="str">
        <f t="shared" si="520"/>
        <v/>
      </c>
      <c r="AB597" s="1" t="str">
        <f t="shared" si="521"/>
        <v/>
      </c>
      <c r="AC597" s="1">
        <f t="shared" si="518"/>
        <v>0</v>
      </c>
      <c r="AD597" s="1" t="str">
        <f t="shared" si="522"/>
        <v/>
      </c>
      <c r="AE597" s="1" t="str">
        <f t="shared" si="523"/>
        <v/>
      </c>
      <c r="AF597" s="1">
        <f t="shared" si="519"/>
        <v>0</v>
      </c>
      <c r="AG597" s="1">
        <f t="shared" ref="AG597:AG660" si="546">IF($AC597&gt;0,$AG596+1,$AG596)</f>
        <v>5</v>
      </c>
      <c r="AH597" s="1" t="str">
        <f t="shared" si="545"/>
        <v/>
      </c>
      <c r="AI597" s="1">
        <v>1</v>
      </c>
      <c r="AJ597" s="1">
        <f t="shared" si="536"/>
        <v>0</v>
      </c>
      <c r="AK597" s="1">
        <v>1</v>
      </c>
      <c r="AL597" s="1">
        <v>1</v>
      </c>
      <c r="AM597" s="1">
        <v>1</v>
      </c>
      <c r="AN597" s="1">
        <f>IF(IsLycanthrope,2,0)</f>
        <v>0</v>
      </c>
      <c r="AO597" s="1">
        <v>1</v>
      </c>
      <c r="AP597" s="1">
        <v>1</v>
      </c>
      <c r="AQ597" s="1">
        <v>1</v>
      </c>
      <c r="AR597" s="1">
        <v>1</v>
      </c>
      <c r="AS597" s="1">
        <v>1</v>
      </c>
      <c r="AT597" s="1">
        <v>1</v>
      </c>
      <c r="AU597" s="1">
        <v>1</v>
      </c>
      <c r="AV597" s="1">
        <v>1</v>
      </c>
      <c r="AW597" s="1">
        <v>1</v>
      </c>
      <c r="AX597" s="1">
        <v>1</v>
      </c>
      <c r="AY597" s="1">
        <v>1</v>
      </c>
      <c r="AZ597" s="1">
        <v>1</v>
      </c>
      <c r="BA597" s="1">
        <v>2</v>
      </c>
      <c r="BB597" s="1">
        <v>1</v>
      </c>
      <c r="BC597" s="1">
        <v>2</v>
      </c>
      <c r="BD597" s="1">
        <v>1</v>
      </c>
      <c r="BE597" s="1">
        <v>1</v>
      </c>
      <c r="BF597" s="1">
        <v>1</v>
      </c>
      <c r="BG597" s="1">
        <f t="shared" si="538"/>
        <v>0</v>
      </c>
      <c r="BH597" s="1">
        <f>IF(HROA,1,0)</f>
        <v>0</v>
      </c>
      <c r="BI597" s="1">
        <v>2</v>
      </c>
      <c r="BJ597" s="1">
        <v>1</v>
      </c>
      <c r="BK597" s="1">
        <v>1</v>
      </c>
      <c r="BL597" s="1">
        <v>1</v>
      </c>
      <c r="BM597" s="1">
        <v>1</v>
      </c>
      <c r="BN597" s="1">
        <v>1</v>
      </c>
      <c r="BO597" s="1">
        <v>1</v>
      </c>
      <c r="BP597" s="1">
        <v>1</v>
      </c>
      <c r="BQ597" s="1">
        <f>IF(HRRVL,1,0)</f>
        <v>0</v>
      </c>
      <c r="BR597" s="1">
        <v>1</v>
      </c>
      <c r="BS597" s="1">
        <v>1</v>
      </c>
      <c r="BT597" s="1">
        <f>IF(HRXPH,1,0)</f>
        <v>0</v>
      </c>
      <c r="BU597" s="1">
        <f>IF(HRRVL,1,0)</f>
        <v>0</v>
      </c>
      <c r="BV597" s="1">
        <v>2</v>
      </c>
      <c r="BW597" s="1">
        <v>1</v>
      </c>
      <c r="BX597" s="1">
        <v>1</v>
      </c>
      <c r="BY597" s="1">
        <v>1</v>
      </c>
      <c r="BZ597" s="1">
        <v>1</v>
      </c>
      <c r="CA597" s="1">
        <v>1</v>
      </c>
      <c r="CB597" s="1">
        <v>1</v>
      </c>
      <c r="CC597" s="1">
        <v>1</v>
      </c>
      <c r="CD597" s="1">
        <v>1</v>
      </c>
      <c r="CE597" s="1">
        <v>1</v>
      </c>
      <c r="CF597" s="1">
        <v>2</v>
      </c>
      <c r="CG597" s="1">
        <f>IF(HRToB,1,0)</f>
        <v>0</v>
      </c>
      <c r="CH597" s="1">
        <v>1</v>
      </c>
      <c r="CI597" s="1">
        <v>1</v>
      </c>
      <c r="CJ597" s="1">
        <v>1</v>
      </c>
      <c r="CK597" s="1">
        <v>1</v>
      </c>
      <c r="CL597" s="1">
        <v>1</v>
      </c>
      <c r="CM597" s="1">
        <v>1</v>
      </c>
      <c r="CN597" s="1">
        <v>1</v>
      </c>
      <c r="CO597" s="1">
        <v>1</v>
      </c>
      <c r="CP597" s="1">
        <v>1</v>
      </c>
      <c r="CQ597" s="1">
        <v>1</v>
      </c>
      <c r="CR597" s="1">
        <v>1</v>
      </c>
      <c r="CS597" s="1">
        <v>1</v>
      </c>
      <c r="CT597" s="1">
        <v>1</v>
      </c>
      <c r="CU597" s="1">
        <v>1</v>
      </c>
      <c r="CV597" s="1">
        <f t="shared" si="541"/>
        <v>0</v>
      </c>
      <c r="CW597" s="1">
        <v>1</v>
      </c>
      <c r="CX597" s="1">
        <v>2</v>
      </c>
      <c r="CY597" s="1">
        <v>2</v>
      </c>
      <c r="CZ597" s="1">
        <f>IF(HRCS,1,0)</f>
        <v>0</v>
      </c>
      <c r="DA597" s="1">
        <v>1</v>
      </c>
      <c r="DB597" s="1">
        <v>1</v>
      </c>
      <c r="DC597" s="1">
        <v>1</v>
      </c>
      <c r="DD597" s="1">
        <v>2</v>
      </c>
      <c r="DE597" s="1">
        <v>1</v>
      </c>
      <c r="DF597" s="1">
        <v>1</v>
      </c>
      <c r="DG597" s="1">
        <v>1</v>
      </c>
      <c r="DH597" s="1">
        <v>1</v>
      </c>
      <c r="DI597" s="1">
        <f t="shared" si="543"/>
        <v>0</v>
      </c>
      <c r="DJ597" s="1">
        <v>1</v>
      </c>
      <c r="DK597" s="1" t="s">
        <v>1424</v>
      </c>
      <c r="DL597" s="1" t="s">
        <v>170</v>
      </c>
      <c r="DT597" s="1" t="b">
        <f>AND(MonType="Undead",IncorporealSubtype="")</f>
        <v>0</v>
      </c>
      <c r="DU597" s="1" t="b">
        <f>AlignmentEvil</f>
        <v>0</v>
      </c>
      <c r="DV597" s="1" t="b">
        <f>SkKnowledgeReligionRanks&gt;3</f>
        <v>0</v>
      </c>
      <c r="DW597" s="1" t="b">
        <f>SkSenseMotiveRanks&gt;3</f>
        <v>0</v>
      </c>
      <c r="DX597" s="1" t="b">
        <f>TotalDivineCasterLevel&gt;0</f>
        <v>0</v>
      </c>
      <c r="DY597" s="1" t="b">
        <f>OR(ClrDomain1="Death",ClrDomain2="Death",ClrDomain3="Death",ClrDomain4="Death",ClrDomain5="Death",ClrDomain6="Death")</f>
        <v>0</v>
      </c>
      <c r="DZ597" s="1" t="b">
        <f>NOT(HRLivingGreyhawk)</f>
        <v>1</v>
      </c>
      <c r="EA597" s="1" t="b">
        <f>AND(DL597:DZ597)</f>
        <v>0</v>
      </c>
      <c r="EB597" s="11" t="s">
        <v>338</v>
      </c>
      <c r="EC597" s="1" t="str">
        <f>IF(DT597,"","• Corporeal Undead.
")&amp;IF(DU597,"","• Any evil alignment.
")&amp;IF(DV597,"","• 4 ranks in Knowledge(religion).
")&amp;IF(DW597,"","• 4 ranks in Sense Motive.
")&amp;IF(DX597,"","• Able to cast 1st level Divine spells.
")&amp;IF(DY597,"","• Must have access to the Death domain.
")&amp;"• Must have been contacted by Chemosh and brought into his service (not verified)."</f>
        <v>• Corporeal Undead.
• Any evil alignment.
• 4 ranks in Knowledge(religion).
• 4 ranks in Sense Motive.
• Able to cast 1st level Divine spells.
• Must have access to the Death domain.
• Must have been contacted by Chemosh and brought into his service (not verified).</v>
      </c>
      <c r="ED597" s="11" t="s">
        <v>335</v>
      </c>
    </row>
    <row r="598" spans="1:134" ht="11.25" customHeight="1" x14ac:dyDescent="0.2">
      <c r="A598" s="1">
        <f t="shared" si="535"/>
        <v>595</v>
      </c>
      <c r="B598" s="1" t="s">
        <v>1429</v>
      </c>
      <c r="C598" s="1" t="s">
        <v>589</v>
      </c>
      <c r="D598" s="1" t="s">
        <v>589</v>
      </c>
      <c r="E598" s="1">
        <f t="shared" si="517"/>
        <v>0</v>
      </c>
      <c r="K598" s="1">
        <v>2</v>
      </c>
      <c r="L598" s="1">
        <v>10</v>
      </c>
      <c r="N598" s="1" t="b">
        <v>1</v>
      </c>
      <c r="O598" s="1" t="b">
        <v>1</v>
      </c>
      <c r="P598" s="1" t="b">
        <v>1</v>
      </c>
      <c r="Q598" s="1" t="b">
        <v>1</v>
      </c>
      <c r="R598" s="1" t="b">
        <v>1</v>
      </c>
      <c r="S598" s="1" t="b">
        <v>1</v>
      </c>
      <c r="T598" s="1" t="b">
        <v>1</v>
      </c>
      <c r="V598" s="1">
        <v>1</v>
      </c>
      <c r="W598" s="1">
        <v>0.5</v>
      </c>
      <c r="X598" s="1">
        <v>0.34</v>
      </c>
      <c r="Y598" s="1">
        <v>0.5</v>
      </c>
      <c r="Z598" s="1" t="b">
        <f>FALSE</f>
        <v>0</v>
      </c>
      <c r="AA598" s="1" t="str">
        <f t="shared" si="520"/>
        <v/>
      </c>
      <c r="AB598" s="1" t="str">
        <f t="shared" si="521"/>
        <v/>
      </c>
      <c r="AC598" s="1">
        <f t="shared" si="518"/>
        <v>0</v>
      </c>
      <c r="AD598" s="1" t="str">
        <f t="shared" si="522"/>
        <v/>
      </c>
      <c r="AE598" s="1" t="str">
        <f t="shared" si="523"/>
        <v/>
      </c>
      <c r="AF598" s="1">
        <f t="shared" si="519"/>
        <v>0</v>
      </c>
      <c r="AG598" s="1">
        <f t="shared" si="546"/>
        <v>5</v>
      </c>
      <c r="AH598" s="1" t="str">
        <f t="shared" si="545"/>
        <v/>
      </c>
      <c r="AI598" s="1">
        <v>1</v>
      </c>
      <c r="AJ598" s="1">
        <f t="shared" si="536"/>
        <v>0</v>
      </c>
      <c r="AK598" s="1">
        <v>1</v>
      </c>
      <c r="AL598" s="1">
        <v>1</v>
      </c>
      <c r="AM598" s="1">
        <v>2</v>
      </c>
      <c r="AN598" s="1">
        <f>IF(IsLycanthrope,2,0)</f>
        <v>0</v>
      </c>
      <c r="AO598" s="1">
        <v>1</v>
      </c>
      <c r="AP598" s="1">
        <v>1</v>
      </c>
      <c r="AQ598" s="1">
        <v>1</v>
      </c>
      <c r="AR598" s="1">
        <v>1</v>
      </c>
      <c r="AS598" s="1">
        <v>1</v>
      </c>
      <c r="AT598" s="1">
        <v>1</v>
      </c>
      <c r="AU598" s="1">
        <v>1</v>
      </c>
      <c r="AV598" s="1">
        <v>1</v>
      </c>
      <c r="AW598" s="1">
        <v>1</v>
      </c>
      <c r="AX598" s="1">
        <v>1</v>
      </c>
      <c r="AY598" s="1">
        <v>1</v>
      </c>
      <c r="AZ598" s="1">
        <v>1</v>
      </c>
      <c r="BA598" s="1">
        <v>1</v>
      </c>
      <c r="BB598" s="1">
        <v>1</v>
      </c>
      <c r="BC598" s="1">
        <v>1</v>
      </c>
      <c r="BD598" s="1">
        <v>1</v>
      </c>
      <c r="BE598" s="1">
        <v>1</v>
      </c>
      <c r="BF598" s="1">
        <v>1</v>
      </c>
      <c r="BG598" s="1">
        <f t="shared" si="538"/>
        <v>0</v>
      </c>
      <c r="BH598" s="1">
        <f>IF(HROA,1,0)</f>
        <v>0</v>
      </c>
      <c r="BI598" s="1">
        <v>2</v>
      </c>
      <c r="BJ598" s="1">
        <v>1</v>
      </c>
      <c r="BK598" s="1">
        <v>1</v>
      </c>
      <c r="BL598" s="1">
        <v>1</v>
      </c>
      <c r="BM598" s="1">
        <v>1</v>
      </c>
      <c r="BN598" s="1">
        <v>1</v>
      </c>
      <c r="BO598" s="1">
        <v>1</v>
      </c>
      <c r="BP598" s="1">
        <v>1</v>
      </c>
      <c r="BQ598" s="1">
        <f>IF(HRRVL,1,0)</f>
        <v>0</v>
      </c>
      <c r="BR598" s="1">
        <v>1</v>
      </c>
      <c r="BS598" s="1">
        <v>1</v>
      </c>
      <c r="BT598" s="1">
        <f>IF(HRXPH,1,0)</f>
        <v>0</v>
      </c>
      <c r="BU598" s="1">
        <f>IF(HRRVL,1,0)</f>
        <v>0</v>
      </c>
      <c r="BV598" s="1">
        <v>1</v>
      </c>
      <c r="BW598" s="1">
        <v>2</v>
      </c>
      <c r="BX598" s="1">
        <v>1</v>
      </c>
      <c r="BY598" s="1">
        <v>1</v>
      </c>
      <c r="BZ598" s="1">
        <v>1</v>
      </c>
      <c r="CA598" s="1">
        <v>1</v>
      </c>
      <c r="CB598" s="1">
        <v>1</v>
      </c>
      <c r="CC598" s="1">
        <v>1</v>
      </c>
      <c r="CD598" s="1">
        <v>1</v>
      </c>
      <c r="CE598" s="1">
        <v>1</v>
      </c>
      <c r="CF598" s="1">
        <v>2</v>
      </c>
      <c r="CG598" s="1">
        <f>IF(HRToB,1,0)</f>
        <v>0</v>
      </c>
      <c r="CH598" s="1">
        <v>1</v>
      </c>
      <c r="CI598" s="1">
        <v>1</v>
      </c>
      <c r="CJ598" s="1">
        <v>1</v>
      </c>
      <c r="CK598" s="1">
        <v>1</v>
      </c>
      <c r="CL598" s="1">
        <v>1</v>
      </c>
      <c r="CM598" s="1">
        <v>1</v>
      </c>
      <c r="CN598" s="1">
        <v>1</v>
      </c>
      <c r="CO598" s="1">
        <v>1</v>
      </c>
      <c r="CP598" s="1">
        <v>1</v>
      </c>
      <c r="CQ598" s="1">
        <v>1</v>
      </c>
      <c r="CR598" s="1">
        <v>1</v>
      </c>
      <c r="CS598" s="1">
        <v>1</v>
      </c>
      <c r="CT598" s="1">
        <v>1</v>
      </c>
      <c r="CU598" s="1">
        <v>1</v>
      </c>
      <c r="CV598" s="1">
        <f t="shared" si="541"/>
        <v>0</v>
      </c>
      <c r="CW598" s="1">
        <v>2</v>
      </c>
      <c r="CX598" s="1">
        <v>1</v>
      </c>
      <c r="CY598" s="1">
        <v>2</v>
      </c>
      <c r="CZ598" s="1">
        <f>IF(HRCS,1,0)</f>
        <v>0</v>
      </c>
      <c r="DA598" s="1">
        <v>1</v>
      </c>
      <c r="DB598" s="1">
        <v>1</v>
      </c>
      <c r="DC598" s="1">
        <v>1</v>
      </c>
      <c r="DD598" s="1">
        <v>2</v>
      </c>
      <c r="DE598" s="1">
        <v>1</v>
      </c>
      <c r="DF598" s="1">
        <v>1</v>
      </c>
      <c r="DG598" s="1">
        <v>1</v>
      </c>
      <c r="DH598" s="1">
        <v>1</v>
      </c>
      <c r="DI598" s="1">
        <f t="shared" si="543"/>
        <v>0</v>
      </c>
      <c r="DJ598" s="1">
        <v>1</v>
      </c>
      <c r="DK598" s="1" t="s">
        <v>1424</v>
      </c>
      <c r="DL598" s="1" t="s">
        <v>170</v>
      </c>
      <c r="DU598" s="1" t="b">
        <f>AND(AlignmentChaotic,AlignmentEvil)</f>
        <v>0</v>
      </c>
      <c r="DV598" s="1" t="b">
        <f>BaseAtk&gt;6</f>
        <v>0</v>
      </c>
      <c r="DW598" s="1" t="b">
        <f>FtPowerAttackEquiv</f>
        <v>0</v>
      </c>
      <c r="DX598" s="1" t="b">
        <f>FtImprovedSunder</f>
        <v>0</v>
      </c>
      <c r="DY598" s="1" t="b">
        <f>SkIntimidateRanks&gt;9</f>
        <v>0</v>
      </c>
      <c r="DZ598" s="1" t="b">
        <f>NOT(HRLivingGreyhawk)</f>
        <v>1</v>
      </c>
      <c r="EA598" s="1" t="b">
        <f>AND(DL598:DZ598)</f>
        <v>0</v>
      </c>
      <c r="EB598" s="11" t="s">
        <v>338</v>
      </c>
      <c r="EC598" s="1" t="str">
        <f>IF(DU598,"","• Chaotic Evil
")&amp;IF(DV598,"","• BAB +7.
")&amp;IF(DW598,"","•Feat: Power Attack.
")&amp;IF(DX598,"","• Feat: Improved Sunder.
")&amp;IF(DY598,"","• 10 ranks in Intimidate.
")&amp;"• Must have killed 1 creature out of mindless rage, anger, or purely for the sake of ending its life (not verified)."</f>
        <v>• Chaotic Evil
• BAB +7.
•Feat: Power Attack.
• Feat: Improved Sunder.
• 10 ranks in Intimidate.
• Must have killed 1 creature out of mindless rage, anger, or purely for the sake of ending its life (not verified).</v>
      </c>
      <c r="ED598" s="11" t="s">
        <v>335</v>
      </c>
    </row>
    <row r="599" spans="1:134" ht="11.25" customHeight="1" x14ac:dyDescent="0.2">
      <c r="A599" s="1">
        <f t="shared" si="535"/>
        <v>596</v>
      </c>
      <c r="B599" s="1" t="s">
        <v>1430</v>
      </c>
      <c r="E599" s="1">
        <f t="shared" si="517"/>
        <v>0</v>
      </c>
      <c r="F599" s="1">
        <v>1</v>
      </c>
      <c r="Z599" s="1" t="b">
        <f>FALSE</f>
        <v>0</v>
      </c>
      <c r="AA599" s="1" t="str">
        <f t="shared" si="520"/>
        <v/>
      </c>
      <c r="AB599" s="1" t="str">
        <f t="shared" si="521"/>
        <v/>
      </c>
      <c r="AC599" s="1">
        <f t="shared" si="518"/>
        <v>0</v>
      </c>
      <c r="AD599" s="1" t="str">
        <f t="shared" si="522"/>
        <v/>
      </c>
      <c r="AE599" s="1" t="str">
        <f t="shared" si="523"/>
        <v/>
      </c>
      <c r="AF599" s="1">
        <f t="shared" si="519"/>
        <v>0</v>
      </c>
      <c r="AG599" s="1">
        <f t="shared" si="546"/>
        <v>5</v>
      </c>
      <c r="AH599" s="1" t="str">
        <f t="shared" si="545"/>
        <v/>
      </c>
      <c r="EB599" s="11"/>
      <c r="ED599" s="11" t="s">
        <v>335</v>
      </c>
    </row>
    <row r="600" spans="1:134" ht="11.25" customHeight="1" x14ac:dyDescent="0.2">
      <c r="A600" s="1">
        <f t="shared" si="535"/>
        <v>597</v>
      </c>
      <c r="B600" s="1" t="s">
        <v>1431</v>
      </c>
      <c r="C600" s="1" t="s">
        <v>1432</v>
      </c>
      <c r="D600" s="1" t="s">
        <v>1432</v>
      </c>
      <c r="E600" s="1">
        <f t="shared" si="517"/>
        <v>0</v>
      </c>
      <c r="G600" s="1">
        <f>AcSLvl</f>
        <v>0</v>
      </c>
      <c r="K600" s="1">
        <v>2</v>
      </c>
      <c r="L600" s="1">
        <v>4</v>
      </c>
      <c r="V600" s="1">
        <v>0.5</v>
      </c>
      <c r="W600" s="1">
        <v>0.34</v>
      </c>
      <c r="X600" s="1">
        <v>0.34</v>
      </c>
      <c r="Y600" s="1">
        <v>0.5</v>
      </c>
      <c r="Z600" s="1" t="b">
        <f>FALSE</f>
        <v>0</v>
      </c>
      <c r="AA600" s="1" t="str">
        <f t="shared" si="520"/>
        <v/>
      </c>
      <c r="AB600" s="1" t="str">
        <f t="shared" si="521"/>
        <v/>
      </c>
      <c r="AC600" s="1">
        <f t="shared" si="518"/>
        <v>0</v>
      </c>
      <c r="AD600" s="1" t="str">
        <f t="shared" si="522"/>
        <v/>
      </c>
      <c r="AE600" s="1" t="str">
        <f t="shared" si="523"/>
        <v/>
      </c>
      <c r="AF600" s="1">
        <f t="shared" si="519"/>
        <v>0</v>
      </c>
      <c r="AG600" s="1">
        <f t="shared" si="546"/>
        <v>5</v>
      </c>
      <c r="AH600" s="1" t="str">
        <f t="shared" si="545"/>
        <v/>
      </c>
      <c r="AI600" s="1">
        <v>1</v>
      </c>
      <c r="AJ600" s="1">
        <f t="shared" si="536"/>
        <v>0</v>
      </c>
      <c r="AK600" s="1">
        <v>1</v>
      </c>
      <c r="AL600" s="1">
        <v>1</v>
      </c>
      <c r="AM600" s="1">
        <v>1</v>
      </c>
      <c r="AN600" s="1">
        <f t="shared" ref="AN600:AN611" si="547">IF(IsLycanthrope,2,0)</f>
        <v>0</v>
      </c>
      <c r="AO600" s="1">
        <v>2</v>
      </c>
      <c r="AP600" s="1">
        <v>2</v>
      </c>
      <c r="AQ600" s="1">
        <v>2</v>
      </c>
      <c r="AR600" s="1">
        <v>2</v>
      </c>
      <c r="AS600" s="1">
        <v>2</v>
      </c>
      <c r="AT600" s="1">
        <v>2</v>
      </c>
      <c r="AU600" s="1">
        <v>2</v>
      </c>
      <c r="AV600" s="1">
        <v>2</v>
      </c>
      <c r="AW600" s="1">
        <v>2</v>
      </c>
      <c r="AX600" s="1">
        <v>1</v>
      </c>
      <c r="AY600" s="1">
        <v>1</v>
      </c>
      <c r="AZ600" s="1">
        <v>1</v>
      </c>
      <c r="BA600" s="1">
        <v>1</v>
      </c>
      <c r="BB600" s="1">
        <v>1</v>
      </c>
      <c r="BC600" s="1">
        <v>1</v>
      </c>
      <c r="BD600" s="1">
        <v>1</v>
      </c>
      <c r="BE600" s="1">
        <v>1</v>
      </c>
      <c r="BF600" s="1">
        <v>1</v>
      </c>
      <c r="BG600" s="1">
        <f t="shared" si="538"/>
        <v>0</v>
      </c>
      <c r="BH600" s="1">
        <f t="shared" ref="BH600:BH611" si="548">IF(HROA,1,0)</f>
        <v>0</v>
      </c>
      <c r="BI600" s="1">
        <v>1</v>
      </c>
      <c r="BJ600" s="1">
        <v>1</v>
      </c>
      <c r="BK600" s="1">
        <v>2</v>
      </c>
      <c r="BL600" s="1">
        <v>1</v>
      </c>
      <c r="BM600" s="1">
        <v>1</v>
      </c>
      <c r="BN600" s="1">
        <v>1</v>
      </c>
      <c r="BO600" s="1">
        <v>1</v>
      </c>
      <c r="BP600" s="1">
        <v>1</v>
      </c>
      <c r="BQ600" s="1">
        <f t="shared" ref="BQ600:BQ611" si="549">IF(HRRVL,1,0)</f>
        <v>0</v>
      </c>
      <c r="BR600" s="1">
        <v>1</v>
      </c>
      <c r="BS600" s="1">
        <v>1</v>
      </c>
      <c r="BT600" s="1">
        <f t="shared" ref="BT600:BT634" si="550">IF(HRXPH,1,0)</f>
        <v>0</v>
      </c>
      <c r="BU600" s="1">
        <f t="shared" ref="BU600:BU634" si="551">IF(HRRVL,1,0)</f>
        <v>0</v>
      </c>
      <c r="BV600" s="1">
        <v>1</v>
      </c>
      <c r="BW600" s="1">
        <v>1</v>
      </c>
      <c r="BX600" s="1">
        <v>1</v>
      </c>
      <c r="BY600" s="1">
        <v>1</v>
      </c>
      <c r="BZ600" s="1">
        <v>1</v>
      </c>
      <c r="CA600" s="1">
        <v>1</v>
      </c>
      <c r="CB600" s="1">
        <v>1</v>
      </c>
      <c r="CC600" s="1">
        <v>1</v>
      </c>
      <c r="CD600" s="1">
        <v>1</v>
      </c>
      <c r="CE600" s="1">
        <v>1</v>
      </c>
      <c r="CF600" s="1">
        <v>1</v>
      </c>
      <c r="CG600" s="1">
        <f t="shared" ref="CG600:CG634" si="552">IF(HRToB,1,0)</f>
        <v>0</v>
      </c>
      <c r="CH600" s="1">
        <v>1</v>
      </c>
      <c r="CI600" s="1">
        <v>1</v>
      </c>
      <c r="CJ600" s="1">
        <v>1</v>
      </c>
      <c r="CK600" s="1">
        <v>1</v>
      </c>
      <c r="CL600" s="1">
        <v>1</v>
      </c>
      <c r="CM600" s="1">
        <v>1</v>
      </c>
      <c r="CN600" s="1">
        <v>1</v>
      </c>
      <c r="CO600" s="1">
        <v>1</v>
      </c>
      <c r="CP600" s="1">
        <v>1</v>
      </c>
      <c r="CQ600" s="1">
        <v>1</v>
      </c>
      <c r="CR600" s="1">
        <v>1</v>
      </c>
      <c r="CS600" s="1">
        <v>1</v>
      </c>
      <c r="CT600" s="1">
        <v>1</v>
      </c>
      <c r="CU600" s="1">
        <v>1</v>
      </c>
      <c r="CV600" s="1">
        <f t="shared" si="541"/>
        <v>0</v>
      </c>
      <c r="CW600" s="1">
        <v>1</v>
      </c>
      <c r="CX600" s="1">
        <f>IF(AND(AcSLvl&gt;0,COUNTIF(ArcaneThesis,4)&gt;=1),2,1)</f>
        <v>1</v>
      </c>
      <c r="CY600" s="1">
        <v>1</v>
      </c>
      <c r="CZ600" s="1">
        <f t="shared" ref="CZ600:CZ634" si="553">IF(HRCS,1,0)</f>
        <v>0</v>
      </c>
      <c r="DA600" s="1">
        <v>1</v>
      </c>
      <c r="DB600" s="1">
        <v>1</v>
      </c>
      <c r="DC600" s="1">
        <v>2</v>
      </c>
      <c r="DD600" s="1">
        <v>1</v>
      </c>
      <c r="DE600" s="1">
        <v>1</v>
      </c>
      <c r="DF600" s="1">
        <v>1</v>
      </c>
      <c r="DG600" s="1">
        <v>1</v>
      </c>
      <c r="DH600" s="1">
        <v>2</v>
      </c>
      <c r="DI600" s="1">
        <f t="shared" si="543"/>
        <v>0</v>
      </c>
      <c r="DJ600" s="1">
        <v>1</v>
      </c>
      <c r="DK600" s="1" t="s">
        <v>305</v>
      </c>
      <c r="DL600" s="1" t="s">
        <v>170</v>
      </c>
      <c r="DV600" s="1" t="b">
        <f>AlignmentNonEvil</f>
        <v>1</v>
      </c>
      <c r="DW600" s="1" t="b">
        <f>SkSpellcraftRanks&gt;7</f>
        <v>0</v>
      </c>
      <c r="DX600" s="1" t="b">
        <f>SkKnowledgeArcanaRanks&gt;7</f>
        <v>0</v>
      </c>
      <c r="DY600" s="1" t="b">
        <f>MagicFeats&gt;1</f>
        <v>0</v>
      </c>
      <c r="DZ600" s="1" t="b">
        <f t="shared" ref="DZ600:DZ634" si="554">NOT(HRLivingGreyhawk)</f>
        <v>1</v>
      </c>
      <c r="EA600" s="1" t="b">
        <f t="shared" ref="EA600:EA611" si="555">AND(DL600:DZ600)</f>
        <v>0</v>
      </c>
      <c r="EB600" s="11" t="s">
        <v>338</v>
      </c>
      <c r="EC600" s="1" t="str">
        <f>IF(DV600,"","• Any non-Evil alignment.
")&amp;IF(DW600,"","• 8 ranks inSpellcraft
")&amp;IF(DX600,"","• 8 ranks in Knowledge(arcana)
")&amp;IF(DY600,"","• Any 2 metamagic or item creation feats
")&amp;"• Ability to cast 2nd level arcane spells without preperation (Not Verified).
• Accepted into the Academy of Sorcery or a secondary school of magic with a willing mentor(not verified)."</f>
        <v>• 8 ranks inSpellcraft
• 8 ranks in Knowledge(arcana)
• Any 2 metamagic or item creation feats
• Ability to cast 2nd level arcane spells without preperation (Not Verified).
• Accepted into the Academy of Sorcery or a secondary school of magic with a willing mentor(not verified).</v>
      </c>
      <c r="ED600" s="11" t="s">
        <v>335</v>
      </c>
    </row>
    <row r="601" spans="1:134" ht="11.25" customHeight="1" x14ac:dyDescent="0.2">
      <c r="A601" s="1">
        <f t="shared" si="535"/>
        <v>598</v>
      </c>
      <c r="B601" s="1" t="s">
        <v>1433</v>
      </c>
      <c r="C601" s="1" t="s">
        <v>1434</v>
      </c>
      <c r="D601" s="1" t="s">
        <v>1434</v>
      </c>
      <c r="E601" s="1">
        <f t="shared" si="517"/>
        <v>0</v>
      </c>
      <c r="G601" s="1">
        <f>CMyLvl</f>
        <v>0</v>
      </c>
      <c r="K601" s="1">
        <v>2</v>
      </c>
      <c r="L601" s="1">
        <v>8</v>
      </c>
      <c r="V601" s="1">
        <v>0.75</v>
      </c>
      <c r="W601" s="1">
        <v>0.5</v>
      </c>
      <c r="X601" s="1">
        <v>0.34</v>
      </c>
      <c r="Y601" s="1">
        <v>0.5</v>
      </c>
      <c r="Z601" s="1" t="b">
        <f>FALSE</f>
        <v>0</v>
      </c>
      <c r="AA601" s="1" t="str">
        <f t="shared" si="520"/>
        <v/>
      </c>
      <c r="AB601" s="1" t="str">
        <f t="shared" si="521"/>
        <v/>
      </c>
      <c r="AC601" s="1">
        <f t="shared" si="518"/>
        <v>0</v>
      </c>
      <c r="AD601" s="1" t="str">
        <f t="shared" si="522"/>
        <v/>
      </c>
      <c r="AE601" s="1" t="str">
        <f t="shared" si="523"/>
        <v/>
      </c>
      <c r="AF601" s="1">
        <f t="shared" si="519"/>
        <v>0</v>
      </c>
      <c r="AG601" s="1">
        <f t="shared" si="546"/>
        <v>5</v>
      </c>
      <c r="AH601" s="1" t="str">
        <f t="shared" si="545"/>
        <v/>
      </c>
      <c r="AI601" s="1">
        <v>1</v>
      </c>
      <c r="AJ601" s="1">
        <f t="shared" si="536"/>
        <v>0</v>
      </c>
      <c r="AK601" s="1">
        <v>1</v>
      </c>
      <c r="AL601" s="1">
        <v>1</v>
      </c>
      <c r="AM601" s="1">
        <v>1</v>
      </c>
      <c r="AN601" s="1">
        <f t="shared" si="547"/>
        <v>0</v>
      </c>
      <c r="AO601" s="1">
        <v>2</v>
      </c>
      <c r="AP601" s="1">
        <v>2</v>
      </c>
      <c r="AQ601" s="1">
        <v>2</v>
      </c>
      <c r="AR601" s="1">
        <v>2</v>
      </c>
      <c r="AS601" s="1">
        <v>2</v>
      </c>
      <c r="AT601" s="1">
        <v>2</v>
      </c>
      <c r="AU601" s="1">
        <v>2</v>
      </c>
      <c r="AV601" s="1">
        <v>2</v>
      </c>
      <c r="AW601" s="1">
        <v>1</v>
      </c>
      <c r="AX601" s="1">
        <v>2</v>
      </c>
      <c r="AY601" s="1">
        <v>1</v>
      </c>
      <c r="AZ601" s="1">
        <v>1</v>
      </c>
      <c r="BA601" s="1">
        <v>1</v>
      </c>
      <c r="BB601" s="1">
        <v>1</v>
      </c>
      <c r="BC601" s="1">
        <v>1</v>
      </c>
      <c r="BD601" s="1">
        <v>1</v>
      </c>
      <c r="BE601" s="1">
        <v>2</v>
      </c>
      <c r="BF601" s="1">
        <v>1</v>
      </c>
      <c r="BG601" s="1">
        <f t="shared" si="538"/>
        <v>0</v>
      </c>
      <c r="BH601" s="1">
        <f t="shared" si="548"/>
        <v>0</v>
      </c>
      <c r="BI601" s="1">
        <v>1</v>
      </c>
      <c r="BJ601" s="1">
        <v>1</v>
      </c>
      <c r="BK601" s="1">
        <v>1</v>
      </c>
      <c r="BL601" s="1">
        <v>1</v>
      </c>
      <c r="BM601" s="1">
        <v>1</v>
      </c>
      <c r="BN601" s="1">
        <v>1</v>
      </c>
      <c r="BO601" s="1">
        <v>1</v>
      </c>
      <c r="BP601" s="1">
        <v>1</v>
      </c>
      <c r="BQ601" s="1">
        <f t="shared" si="549"/>
        <v>0</v>
      </c>
      <c r="BR601" s="1">
        <v>1</v>
      </c>
      <c r="BS601" s="1">
        <v>1</v>
      </c>
      <c r="BT601" s="1">
        <f t="shared" si="550"/>
        <v>0</v>
      </c>
      <c r="BU601" s="1">
        <f t="shared" si="551"/>
        <v>0</v>
      </c>
      <c r="BV601" s="1">
        <v>2</v>
      </c>
      <c r="BW601" s="1">
        <v>1</v>
      </c>
      <c r="BX601" s="1">
        <v>1</v>
      </c>
      <c r="BY601" s="1">
        <v>1</v>
      </c>
      <c r="BZ601" s="1">
        <v>1</v>
      </c>
      <c r="CA601" s="1">
        <v>1</v>
      </c>
      <c r="CB601" s="1">
        <v>1</v>
      </c>
      <c r="CC601" s="1">
        <v>1</v>
      </c>
      <c r="CD601" s="1">
        <v>1</v>
      </c>
      <c r="CE601" s="1">
        <v>1</v>
      </c>
      <c r="CF601" s="1">
        <v>1</v>
      </c>
      <c r="CG601" s="1">
        <f t="shared" si="552"/>
        <v>0</v>
      </c>
      <c r="CH601" s="1">
        <v>1</v>
      </c>
      <c r="CI601" s="1">
        <v>1</v>
      </c>
      <c r="CJ601" s="1">
        <v>1</v>
      </c>
      <c r="CK601" s="1">
        <v>1</v>
      </c>
      <c r="CL601" s="1">
        <v>1</v>
      </c>
      <c r="CM601" s="1">
        <v>1</v>
      </c>
      <c r="CN601" s="1">
        <v>1</v>
      </c>
      <c r="CO601" s="1">
        <v>1</v>
      </c>
      <c r="CP601" s="1">
        <v>1</v>
      </c>
      <c r="CQ601" s="1">
        <v>1</v>
      </c>
      <c r="CR601" s="1">
        <v>1</v>
      </c>
      <c r="CS601" s="1">
        <v>1</v>
      </c>
      <c r="CT601" s="1">
        <v>1</v>
      </c>
      <c r="CU601" s="1">
        <v>1</v>
      </c>
      <c r="CV601" s="1">
        <f t="shared" si="541"/>
        <v>0</v>
      </c>
      <c r="CW601" s="1">
        <v>1</v>
      </c>
      <c r="CX601" s="1">
        <v>1</v>
      </c>
      <c r="CY601" s="1">
        <v>2</v>
      </c>
      <c r="CZ601" s="1">
        <f t="shared" si="553"/>
        <v>0</v>
      </c>
      <c r="DA601" s="1">
        <v>1</v>
      </c>
      <c r="DB601" s="1">
        <v>1</v>
      </c>
      <c r="DC601" s="1">
        <v>2</v>
      </c>
      <c r="DD601" s="1">
        <v>1</v>
      </c>
      <c r="DE601" s="1">
        <v>1</v>
      </c>
      <c r="DF601" s="1">
        <v>1</v>
      </c>
      <c r="DG601" s="1">
        <v>1</v>
      </c>
      <c r="DH601" s="1">
        <v>1</v>
      </c>
      <c r="DI601" s="1">
        <f t="shared" si="543"/>
        <v>0</v>
      </c>
      <c r="DJ601" s="1">
        <v>1</v>
      </c>
      <c r="DK601" s="1" t="s">
        <v>305</v>
      </c>
      <c r="DL601" s="1" t="s">
        <v>170</v>
      </c>
      <c r="DU601" s="1" t="b">
        <f>AlignmentGood</f>
        <v>1</v>
      </c>
      <c r="DV601" s="1" t="b">
        <f>BaseWill&gt;3</f>
        <v>0</v>
      </c>
      <c r="DW601" s="1" t="b">
        <f>SkHealRanks&gt;7</f>
        <v>0</v>
      </c>
      <c r="DX601" s="1" t="b">
        <f>SkKnowledgeReligionRanks&gt;7</f>
        <v>0</v>
      </c>
      <c r="DY601" s="1" t="b">
        <f>SkDiplomacyRanks&gt;3</f>
        <v>0</v>
      </c>
      <c r="DZ601" s="1" t="b">
        <f t="shared" si="554"/>
        <v>1</v>
      </c>
      <c r="EA601" s="1" t="b">
        <f t="shared" si="555"/>
        <v>0</v>
      </c>
      <c r="EB601" s="11" t="s">
        <v>338</v>
      </c>
      <c r="EC601" s="1" t="str">
        <f>IF(DU601,"","• Any Good Alignment
")&amp;IF(DV601,"","• Base Will save +4.
")&amp;IF(DW601,"","• 8 ranks in Heal.
")&amp;IF(DX601,"","• 8 ranks in Knowledge(religion).
")&amp;IF(DY601,"","• 4 ranks in Diplomacy.
")&amp;"• Ability to cast 2nd level divine spells including at least 2 spells from the Conjuration(Healing) subschool (not verified).
• Must have graduated from the Citadel of Light."</f>
        <v>• Base Will save +4.
• 8 ranks in Heal.
• 8 ranks in Knowledge(religion).
• 4 ranks in Diplomacy.
• Ability to cast 2nd level divine spells including at least 2 spells from the Conjuration(Healing) subschool (not verified).
• Must have graduated from the Citadel of Light.</v>
      </c>
      <c r="ED601" s="11" t="s">
        <v>335</v>
      </c>
    </row>
    <row r="602" spans="1:134" ht="11.25" customHeight="1" x14ac:dyDescent="0.2">
      <c r="A602" s="1">
        <f t="shared" si="535"/>
        <v>599</v>
      </c>
      <c r="B602" s="1" t="s">
        <v>1435</v>
      </c>
      <c r="C602" s="1" t="s">
        <v>1436</v>
      </c>
      <c r="D602" s="1" t="s">
        <v>1436</v>
      </c>
      <c r="E602" s="1">
        <f t="shared" si="517"/>
        <v>0</v>
      </c>
      <c r="K602" s="1">
        <v>4</v>
      </c>
      <c r="L602" s="1">
        <v>6</v>
      </c>
      <c r="M602" s="1">
        <f>NstLvl</f>
        <v>0</v>
      </c>
      <c r="V602" s="1">
        <v>0.75</v>
      </c>
      <c r="W602" s="1">
        <v>0.34</v>
      </c>
      <c r="X602" s="1">
        <v>0.5</v>
      </c>
      <c r="Y602" s="1">
        <v>0.5</v>
      </c>
      <c r="Z602" s="1" t="b">
        <f>FALSE</f>
        <v>0</v>
      </c>
      <c r="AA602" s="1" t="str">
        <f t="shared" si="520"/>
        <v/>
      </c>
      <c r="AB602" s="1" t="str">
        <f t="shared" si="521"/>
        <v/>
      </c>
      <c r="AC602" s="1">
        <f t="shared" si="518"/>
        <v>0</v>
      </c>
      <c r="AD602" s="1" t="str">
        <f t="shared" si="522"/>
        <v/>
      </c>
      <c r="AE602" s="1" t="str">
        <f t="shared" si="523"/>
        <v/>
      </c>
      <c r="AF602" s="1">
        <f t="shared" si="519"/>
        <v>0</v>
      </c>
      <c r="AG602" s="1">
        <f t="shared" si="546"/>
        <v>5</v>
      </c>
      <c r="AH602" s="1" t="str">
        <f t="shared" si="545"/>
        <v/>
      </c>
      <c r="AI602" s="1">
        <v>1</v>
      </c>
      <c r="AJ602" s="1">
        <f t="shared" si="536"/>
        <v>0</v>
      </c>
      <c r="AK602" s="1">
        <v>2</v>
      </c>
      <c r="AL602" s="1">
        <v>1</v>
      </c>
      <c r="AM602" s="1">
        <v>1</v>
      </c>
      <c r="AN602" s="1">
        <f t="shared" si="547"/>
        <v>0</v>
      </c>
      <c r="AO602" s="1">
        <v>2</v>
      </c>
      <c r="AP602" s="1">
        <v>2</v>
      </c>
      <c r="AQ602" s="1">
        <v>2</v>
      </c>
      <c r="AR602" s="1">
        <v>2</v>
      </c>
      <c r="AS602" s="1">
        <v>2</v>
      </c>
      <c r="AT602" s="1">
        <v>2</v>
      </c>
      <c r="AU602" s="1">
        <v>2</v>
      </c>
      <c r="AV602" s="1">
        <v>2</v>
      </c>
      <c r="AW602" s="1">
        <v>1</v>
      </c>
      <c r="AX602" s="1">
        <v>2</v>
      </c>
      <c r="AY602" s="1">
        <v>2</v>
      </c>
      <c r="AZ602" s="1">
        <v>1</v>
      </c>
      <c r="BA602" s="1">
        <v>2</v>
      </c>
      <c r="BB602" s="1">
        <v>1</v>
      </c>
      <c r="BC602" s="1">
        <v>2</v>
      </c>
      <c r="BD602" s="1">
        <v>1</v>
      </c>
      <c r="BE602" s="1">
        <v>1</v>
      </c>
      <c r="BF602" s="1">
        <v>2</v>
      </c>
      <c r="BG602" s="1">
        <f t="shared" si="538"/>
        <v>0</v>
      </c>
      <c r="BH602" s="1">
        <f t="shared" si="548"/>
        <v>0</v>
      </c>
      <c r="BI602" s="1">
        <v>1</v>
      </c>
      <c r="BJ602" s="1">
        <v>1</v>
      </c>
      <c r="BK602" s="1">
        <v>1</v>
      </c>
      <c r="BL602" s="1">
        <v>1</v>
      </c>
      <c r="BM602" s="1">
        <v>1</v>
      </c>
      <c r="BN602" s="1">
        <v>1</v>
      </c>
      <c r="BO602" s="1">
        <v>1</v>
      </c>
      <c r="BP602" s="1">
        <v>1</v>
      </c>
      <c r="BQ602" s="1">
        <f t="shared" si="549"/>
        <v>0</v>
      </c>
      <c r="BR602" s="1">
        <v>1</v>
      </c>
      <c r="BS602" s="1">
        <v>1</v>
      </c>
      <c r="BT602" s="1">
        <f t="shared" si="550"/>
        <v>0</v>
      </c>
      <c r="BU602" s="1">
        <f t="shared" si="551"/>
        <v>0</v>
      </c>
      <c r="BV602" s="1">
        <v>1</v>
      </c>
      <c r="BW602" s="1">
        <v>1</v>
      </c>
      <c r="BX602" s="1">
        <v>1</v>
      </c>
      <c r="BY602" s="1">
        <v>1</v>
      </c>
      <c r="BZ602" s="1">
        <v>1</v>
      </c>
      <c r="CA602" s="1">
        <v>1</v>
      </c>
      <c r="CB602" s="1">
        <v>1</v>
      </c>
      <c r="CC602" s="1">
        <v>1</v>
      </c>
      <c r="CD602" s="1">
        <v>1</v>
      </c>
      <c r="CE602" s="1">
        <v>1</v>
      </c>
      <c r="CF602" s="1">
        <v>2</v>
      </c>
      <c r="CG602" s="1">
        <f t="shared" si="552"/>
        <v>0</v>
      </c>
      <c r="CH602" s="1">
        <v>2</v>
      </c>
      <c r="CI602" s="1">
        <v>2</v>
      </c>
      <c r="CJ602" s="1">
        <v>1</v>
      </c>
      <c r="CK602" s="1">
        <v>1</v>
      </c>
      <c r="CL602" s="1">
        <v>1</v>
      </c>
      <c r="CM602" s="1">
        <v>1</v>
      </c>
      <c r="CN602" s="1">
        <v>1</v>
      </c>
      <c r="CO602" s="1">
        <v>1</v>
      </c>
      <c r="CP602" s="1">
        <v>2</v>
      </c>
      <c r="CQ602" s="1">
        <v>2</v>
      </c>
      <c r="CR602" s="1">
        <v>2</v>
      </c>
      <c r="CS602" s="1">
        <v>2</v>
      </c>
      <c r="CT602" s="1">
        <v>2</v>
      </c>
      <c r="CU602" s="1">
        <v>2</v>
      </c>
      <c r="CV602" s="1">
        <f t="shared" si="541"/>
        <v>0</v>
      </c>
      <c r="CW602" s="1">
        <v>1</v>
      </c>
      <c r="CX602" s="1">
        <v>2</v>
      </c>
      <c r="CY602" s="1">
        <v>1</v>
      </c>
      <c r="CZ602" s="1">
        <f t="shared" si="553"/>
        <v>0</v>
      </c>
      <c r="DA602" s="1">
        <v>2</v>
      </c>
      <c r="DB602" s="1">
        <v>1</v>
      </c>
      <c r="DC602" s="1">
        <v>2</v>
      </c>
      <c r="DD602" s="1">
        <v>2</v>
      </c>
      <c r="DE602" s="1">
        <v>2</v>
      </c>
      <c r="DF602" s="1">
        <v>1</v>
      </c>
      <c r="DG602" s="1">
        <v>1</v>
      </c>
      <c r="DH602" s="1">
        <v>2</v>
      </c>
      <c r="DI602" s="1">
        <f t="shared" si="543"/>
        <v>0</v>
      </c>
      <c r="DJ602" s="1">
        <v>2</v>
      </c>
      <c r="DK602" s="1" t="s">
        <v>305</v>
      </c>
      <c r="DL602" s="1" t="s">
        <v>170</v>
      </c>
      <c r="DQ602" s="1" t="b">
        <f>AlignmentGood</f>
        <v>1</v>
      </c>
      <c r="DR602" s="1" t="b">
        <f>OR(RaceCi="Kender",RaceCi="Half-Kender")</f>
        <v>0</v>
      </c>
      <c r="DS602" s="1" t="b">
        <f>SkBluffRanks&gt;7</f>
        <v>0</v>
      </c>
      <c r="DT602" s="1" t="b">
        <f>SkDiplomacyRanks&gt;6</f>
        <v>0</v>
      </c>
      <c r="DU602" s="1" t="b">
        <f>SkGatherInformationRanks&gt;7</f>
        <v>0</v>
      </c>
      <c r="DV602" s="1" t="b">
        <f>SkSenseMotiveRanks&gt;5</f>
        <v>0</v>
      </c>
      <c r="DW602" s="1" t="b">
        <f>SkSpotRanks&gt;5</f>
        <v>0</v>
      </c>
      <c r="DX602" s="1" t="b">
        <f>FtGreatFortitude</f>
        <v>0</v>
      </c>
      <c r="DY602" s="1" t="b">
        <f>FtIronWill</f>
        <v>0</v>
      </c>
      <c r="DZ602" s="1" t="b">
        <f t="shared" si="554"/>
        <v>1</v>
      </c>
      <c r="EA602" s="1" t="b">
        <f t="shared" si="555"/>
        <v>0</v>
      </c>
      <c r="EB602" s="11" t="s">
        <v>338</v>
      </c>
      <c r="EC602" s="1" t="str">
        <f>IF(DQ602,"","• Any Good alignment.
")&amp;IF(DR602,"","• Kender or Half-Kender.
")&amp;IF(DS602,"","• 8 ranks in Bluff.
")&amp;IF(DT602,"","• 7 ranks in Diplomacy.
")&amp;IF(DU602,"","• 8 ranks in Gather Information.
")&amp;IF(DV602,"","• 6 ranks in Sense Motive.
")&amp;IF(DW602,"","• 6 ranks in Spot.
")&amp;IF(DX602,"","• Feat: Great Fortitude.
")&amp;IF(DY602,"","• Feat: Iron Will.
")&amp;"• Must have encountered undead with Intelligence greater than 3 (not verified)."</f>
        <v>• Kender or Half-Kender.
• 8 ranks in Bluff.
• 7 ranks in Diplomacy.
• 8 ranks in Gather Information.
• 6 ranks in Sense Motive.
• 6 ranks in Spot.
• Feat: Great Fortitude.
• Feat: Iron Will.
• Must have encountered undead with Intelligence greater than 3 (not verified).</v>
      </c>
      <c r="ED602" s="11" t="s">
        <v>335</v>
      </c>
    </row>
    <row r="603" spans="1:134" ht="11.25" customHeight="1" x14ac:dyDescent="0.2">
      <c r="A603" s="1">
        <f t="shared" si="535"/>
        <v>600</v>
      </c>
      <c r="B603" s="1" t="s">
        <v>1437</v>
      </c>
      <c r="C603" s="1" t="s">
        <v>1438</v>
      </c>
      <c r="D603" s="1" t="s">
        <v>1438</v>
      </c>
      <c r="E603" s="1">
        <f t="shared" si="517"/>
        <v>0</v>
      </c>
      <c r="G603" s="1">
        <f>LMyLvl</f>
        <v>0</v>
      </c>
      <c r="K603" s="1">
        <v>2</v>
      </c>
      <c r="L603" s="1">
        <v>8</v>
      </c>
      <c r="V603" s="1">
        <v>0.75</v>
      </c>
      <c r="W603" s="1">
        <v>0.5</v>
      </c>
      <c r="X603" s="1">
        <v>0.34</v>
      </c>
      <c r="Y603" s="1">
        <v>0.5</v>
      </c>
      <c r="Z603" s="1" t="b">
        <f>FALSE</f>
        <v>0</v>
      </c>
      <c r="AA603" s="1" t="str">
        <f t="shared" si="520"/>
        <v/>
      </c>
      <c r="AB603" s="1" t="str">
        <f t="shared" si="521"/>
        <v/>
      </c>
      <c r="AC603" s="1">
        <f t="shared" si="518"/>
        <v>0</v>
      </c>
      <c r="AD603" s="1" t="str">
        <f t="shared" si="522"/>
        <v/>
      </c>
      <c r="AE603" s="1" t="str">
        <f t="shared" si="523"/>
        <v/>
      </c>
      <c r="AF603" s="1">
        <f t="shared" si="519"/>
        <v>0</v>
      </c>
      <c r="AG603" s="1">
        <f t="shared" si="546"/>
        <v>5</v>
      </c>
      <c r="AH603" s="1" t="str">
        <f t="shared" si="545"/>
        <v/>
      </c>
      <c r="AI603" s="1">
        <v>1</v>
      </c>
      <c r="AJ603" s="1">
        <f t="shared" si="536"/>
        <v>0</v>
      </c>
      <c r="AK603" s="1">
        <v>1</v>
      </c>
      <c r="AL603" s="1">
        <v>2</v>
      </c>
      <c r="AM603" s="1">
        <v>1</v>
      </c>
      <c r="AN603" s="1">
        <f t="shared" si="547"/>
        <v>0</v>
      </c>
      <c r="AO603" s="1">
        <v>2</v>
      </c>
      <c r="AP603" s="1">
        <v>2</v>
      </c>
      <c r="AQ603" s="1">
        <v>2</v>
      </c>
      <c r="AR603" s="1">
        <v>2</v>
      </c>
      <c r="AS603" s="1">
        <v>2</v>
      </c>
      <c r="AT603" s="1">
        <v>2</v>
      </c>
      <c r="AU603" s="1">
        <v>2</v>
      </c>
      <c r="AV603" s="1">
        <v>2</v>
      </c>
      <c r="AW603" s="1">
        <v>1</v>
      </c>
      <c r="AX603" s="1">
        <v>2</v>
      </c>
      <c r="AY603" s="1">
        <v>1</v>
      </c>
      <c r="AZ603" s="1">
        <v>1</v>
      </c>
      <c r="BA603" s="1">
        <v>1</v>
      </c>
      <c r="BB603" s="1">
        <v>1</v>
      </c>
      <c r="BC603" s="1">
        <v>2</v>
      </c>
      <c r="BD603" s="1">
        <v>1</v>
      </c>
      <c r="BE603" s="1">
        <v>2</v>
      </c>
      <c r="BF603" s="1">
        <v>1</v>
      </c>
      <c r="BG603" s="1">
        <f t="shared" si="538"/>
        <v>0</v>
      </c>
      <c r="BH603" s="1">
        <f t="shared" si="548"/>
        <v>0</v>
      </c>
      <c r="BI603" s="1">
        <v>1</v>
      </c>
      <c r="BJ603" s="1">
        <v>1</v>
      </c>
      <c r="BK603" s="1">
        <v>1</v>
      </c>
      <c r="BL603" s="1">
        <v>1</v>
      </c>
      <c r="BM603" s="1">
        <v>1</v>
      </c>
      <c r="BN603" s="1">
        <v>1</v>
      </c>
      <c r="BO603" s="1">
        <v>1</v>
      </c>
      <c r="BP603" s="1">
        <v>1</v>
      </c>
      <c r="BQ603" s="1">
        <f t="shared" si="549"/>
        <v>0</v>
      </c>
      <c r="BR603" s="1">
        <v>1</v>
      </c>
      <c r="BS603" s="1">
        <v>1</v>
      </c>
      <c r="BT603" s="1">
        <f t="shared" si="550"/>
        <v>0</v>
      </c>
      <c r="BU603" s="1">
        <f t="shared" si="551"/>
        <v>0</v>
      </c>
      <c r="BV603" s="1">
        <v>2</v>
      </c>
      <c r="BW603" s="1">
        <v>1</v>
      </c>
      <c r="BX603" s="1">
        <v>1</v>
      </c>
      <c r="BY603" s="1">
        <v>1</v>
      </c>
      <c r="BZ603" s="1">
        <v>1</v>
      </c>
      <c r="CA603" s="1">
        <v>1</v>
      </c>
      <c r="CB603" s="1">
        <v>1</v>
      </c>
      <c r="CC603" s="1">
        <v>1</v>
      </c>
      <c r="CD603" s="1">
        <v>1</v>
      </c>
      <c r="CE603" s="1">
        <v>1</v>
      </c>
      <c r="CF603" s="1">
        <v>2</v>
      </c>
      <c r="CG603" s="1">
        <f t="shared" si="552"/>
        <v>0</v>
      </c>
      <c r="CH603" s="1">
        <v>1</v>
      </c>
      <c r="CI603" s="1">
        <v>1</v>
      </c>
      <c r="CJ603" s="1">
        <v>1</v>
      </c>
      <c r="CK603" s="1">
        <v>1</v>
      </c>
      <c r="CL603" s="1">
        <v>1</v>
      </c>
      <c r="CM603" s="1">
        <v>1</v>
      </c>
      <c r="CN603" s="1">
        <v>1</v>
      </c>
      <c r="CO603" s="1">
        <v>1</v>
      </c>
      <c r="CP603" s="1">
        <v>2</v>
      </c>
      <c r="CQ603" s="1">
        <v>2</v>
      </c>
      <c r="CR603" s="1">
        <v>2</v>
      </c>
      <c r="CS603" s="1">
        <v>2</v>
      </c>
      <c r="CT603" s="1">
        <v>2</v>
      </c>
      <c r="CU603" s="1">
        <v>2</v>
      </c>
      <c r="CV603" s="1">
        <f t="shared" si="541"/>
        <v>0</v>
      </c>
      <c r="CW603" s="1">
        <v>1</v>
      </c>
      <c r="CX603" s="1">
        <v>2</v>
      </c>
      <c r="CY603" s="1">
        <v>2</v>
      </c>
      <c r="CZ603" s="1">
        <f t="shared" si="553"/>
        <v>0</v>
      </c>
      <c r="DA603" s="1">
        <v>1</v>
      </c>
      <c r="DB603" s="1">
        <v>1</v>
      </c>
      <c r="DC603" s="1">
        <v>2</v>
      </c>
      <c r="DD603" s="1">
        <v>2</v>
      </c>
      <c r="DE603" s="1">
        <v>1</v>
      </c>
      <c r="DF603" s="1">
        <v>1</v>
      </c>
      <c r="DG603" s="1">
        <v>1</v>
      </c>
      <c r="DH603" s="1">
        <v>1</v>
      </c>
      <c r="DI603" s="1">
        <f t="shared" si="543"/>
        <v>0</v>
      </c>
      <c r="DJ603" s="1">
        <v>1</v>
      </c>
      <c r="DK603" s="1" t="s">
        <v>305</v>
      </c>
      <c r="DL603" s="1" t="s">
        <v>170</v>
      </c>
      <c r="DS603" s="1" t="b">
        <f>AlignmentGood</f>
        <v>1</v>
      </c>
      <c r="DT603" s="1" t="b">
        <f>BaseWill&gt;5</f>
        <v>0</v>
      </c>
      <c r="DU603" s="1" t="b">
        <f>FtIronWill</f>
        <v>0</v>
      </c>
      <c r="DV603" s="1" t="b">
        <f>SkSenseMotiveRanks&gt;5</f>
        <v>0</v>
      </c>
      <c r="DW603" s="1" t="b">
        <f>SkHealRanks&gt;5</f>
        <v>0</v>
      </c>
      <c r="DX603" s="1" t="b">
        <f>SkKnowledgeReligionRanks&gt;5</f>
        <v>0</v>
      </c>
      <c r="DY603" s="1" t="b">
        <f>StLgLvl&gt;0</f>
        <v>0</v>
      </c>
      <c r="DZ603" s="1" t="b">
        <f t="shared" si="554"/>
        <v>1</v>
      </c>
      <c r="EA603" s="1" t="b">
        <f t="shared" si="555"/>
        <v>0</v>
      </c>
      <c r="EB603" s="11" t="s">
        <v>338</v>
      </c>
      <c r="EC603" s="1" t="str">
        <f>IF(DS603,"","• Any Good alignment.
")&amp;IF(DT603,"","• Base Will save +6.
")&amp;IF(DU603,"","•Feat: Iron Will.
")&amp;IF(DV603,"","• 6 ranks in Sense Motive.
")&amp;IF(DW603,"","• 6 ranks in Heal.
")&amp;IF(DX603,"","• 6 ranks in Knowledge(religion).
")&amp;IF(DY603,"","• Possess Legion Knowledge class ability.
")&amp;"• Must be able to cast 2nd level Divine spells without preparation (not verified)."</f>
        <v>• Base Will save +6.
•Feat: Iron Will.
• 6 ranks in Sense Motive.
• 6 ranks in Heal.
• 6 ranks in Knowledge(religion).
• Possess Legion Knowledge class ability.
• Must be able to cast 2nd level Divine spells without preparation (not verified).</v>
      </c>
      <c r="ED603" s="11" t="s">
        <v>335</v>
      </c>
    </row>
    <row r="604" spans="1:134" ht="11.25" customHeight="1" x14ac:dyDescent="0.2">
      <c r="A604" s="1">
        <f t="shared" si="535"/>
        <v>601</v>
      </c>
      <c r="B604" s="1" t="s">
        <v>1439</v>
      </c>
      <c r="C604" s="1" t="s">
        <v>1440</v>
      </c>
      <c r="D604" s="1" t="s">
        <v>1440</v>
      </c>
      <c r="E604" s="1">
        <f t="shared" si="517"/>
        <v>0</v>
      </c>
      <c r="K604" s="1">
        <v>4</v>
      </c>
      <c r="L604" s="1">
        <v>8</v>
      </c>
      <c r="V604" s="1">
        <v>0.75</v>
      </c>
      <c r="W604" s="1">
        <v>0.34</v>
      </c>
      <c r="X604" s="1">
        <v>0.5</v>
      </c>
      <c r="Y604" s="1">
        <v>0.5</v>
      </c>
      <c r="Z604" s="1" t="b">
        <f>FALSE</f>
        <v>0</v>
      </c>
      <c r="AA604" s="1" t="str">
        <f t="shared" si="520"/>
        <v/>
      </c>
      <c r="AB604" s="1" t="str">
        <f t="shared" si="521"/>
        <v/>
      </c>
      <c r="AC604" s="1">
        <f t="shared" si="518"/>
        <v>0</v>
      </c>
      <c r="AD604" s="1" t="str">
        <f t="shared" si="522"/>
        <v/>
      </c>
      <c r="AE604" s="1" t="str">
        <f t="shared" si="523"/>
        <v/>
      </c>
      <c r="AF604" s="1">
        <f t="shared" si="519"/>
        <v>0</v>
      </c>
      <c r="AG604" s="1">
        <f t="shared" si="546"/>
        <v>5</v>
      </c>
      <c r="AH604" s="1" t="str">
        <f t="shared" si="545"/>
        <v/>
      </c>
      <c r="AI604" s="1">
        <v>1</v>
      </c>
      <c r="AJ604" s="1">
        <f t="shared" si="536"/>
        <v>0</v>
      </c>
      <c r="AK604" s="1">
        <v>1</v>
      </c>
      <c r="AL604" s="1">
        <v>2</v>
      </c>
      <c r="AM604" s="1">
        <v>1</v>
      </c>
      <c r="AN604" s="1">
        <f t="shared" si="547"/>
        <v>0</v>
      </c>
      <c r="AO604" s="1">
        <v>1</v>
      </c>
      <c r="AP604" s="1">
        <v>1</v>
      </c>
      <c r="AQ604" s="1">
        <v>1</v>
      </c>
      <c r="AR604" s="1">
        <v>1</v>
      </c>
      <c r="AS604" s="1">
        <v>1</v>
      </c>
      <c r="AT604" s="1">
        <v>1</v>
      </c>
      <c r="AU604" s="1">
        <v>1</v>
      </c>
      <c r="AV604" s="1">
        <v>1</v>
      </c>
      <c r="AW604" s="1">
        <v>1</v>
      </c>
      <c r="AX604" s="1">
        <v>2</v>
      </c>
      <c r="AY604" s="1">
        <v>1</v>
      </c>
      <c r="AZ604" s="1">
        <v>2</v>
      </c>
      <c r="BA604" s="1">
        <v>1</v>
      </c>
      <c r="BB604" s="1">
        <v>1</v>
      </c>
      <c r="BC604" s="1">
        <v>2</v>
      </c>
      <c r="BD604" s="1">
        <v>1</v>
      </c>
      <c r="BE604" s="1">
        <v>1</v>
      </c>
      <c r="BF604" s="1">
        <v>2</v>
      </c>
      <c r="BG604" s="1">
        <f t="shared" si="538"/>
        <v>0</v>
      </c>
      <c r="BH604" s="1">
        <f t="shared" si="548"/>
        <v>0</v>
      </c>
      <c r="BI604" s="1">
        <v>1</v>
      </c>
      <c r="BJ604" s="1">
        <v>2</v>
      </c>
      <c r="BK604" s="1">
        <v>2</v>
      </c>
      <c r="BL604" s="1">
        <v>2</v>
      </c>
      <c r="BM604" s="1">
        <v>2</v>
      </c>
      <c r="BN604" s="1">
        <v>2</v>
      </c>
      <c r="BO604" s="1">
        <v>2</v>
      </c>
      <c r="BP604" s="1">
        <v>2</v>
      </c>
      <c r="BQ604" s="1">
        <f t="shared" si="549"/>
        <v>0</v>
      </c>
      <c r="BR604" s="1">
        <v>2</v>
      </c>
      <c r="BS604" s="1">
        <v>2</v>
      </c>
      <c r="BT604" s="1">
        <f t="shared" si="550"/>
        <v>0</v>
      </c>
      <c r="BU604" s="1">
        <f t="shared" si="551"/>
        <v>0</v>
      </c>
      <c r="BV604" s="1">
        <v>2</v>
      </c>
      <c r="BW604" s="1">
        <v>2</v>
      </c>
      <c r="BX604" s="1">
        <v>2</v>
      </c>
      <c r="BY604" s="1">
        <v>2</v>
      </c>
      <c r="BZ604" s="1">
        <v>2</v>
      </c>
      <c r="CA604" s="1">
        <v>2</v>
      </c>
      <c r="CB604" s="1">
        <v>2</v>
      </c>
      <c r="CC604" s="1">
        <v>2</v>
      </c>
      <c r="CD604" s="1">
        <v>2</v>
      </c>
      <c r="CE604" s="1">
        <v>2</v>
      </c>
      <c r="CF604" s="1">
        <v>2</v>
      </c>
      <c r="CG604" s="1">
        <f t="shared" si="552"/>
        <v>0</v>
      </c>
      <c r="CH604" s="1">
        <v>1</v>
      </c>
      <c r="CI604" s="1">
        <v>1</v>
      </c>
      <c r="CJ604" s="1">
        <v>1</v>
      </c>
      <c r="CK604" s="1">
        <v>1</v>
      </c>
      <c r="CL604" s="1">
        <v>1</v>
      </c>
      <c r="CM604" s="1">
        <v>1</v>
      </c>
      <c r="CN604" s="1">
        <v>1</v>
      </c>
      <c r="CO604" s="1">
        <v>1</v>
      </c>
      <c r="CP604" s="1">
        <v>2</v>
      </c>
      <c r="CQ604" s="1">
        <v>2</v>
      </c>
      <c r="CR604" s="1">
        <v>2</v>
      </c>
      <c r="CS604" s="1">
        <v>2</v>
      </c>
      <c r="CT604" s="1">
        <v>2</v>
      </c>
      <c r="CU604" s="1">
        <v>2</v>
      </c>
      <c r="CV604" s="1">
        <f t="shared" si="541"/>
        <v>0</v>
      </c>
      <c r="CW604" s="1">
        <v>1</v>
      </c>
      <c r="CX604" s="1">
        <v>1</v>
      </c>
      <c r="CY604" s="1">
        <v>2</v>
      </c>
      <c r="CZ604" s="1">
        <f t="shared" si="553"/>
        <v>0</v>
      </c>
      <c r="DA604" s="1">
        <v>1</v>
      </c>
      <c r="DB604" s="1">
        <v>1</v>
      </c>
      <c r="DC604" s="1">
        <v>1</v>
      </c>
      <c r="DD604" s="1">
        <v>2</v>
      </c>
      <c r="DE604" s="1">
        <v>2</v>
      </c>
      <c r="DF604" s="1">
        <v>2</v>
      </c>
      <c r="DG604" s="1">
        <v>1</v>
      </c>
      <c r="DH604" s="1">
        <v>1</v>
      </c>
      <c r="DI604" s="1">
        <f t="shared" si="543"/>
        <v>0</v>
      </c>
      <c r="DJ604" s="1">
        <v>1</v>
      </c>
      <c r="DK604" s="1" t="s">
        <v>305</v>
      </c>
      <c r="DL604" s="1" t="s">
        <v>170</v>
      </c>
      <c r="DR604" s="1" t="b">
        <f>AlignmentGood</f>
        <v>1</v>
      </c>
      <c r="DS604" s="1" t="b">
        <f>BaseAtk&gt;5</f>
        <v>0</v>
      </c>
      <c r="DT604" s="1" t="b">
        <f>BaseRef&gt;5</f>
        <v>0</v>
      </c>
      <c r="DU604" s="1" t="b">
        <f>FtTrack</f>
        <v>0</v>
      </c>
      <c r="DV604" s="1" t="b">
        <f>SkGatherInformationRanks&gt;9</f>
        <v>0</v>
      </c>
      <c r="DW604" s="1" t="b">
        <f>SkBluffRanks&gt;5</f>
        <v>0</v>
      </c>
      <c r="DX604" s="1" t="b">
        <f>SkSurvivalRanks&gt;5</f>
        <v>0</v>
      </c>
      <c r="DY604" s="1" t="b">
        <f>StLgLvl&gt;0</f>
        <v>0</v>
      </c>
      <c r="DZ604" s="1" t="b">
        <f t="shared" si="554"/>
        <v>1</v>
      </c>
      <c r="EA604" s="1" t="b">
        <f t="shared" si="555"/>
        <v>0</v>
      </c>
      <c r="EB604" s="11" t="s">
        <v>334</v>
      </c>
      <c r="EC604" s="1" t="str">
        <f>IF(DR604,"","• Any Good alignment.
")&amp;IF(DS604,"","• BAB +6.
")&amp;IF(DT604,"","• Base Reflex save +6.
")&amp;IF(DU604,"","• Feat: Track
")&amp;IF(DV604,"","• 10 ranks in Gather Information.
")&amp;IF(DW604,"","• 6 ranks in Bluff.
")&amp;IF(DX604,"","• 6 ranks in Survival.
")&amp;IF(DY604,"","• Legion Knowledge class ability.")</f>
        <v>• BAB +6.
• Base Reflex save +6.
• Feat: Track
• 10 ranks in Gather Information.
• 6 ranks in Bluff.
• 6 ranks in Survival.
• Legion Knowledge class ability.</v>
      </c>
      <c r="ED604" s="11" t="s">
        <v>335</v>
      </c>
    </row>
    <row r="605" spans="1:134" ht="11.25" customHeight="1" x14ac:dyDescent="0.2">
      <c r="A605" s="1">
        <f t="shared" si="535"/>
        <v>602</v>
      </c>
      <c r="B605" s="1" t="s">
        <v>1441</v>
      </c>
      <c r="C605" s="1" t="s">
        <v>1442</v>
      </c>
      <c r="D605" s="1" t="s">
        <v>1442</v>
      </c>
      <c r="E605" s="1">
        <f t="shared" si="517"/>
        <v>0</v>
      </c>
      <c r="G605" s="1">
        <f>LSoLvl</f>
        <v>0</v>
      </c>
      <c r="K605" s="1">
        <v>4</v>
      </c>
      <c r="L605" s="1">
        <v>4</v>
      </c>
      <c r="V605" s="1">
        <v>0.5</v>
      </c>
      <c r="W605" s="1">
        <v>0.34</v>
      </c>
      <c r="X605" s="1">
        <v>0.34</v>
      </c>
      <c r="Y605" s="1">
        <v>0.5</v>
      </c>
      <c r="Z605" s="1" t="b">
        <f>FALSE</f>
        <v>0</v>
      </c>
      <c r="AA605" s="1" t="str">
        <f t="shared" si="520"/>
        <v/>
      </c>
      <c r="AB605" s="1" t="str">
        <f t="shared" si="521"/>
        <v/>
      </c>
      <c r="AC605" s="1">
        <f t="shared" si="518"/>
        <v>0</v>
      </c>
      <c r="AD605" s="1" t="str">
        <f t="shared" si="522"/>
        <v/>
      </c>
      <c r="AE605" s="1" t="str">
        <f t="shared" si="523"/>
        <v/>
      </c>
      <c r="AF605" s="1">
        <f t="shared" si="519"/>
        <v>0</v>
      </c>
      <c r="AG605" s="1">
        <f t="shared" si="546"/>
        <v>5</v>
      </c>
      <c r="AH605" s="1" t="str">
        <f t="shared" si="545"/>
        <v/>
      </c>
      <c r="AI605" s="1">
        <v>1</v>
      </c>
      <c r="AJ605" s="1">
        <f t="shared" si="536"/>
        <v>0</v>
      </c>
      <c r="AK605" s="1">
        <v>1</v>
      </c>
      <c r="AL605" s="1">
        <v>2</v>
      </c>
      <c r="AM605" s="1">
        <v>1</v>
      </c>
      <c r="AN605" s="1">
        <f t="shared" si="547"/>
        <v>0</v>
      </c>
      <c r="AO605" s="1">
        <v>2</v>
      </c>
      <c r="AP605" s="1">
        <v>2</v>
      </c>
      <c r="AQ605" s="1">
        <v>2</v>
      </c>
      <c r="AR605" s="1">
        <v>2</v>
      </c>
      <c r="AS605" s="1">
        <v>2</v>
      </c>
      <c r="AT605" s="1">
        <v>2</v>
      </c>
      <c r="AU605" s="1">
        <v>2</v>
      </c>
      <c r="AV605" s="1">
        <v>2</v>
      </c>
      <c r="AW605" s="1">
        <v>2</v>
      </c>
      <c r="AX605" s="1">
        <v>2</v>
      </c>
      <c r="AY605" s="1">
        <v>1</v>
      </c>
      <c r="AZ605" s="1">
        <v>1</v>
      </c>
      <c r="BA605" s="1">
        <v>1</v>
      </c>
      <c r="BB605" s="1">
        <v>1</v>
      </c>
      <c r="BC605" s="1">
        <v>2</v>
      </c>
      <c r="BD605" s="1">
        <v>1</v>
      </c>
      <c r="BE605" s="1">
        <v>1</v>
      </c>
      <c r="BF605" s="1">
        <v>1</v>
      </c>
      <c r="BG605" s="1">
        <f t="shared" si="538"/>
        <v>0</v>
      </c>
      <c r="BH605" s="1">
        <f t="shared" si="548"/>
        <v>0</v>
      </c>
      <c r="BI605" s="1">
        <v>1</v>
      </c>
      <c r="BJ605" s="1">
        <v>1</v>
      </c>
      <c r="BK605" s="1">
        <v>2</v>
      </c>
      <c r="BL605" s="1">
        <v>2</v>
      </c>
      <c r="BM605" s="1">
        <v>2</v>
      </c>
      <c r="BN605" s="1">
        <v>2</v>
      </c>
      <c r="BO605" s="1">
        <v>2</v>
      </c>
      <c r="BP605" s="1">
        <v>2</v>
      </c>
      <c r="BQ605" s="1">
        <f t="shared" si="549"/>
        <v>0</v>
      </c>
      <c r="BR605" s="1">
        <v>2</v>
      </c>
      <c r="BS605" s="1">
        <v>2</v>
      </c>
      <c r="BT605" s="1">
        <f t="shared" si="550"/>
        <v>0</v>
      </c>
      <c r="BU605" s="1">
        <f t="shared" si="551"/>
        <v>0</v>
      </c>
      <c r="BV605" s="1">
        <v>2</v>
      </c>
      <c r="BW605" s="1">
        <v>2</v>
      </c>
      <c r="BX605" s="1">
        <v>2</v>
      </c>
      <c r="BY605" s="1">
        <v>2</v>
      </c>
      <c r="BZ605" s="1">
        <v>2</v>
      </c>
      <c r="CA605" s="1">
        <v>2</v>
      </c>
      <c r="CB605" s="1">
        <v>2</v>
      </c>
      <c r="CC605" s="1">
        <v>2</v>
      </c>
      <c r="CD605" s="1">
        <v>2</v>
      </c>
      <c r="CE605" s="1">
        <v>2</v>
      </c>
      <c r="CF605" s="1">
        <v>2</v>
      </c>
      <c r="CG605" s="1">
        <f t="shared" si="552"/>
        <v>0</v>
      </c>
      <c r="CH605" s="1">
        <v>1</v>
      </c>
      <c r="CI605" s="1">
        <v>1</v>
      </c>
      <c r="CJ605" s="1">
        <v>1</v>
      </c>
      <c r="CK605" s="1">
        <v>1</v>
      </c>
      <c r="CL605" s="1">
        <v>1</v>
      </c>
      <c r="CM605" s="1">
        <v>1</v>
      </c>
      <c r="CN605" s="1">
        <v>1</v>
      </c>
      <c r="CO605" s="1">
        <v>1</v>
      </c>
      <c r="CP605" s="1">
        <v>2</v>
      </c>
      <c r="CQ605" s="1">
        <v>2</v>
      </c>
      <c r="CR605" s="1">
        <v>2</v>
      </c>
      <c r="CS605" s="1">
        <v>2</v>
      </c>
      <c r="CT605" s="1">
        <v>2</v>
      </c>
      <c r="CU605" s="1">
        <v>2</v>
      </c>
      <c r="CV605" s="1">
        <f t="shared" si="541"/>
        <v>0</v>
      </c>
      <c r="CW605" s="1">
        <v>1</v>
      </c>
      <c r="CX605" s="1">
        <v>1</v>
      </c>
      <c r="CY605" s="1">
        <v>2</v>
      </c>
      <c r="CZ605" s="1">
        <f t="shared" si="553"/>
        <v>0</v>
      </c>
      <c r="DA605" s="1">
        <v>1</v>
      </c>
      <c r="DB605" s="1">
        <v>1</v>
      </c>
      <c r="DC605" s="1">
        <v>2</v>
      </c>
      <c r="DD605" s="1">
        <v>2</v>
      </c>
      <c r="DE605" s="1">
        <v>1</v>
      </c>
      <c r="DF605" s="1">
        <v>1</v>
      </c>
      <c r="DG605" s="1">
        <v>1</v>
      </c>
      <c r="DH605" s="1">
        <v>1</v>
      </c>
      <c r="DI605" s="1">
        <v>1</v>
      </c>
      <c r="DJ605" s="1">
        <v>1</v>
      </c>
      <c r="DK605" s="1" t="s">
        <v>305</v>
      </c>
      <c r="DL605" s="1" t="s">
        <v>170</v>
      </c>
      <c r="DS605" s="1" t="b">
        <f>AlignmentGood</f>
        <v>1</v>
      </c>
      <c r="DT605" s="1" t="b">
        <f>BaseWill&gt;5</f>
        <v>0</v>
      </c>
      <c r="DU605" s="1" t="b">
        <f>AND(OR(FtSpellFocus1,FtSpellFocus2,FtSpellFocus3),OR([1]Feats!$AP$106=4,[1]Feats!$AP$107=4,[1]Feats!$AP$108=4))</f>
        <v>0</v>
      </c>
      <c r="DV605" s="1" t="b">
        <f>SkGatherInformationRanks&gt;5</f>
        <v>0</v>
      </c>
      <c r="DW605" s="1" t="b">
        <f>SkKnowledgeArcanaRanks&gt;5</f>
        <v>0</v>
      </c>
      <c r="DX605" s="1" t="b">
        <f>SkSpellcraftRanks&gt;5</f>
        <v>0</v>
      </c>
      <c r="DY605" s="1" t="b">
        <f>StLgLvl&gt;0</f>
        <v>0</v>
      </c>
      <c r="DZ605" s="1" t="b">
        <f t="shared" si="554"/>
        <v>1</v>
      </c>
      <c r="EA605" s="1" t="b">
        <f t="shared" si="555"/>
        <v>0</v>
      </c>
      <c r="EB605" s="11" t="s">
        <v>338</v>
      </c>
      <c r="EC605" s="1" t="str">
        <f>IF(DS605,"","• Any Good alignment.
")&amp;IF(DT605,"","• Base Will save +6.
")&amp;IF(DU605,"","•Feat: Spell Focus(divination).
")&amp;IF(DV605,"","• 6 ranks in Gather Information.
")&amp;IF(DW605,"","• 6 ranks in Knowledge(arcana).
")&amp;IF(DX605,"","• 6 ranks in Spellcraft.
")&amp;IF(DY605,"","• Legion Knowledge class skill.
")&amp;"• Must be able to cast 2nd level arcane spells without preparation and with at least 3 divinations spells (not verified)."</f>
        <v>• Base Will save +6.
•Feat: Spell Focus(divination).
• 6 ranks in Gather Information.
• 6 ranks in Knowledge(arcana).
• 6 ranks in Spellcraft.
• Legion Knowledge class skill.
• Must be able to cast 2nd level arcane spells without preparation and with at least 3 divinations spells (not verified).</v>
      </c>
      <c r="ED605" s="11" t="s">
        <v>335</v>
      </c>
    </row>
    <row r="606" spans="1:134" ht="11.25" customHeight="1" x14ac:dyDescent="0.2">
      <c r="A606" s="1">
        <f t="shared" si="535"/>
        <v>603</v>
      </c>
      <c r="B606" s="1" t="s">
        <v>1443</v>
      </c>
      <c r="C606" s="1" t="s">
        <v>1444</v>
      </c>
      <c r="D606" s="1" t="s">
        <v>1444</v>
      </c>
      <c r="E606" s="1">
        <f t="shared" si="517"/>
        <v>0</v>
      </c>
      <c r="K606" s="1">
        <v>6</v>
      </c>
      <c r="L606" s="1">
        <v>6</v>
      </c>
      <c r="V606" s="1">
        <v>0.75</v>
      </c>
      <c r="W606" s="1">
        <v>0.34</v>
      </c>
      <c r="X606" s="1">
        <v>0.34</v>
      </c>
      <c r="Y606" s="1">
        <v>0.5</v>
      </c>
      <c r="Z606" s="1" t="b">
        <f>FALSE</f>
        <v>0</v>
      </c>
      <c r="AA606" s="1" t="str">
        <f t="shared" si="520"/>
        <v/>
      </c>
      <c r="AB606" s="1" t="str">
        <f t="shared" si="521"/>
        <v/>
      </c>
      <c r="AC606" s="1">
        <f t="shared" si="518"/>
        <v>0</v>
      </c>
      <c r="AD606" s="1" t="str">
        <f t="shared" si="522"/>
        <v/>
      </c>
      <c r="AE606" s="1" t="str">
        <f t="shared" si="523"/>
        <v/>
      </c>
      <c r="AF606" s="1">
        <f t="shared" si="519"/>
        <v>0</v>
      </c>
      <c r="AG606" s="1">
        <f t="shared" si="546"/>
        <v>5</v>
      </c>
      <c r="AH606" s="1" t="str">
        <f t="shared" si="545"/>
        <v/>
      </c>
      <c r="AI606" s="1">
        <v>2</v>
      </c>
      <c r="AJ606" s="1">
        <f t="shared" si="536"/>
        <v>0</v>
      </c>
      <c r="AK606" s="1">
        <v>1</v>
      </c>
      <c r="AL606" s="1">
        <v>2</v>
      </c>
      <c r="AM606" s="1">
        <v>1</v>
      </c>
      <c r="AN606" s="1">
        <f t="shared" si="547"/>
        <v>0</v>
      </c>
      <c r="AO606" s="1">
        <v>1</v>
      </c>
      <c r="AP606" s="1">
        <v>1</v>
      </c>
      <c r="AQ606" s="1">
        <v>1</v>
      </c>
      <c r="AR606" s="1">
        <v>1</v>
      </c>
      <c r="AS606" s="1">
        <v>1</v>
      </c>
      <c r="AT606" s="1">
        <v>1</v>
      </c>
      <c r="AU606" s="1">
        <v>1</v>
      </c>
      <c r="AV606" s="1">
        <v>1</v>
      </c>
      <c r="AW606" s="1">
        <v>2</v>
      </c>
      <c r="AX606" s="1">
        <v>2</v>
      </c>
      <c r="AY606" s="1">
        <v>1</v>
      </c>
      <c r="AZ606" s="1">
        <v>2</v>
      </c>
      <c r="BA606" s="1">
        <v>2</v>
      </c>
      <c r="BB606" s="1">
        <v>2</v>
      </c>
      <c r="BC606" s="1">
        <v>2</v>
      </c>
      <c r="BD606" s="1">
        <v>1</v>
      </c>
      <c r="BE606" s="1">
        <v>1</v>
      </c>
      <c r="BF606" s="1">
        <v>1</v>
      </c>
      <c r="BG606" s="1">
        <f t="shared" si="538"/>
        <v>0</v>
      </c>
      <c r="BH606" s="1">
        <f t="shared" si="548"/>
        <v>0</v>
      </c>
      <c r="BI606" s="1">
        <v>2</v>
      </c>
      <c r="BJ606" s="1">
        <v>1</v>
      </c>
      <c r="BK606" s="1">
        <v>2</v>
      </c>
      <c r="BL606" s="1">
        <v>2</v>
      </c>
      <c r="BM606" s="1">
        <v>2</v>
      </c>
      <c r="BN606" s="1">
        <v>2</v>
      </c>
      <c r="BO606" s="1">
        <v>2</v>
      </c>
      <c r="BP606" s="1">
        <v>2</v>
      </c>
      <c r="BQ606" s="1">
        <f t="shared" si="549"/>
        <v>0</v>
      </c>
      <c r="BR606" s="1">
        <v>2</v>
      </c>
      <c r="BS606" s="1">
        <v>2</v>
      </c>
      <c r="BT606" s="1">
        <f t="shared" si="550"/>
        <v>0</v>
      </c>
      <c r="BU606" s="1">
        <f t="shared" si="551"/>
        <v>0</v>
      </c>
      <c r="BV606" s="1">
        <v>2</v>
      </c>
      <c r="BW606" s="1">
        <v>2</v>
      </c>
      <c r="BX606" s="1">
        <v>2</v>
      </c>
      <c r="BY606" s="1">
        <v>2</v>
      </c>
      <c r="BZ606" s="1">
        <v>2</v>
      </c>
      <c r="CA606" s="1">
        <v>2</v>
      </c>
      <c r="CB606" s="1">
        <v>2</v>
      </c>
      <c r="CC606" s="1">
        <v>2</v>
      </c>
      <c r="CD606" s="1">
        <v>2</v>
      </c>
      <c r="CE606" s="1">
        <v>2</v>
      </c>
      <c r="CF606" s="1">
        <v>2</v>
      </c>
      <c r="CG606" s="1">
        <f t="shared" si="552"/>
        <v>0</v>
      </c>
      <c r="CH606" s="1">
        <v>1</v>
      </c>
      <c r="CI606" s="1">
        <v>1</v>
      </c>
      <c r="CJ606" s="1">
        <v>1</v>
      </c>
      <c r="CK606" s="1">
        <v>1</v>
      </c>
      <c r="CL606" s="1">
        <v>1</v>
      </c>
      <c r="CM606" s="1">
        <v>1</v>
      </c>
      <c r="CN606" s="1">
        <v>1</v>
      </c>
      <c r="CO606" s="1">
        <v>1</v>
      </c>
      <c r="CP606" s="1">
        <v>1</v>
      </c>
      <c r="CQ606" s="1">
        <v>1</v>
      </c>
      <c r="CR606" s="1">
        <v>1</v>
      </c>
      <c r="CS606" s="1">
        <v>1</v>
      </c>
      <c r="CT606" s="1">
        <v>1</v>
      </c>
      <c r="CU606" s="1">
        <v>1</v>
      </c>
      <c r="CV606" s="1">
        <f t="shared" si="541"/>
        <v>0</v>
      </c>
      <c r="CW606" s="1">
        <v>1</v>
      </c>
      <c r="CX606" s="1">
        <v>1</v>
      </c>
      <c r="CY606" s="1">
        <v>2</v>
      </c>
      <c r="CZ606" s="1">
        <f t="shared" si="553"/>
        <v>0</v>
      </c>
      <c r="DA606" s="1">
        <v>1</v>
      </c>
      <c r="DB606" s="1">
        <v>2</v>
      </c>
      <c r="DC606" s="1">
        <v>1</v>
      </c>
      <c r="DD606" s="1">
        <v>2</v>
      </c>
      <c r="DE606" s="1">
        <v>1</v>
      </c>
      <c r="DF606" s="1">
        <v>1</v>
      </c>
      <c r="DG606" s="1">
        <v>1</v>
      </c>
      <c r="DH606" s="1">
        <v>1</v>
      </c>
      <c r="DI606" s="1">
        <f t="shared" si="543"/>
        <v>0</v>
      </c>
      <c r="DJ606" s="1">
        <v>1</v>
      </c>
      <c r="DK606" s="1" t="s">
        <v>305</v>
      </c>
      <c r="DL606" s="1" t="s">
        <v>170</v>
      </c>
      <c r="DT606" s="1" t="b">
        <f>AlignmentNonChaotic</f>
        <v>1</v>
      </c>
      <c r="DU606" s="1" t="b">
        <f>SkBluffRanks&gt;3</f>
        <v>0</v>
      </c>
      <c r="DV606" s="1" t="b">
        <f>SkDiplomacyRanks&gt;7</f>
        <v>0</v>
      </c>
      <c r="DW606" s="1" t="b">
        <f>SkGatherInformationRanks&gt;3</f>
        <v>0</v>
      </c>
      <c r="DX606" s="1" t="b">
        <f>SkKnowledgeNobilityRanks&gt;7</f>
        <v>0</v>
      </c>
      <c r="DY606" s="1" t="b">
        <f>SkSenseMotiveRanks&gt;7</f>
        <v>0</v>
      </c>
      <c r="DZ606" s="1" t="b">
        <f t="shared" si="554"/>
        <v>1</v>
      </c>
      <c r="EA606" s="1" t="b">
        <f t="shared" si="555"/>
        <v>0</v>
      </c>
      <c r="EB606" s="11" t="s">
        <v>338</v>
      </c>
      <c r="EC606" s="1" t="str">
        <f>IF(DT606,"","• Alignment is not Chaotic.
")&amp;IF(DU606,"","• 4 ranks in Bluff.
")&amp;IF(DV606,"","• 8 ranks in Diplomacy.
")&amp;IF(DW606,"","• 4 ranks in Gather Information.
")&amp;IF(DX606,"","• 8 ranks in Knowledge(nobility).
")&amp;IF(DY606,"","• 8 ranks in Sense Motive.
")&amp;"• Literate with 2 other languages other than Common and your own Racial languge (not verified).
• Through your efforts, in a political position, a courtly or political issue was resolved.(not verified)."</f>
        <v>• 4 ranks in Bluff.
• 8 ranks in Diplomacy.
• 4 ranks in Gather Information.
• 8 ranks in Knowledge(nobility).
• 8 ranks in Sense Motive.
• Literate with 2 other languages other than Common and your own Racial languge (not verified).
• Through your efforts, in a political position, a courtly or political issue was resolved.(not verified).</v>
      </c>
      <c r="ED606" s="11" t="s">
        <v>335</v>
      </c>
    </row>
    <row r="607" spans="1:134" ht="11.25" customHeight="1" x14ac:dyDescent="0.2">
      <c r="A607" s="1">
        <f t="shared" si="535"/>
        <v>604</v>
      </c>
      <c r="B607" s="1" t="s">
        <v>1445</v>
      </c>
      <c r="C607" s="1" t="s">
        <v>1446</v>
      </c>
      <c r="D607" s="1" t="s">
        <v>1446</v>
      </c>
      <c r="E607" s="1">
        <f t="shared" si="517"/>
        <v>0</v>
      </c>
      <c r="G607" s="1">
        <f>NoShLvl</f>
        <v>0</v>
      </c>
      <c r="K607" s="1">
        <v>4</v>
      </c>
      <c r="L607" s="1">
        <v>8</v>
      </c>
      <c r="N607" s="1" t="b">
        <v>1</v>
      </c>
      <c r="Q607" s="1" t="b">
        <v>1</v>
      </c>
      <c r="V607" s="1">
        <v>0.75</v>
      </c>
      <c r="W607" s="1">
        <v>0.34</v>
      </c>
      <c r="X607" s="1">
        <v>0.34</v>
      </c>
      <c r="Y607" s="1">
        <v>0.5</v>
      </c>
      <c r="Z607" s="1" t="b">
        <f>FALSE</f>
        <v>0</v>
      </c>
      <c r="AA607" s="1" t="str">
        <f t="shared" si="520"/>
        <v/>
      </c>
      <c r="AB607" s="1" t="str">
        <f t="shared" si="521"/>
        <v/>
      </c>
      <c r="AC607" s="1">
        <f t="shared" si="518"/>
        <v>0</v>
      </c>
      <c r="AD607" s="1" t="str">
        <f t="shared" si="522"/>
        <v/>
      </c>
      <c r="AE607" s="1" t="str">
        <f t="shared" si="523"/>
        <v/>
      </c>
      <c r="AF607" s="1">
        <f t="shared" si="519"/>
        <v>0</v>
      </c>
      <c r="AG607" s="1">
        <f t="shared" si="546"/>
        <v>5</v>
      </c>
      <c r="AH607" s="1" t="str">
        <f t="shared" si="545"/>
        <v/>
      </c>
      <c r="AI607" s="1">
        <v>1</v>
      </c>
      <c r="AJ607" s="1">
        <f t="shared" si="536"/>
        <v>0</v>
      </c>
      <c r="AK607" s="1">
        <v>1</v>
      </c>
      <c r="AL607" s="1">
        <v>1</v>
      </c>
      <c r="AM607" s="1">
        <v>1</v>
      </c>
      <c r="AN607" s="1">
        <f t="shared" si="547"/>
        <v>0</v>
      </c>
      <c r="AO607" s="1">
        <v>2</v>
      </c>
      <c r="AP607" s="1">
        <v>2</v>
      </c>
      <c r="AQ607" s="1">
        <v>2</v>
      </c>
      <c r="AR607" s="1">
        <v>2</v>
      </c>
      <c r="AS607" s="1">
        <v>2</v>
      </c>
      <c r="AT607" s="1">
        <v>2</v>
      </c>
      <c r="AU607" s="1">
        <v>2</v>
      </c>
      <c r="AV607" s="1">
        <v>2</v>
      </c>
      <c r="AW607" s="1">
        <v>1</v>
      </c>
      <c r="AX607" s="1">
        <v>2</v>
      </c>
      <c r="AY607" s="1">
        <v>1</v>
      </c>
      <c r="AZ607" s="1">
        <v>1</v>
      </c>
      <c r="BA607" s="1">
        <v>1</v>
      </c>
      <c r="BB607" s="1">
        <v>1</v>
      </c>
      <c r="BC607" s="1">
        <v>1</v>
      </c>
      <c r="BD607" s="1">
        <v>2</v>
      </c>
      <c r="BE607" s="1">
        <v>2</v>
      </c>
      <c r="BF607" s="1">
        <v>1</v>
      </c>
      <c r="BG607" s="1">
        <f t="shared" si="538"/>
        <v>0</v>
      </c>
      <c r="BH607" s="1">
        <f t="shared" si="548"/>
        <v>0</v>
      </c>
      <c r="BI607" s="1">
        <v>1</v>
      </c>
      <c r="BJ607" s="1">
        <v>1</v>
      </c>
      <c r="BK607" s="1">
        <v>1</v>
      </c>
      <c r="BL607" s="1">
        <v>1</v>
      </c>
      <c r="BM607" s="1">
        <v>1</v>
      </c>
      <c r="BN607" s="1">
        <v>1</v>
      </c>
      <c r="BO607" s="1">
        <v>1</v>
      </c>
      <c r="BP607" s="1">
        <v>1</v>
      </c>
      <c r="BQ607" s="1">
        <f t="shared" si="549"/>
        <v>0</v>
      </c>
      <c r="BR607" s="1">
        <v>2</v>
      </c>
      <c r="BS607" s="1">
        <v>1</v>
      </c>
      <c r="BT607" s="1">
        <f t="shared" si="550"/>
        <v>0</v>
      </c>
      <c r="BU607" s="1">
        <f t="shared" si="551"/>
        <v>0</v>
      </c>
      <c r="BV607" s="1">
        <v>2</v>
      </c>
      <c r="BW607" s="1">
        <v>1</v>
      </c>
      <c r="BX607" s="1">
        <v>1</v>
      </c>
      <c r="BY607" s="1">
        <v>1</v>
      </c>
      <c r="BZ607" s="1">
        <v>1</v>
      </c>
      <c r="CA607" s="1">
        <v>1</v>
      </c>
      <c r="CB607" s="1">
        <v>1</v>
      </c>
      <c r="CC607" s="1">
        <v>1</v>
      </c>
      <c r="CD607" s="1">
        <v>1</v>
      </c>
      <c r="CE607" s="1">
        <v>1</v>
      </c>
      <c r="CF607" s="1">
        <v>1</v>
      </c>
      <c r="CG607" s="1">
        <f t="shared" si="552"/>
        <v>0</v>
      </c>
      <c r="CH607" s="1">
        <v>1</v>
      </c>
      <c r="CI607" s="1">
        <v>1</v>
      </c>
      <c r="CJ607" s="1">
        <v>1</v>
      </c>
      <c r="CK607" s="1">
        <v>1</v>
      </c>
      <c r="CL607" s="1">
        <v>1</v>
      </c>
      <c r="CM607" s="1">
        <v>1</v>
      </c>
      <c r="CN607" s="1">
        <v>1</v>
      </c>
      <c r="CO607" s="1">
        <v>1</v>
      </c>
      <c r="CP607" s="1">
        <v>2</v>
      </c>
      <c r="CQ607" s="1">
        <v>2</v>
      </c>
      <c r="CR607" s="1">
        <v>2</v>
      </c>
      <c r="CS607" s="1">
        <v>2</v>
      </c>
      <c r="CT607" s="1">
        <v>2</v>
      </c>
      <c r="CU607" s="1">
        <v>2</v>
      </c>
      <c r="CV607" s="1">
        <f t="shared" si="541"/>
        <v>0</v>
      </c>
      <c r="CW607" s="1">
        <v>1</v>
      </c>
      <c r="CX607" s="1">
        <v>1</v>
      </c>
      <c r="CY607" s="1">
        <v>1</v>
      </c>
      <c r="CZ607" s="1">
        <f t="shared" si="553"/>
        <v>0</v>
      </c>
      <c r="DA607" s="1">
        <v>1</v>
      </c>
      <c r="DB607" s="1">
        <v>1</v>
      </c>
      <c r="DC607" s="1">
        <v>2</v>
      </c>
      <c r="DD607" s="1">
        <v>1</v>
      </c>
      <c r="DE607" s="1">
        <v>2</v>
      </c>
      <c r="DF607" s="1">
        <v>2</v>
      </c>
      <c r="DG607" s="1">
        <v>1</v>
      </c>
      <c r="DH607" s="1">
        <v>1</v>
      </c>
      <c r="DI607" s="1">
        <f t="shared" si="543"/>
        <v>0</v>
      </c>
      <c r="DJ607" s="1">
        <v>1</v>
      </c>
      <c r="DK607" s="1" t="s">
        <v>305</v>
      </c>
      <c r="DL607" s="1" t="s">
        <v>170</v>
      </c>
      <c r="DT607" s="1" t="b">
        <f>BaseWill&gt;3</f>
        <v>0</v>
      </c>
      <c r="DU607" s="1" t="b">
        <f>FtAlertness</f>
        <v>0</v>
      </c>
      <c r="DV607" s="1" t="b">
        <f>SkKnowledgeNatureRanks&gt;7</f>
        <v>0</v>
      </c>
      <c r="DW607" s="1" t="b">
        <f>SkKnowledgeReligionRanks&gt;3</f>
        <v>0</v>
      </c>
      <c r="DX607" s="1" t="b">
        <f>SkSurvivalRanks&gt;3</f>
        <v>0</v>
      </c>
      <c r="DY607" s="1" t="b">
        <f>TotalDivineCasterLevel&gt;2</f>
        <v>0</v>
      </c>
      <c r="DZ607" s="1" t="b">
        <f t="shared" si="554"/>
        <v>1</v>
      </c>
      <c r="EA607" s="1" t="b">
        <f t="shared" si="555"/>
        <v>0</v>
      </c>
      <c r="EB607" s="11" t="s">
        <v>338</v>
      </c>
      <c r="EC607" s="1" t="str">
        <f>IF(DT607,"","• Base Will save +4
")&amp;IF(DU607,"","• Feat: Alertness.
")&amp;IF(DV607,"","• 8 ranks in Knowledge(nature).
")&amp;IF(DW607,"","• 4 ranks in Knowledge(religion).
")&amp;IF(DX607,"","• 4 ranks in Survival.
")&amp;IF(DY607,"","• Ability to cast 3rd level Divine spells.
")&amp;"• Must have been raised in Nomad culture and belong to a clan/tribe (not verified)."</f>
        <v>• Base Will save +4
• Feat: Alertness.
• 8 ranks in Knowledge(nature).
• 4 ranks in Knowledge(religion).
• 4 ranks in Survival.
• Ability to cast 3rd level Divine spells.
• Must have been raised in Nomad culture and belong to a clan/tribe (not verified).</v>
      </c>
      <c r="ED607" s="11" t="s">
        <v>335</v>
      </c>
    </row>
    <row r="608" spans="1:134" ht="11.25" customHeight="1" x14ac:dyDescent="0.2">
      <c r="A608" s="1">
        <f t="shared" si="535"/>
        <v>605</v>
      </c>
      <c r="B608" s="1" t="s">
        <v>1447</v>
      </c>
      <c r="C608" s="1" t="s">
        <v>1448</v>
      </c>
      <c r="D608" s="1" t="s">
        <v>1448</v>
      </c>
      <c r="E608" s="1">
        <f t="shared" si="517"/>
        <v>0</v>
      </c>
      <c r="K608" s="1">
        <v>2</v>
      </c>
      <c r="L608" s="1">
        <v>10</v>
      </c>
      <c r="N608" s="1" t="b">
        <v>1</v>
      </c>
      <c r="O608" s="1" t="b">
        <v>1</v>
      </c>
      <c r="P608" s="1" t="b">
        <v>1</v>
      </c>
      <c r="Q608" s="1" t="b">
        <v>1</v>
      </c>
      <c r="R608" s="1" t="b">
        <v>1</v>
      </c>
      <c r="S608" s="1" t="b">
        <v>1</v>
      </c>
      <c r="T608" s="1" t="b">
        <v>1</v>
      </c>
      <c r="V608" s="1">
        <v>1</v>
      </c>
      <c r="W608" s="1">
        <v>0.5</v>
      </c>
      <c r="X608" s="1">
        <v>0.34</v>
      </c>
      <c r="Y608" s="1">
        <v>0.34</v>
      </c>
      <c r="Z608" s="1" t="b">
        <f>FALSE</f>
        <v>0</v>
      </c>
      <c r="AA608" s="1" t="str">
        <f t="shared" si="520"/>
        <v/>
      </c>
      <c r="AB608" s="1" t="str">
        <f t="shared" si="521"/>
        <v/>
      </c>
      <c r="AC608" s="1">
        <f t="shared" si="518"/>
        <v>0</v>
      </c>
      <c r="AD608" s="1" t="str">
        <f t="shared" si="522"/>
        <v/>
      </c>
      <c r="AE608" s="1" t="str">
        <f t="shared" si="523"/>
        <v/>
      </c>
      <c r="AF608" s="1">
        <f t="shared" si="519"/>
        <v>0</v>
      </c>
      <c r="AG608" s="1">
        <f t="shared" si="546"/>
        <v>5</v>
      </c>
      <c r="AH608" s="1" t="str">
        <f t="shared" si="545"/>
        <v/>
      </c>
      <c r="AI608" s="1">
        <v>1</v>
      </c>
      <c r="AJ608" s="1">
        <f t="shared" si="536"/>
        <v>0</v>
      </c>
      <c r="AK608" s="1">
        <v>1</v>
      </c>
      <c r="AL608" s="1">
        <v>2</v>
      </c>
      <c r="AM608" s="1">
        <v>1</v>
      </c>
      <c r="AN608" s="1">
        <f t="shared" si="547"/>
        <v>0</v>
      </c>
      <c r="AO608" s="1">
        <v>1</v>
      </c>
      <c r="AP608" s="1">
        <v>2</v>
      </c>
      <c r="AQ608" s="1">
        <v>2</v>
      </c>
      <c r="AR608" s="1">
        <v>2</v>
      </c>
      <c r="AS608" s="1">
        <v>2</v>
      </c>
      <c r="AT608" s="1">
        <v>2</v>
      </c>
      <c r="AU608" s="1">
        <v>2</v>
      </c>
      <c r="AV608" s="1">
        <v>2</v>
      </c>
      <c r="AW608" s="1">
        <v>1</v>
      </c>
      <c r="AX608" s="1">
        <v>2</v>
      </c>
      <c r="AY608" s="1">
        <v>1</v>
      </c>
      <c r="AZ608" s="1">
        <v>2</v>
      </c>
      <c r="BA608" s="1">
        <v>1</v>
      </c>
      <c r="BB608" s="1">
        <v>1</v>
      </c>
      <c r="BC608" s="1">
        <v>2</v>
      </c>
      <c r="BD608" s="1">
        <v>1</v>
      </c>
      <c r="BE608" s="1">
        <v>1</v>
      </c>
      <c r="BF608" s="1">
        <v>2</v>
      </c>
      <c r="BG608" s="1">
        <f t="shared" si="538"/>
        <v>0</v>
      </c>
      <c r="BH608" s="1">
        <f t="shared" si="548"/>
        <v>0</v>
      </c>
      <c r="BI608" s="1">
        <v>2</v>
      </c>
      <c r="BJ608" s="1">
        <v>1</v>
      </c>
      <c r="BK608" s="1">
        <v>1</v>
      </c>
      <c r="BL608" s="1">
        <v>1</v>
      </c>
      <c r="BM608" s="1">
        <v>1</v>
      </c>
      <c r="BN608" s="1">
        <v>1</v>
      </c>
      <c r="BO608" s="1">
        <v>1</v>
      </c>
      <c r="BP608" s="1">
        <v>1</v>
      </c>
      <c r="BQ608" s="1">
        <f t="shared" si="549"/>
        <v>0</v>
      </c>
      <c r="BR608" s="1">
        <v>1</v>
      </c>
      <c r="BS608" s="1">
        <v>2</v>
      </c>
      <c r="BT608" s="1">
        <f t="shared" si="550"/>
        <v>0</v>
      </c>
      <c r="BU608" s="1">
        <f t="shared" si="551"/>
        <v>0</v>
      </c>
      <c r="BV608" s="1">
        <v>1</v>
      </c>
      <c r="BW608" s="1">
        <v>1</v>
      </c>
      <c r="BX608" s="1">
        <v>1</v>
      </c>
      <c r="BY608" s="1">
        <v>1</v>
      </c>
      <c r="BZ608" s="1">
        <v>1</v>
      </c>
      <c r="CA608" s="1">
        <v>1</v>
      </c>
      <c r="CB608" s="1">
        <v>1</v>
      </c>
      <c r="CC608" s="1">
        <v>1</v>
      </c>
      <c r="CD608" s="1">
        <v>1</v>
      </c>
      <c r="CE608" s="1">
        <v>1</v>
      </c>
      <c r="CF608" s="1">
        <v>1</v>
      </c>
      <c r="CG608" s="1">
        <f t="shared" si="552"/>
        <v>0</v>
      </c>
      <c r="CH608" s="1">
        <v>1</v>
      </c>
      <c r="CI608" s="1">
        <v>1</v>
      </c>
      <c r="CJ608" s="1">
        <v>1</v>
      </c>
      <c r="CK608" s="1">
        <v>1</v>
      </c>
      <c r="CL608" s="1">
        <v>1</v>
      </c>
      <c r="CM608" s="1">
        <v>1</v>
      </c>
      <c r="CN608" s="1">
        <v>1</v>
      </c>
      <c r="CO608" s="1">
        <v>1</v>
      </c>
      <c r="CP608" s="1">
        <v>2</v>
      </c>
      <c r="CQ608" s="1">
        <v>2</v>
      </c>
      <c r="CR608" s="1">
        <v>2</v>
      </c>
      <c r="CS608" s="1">
        <v>2</v>
      </c>
      <c r="CT608" s="1">
        <v>2</v>
      </c>
      <c r="CU608" s="1">
        <v>2</v>
      </c>
      <c r="CV608" s="1">
        <f t="shared" si="541"/>
        <v>0</v>
      </c>
      <c r="CW608" s="1">
        <v>2</v>
      </c>
      <c r="CX608" s="1">
        <v>1</v>
      </c>
      <c r="CY608" s="1">
        <v>2</v>
      </c>
      <c r="CZ608" s="1">
        <f t="shared" si="553"/>
        <v>0</v>
      </c>
      <c r="DA608" s="1">
        <v>1</v>
      </c>
      <c r="DB608" s="1">
        <v>1</v>
      </c>
      <c r="DC608" s="1">
        <v>1</v>
      </c>
      <c r="DD608" s="1">
        <v>1</v>
      </c>
      <c r="DE608" s="1">
        <v>1</v>
      </c>
      <c r="DF608" s="1">
        <v>1</v>
      </c>
      <c r="DG608" s="1">
        <v>1</v>
      </c>
      <c r="DH608" s="1">
        <v>1</v>
      </c>
      <c r="DI608" s="1">
        <f t="shared" si="543"/>
        <v>0</v>
      </c>
      <c r="DJ608" s="1">
        <v>1</v>
      </c>
      <c r="DK608" s="1" t="s">
        <v>305</v>
      </c>
      <c r="DL608" s="1" t="s">
        <v>170</v>
      </c>
      <c r="DU608" s="1" t="b">
        <f>BaseAtk&gt;4</f>
        <v>0</v>
      </c>
      <c r="DV608" s="1" t="b">
        <f>BaseFort&gt;3</f>
        <v>0</v>
      </c>
      <c r="DW608" s="1" t="b">
        <f>FtArmorHeavy</f>
        <v>0</v>
      </c>
      <c r="DX608" s="1" t="b">
        <f>FtMartialWeapon</f>
        <v>0</v>
      </c>
      <c r="DY608" s="1" t="b">
        <f>FtHonorBound</f>
        <v>0</v>
      </c>
      <c r="DZ608" s="1" t="b">
        <f t="shared" si="554"/>
        <v>1</v>
      </c>
      <c r="EA608" s="1" t="b">
        <f t="shared" si="555"/>
        <v>0</v>
      </c>
      <c r="EB608" s="11" t="s">
        <v>338</v>
      </c>
      <c r="EC608" s="1" t="str">
        <f>IF(DU608,"","• BAB+5
")&amp;IF(DV608,"","• Base Fortitude save +4.
")&amp;IF(DW608,"","• Feat: Armor Proficiency Heavy.
")&amp;IF(DX608,"","• Feat: Martial Weapon Proficiency.
")&amp;IF(DY608,"","• Feat: Honor-bound.
")&amp;"• Must have broken or betrayed an oath of a Knightly order to which you belonged (not verified)."</f>
        <v>• BAB+5
• Base Fortitude save +4.
• Feat: Armor Proficiency Heavy.
• Feat: Martial Weapon Proficiency.
• Feat: Honor-bound.
• Must have broken or betrayed an oath of a Knightly order to which you belonged (not verified).</v>
      </c>
      <c r="ED608" s="11" t="s">
        <v>335</v>
      </c>
    </row>
    <row r="609" spans="1:134" ht="11.25" customHeight="1" x14ac:dyDescent="0.2">
      <c r="A609" s="1">
        <f t="shared" si="535"/>
        <v>606</v>
      </c>
      <c r="B609" s="1" t="s">
        <v>1449</v>
      </c>
      <c r="C609" s="1" t="s">
        <v>1450</v>
      </c>
      <c r="D609" s="1" t="s">
        <v>1450</v>
      </c>
      <c r="E609" s="1">
        <f t="shared" si="517"/>
        <v>0</v>
      </c>
      <c r="G609" s="1">
        <f>SAMaLvl</f>
        <v>0</v>
      </c>
      <c r="K609" s="1">
        <v>2</v>
      </c>
      <c r="L609" s="1">
        <v>4</v>
      </c>
      <c r="V609" s="1">
        <v>0.5</v>
      </c>
      <c r="W609" s="1">
        <v>0.34</v>
      </c>
      <c r="X609" s="1">
        <v>0.34</v>
      </c>
      <c r="Y609" s="1">
        <v>0.5</v>
      </c>
      <c r="Z609" s="1" t="b">
        <f>FALSE</f>
        <v>0</v>
      </c>
      <c r="AA609" s="1" t="str">
        <f t="shared" si="520"/>
        <v/>
      </c>
      <c r="AB609" s="1" t="str">
        <f t="shared" si="521"/>
        <v/>
      </c>
      <c r="AC609" s="1">
        <f t="shared" si="518"/>
        <v>0</v>
      </c>
      <c r="AD609" s="1" t="str">
        <f t="shared" si="522"/>
        <v/>
      </c>
      <c r="AE609" s="1" t="str">
        <f t="shared" si="523"/>
        <v/>
      </c>
      <c r="AF609" s="1">
        <f t="shared" si="519"/>
        <v>0</v>
      </c>
      <c r="AG609" s="1">
        <f t="shared" si="546"/>
        <v>5</v>
      </c>
      <c r="AH609" s="1" t="str">
        <f t="shared" si="545"/>
        <v/>
      </c>
      <c r="AI609" s="1">
        <v>1</v>
      </c>
      <c r="AJ609" s="1">
        <f t="shared" si="536"/>
        <v>0</v>
      </c>
      <c r="AK609" s="1">
        <v>1</v>
      </c>
      <c r="AL609" s="1">
        <v>1</v>
      </c>
      <c r="AM609" s="1">
        <v>1</v>
      </c>
      <c r="AN609" s="1">
        <f t="shared" si="547"/>
        <v>0</v>
      </c>
      <c r="AO609" s="1">
        <v>2</v>
      </c>
      <c r="AP609" s="1">
        <v>2</v>
      </c>
      <c r="AQ609" s="1">
        <v>2</v>
      </c>
      <c r="AR609" s="1">
        <v>2</v>
      </c>
      <c r="AS609" s="1">
        <v>2</v>
      </c>
      <c r="AT609" s="1">
        <v>2</v>
      </c>
      <c r="AU609" s="1">
        <v>2</v>
      </c>
      <c r="AV609" s="1">
        <v>2</v>
      </c>
      <c r="AW609" s="1">
        <v>1</v>
      </c>
      <c r="AX609" s="1">
        <v>2</v>
      </c>
      <c r="AY609" s="1">
        <v>1</v>
      </c>
      <c r="AZ609" s="1">
        <v>1</v>
      </c>
      <c r="BA609" s="1">
        <v>1</v>
      </c>
      <c r="BB609" s="1">
        <v>1</v>
      </c>
      <c r="BC609" s="1">
        <v>1</v>
      </c>
      <c r="BD609" s="1">
        <v>2</v>
      </c>
      <c r="BE609" s="1">
        <v>1</v>
      </c>
      <c r="BF609" s="1">
        <v>1</v>
      </c>
      <c r="BG609" s="1">
        <f t="shared" si="538"/>
        <v>0</v>
      </c>
      <c r="BH609" s="1">
        <f t="shared" si="548"/>
        <v>0</v>
      </c>
      <c r="BI609" s="1">
        <v>1</v>
      </c>
      <c r="BJ609" s="1">
        <v>1</v>
      </c>
      <c r="BK609" s="1">
        <v>2</v>
      </c>
      <c r="BL609" s="1">
        <v>1</v>
      </c>
      <c r="BM609" s="1">
        <v>1</v>
      </c>
      <c r="BN609" s="1">
        <v>1</v>
      </c>
      <c r="BO609" s="1">
        <v>1</v>
      </c>
      <c r="BP609" s="1">
        <v>1</v>
      </c>
      <c r="BQ609" s="1">
        <f t="shared" si="549"/>
        <v>0</v>
      </c>
      <c r="BR609" s="1">
        <v>1</v>
      </c>
      <c r="BS609" s="1">
        <v>2</v>
      </c>
      <c r="BT609" s="1">
        <f t="shared" si="550"/>
        <v>0</v>
      </c>
      <c r="BU609" s="1">
        <f t="shared" si="551"/>
        <v>0</v>
      </c>
      <c r="BV609" s="1">
        <v>2</v>
      </c>
      <c r="BW609" s="1">
        <v>1</v>
      </c>
      <c r="BX609" s="1">
        <v>1</v>
      </c>
      <c r="BY609" s="1">
        <v>1</v>
      </c>
      <c r="BZ609" s="1">
        <v>1</v>
      </c>
      <c r="CA609" s="1">
        <v>1</v>
      </c>
      <c r="CB609" s="1">
        <v>1</v>
      </c>
      <c r="CC609" s="1">
        <v>1</v>
      </c>
      <c r="CD609" s="1">
        <v>1</v>
      </c>
      <c r="CE609" s="1">
        <v>1</v>
      </c>
      <c r="CF609" s="1">
        <v>1</v>
      </c>
      <c r="CG609" s="1">
        <f t="shared" si="552"/>
        <v>0</v>
      </c>
      <c r="CH609" s="1">
        <v>1</v>
      </c>
      <c r="CI609" s="1">
        <v>1</v>
      </c>
      <c r="CJ609" s="1">
        <v>1</v>
      </c>
      <c r="CK609" s="1">
        <v>1</v>
      </c>
      <c r="CL609" s="1">
        <v>1</v>
      </c>
      <c r="CM609" s="1">
        <v>1</v>
      </c>
      <c r="CN609" s="1">
        <v>1</v>
      </c>
      <c r="CO609" s="1">
        <v>1</v>
      </c>
      <c r="CP609" s="1">
        <v>2</v>
      </c>
      <c r="CQ609" s="1">
        <v>2</v>
      </c>
      <c r="CR609" s="1">
        <v>2</v>
      </c>
      <c r="CS609" s="1">
        <v>2</v>
      </c>
      <c r="CT609" s="1">
        <v>2</v>
      </c>
      <c r="CU609" s="1">
        <v>2</v>
      </c>
      <c r="CV609" s="1">
        <f t="shared" si="541"/>
        <v>0</v>
      </c>
      <c r="CW609" s="1">
        <v>2</v>
      </c>
      <c r="CX609" s="1">
        <v>1</v>
      </c>
      <c r="CY609" s="1">
        <v>1</v>
      </c>
      <c r="CZ609" s="1">
        <f t="shared" si="553"/>
        <v>0</v>
      </c>
      <c r="DA609" s="1">
        <v>1</v>
      </c>
      <c r="DB609" s="1">
        <v>1</v>
      </c>
      <c r="DC609" s="1">
        <v>2</v>
      </c>
      <c r="DD609" s="1">
        <v>1</v>
      </c>
      <c r="DE609" s="1">
        <v>1</v>
      </c>
      <c r="DF609" s="1">
        <v>1</v>
      </c>
      <c r="DG609" s="1">
        <v>1</v>
      </c>
      <c r="DH609" s="1">
        <v>1</v>
      </c>
      <c r="DI609" s="1">
        <f t="shared" si="543"/>
        <v>0</v>
      </c>
      <c r="DJ609" s="1">
        <v>1</v>
      </c>
      <c r="DK609" s="1" t="s">
        <v>305</v>
      </c>
      <c r="DL609" s="1" t="s">
        <v>170</v>
      </c>
      <c r="DT609" s="1" t="b">
        <f>AND(AlignmentLawful,AlignmentGood)</f>
        <v>1</v>
      </c>
      <c r="DU609" s="1" t="b">
        <f>SkConcentrationRanks&gt;7</f>
        <v>0</v>
      </c>
      <c r="DV609" s="1" t="b">
        <f>SkKnowledgeNobilityRanks&gt;3</f>
        <v>0</v>
      </c>
      <c r="DW609" s="1" t="b">
        <f>FtHonorBound</f>
        <v>0</v>
      </c>
      <c r="DX609" s="1" t="b">
        <f>FtIronWill</f>
        <v>0</v>
      </c>
      <c r="DY609" s="1" t="b">
        <f>TotalArcaneCasterLevel&gt;2</f>
        <v>0</v>
      </c>
      <c r="DZ609" s="1" t="b">
        <f t="shared" si="554"/>
        <v>1</v>
      </c>
      <c r="EA609" s="1" t="b">
        <f t="shared" si="555"/>
        <v>0</v>
      </c>
      <c r="EB609" s="11" t="s">
        <v>338</v>
      </c>
      <c r="EC609" s="1" t="str">
        <f>IF(DT609,"","• Lawful Good.
")&amp;IF(DU609,"","• 8 ranks in Concentration.
")&amp;IF(DV609,"","• 4 ranks in Knowledge(nobility).
")&amp;IF(DW609,"","• Feat: Honor-bound.
")&amp;IF(DX609,"","• Feat: Iron Will.
")&amp;IF(DY609,"","• Must be able to cast 3rd level arcane spells.
")&amp;"• Must have passed the Knights Trials and accepted into the Solamnic Auxiliary (not verified)."</f>
        <v>• 8 ranks in Concentration.
• 4 ranks in Knowledge(nobility).
• Feat: Honor-bound.
• Feat: Iron Will.
• Must be able to cast 3rd level arcane spells.
• Must have passed the Knights Trials and accepted into the Solamnic Auxiliary (not verified).</v>
      </c>
      <c r="ED609" s="11" t="s">
        <v>335</v>
      </c>
    </row>
    <row r="610" spans="1:134" ht="11.25" customHeight="1" x14ac:dyDescent="0.2">
      <c r="A610" s="1">
        <f t="shared" si="535"/>
        <v>607</v>
      </c>
      <c r="B610" s="1" t="s">
        <v>1451</v>
      </c>
      <c r="C610" s="1" t="s">
        <v>1452</v>
      </c>
      <c r="D610" s="1" t="s">
        <v>1452</v>
      </c>
      <c r="E610" s="1">
        <f t="shared" si="517"/>
        <v>0</v>
      </c>
      <c r="G610" s="1">
        <f>INT(SfiLvl/2)</f>
        <v>0</v>
      </c>
      <c r="K610" s="1">
        <v>4</v>
      </c>
      <c r="L610" s="1">
        <v>6</v>
      </c>
      <c r="N610" s="1" t="b">
        <v>1</v>
      </c>
      <c r="O610" s="1" t="b">
        <v>1</v>
      </c>
      <c r="S610" s="1" t="b">
        <v>1</v>
      </c>
      <c r="V610" s="1">
        <v>0.75</v>
      </c>
      <c r="W610" s="1">
        <v>0.34</v>
      </c>
      <c r="X610" s="1">
        <v>0.5</v>
      </c>
      <c r="Y610" s="1">
        <v>0.5</v>
      </c>
      <c r="Z610" s="1" t="b">
        <f>FALSE</f>
        <v>0</v>
      </c>
      <c r="AA610" s="1" t="str">
        <f t="shared" si="520"/>
        <v/>
      </c>
      <c r="AB610" s="1" t="str">
        <f t="shared" si="521"/>
        <v/>
      </c>
      <c r="AC610" s="1">
        <f t="shared" si="518"/>
        <v>0</v>
      </c>
      <c r="AD610" s="1" t="str">
        <f t="shared" si="522"/>
        <v/>
      </c>
      <c r="AE610" s="1" t="str">
        <f t="shared" si="523"/>
        <v/>
      </c>
      <c r="AF610" s="1">
        <f t="shared" si="519"/>
        <v>0</v>
      </c>
      <c r="AG610" s="1">
        <f t="shared" si="546"/>
        <v>5</v>
      </c>
      <c r="AH610" s="1" t="str">
        <f t="shared" si="545"/>
        <v/>
      </c>
      <c r="AI610" s="1">
        <v>2</v>
      </c>
      <c r="AJ610" s="1">
        <f t="shared" si="536"/>
        <v>0</v>
      </c>
      <c r="AK610" s="1">
        <v>2</v>
      </c>
      <c r="AL610" s="1">
        <v>2</v>
      </c>
      <c r="AM610" s="1">
        <v>2</v>
      </c>
      <c r="AN610" s="1">
        <f t="shared" si="547"/>
        <v>0</v>
      </c>
      <c r="AO610" s="1">
        <v>2</v>
      </c>
      <c r="AP610" s="1">
        <v>2</v>
      </c>
      <c r="AQ610" s="1">
        <v>2</v>
      </c>
      <c r="AR610" s="1">
        <v>2</v>
      </c>
      <c r="AS610" s="1">
        <v>2</v>
      </c>
      <c r="AT610" s="1">
        <v>2</v>
      </c>
      <c r="AU610" s="1">
        <v>2</v>
      </c>
      <c r="AV610" s="1">
        <v>2</v>
      </c>
      <c r="AW610" s="1">
        <v>2</v>
      </c>
      <c r="AX610" s="1">
        <v>2</v>
      </c>
      <c r="AY610" s="1">
        <v>2</v>
      </c>
      <c r="AZ610" s="1">
        <v>2</v>
      </c>
      <c r="BA610" s="1">
        <v>2</v>
      </c>
      <c r="BB610" s="1">
        <v>1</v>
      </c>
      <c r="BC610" s="1">
        <v>2</v>
      </c>
      <c r="BD610" s="1">
        <v>1</v>
      </c>
      <c r="BE610" s="1">
        <v>1</v>
      </c>
      <c r="BF610" s="1">
        <v>2</v>
      </c>
      <c r="BG610" s="1">
        <f t="shared" si="538"/>
        <v>0</v>
      </c>
      <c r="BH610" s="1">
        <f t="shared" si="548"/>
        <v>0</v>
      </c>
      <c r="BI610" s="1">
        <v>1</v>
      </c>
      <c r="BJ610" s="1">
        <v>2</v>
      </c>
      <c r="BK610" s="1">
        <v>2</v>
      </c>
      <c r="BL610" s="1">
        <v>1</v>
      </c>
      <c r="BM610" s="1">
        <v>1</v>
      </c>
      <c r="BN610" s="1">
        <v>1</v>
      </c>
      <c r="BO610" s="1">
        <v>1</v>
      </c>
      <c r="BP610" s="1">
        <v>1</v>
      </c>
      <c r="BQ610" s="1">
        <f t="shared" si="549"/>
        <v>0</v>
      </c>
      <c r="BR610" s="1">
        <v>1</v>
      </c>
      <c r="BS610" s="1">
        <v>1</v>
      </c>
      <c r="BT610" s="1">
        <f t="shared" si="550"/>
        <v>0</v>
      </c>
      <c r="BU610" s="1">
        <f t="shared" si="551"/>
        <v>0</v>
      </c>
      <c r="BV610" s="1">
        <v>1</v>
      </c>
      <c r="BW610" s="1">
        <v>1</v>
      </c>
      <c r="BX610" s="1">
        <v>1</v>
      </c>
      <c r="BY610" s="1">
        <v>1</v>
      </c>
      <c r="BZ610" s="1">
        <v>1</v>
      </c>
      <c r="CA610" s="1">
        <v>1</v>
      </c>
      <c r="CB610" s="1">
        <v>1</v>
      </c>
      <c r="CC610" s="1">
        <v>1</v>
      </c>
      <c r="CD610" s="1">
        <v>1</v>
      </c>
      <c r="CE610" s="1">
        <v>1</v>
      </c>
      <c r="CF610" s="1">
        <v>2</v>
      </c>
      <c r="CG610" s="1">
        <f t="shared" si="552"/>
        <v>0</v>
      </c>
      <c r="CH610" s="1">
        <v>2</v>
      </c>
      <c r="CI610" s="1">
        <v>2</v>
      </c>
      <c r="CJ610" s="1">
        <v>1</v>
      </c>
      <c r="CK610" s="1">
        <v>1</v>
      </c>
      <c r="CL610" s="1">
        <v>1</v>
      </c>
      <c r="CM610" s="1">
        <v>1</v>
      </c>
      <c r="CN610" s="1">
        <v>1</v>
      </c>
      <c r="CO610" s="1">
        <v>1</v>
      </c>
      <c r="CP610" s="1">
        <v>2</v>
      </c>
      <c r="CQ610" s="1">
        <v>2</v>
      </c>
      <c r="CR610" s="1">
        <v>2</v>
      </c>
      <c r="CS610" s="1">
        <v>2</v>
      </c>
      <c r="CT610" s="1">
        <v>2</v>
      </c>
      <c r="CU610" s="1">
        <v>2</v>
      </c>
      <c r="CV610" s="1">
        <f t="shared" si="541"/>
        <v>0</v>
      </c>
      <c r="CW610" s="1">
        <v>1</v>
      </c>
      <c r="CX610" s="1">
        <v>2</v>
      </c>
      <c r="CY610" s="1">
        <v>2</v>
      </c>
      <c r="CZ610" s="1">
        <f t="shared" si="553"/>
        <v>0</v>
      </c>
      <c r="DA610" s="1">
        <v>2</v>
      </c>
      <c r="DB610" s="1">
        <v>1</v>
      </c>
      <c r="DC610" s="1">
        <v>2</v>
      </c>
      <c r="DD610" s="1">
        <v>2</v>
      </c>
      <c r="DE610" s="1">
        <v>1</v>
      </c>
      <c r="DF610" s="1">
        <v>2</v>
      </c>
      <c r="DG610" s="1">
        <v>2</v>
      </c>
      <c r="DH610" s="1">
        <v>2</v>
      </c>
      <c r="DI610" s="1">
        <f t="shared" si="543"/>
        <v>0</v>
      </c>
      <c r="DJ610" s="1">
        <v>2</v>
      </c>
      <c r="DK610" s="1" t="s">
        <v>305</v>
      </c>
      <c r="DL610" s="1" t="s">
        <v>170</v>
      </c>
      <c r="DQ610" s="1" t="b">
        <f>AlignmentNonLawful</f>
        <v>0</v>
      </c>
      <c r="DR610" s="1" t="b">
        <f>BaseRef&gt;4</f>
        <v>0</v>
      </c>
      <c r="DS610" s="1" t="b">
        <f>SkBluffRanks&gt;5</f>
        <v>0</v>
      </c>
      <c r="DT610" s="1" t="b">
        <f>SkHideRanks&gt;5</f>
        <v>0</v>
      </c>
      <c r="DU610" s="1" t="b">
        <f>SkKnowledgeArcanaRanks&gt;6</f>
        <v>0</v>
      </c>
      <c r="DV610" s="1" t="b">
        <f>SkSpellcraftRanks&gt;5</f>
        <v>0</v>
      </c>
      <c r="DW610" s="1" t="b">
        <f>FtSilentSpell</f>
        <v>0</v>
      </c>
      <c r="DX610" s="1" t="b">
        <f>MaxCasterLevel&gt;1</f>
        <v>0</v>
      </c>
      <c r="DY610" s="1" t="b">
        <f>SneakAttack&gt;1</f>
        <v>0</v>
      </c>
      <c r="DZ610" s="1" t="b">
        <f t="shared" si="554"/>
        <v>1</v>
      </c>
      <c r="EA610" s="1" t="b">
        <f t="shared" si="555"/>
        <v>0</v>
      </c>
      <c r="EB610" s="11" t="s">
        <v>334</v>
      </c>
      <c r="EC610" s="1" t="str">
        <f>IF(DQ610,"","• Any non-Lawful.
")&amp;IF(DR610,"","• Base Reflex save +5.
")&amp;IF(DS610,"","• 6 ranks in Bluff.
")&amp;IF(DT610,"","• 6 ranks in Hide.
")&amp;IF(DU610,"","• 6 ranks in Knowledge(arcana).
")&amp;IF(DV610,"","• 6 ranks in Spellcraft.
")&amp;IF(DW610,"","•Feat: Silent Spell.
")&amp;IF(DX610,"","• Ability to cast 2nd level spells.
")&amp;IF(DY610,"","• +2d6 Sneak Attack")</f>
        <v>• Any non-Lawful.
• Base Reflex save +5.
• 6 ranks in Bluff.
• 6 ranks in Hide.
• 6 ranks in Knowledge(arcana).
• 6 ranks in Spellcraft.
•Feat: Silent Spell.
• Ability to cast 2nd level spells.
• +2d6 Sneak Attack</v>
      </c>
      <c r="ED610" s="11" t="s">
        <v>335</v>
      </c>
    </row>
    <row r="611" spans="1:134" ht="11.25" customHeight="1" x14ac:dyDescent="0.2">
      <c r="A611" s="1">
        <f t="shared" si="535"/>
        <v>608</v>
      </c>
      <c r="B611" s="1" t="s">
        <v>1453</v>
      </c>
      <c r="C611" s="1" t="s">
        <v>1454</v>
      </c>
      <c r="D611" s="1" t="s">
        <v>1454</v>
      </c>
      <c r="E611" s="1">
        <f t="shared" si="517"/>
        <v>0</v>
      </c>
      <c r="G611" s="1">
        <f>WMaLvl</f>
        <v>0</v>
      </c>
      <c r="K611" s="1">
        <v>2</v>
      </c>
      <c r="L611" s="1">
        <v>4</v>
      </c>
      <c r="V611" s="1">
        <v>0.5</v>
      </c>
      <c r="W611" s="1">
        <v>0.5</v>
      </c>
      <c r="X611" s="1">
        <v>0.34</v>
      </c>
      <c r="Y611" s="1">
        <v>0.5</v>
      </c>
      <c r="Z611" s="1" t="b">
        <f>FALSE</f>
        <v>0</v>
      </c>
      <c r="AA611" s="1" t="str">
        <f t="shared" si="520"/>
        <v/>
      </c>
      <c r="AB611" s="1" t="str">
        <f t="shared" si="521"/>
        <v/>
      </c>
      <c r="AC611" s="1">
        <f t="shared" si="518"/>
        <v>0</v>
      </c>
      <c r="AD611" s="1" t="str">
        <f t="shared" si="522"/>
        <v/>
      </c>
      <c r="AE611" s="1" t="str">
        <f t="shared" si="523"/>
        <v/>
      </c>
      <c r="AF611" s="1">
        <f t="shared" si="519"/>
        <v>0</v>
      </c>
      <c r="AG611" s="1">
        <f t="shared" si="546"/>
        <v>5</v>
      </c>
      <c r="AH611" s="1" t="str">
        <f t="shared" si="545"/>
        <v/>
      </c>
      <c r="AI611" s="1">
        <v>1</v>
      </c>
      <c r="AJ611" s="1">
        <f t="shared" si="536"/>
        <v>0</v>
      </c>
      <c r="AK611" s="1">
        <v>1</v>
      </c>
      <c r="AL611" s="1">
        <v>1</v>
      </c>
      <c r="AM611" s="1">
        <v>1</v>
      </c>
      <c r="AN611" s="1">
        <f t="shared" si="547"/>
        <v>0</v>
      </c>
      <c r="AO611" s="1">
        <v>2</v>
      </c>
      <c r="AP611" s="1">
        <v>2</v>
      </c>
      <c r="AQ611" s="1">
        <v>2</v>
      </c>
      <c r="AR611" s="1">
        <v>2</v>
      </c>
      <c r="AS611" s="1">
        <v>2</v>
      </c>
      <c r="AT611" s="1">
        <v>2</v>
      </c>
      <c r="AU611" s="1">
        <v>2</v>
      </c>
      <c r="AV611" s="1">
        <v>2</v>
      </c>
      <c r="AW611" s="1">
        <v>1</v>
      </c>
      <c r="AX611" s="1">
        <v>1</v>
      </c>
      <c r="AY611" s="1">
        <v>1</v>
      </c>
      <c r="AZ611" s="1">
        <v>1</v>
      </c>
      <c r="BA611" s="1">
        <v>1</v>
      </c>
      <c r="BB611" s="1">
        <v>1</v>
      </c>
      <c r="BC611" s="1">
        <v>1</v>
      </c>
      <c r="BD611" s="1">
        <v>1</v>
      </c>
      <c r="BE611" s="1">
        <v>2</v>
      </c>
      <c r="BF611" s="1">
        <v>1</v>
      </c>
      <c r="BG611" s="1">
        <f t="shared" si="538"/>
        <v>0</v>
      </c>
      <c r="BH611" s="1">
        <f t="shared" si="548"/>
        <v>0</v>
      </c>
      <c r="BI611" s="1">
        <v>2</v>
      </c>
      <c r="BJ611" s="1">
        <v>1</v>
      </c>
      <c r="BK611" s="1">
        <v>2</v>
      </c>
      <c r="BL611" s="1">
        <v>2</v>
      </c>
      <c r="BM611" s="1">
        <v>2</v>
      </c>
      <c r="BN611" s="1">
        <v>2</v>
      </c>
      <c r="BO611" s="1">
        <v>2</v>
      </c>
      <c r="BP611" s="1">
        <v>2</v>
      </c>
      <c r="BQ611" s="1">
        <f t="shared" si="549"/>
        <v>0</v>
      </c>
      <c r="BR611" s="1">
        <v>2</v>
      </c>
      <c r="BS611" s="1">
        <v>2</v>
      </c>
      <c r="BT611" s="1">
        <f t="shared" si="550"/>
        <v>0</v>
      </c>
      <c r="BU611" s="1">
        <f t="shared" si="551"/>
        <v>0</v>
      </c>
      <c r="BV611" s="1">
        <v>2</v>
      </c>
      <c r="BW611" s="1">
        <v>2</v>
      </c>
      <c r="BX611" s="1">
        <v>2</v>
      </c>
      <c r="BY611" s="1">
        <v>2</v>
      </c>
      <c r="BZ611" s="1">
        <v>2</v>
      </c>
      <c r="CA611" s="1">
        <v>2</v>
      </c>
      <c r="CB611" s="1">
        <v>2</v>
      </c>
      <c r="CC611" s="1">
        <v>2</v>
      </c>
      <c r="CD611" s="1">
        <v>2</v>
      </c>
      <c r="CE611" s="1">
        <v>2</v>
      </c>
      <c r="CF611" s="1">
        <v>1</v>
      </c>
      <c r="CG611" s="1">
        <f t="shared" si="552"/>
        <v>0</v>
      </c>
      <c r="CH611" s="1">
        <v>1</v>
      </c>
      <c r="CI611" s="1">
        <v>1</v>
      </c>
      <c r="CJ611" s="1">
        <v>1</v>
      </c>
      <c r="CK611" s="1">
        <v>1</v>
      </c>
      <c r="CL611" s="1">
        <v>1</v>
      </c>
      <c r="CM611" s="1">
        <v>1</v>
      </c>
      <c r="CN611" s="1">
        <v>1</v>
      </c>
      <c r="CO611" s="1">
        <v>1</v>
      </c>
      <c r="CP611" s="1">
        <v>2</v>
      </c>
      <c r="CQ611" s="1">
        <v>2</v>
      </c>
      <c r="CR611" s="1">
        <v>2</v>
      </c>
      <c r="CS611" s="1">
        <v>2</v>
      </c>
      <c r="CT611" s="1">
        <v>2</v>
      </c>
      <c r="CU611" s="1">
        <v>2</v>
      </c>
      <c r="CV611" s="1">
        <f t="shared" si="541"/>
        <v>0</v>
      </c>
      <c r="CW611" s="1">
        <v>1</v>
      </c>
      <c r="CX611" s="1">
        <v>1</v>
      </c>
      <c r="CY611" s="1">
        <v>1</v>
      </c>
      <c r="CZ611" s="1">
        <f t="shared" si="553"/>
        <v>0</v>
      </c>
      <c r="DA611" s="1">
        <v>1</v>
      </c>
      <c r="DB611" s="1">
        <v>1</v>
      </c>
      <c r="DC611" s="1">
        <v>2</v>
      </c>
      <c r="DD611" s="1">
        <v>1</v>
      </c>
      <c r="DE611" s="1">
        <v>1</v>
      </c>
      <c r="DF611" s="1">
        <v>1</v>
      </c>
      <c r="DG611" s="1">
        <v>1</v>
      </c>
      <c r="DH611" s="1">
        <v>1</v>
      </c>
      <c r="DI611" s="1">
        <f t="shared" si="543"/>
        <v>0</v>
      </c>
      <c r="DJ611" s="1">
        <v>1</v>
      </c>
      <c r="DK611" s="1" t="s">
        <v>305</v>
      </c>
      <c r="DL611" s="1" t="s">
        <v>170</v>
      </c>
      <c r="DT611" s="1" t="b">
        <f>SkConcentrationRanks&gt;7</f>
        <v>0</v>
      </c>
      <c r="DU611" s="1" t="b">
        <f>SkSpellcraftRanks&gt;7</f>
        <v>0</v>
      </c>
      <c r="DV611" s="1" t="b">
        <f>FtCombatCasting</f>
        <v>0</v>
      </c>
      <c r="DW611" s="1" t="b">
        <f>FtEschewMaterials</f>
        <v>0</v>
      </c>
      <c r="DX611" s="1" t="b">
        <f>FtWeaponFocus</f>
        <v>0</v>
      </c>
      <c r="DY611" s="1" t="b">
        <f>TotalArcaneCasterLevel&gt;2</f>
        <v>0</v>
      </c>
      <c r="DZ611" s="1" t="b">
        <f t="shared" si="554"/>
        <v>1</v>
      </c>
      <c r="EA611" s="1" t="b">
        <f t="shared" si="555"/>
        <v>0</v>
      </c>
      <c r="EB611" s="11" t="s">
        <v>334</v>
      </c>
      <c r="EC611" s="1" t="str">
        <f>IF(DT611,"","• 8 ranks in Concentration.
")&amp;IF(DU611,"","• 8 ranks in Spellcraft.
")&amp;IF(DV611,"","• Feat: Combat Casting.
")&amp;IF(DW611,"","• Feat: Eschew Materials.
")&amp;IF(DX611,"","• Feat: Weapon Focus.
")&amp;IF(DY611,"","• Ability to cast 3rd level arcane spells.")</f>
        <v>• 8 ranks in Concentration.
• 8 ranks in Spellcraft.
• Feat: Combat Casting.
• Feat: Eschew Materials.
• Feat: Weapon Focus.
• Ability to cast 3rd level arcane spells.</v>
      </c>
      <c r="ED611" s="11" t="s">
        <v>335</v>
      </c>
    </row>
    <row r="612" spans="1:134" ht="11.25" customHeight="1" x14ac:dyDescent="0.2">
      <c r="A612" s="1">
        <f t="shared" si="535"/>
        <v>609</v>
      </c>
      <c r="B612" s="1" t="s">
        <v>1455</v>
      </c>
      <c r="E612" s="1">
        <f t="shared" si="517"/>
        <v>0</v>
      </c>
      <c r="F612" s="1">
        <v>1</v>
      </c>
      <c r="AA612" s="1" t="str">
        <f t="shared" si="520"/>
        <v/>
      </c>
      <c r="AB612" s="1" t="str">
        <f t="shared" si="521"/>
        <v/>
      </c>
      <c r="AC612" s="1">
        <f t="shared" si="518"/>
        <v>0</v>
      </c>
      <c r="AD612" s="1" t="str">
        <f t="shared" si="522"/>
        <v/>
      </c>
      <c r="AE612" s="1" t="str">
        <f t="shared" si="523"/>
        <v/>
      </c>
      <c r="AF612" s="1">
        <f t="shared" si="519"/>
        <v>0</v>
      </c>
      <c r="AG612" s="1">
        <f t="shared" si="546"/>
        <v>5</v>
      </c>
      <c r="AH612" s="1" t="str">
        <f t="shared" si="545"/>
        <v/>
      </c>
      <c r="EB612" s="11"/>
      <c r="ED612" s="11"/>
    </row>
    <row r="613" spans="1:134" ht="11.25" customHeight="1" x14ac:dyDescent="0.2">
      <c r="A613" s="1">
        <f t="shared" si="535"/>
        <v>610</v>
      </c>
      <c r="B613" s="1" t="s">
        <v>1456</v>
      </c>
      <c r="C613" s="1" t="s">
        <v>1457</v>
      </c>
      <c r="D613" s="1" t="s">
        <v>1457</v>
      </c>
      <c r="E613" s="1">
        <f t="shared" si="517"/>
        <v>0</v>
      </c>
      <c r="K613" s="1">
        <v>4</v>
      </c>
      <c r="L613" s="1">
        <v>10</v>
      </c>
      <c r="V613" s="1">
        <v>1</v>
      </c>
      <c r="W613" s="1">
        <v>0.5</v>
      </c>
      <c r="X613" s="1">
        <v>0.34</v>
      </c>
      <c r="Y613" s="1">
        <v>0.5</v>
      </c>
      <c r="Z613" s="1" t="b">
        <v>0</v>
      </c>
      <c r="AA613" s="1" t="str">
        <f t="shared" si="520"/>
        <v/>
      </c>
      <c r="AB613" s="1" t="str">
        <f t="shared" si="521"/>
        <v/>
      </c>
      <c r="AC613" s="1">
        <f t="shared" si="518"/>
        <v>0</v>
      </c>
      <c r="AD613" s="1" t="str">
        <f t="shared" si="522"/>
        <v/>
      </c>
      <c r="AE613" s="1" t="str">
        <f t="shared" si="523"/>
        <v/>
      </c>
      <c r="AF613" s="1">
        <f t="shared" si="519"/>
        <v>0</v>
      </c>
      <c r="AG613" s="1">
        <f t="shared" si="546"/>
        <v>5</v>
      </c>
      <c r="AH613" s="1" t="str">
        <f t="shared" si="545"/>
        <v/>
      </c>
      <c r="AI613" s="1">
        <v>1</v>
      </c>
      <c r="AJ613" s="1">
        <f t="shared" ref="AJ613:AJ634" si="556">IF(HRXPH,1,0)</f>
        <v>0</v>
      </c>
      <c r="AK613" s="1">
        <v>1</v>
      </c>
      <c r="AL613" s="1">
        <v>1</v>
      </c>
      <c r="AM613" s="1">
        <v>2</v>
      </c>
      <c r="AN613" s="1">
        <f t="shared" ref="AN613:AN634" si="557">IF(IsLycanthrope,2,0)</f>
        <v>0</v>
      </c>
      <c r="AO613" s="1">
        <v>1</v>
      </c>
      <c r="AP613" s="1">
        <v>2</v>
      </c>
      <c r="AQ613" s="1">
        <v>2</v>
      </c>
      <c r="AR613" s="1">
        <v>2</v>
      </c>
      <c r="AS613" s="1">
        <v>2</v>
      </c>
      <c r="AT613" s="1">
        <v>2</v>
      </c>
      <c r="AU613" s="1">
        <v>2</v>
      </c>
      <c r="AV613" s="1">
        <v>2</v>
      </c>
      <c r="AW613" s="1">
        <v>1</v>
      </c>
      <c r="AX613" s="1">
        <v>2</v>
      </c>
      <c r="AY613" s="1">
        <v>1</v>
      </c>
      <c r="AZ613" s="1">
        <v>1</v>
      </c>
      <c r="BA613" s="1">
        <v>1</v>
      </c>
      <c r="BB613" s="1">
        <v>1</v>
      </c>
      <c r="BC613" s="1">
        <v>1</v>
      </c>
      <c r="BD613" s="1">
        <v>1</v>
      </c>
      <c r="BE613" s="1">
        <v>1</v>
      </c>
      <c r="BF613" s="1">
        <v>1</v>
      </c>
      <c r="BG613" s="1">
        <f t="shared" ref="BG613:BG634" si="558">IF(HRRVL,1,0)</f>
        <v>0</v>
      </c>
      <c r="BH613" s="1">
        <v>2</v>
      </c>
      <c r="BI613" s="1">
        <v>2</v>
      </c>
      <c r="BJ613" s="1">
        <v>2</v>
      </c>
      <c r="BK613" s="1">
        <v>1</v>
      </c>
      <c r="BL613" s="1">
        <v>1</v>
      </c>
      <c r="BM613" s="1">
        <v>1</v>
      </c>
      <c r="BN613" s="1">
        <v>1</v>
      </c>
      <c r="BO613" s="1">
        <v>2</v>
      </c>
      <c r="BP613" s="1">
        <v>1</v>
      </c>
      <c r="BQ613" s="1">
        <f t="shared" ref="BQ613:BQ634" si="559">IF(HRRVL,1,0)</f>
        <v>0</v>
      </c>
      <c r="BR613" s="1">
        <v>1</v>
      </c>
      <c r="BS613" s="1">
        <v>2</v>
      </c>
      <c r="BT613" s="1">
        <f t="shared" si="550"/>
        <v>0</v>
      </c>
      <c r="BU613" s="1">
        <f t="shared" si="551"/>
        <v>0</v>
      </c>
      <c r="BV613" s="1">
        <v>1</v>
      </c>
      <c r="BW613" s="1">
        <v>1</v>
      </c>
      <c r="BX613" s="1">
        <v>1</v>
      </c>
      <c r="BY613" s="1">
        <v>1</v>
      </c>
      <c r="BZ613" s="1">
        <v>1</v>
      </c>
      <c r="CA613" s="1">
        <v>1</v>
      </c>
      <c r="CB613" s="1">
        <v>1</v>
      </c>
      <c r="CC613" s="1">
        <v>1</v>
      </c>
      <c r="CD613" s="1">
        <v>1</v>
      </c>
      <c r="CE613" s="1">
        <v>1</v>
      </c>
      <c r="CF613" s="1">
        <v>1</v>
      </c>
      <c r="CG613" s="1">
        <f t="shared" si="552"/>
        <v>0</v>
      </c>
      <c r="CH613" s="1">
        <v>1</v>
      </c>
      <c r="CI613" s="1">
        <v>1</v>
      </c>
      <c r="CJ613" s="1">
        <v>2</v>
      </c>
      <c r="CK613" s="1">
        <v>2</v>
      </c>
      <c r="CL613" s="1">
        <v>2</v>
      </c>
      <c r="CM613" s="1">
        <v>2</v>
      </c>
      <c r="CN613" s="1">
        <v>2</v>
      </c>
      <c r="CO613" s="1">
        <v>2</v>
      </c>
      <c r="CP613" s="1">
        <v>2</v>
      </c>
      <c r="CQ613" s="1">
        <v>2</v>
      </c>
      <c r="CR613" s="1">
        <v>2</v>
      </c>
      <c r="CS613" s="1">
        <v>2</v>
      </c>
      <c r="CT613" s="1">
        <v>2</v>
      </c>
      <c r="CU613" s="1">
        <v>2</v>
      </c>
      <c r="CV613" s="1">
        <f t="shared" si="541"/>
        <v>0</v>
      </c>
      <c r="CW613" s="1">
        <v>2</v>
      </c>
      <c r="CX613" s="1">
        <v>1</v>
      </c>
      <c r="CY613" s="1">
        <v>2</v>
      </c>
      <c r="CZ613" s="1">
        <f t="shared" si="553"/>
        <v>0</v>
      </c>
      <c r="DA613" s="1">
        <v>1</v>
      </c>
      <c r="DB613" s="1">
        <v>1</v>
      </c>
      <c r="DC613" s="1">
        <v>1</v>
      </c>
      <c r="DD613" s="1">
        <v>1</v>
      </c>
      <c r="DE613" s="1">
        <v>1</v>
      </c>
      <c r="DF613" s="1">
        <v>2</v>
      </c>
      <c r="DG613" s="1">
        <v>1</v>
      </c>
      <c r="DH613" s="1">
        <v>1</v>
      </c>
      <c r="DI613" s="1">
        <f t="shared" si="543"/>
        <v>0</v>
      </c>
      <c r="DJ613" s="1">
        <v>1</v>
      </c>
      <c r="DK613" s="1" t="s">
        <v>250</v>
      </c>
      <c r="DL613" s="1" t="s">
        <v>170</v>
      </c>
      <c r="DR613" s="1" t="b">
        <f>NOT(ISNA(MATCH("Katana",TblWeaponFocusFeat,0)))</f>
        <v>0</v>
      </c>
      <c r="DS613" s="1" t="b">
        <f>FtKiaiShout</f>
        <v>0</v>
      </c>
      <c r="DT613" s="1" t="b">
        <f>FtIronWill</f>
        <v>0</v>
      </c>
      <c r="DU613" s="1" t="b">
        <f>SkKnowledgeHistoryRanks&gt;=4</f>
        <v>0</v>
      </c>
      <c r="DV613" s="1" t="b">
        <f>BaseAtk&gt;=5</f>
        <v>0</v>
      </c>
      <c r="DW613" s="1" t="b">
        <f>Alignment="LG"</f>
        <v>1</v>
      </c>
      <c r="DX613" s="1" t="b">
        <f>Region="Lion Clan"</f>
        <v>0</v>
      </c>
      <c r="DY613" s="1" t="b">
        <f>Subtype="Human"</f>
        <v>0</v>
      </c>
      <c r="DZ613" s="1" t="b">
        <f>NOT(HRLivingGreyhawk)</f>
        <v>1</v>
      </c>
      <c r="EA613" s="1" t="b">
        <f t="shared" ref="EA613:EA634" si="560">AND(DL613:DZ613)</f>
        <v>0</v>
      </c>
      <c r="EB613" s="1" t="s">
        <v>334</v>
      </c>
      <c r="EC613" s="1" t="str">
        <f>IF(DY613,"","• Human.
")&amp;IF(DX613,"","• Member of the Lion Clan.
")&amp;IF(DW613,"","• Lawful Good alignment.
")&amp;IF(DV613,"","• Base Attack Bonus +5
")&amp;IF(DU613,"","• 4 ranks in Knowledge (History).
")&amp;IF(DT613,"","• Iron Will feat.
")&amp;IF(DS613,"","• Kiai Shout feat.
")&amp;IF(DR613,"","• Weapon Focus (katana).
")&amp;IF(DZ613,"","• Not available in Living Greyhawk.")</f>
        <v xml:space="preserve">• Human.
• Member of the Lion Clan.
• Base Attack Bonus +5
• 4 ranks in Knowledge (History).
• Iron Will feat.
• Kiai Shout feat.
• Weapon Focus (katana).
</v>
      </c>
      <c r="ED613" s="11" t="s">
        <v>335</v>
      </c>
    </row>
    <row r="614" spans="1:134" ht="11.25" customHeight="1" x14ac:dyDescent="0.2">
      <c r="A614" s="1">
        <f t="shared" si="535"/>
        <v>611</v>
      </c>
      <c r="B614" s="1" t="s">
        <v>1458</v>
      </c>
      <c r="C614" s="1" t="s">
        <v>1459</v>
      </c>
      <c r="D614" s="1" t="s">
        <v>1459</v>
      </c>
      <c r="E614" s="1">
        <f t="shared" si="517"/>
        <v>0</v>
      </c>
      <c r="K614" s="1">
        <v>2</v>
      </c>
      <c r="L614" s="1">
        <v>10</v>
      </c>
      <c r="N614" s="1" t="b">
        <v>1</v>
      </c>
      <c r="O614" s="1" t="b">
        <v>1</v>
      </c>
      <c r="S614" s="1" t="b">
        <v>1</v>
      </c>
      <c r="T614" s="1" t="b">
        <v>1</v>
      </c>
      <c r="V614" s="1">
        <v>1</v>
      </c>
      <c r="W614" s="1">
        <v>0.5</v>
      </c>
      <c r="X614" s="1">
        <v>0.34</v>
      </c>
      <c r="Y614" s="1">
        <v>0.34</v>
      </c>
      <c r="Z614" s="1" t="b">
        <v>0</v>
      </c>
      <c r="AA614" s="1" t="str">
        <f t="shared" si="520"/>
        <v/>
      </c>
      <c r="AB614" s="1" t="str">
        <f t="shared" si="521"/>
        <v/>
      </c>
      <c r="AC614" s="1">
        <f t="shared" si="518"/>
        <v>0</v>
      </c>
      <c r="AD614" s="1" t="str">
        <f t="shared" si="522"/>
        <v/>
      </c>
      <c r="AE614" s="1" t="str">
        <f t="shared" si="523"/>
        <v/>
      </c>
      <c r="AF614" s="1">
        <f t="shared" si="519"/>
        <v>0</v>
      </c>
      <c r="AG614" s="1">
        <f t="shared" si="546"/>
        <v>5</v>
      </c>
      <c r="AH614" s="1" t="str">
        <f t="shared" si="545"/>
        <v/>
      </c>
      <c r="AI614" s="1">
        <v>1</v>
      </c>
      <c r="AJ614" s="1">
        <f t="shared" si="556"/>
        <v>0</v>
      </c>
      <c r="AK614" s="1">
        <v>1</v>
      </c>
      <c r="AL614" s="1">
        <v>1</v>
      </c>
      <c r="AM614" s="1">
        <v>1</v>
      </c>
      <c r="AN614" s="1">
        <f t="shared" si="557"/>
        <v>0</v>
      </c>
      <c r="AO614" s="1">
        <v>1</v>
      </c>
      <c r="AP614" s="1">
        <v>2</v>
      </c>
      <c r="AQ614" s="1">
        <v>2</v>
      </c>
      <c r="AR614" s="1">
        <v>2</v>
      </c>
      <c r="AS614" s="1">
        <v>2</v>
      </c>
      <c r="AT614" s="1">
        <v>2</v>
      </c>
      <c r="AU614" s="1">
        <v>2</v>
      </c>
      <c r="AV614" s="1">
        <v>2</v>
      </c>
      <c r="AW614" s="1">
        <v>1</v>
      </c>
      <c r="AX614" s="1">
        <v>2</v>
      </c>
      <c r="AY614" s="1">
        <v>1</v>
      </c>
      <c r="AZ614" s="1">
        <v>1</v>
      </c>
      <c r="BA614" s="1">
        <v>1</v>
      </c>
      <c r="BB614" s="1">
        <v>1</v>
      </c>
      <c r="BC614" s="1">
        <v>1</v>
      </c>
      <c r="BD614" s="1">
        <v>2</v>
      </c>
      <c r="BE614" s="1">
        <v>1</v>
      </c>
      <c r="BF614" s="1">
        <v>1</v>
      </c>
      <c r="BG614" s="1">
        <f t="shared" si="558"/>
        <v>0</v>
      </c>
      <c r="BH614" s="1">
        <v>1</v>
      </c>
      <c r="BI614" s="1">
        <v>1</v>
      </c>
      <c r="BJ614" s="1">
        <v>1</v>
      </c>
      <c r="BK614" s="1">
        <v>1</v>
      </c>
      <c r="BL614" s="1">
        <v>1</v>
      </c>
      <c r="BM614" s="1">
        <v>1</v>
      </c>
      <c r="BN614" s="1">
        <v>1</v>
      </c>
      <c r="BO614" s="1">
        <v>1</v>
      </c>
      <c r="BP614" s="1">
        <v>1</v>
      </c>
      <c r="BQ614" s="1">
        <f t="shared" si="559"/>
        <v>0</v>
      </c>
      <c r="BR614" s="1">
        <v>1</v>
      </c>
      <c r="BS614" s="1">
        <v>1</v>
      </c>
      <c r="BT614" s="1">
        <f t="shared" si="550"/>
        <v>0</v>
      </c>
      <c r="BU614" s="1">
        <f t="shared" si="551"/>
        <v>0</v>
      </c>
      <c r="BV614" s="1">
        <v>1</v>
      </c>
      <c r="BW614" s="1">
        <v>1</v>
      </c>
      <c r="BX614" s="1">
        <v>1</v>
      </c>
      <c r="BY614" s="1">
        <v>1</v>
      </c>
      <c r="BZ614" s="1">
        <v>1</v>
      </c>
      <c r="CA614" s="1">
        <v>1</v>
      </c>
      <c r="CB614" s="1">
        <v>1</v>
      </c>
      <c r="CC614" s="1">
        <v>1</v>
      </c>
      <c r="CD614" s="1">
        <v>1</v>
      </c>
      <c r="CE614" s="1">
        <v>1</v>
      </c>
      <c r="CF614" s="1">
        <v>1</v>
      </c>
      <c r="CG614" s="1">
        <f t="shared" si="552"/>
        <v>0</v>
      </c>
      <c r="CH614" s="1">
        <v>1</v>
      </c>
      <c r="CI614" s="1">
        <v>1</v>
      </c>
      <c r="CJ614" s="1">
        <v>1</v>
      </c>
      <c r="CK614" s="1">
        <v>1</v>
      </c>
      <c r="CL614" s="1">
        <v>1</v>
      </c>
      <c r="CM614" s="1">
        <v>1</v>
      </c>
      <c r="CN614" s="1">
        <v>1</v>
      </c>
      <c r="CO614" s="1">
        <v>1</v>
      </c>
      <c r="CP614" s="1">
        <v>2</v>
      </c>
      <c r="CQ614" s="1">
        <v>2</v>
      </c>
      <c r="CR614" s="1">
        <v>2</v>
      </c>
      <c r="CS614" s="1">
        <v>2</v>
      </c>
      <c r="CT614" s="1">
        <v>2</v>
      </c>
      <c r="CU614" s="1">
        <v>2</v>
      </c>
      <c r="CV614" s="1">
        <f t="shared" si="541"/>
        <v>0</v>
      </c>
      <c r="CW614" s="1">
        <v>2</v>
      </c>
      <c r="CX614" s="1">
        <v>1</v>
      </c>
      <c r="CY614" s="1">
        <v>1</v>
      </c>
      <c r="CZ614" s="1">
        <f t="shared" si="553"/>
        <v>0</v>
      </c>
      <c r="DA614" s="1">
        <v>1</v>
      </c>
      <c r="DB614" s="1">
        <v>1</v>
      </c>
      <c r="DC614" s="1">
        <v>1</v>
      </c>
      <c r="DD614" s="1">
        <v>1</v>
      </c>
      <c r="DE614" s="1">
        <v>1</v>
      </c>
      <c r="DF614" s="1">
        <v>1</v>
      </c>
      <c r="DG614" s="1">
        <v>1</v>
      </c>
      <c r="DH614" s="1">
        <v>1</v>
      </c>
      <c r="DI614" s="1">
        <f t="shared" si="543"/>
        <v>0</v>
      </c>
      <c r="DJ614" s="1">
        <v>1</v>
      </c>
      <c r="DK614" s="1" t="s">
        <v>250</v>
      </c>
      <c r="DL614" s="1" t="s">
        <v>170</v>
      </c>
      <c r="DR614" s="1" t="b">
        <f>FtSpiritedCharge</f>
        <v>0</v>
      </c>
      <c r="DS614" s="1" t="b">
        <f>FtRideByAttack</f>
        <v>0</v>
      </c>
      <c r="DT614" s="1" t="b">
        <f>FtMountedCombat</f>
        <v>0</v>
      </c>
      <c r="DU614" s="1" t="b">
        <f>SkRideRanks&gt;=10</f>
        <v>0</v>
      </c>
      <c r="DV614" s="1" t="b">
        <f>SkHandleAnimalRanks&gt;=5</f>
        <v>0</v>
      </c>
      <c r="DW614" s="1" t="b">
        <f>BaseAtk&gt;=7</f>
        <v>0</v>
      </c>
      <c r="DX614" s="1" t="b">
        <f>AlignmentLawful</f>
        <v>1</v>
      </c>
      <c r="DY614" s="1" t="b">
        <f>Gender="Female"</f>
        <v>0</v>
      </c>
      <c r="DZ614" s="1" t="b">
        <f>NOT(HRLivingGreyhawk)</f>
        <v>1</v>
      </c>
      <c r="EA614" s="1" t="b">
        <f t="shared" si="560"/>
        <v>0</v>
      </c>
      <c r="EB614" s="11" t="s">
        <v>334</v>
      </c>
      <c r="EC614" s="1" t="str">
        <f>IF(DY614,"","• Female.
")&amp;IF(DX614,"","• Lawful alignment.
")&amp;IF(DW614,"","• Base Attack Bonus +7.
")&amp;IF(DV614,"","• 5 ranks in Handle Animal.
")&amp;IF(DU614,"","• 10 ranks in Ride.
")&amp;IF(DT614,"","• Mounted Combat Feat.
")&amp;IF(DS614,"","• Ride-By Attack feat.
")&amp;IF(DR614,"","• Spirited Charge feat.
")&amp;IF(DZ614,"","• Not available in Living Greyhawk.")</f>
        <v xml:space="preserve">• Female.
• Base Attack Bonus +7.
• 5 ranks in Handle Animal.
• 10 ranks in Ride.
• Mounted Combat Feat.
• Ride-By Attack feat.
• Spirited Charge feat.
</v>
      </c>
      <c r="ED614" s="11" t="s">
        <v>335</v>
      </c>
    </row>
    <row r="615" spans="1:134" ht="11.25" customHeight="1" x14ac:dyDescent="0.2">
      <c r="A615" s="1">
        <f t="shared" si="535"/>
        <v>612</v>
      </c>
      <c r="B615" s="1" t="s">
        <v>1460</v>
      </c>
      <c r="C615" s="1" t="s">
        <v>1461</v>
      </c>
      <c r="D615" s="1" t="s">
        <v>1461</v>
      </c>
      <c r="E615" s="1">
        <f t="shared" si="517"/>
        <v>0</v>
      </c>
      <c r="K615" s="1">
        <v>6</v>
      </c>
      <c r="L615" s="1">
        <v>8</v>
      </c>
      <c r="N615" s="1" t="b">
        <v>1</v>
      </c>
      <c r="O615" s="1" t="b">
        <v>1</v>
      </c>
      <c r="S615" s="1" t="b">
        <v>1</v>
      </c>
      <c r="T615" s="1" t="b">
        <v>1</v>
      </c>
      <c r="V615" s="1">
        <v>0.75</v>
      </c>
      <c r="W615" s="1">
        <v>0.5</v>
      </c>
      <c r="X615" s="1">
        <v>0.5</v>
      </c>
      <c r="Y615" s="1">
        <v>0.34</v>
      </c>
      <c r="Z615" s="1" t="b">
        <v>0</v>
      </c>
      <c r="AA615" s="1" t="str">
        <f t="shared" si="520"/>
        <v/>
      </c>
      <c r="AB615" s="1" t="str">
        <f t="shared" si="521"/>
        <v/>
      </c>
      <c r="AC615" s="1">
        <f t="shared" si="518"/>
        <v>0</v>
      </c>
      <c r="AD615" s="1" t="str">
        <f t="shared" si="522"/>
        <v/>
      </c>
      <c r="AE615" s="1" t="str">
        <f t="shared" si="523"/>
        <v/>
      </c>
      <c r="AF615" s="1">
        <f t="shared" si="519"/>
        <v>0</v>
      </c>
      <c r="AG615" s="1">
        <f t="shared" si="546"/>
        <v>5</v>
      </c>
      <c r="AH615" s="1" t="str">
        <f t="shared" si="545"/>
        <v/>
      </c>
      <c r="AI615" s="1">
        <v>1</v>
      </c>
      <c r="AJ615" s="1">
        <f>IF(HRXPH,1,0)</f>
        <v>0</v>
      </c>
      <c r="AK615" s="1">
        <v>2</v>
      </c>
      <c r="AL615" s="1">
        <v>2</v>
      </c>
      <c r="AM615" s="1">
        <v>2</v>
      </c>
      <c r="AN615" s="1">
        <f>IF(IsLycanthrope,2,0)</f>
        <v>0</v>
      </c>
      <c r="AO615" s="1">
        <v>1</v>
      </c>
      <c r="AP615" s="1">
        <v>2</v>
      </c>
      <c r="AQ615" s="1">
        <v>2</v>
      </c>
      <c r="AR615" s="1">
        <v>2</v>
      </c>
      <c r="AS615" s="1">
        <v>2</v>
      </c>
      <c r="AT615" s="1">
        <v>2</v>
      </c>
      <c r="AU615" s="1">
        <v>2</v>
      </c>
      <c r="AV615" s="1">
        <v>2</v>
      </c>
      <c r="AW615" s="1">
        <v>1</v>
      </c>
      <c r="AX615" s="1">
        <v>2</v>
      </c>
      <c r="AY615" s="1">
        <v>1</v>
      </c>
      <c r="AZ615" s="1">
        <v>1</v>
      </c>
      <c r="BA615" s="1">
        <v>1</v>
      </c>
      <c r="BB615" s="1">
        <v>2</v>
      </c>
      <c r="BC615" s="1">
        <v>2</v>
      </c>
      <c r="BD615" s="1">
        <v>1</v>
      </c>
      <c r="BE615" s="1">
        <v>1</v>
      </c>
      <c r="BF615" s="1">
        <v>2</v>
      </c>
      <c r="BG615" s="1">
        <f>IF(HRRVL,1,0)</f>
        <v>0</v>
      </c>
      <c r="BH615" s="1">
        <v>1</v>
      </c>
      <c r="BI615" s="1">
        <v>2</v>
      </c>
      <c r="BJ615" s="1">
        <v>2</v>
      </c>
      <c r="BK615" s="1">
        <v>1</v>
      </c>
      <c r="BL615" s="1">
        <v>1</v>
      </c>
      <c r="BM615" s="1">
        <v>1</v>
      </c>
      <c r="BN615" s="1">
        <v>1</v>
      </c>
      <c r="BO615" s="1">
        <v>1</v>
      </c>
      <c r="BP615" s="1">
        <v>1</v>
      </c>
      <c r="BQ615" s="1">
        <f>IF(HRRVL,1,0)</f>
        <v>0</v>
      </c>
      <c r="BR615" s="1">
        <v>1</v>
      </c>
      <c r="BS615" s="1">
        <v>2</v>
      </c>
      <c r="BT615" s="1">
        <f>IF(HRXPH,1,0)</f>
        <v>0</v>
      </c>
      <c r="BU615" s="1">
        <f>IF(HRRVL,1,0)</f>
        <v>0</v>
      </c>
      <c r="BV615" s="1">
        <v>1</v>
      </c>
      <c r="BW615" s="1">
        <v>1</v>
      </c>
      <c r="BX615" s="1">
        <v>1</v>
      </c>
      <c r="BY615" s="1">
        <v>1</v>
      </c>
      <c r="BZ615" s="1">
        <v>1</v>
      </c>
      <c r="CA615" s="1">
        <v>1</v>
      </c>
      <c r="CB615" s="1">
        <v>1</v>
      </c>
      <c r="CC615" s="1">
        <v>1</v>
      </c>
      <c r="CD615" s="1">
        <v>1</v>
      </c>
      <c r="CE615" s="1">
        <v>1</v>
      </c>
      <c r="CF615" s="1">
        <v>2</v>
      </c>
      <c r="CG615" s="1">
        <f>IF(HRToB,1,0)</f>
        <v>0</v>
      </c>
      <c r="CH615" s="1">
        <v>2</v>
      </c>
      <c r="CI615" s="1">
        <v>1</v>
      </c>
      <c r="CJ615" s="1">
        <v>2</v>
      </c>
      <c r="CK615" s="1">
        <v>2</v>
      </c>
      <c r="CL615" s="1">
        <v>2</v>
      </c>
      <c r="CM615" s="1">
        <v>2</v>
      </c>
      <c r="CN615" s="1">
        <v>2</v>
      </c>
      <c r="CO615" s="1">
        <v>2</v>
      </c>
      <c r="CP615" s="1">
        <v>2</v>
      </c>
      <c r="CQ615" s="1">
        <v>2</v>
      </c>
      <c r="CR615" s="1">
        <v>2</v>
      </c>
      <c r="CS615" s="1">
        <v>2</v>
      </c>
      <c r="CT615" s="1">
        <v>2</v>
      </c>
      <c r="CU615" s="1">
        <v>2</v>
      </c>
      <c r="CV615" s="1">
        <f>IF(HRXPH,1,0)</f>
        <v>0</v>
      </c>
      <c r="CW615" s="1">
        <v>1</v>
      </c>
      <c r="CX615" s="1">
        <v>2</v>
      </c>
      <c r="CY615" s="1">
        <v>2</v>
      </c>
      <c r="CZ615" s="1">
        <f>IF(HRCS,1,0)</f>
        <v>0</v>
      </c>
      <c r="DA615" s="1">
        <v>1</v>
      </c>
      <c r="DB615" s="1">
        <v>1</v>
      </c>
      <c r="DC615" s="1">
        <v>1</v>
      </c>
      <c r="DD615" s="1">
        <v>2</v>
      </c>
      <c r="DE615" s="1">
        <v>1</v>
      </c>
      <c r="DF615" s="1">
        <v>2</v>
      </c>
      <c r="DG615" s="1">
        <v>2</v>
      </c>
      <c r="DH615" s="1">
        <v>1</v>
      </c>
      <c r="DI615" s="1">
        <f>IF(HRXPH,1,0)</f>
        <v>0</v>
      </c>
      <c r="DJ615" s="1">
        <v>2</v>
      </c>
      <c r="DK615" s="1" t="s">
        <v>250</v>
      </c>
      <c r="DL615" s="1" t="s">
        <v>170</v>
      </c>
      <c r="DR615" s="1" t="b">
        <f>SneakAttack&gt;=2</f>
        <v>0</v>
      </c>
      <c r="DS615" s="1" t="b">
        <f>FtImprovedInitiative</f>
        <v>0</v>
      </c>
      <c r="DT615" s="1" t="b">
        <f>SkDiplomacyRanks&gt;=8</f>
        <v>0</v>
      </c>
      <c r="DU615" s="1" t="b">
        <f>SkBluffRanks&gt;=8</f>
        <v>0</v>
      </c>
      <c r="DV615" s="1" t="b">
        <f>BaseAtk&gt;=3</f>
        <v>0</v>
      </c>
      <c r="DW615" s="1" t="b">
        <f>NOT(AlignmentLawful)</f>
        <v>0</v>
      </c>
      <c r="DX615" s="1" t="b">
        <f>Region="Scorpion Clan"</f>
        <v>0</v>
      </c>
      <c r="DY615" s="1" t="b">
        <f>Subtype="Human"</f>
        <v>0</v>
      </c>
      <c r="DZ615" s="1" t="b">
        <f>NOT(HRLivingGreyhawk)</f>
        <v>1</v>
      </c>
      <c r="EA615" s="1" t="b">
        <f t="shared" si="560"/>
        <v>0</v>
      </c>
      <c r="EB615" s="11" t="s">
        <v>334</v>
      </c>
      <c r="EC615" s="1" t="str">
        <f>IF(DY615,"","• Human.
")&amp;IF(DX615,"","• Member of the Scorpion Clan
")&amp;IF(DW615,"","• Nonlawful alignment.
")&amp;IF(DV615,"","• Base Attack Bonus +3
")&amp;IF(DU615,"","• 8 ranks in Bluff.
")&amp;IF(DT615,"","• 8 ranks in Diplomacy.
")&amp;IF(DS615,"","• Improved Initiative feat.
")&amp;IF(DR615,"","• 2d6 Sneak Attack damage.
")&amp;IF(DZ615,"","• Not available in Living Greyhawk.")</f>
        <v xml:space="preserve">• Human.
• Member of the Scorpion Clan
• Nonlawful alignment.
• Base Attack Bonus +3
• 8 ranks in Bluff.
• 8 ranks in Diplomacy.
• Improved Initiative feat.
• 2d6 Sneak Attack damage.
</v>
      </c>
      <c r="ED615" s="11" t="s">
        <v>335</v>
      </c>
    </row>
    <row r="616" spans="1:134" ht="11.25" customHeight="1" x14ac:dyDescent="0.2">
      <c r="A616" s="1">
        <f t="shared" si="535"/>
        <v>613</v>
      </c>
      <c r="B616" s="1" t="s">
        <v>1462</v>
      </c>
      <c r="C616" s="1" t="s">
        <v>1463</v>
      </c>
      <c r="D616" s="1" t="s">
        <v>1463</v>
      </c>
      <c r="E616" s="1">
        <f t="shared" si="517"/>
        <v>0</v>
      </c>
      <c r="K616" s="1">
        <v>2</v>
      </c>
      <c r="L616" s="1">
        <v>8</v>
      </c>
      <c r="N616" s="1" t="b">
        <v>1</v>
      </c>
      <c r="S616" s="1" t="b">
        <v>1</v>
      </c>
      <c r="T616" s="1" t="b">
        <v>1</v>
      </c>
      <c r="V616" s="1">
        <v>1</v>
      </c>
      <c r="W616" s="1">
        <v>0.34</v>
      </c>
      <c r="X616" s="1">
        <v>0.5</v>
      </c>
      <c r="Y616" s="1">
        <v>0.34</v>
      </c>
      <c r="Z616" s="1" t="b">
        <v>0</v>
      </c>
      <c r="AA616" s="1" t="str">
        <f t="shared" si="520"/>
        <v/>
      </c>
      <c r="AB616" s="1" t="str">
        <f t="shared" si="521"/>
        <v/>
      </c>
      <c r="AC616" s="1">
        <f t="shared" si="518"/>
        <v>0</v>
      </c>
      <c r="AD616" s="1" t="str">
        <f t="shared" si="522"/>
        <v/>
      </c>
      <c r="AE616" s="1" t="str">
        <f t="shared" si="523"/>
        <v/>
      </c>
      <c r="AF616" s="1">
        <f t="shared" si="519"/>
        <v>0</v>
      </c>
      <c r="AG616" s="1">
        <f t="shared" si="546"/>
        <v>5</v>
      </c>
      <c r="AH616" s="1" t="str">
        <f t="shared" si="545"/>
        <v/>
      </c>
      <c r="AI616" s="1">
        <v>1</v>
      </c>
      <c r="AJ616" s="1">
        <f t="shared" si="556"/>
        <v>0</v>
      </c>
      <c r="AK616" s="1">
        <v>2</v>
      </c>
      <c r="AL616" s="1">
        <v>1</v>
      </c>
      <c r="AM616" s="1">
        <v>2</v>
      </c>
      <c r="AN616" s="1">
        <f t="shared" si="557"/>
        <v>0</v>
      </c>
      <c r="AO616" s="1">
        <v>1</v>
      </c>
      <c r="AP616" s="1">
        <v>2</v>
      </c>
      <c r="AQ616" s="1">
        <v>2</v>
      </c>
      <c r="AR616" s="1">
        <v>2</v>
      </c>
      <c r="AS616" s="1">
        <v>2</v>
      </c>
      <c r="AT616" s="1">
        <v>2</v>
      </c>
      <c r="AU616" s="1">
        <v>2</v>
      </c>
      <c r="AV616" s="1">
        <v>2</v>
      </c>
      <c r="AW616" s="1">
        <v>1</v>
      </c>
      <c r="AX616" s="1">
        <v>1</v>
      </c>
      <c r="AY616" s="1">
        <v>1</v>
      </c>
      <c r="AZ616" s="1">
        <v>1</v>
      </c>
      <c r="BA616" s="1">
        <v>2</v>
      </c>
      <c r="BB616" s="1">
        <v>1</v>
      </c>
      <c r="BC616" s="1">
        <v>1</v>
      </c>
      <c r="BD616" s="1">
        <v>1</v>
      </c>
      <c r="BE616" s="1">
        <v>1</v>
      </c>
      <c r="BF616" s="1">
        <v>1</v>
      </c>
      <c r="BG616" s="1">
        <f t="shared" si="558"/>
        <v>0</v>
      </c>
      <c r="BH616" s="1">
        <v>1</v>
      </c>
      <c r="BI616" s="1">
        <v>1</v>
      </c>
      <c r="BJ616" s="1">
        <v>2</v>
      </c>
      <c r="BK616" s="1">
        <v>1</v>
      </c>
      <c r="BL616" s="1">
        <v>1</v>
      </c>
      <c r="BM616" s="1">
        <v>1</v>
      </c>
      <c r="BN616" s="1">
        <v>1</v>
      </c>
      <c r="BO616" s="1">
        <v>1</v>
      </c>
      <c r="BP616" s="1">
        <v>1</v>
      </c>
      <c r="BQ616" s="1">
        <f t="shared" si="559"/>
        <v>0</v>
      </c>
      <c r="BR616" s="1">
        <v>1</v>
      </c>
      <c r="BS616" s="1">
        <v>1</v>
      </c>
      <c r="BT616" s="1">
        <f t="shared" si="550"/>
        <v>0</v>
      </c>
      <c r="BU616" s="1">
        <f t="shared" si="551"/>
        <v>0</v>
      </c>
      <c r="BV616" s="1">
        <v>1</v>
      </c>
      <c r="BW616" s="1">
        <v>1</v>
      </c>
      <c r="BX616" s="1">
        <v>1</v>
      </c>
      <c r="BY616" s="1">
        <v>1</v>
      </c>
      <c r="BZ616" s="1">
        <v>1</v>
      </c>
      <c r="CA616" s="1">
        <v>1</v>
      </c>
      <c r="CB616" s="1">
        <v>1</v>
      </c>
      <c r="CC616" s="1">
        <v>1</v>
      </c>
      <c r="CD616" s="1">
        <v>1</v>
      </c>
      <c r="CE616" s="1">
        <v>1</v>
      </c>
      <c r="CF616" s="1">
        <v>1</v>
      </c>
      <c r="CG616" s="1">
        <f t="shared" si="552"/>
        <v>0</v>
      </c>
      <c r="CH616" s="1">
        <v>1</v>
      </c>
      <c r="CI616" s="1">
        <v>1</v>
      </c>
      <c r="CJ616" s="1">
        <v>2</v>
      </c>
      <c r="CK616" s="1">
        <v>2</v>
      </c>
      <c r="CL616" s="1">
        <v>2</v>
      </c>
      <c r="CM616" s="1">
        <v>2</v>
      </c>
      <c r="CN616" s="1">
        <v>2</v>
      </c>
      <c r="CO616" s="1">
        <v>2</v>
      </c>
      <c r="CP616" s="1">
        <v>2</v>
      </c>
      <c r="CQ616" s="1">
        <v>2</v>
      </c>
      <c r="CR616" s="1">
        <v>2</v>
      </c>
      <c r="CS616" s="1">
        <v>2</v>
      </c>
      <c r="CT616" s="1">
        <v>2</v>
      </c>
      <c r="CU616" s="1">
        <v>2</v>
      </c>
      <c r="CV616" s="1">
        <f t="shared" si="541"/>
        <v>0</v>
      </c>
      <c r="CW616" s="1">
        <v>2</v>
      </c>
      <c r="CX616" s="1">
        <v>1</v>
      </c>
      <c r="CY616" s="1">
        <v>1</v>
      </c>
      <c r="CZ616" s="1">
        <f t="shared" si="553"/>
        <v>0</v>
      </c>
      <c r="DA616" s="1">
        <v>1</v>
      </c>
      <c r="DB616" s="1">
        <v>1</v>
      </c>
      <c r="DC616" s="1">
        <v>1</v>
      </c>
      <c r="DD616" s="1">
        <v>1</v>
      </c>
      <c r="DE616" s="1">
        <v>1</v>
      </c>
      <c r="DF616" s="1">
        <v>1</v>
      </c>
      <c r="DG616" s="1">
        <v>2</v>
      </c>
      <c r="DH616" s="1">
        <v>1</v>
      </c>
      <c r="DI616" s="1">
        <f t="shared" si="543"/>
        <v>0</v>
      </c>
      <c r="DJ616" s="1">
        <v>1</v>
      </c>
      <c r="DK616" s="1" t="s">
        <v>250</v>
      </c>
      <c r="DL616" s="1" t="s">
        <v>170</v>
      </c>
      <c r="DR616" s="1" t="b">
        <f>MaxCasterLevel&gt;=1</f>
        <v>1</v>
      </c>
      <c r="DS616" s="1" t="b">
        <f>FtSpringAttack</f>
        <v>0</v>
      </c>
      <c r="DT616" s="1" t="b">
        <f>FtMobility</f>
        <v>0</v>
      </c>
      <c r="DU616" s="1" t="b">
        <f>FtDodgeEquiv</f>
        <v>0</v>
      </c>
      <c r="DV616" s="1" t="b">
        <f>SkTumbleRanks&gt;=12</f>
        <v>0</v>
      </c>
      <c r="DW616" s="1" t="b">
        <f>SkJumpRanks&gt;=12</f>
        <v>0</v>
      </c>
      <c r="DX616" s="1" t="b">
        <f>BaseAtk&gt;=7</f>
        <v>0</v>
      </c>
      <c r="DY616" s="1" t="b">
        <f>AlignmentNonChaotic</f>
        <v>1</v>
      </c>
      <c r="DZ616" s="1" t="b">
        <f t="shared" si="554"/>
        <v>1</v>
      </c>
      <c r="EA616" s="1" t="b">
        <f t="shared" si="560"/>
        <v>0</v>
      </c>
      <c r="EB616" s="11" t="s">
        <v>338</v>
      </c>
      <c r="EC616" s="1" t="str">
        <f>IF(DY616,"","• Nonchaotic alignment.
")&amp;IF(DX616,"","• Base Attack Bonus +7.
")&amp;IF(DW616,"","• 12 ranks in Jump.
")&amp;IF(DV616,"","• 12 ranks in Tumble.
")&amp;IF(DU616,"","• Dodge feat.
")&amp;IF(DT616,"","• Mobility Feat.
")&amp;IF(DS616,"","• Spring Attack feat.
")&amp;IF(DR616,"","• Able to cast arcane or divine spells.
")&amp;"• Proficiency with any sword (not checked).
"&amp;IF(DZ616,"","• Not available in Living Greyhawk.")</f>
        <v xml:space="preserve">• Base Attack Bonus +7.
• 12 ranks in Jump.
• 12 ranks in Tumble.
• Dodge feat.
• Mobility Feat.
• Spring Attack feat.
• Proficiency with any sword (not checked).
</v>
      </c>
      <c r="ED616" s="11" t="s">
        <v>335</v>
      </c>
    </row>
    <row r="617" spans="1:134" ht="11.25" customHeight="1" x14ac:dyDescent="0.2">
      <c r="A617" s="1">
        <f t="shared" si="535"/>
        <v>614</v>
      </c>
      <c r="B617" s="1" t="s">
        <v>1464</v>
      </c>
      <c r="C617" s="1" t="s">
        <v>968</v>
      </c>
      <c r="D617" s="1" t="s">
        <v>968</v>
      </c>
      <c r="E617" s="1">
        <f t="shared" si="517"/>
        <v>0</v>
      </c>
      <c r="K617" s="1">
        <v>4</v>
      </c>
      <c r="L617" s="1">
        <v>12</v>
      </c>
      <c r="V617" s="1">
        <v>1</v>
      </c>
      <c r="W617" s="1">
        <v>0.5</v>
      </c>
      <c r="X617" s="1">
        <v>0.34</v>
      </c>
      <c r="Y617" s="1">
        <v>0.34</v>
      </c>
      <c r="Z617" s="1" t="b">
        <v>0</v>
      </c>
      <c r="AA617" s="1" t="str">
        <f t="shared" si="520"/>
        <v/>
      </c>
      <c r="AB617" s="1" t="str">
        <f t="shared" si="521"/>
        <v/>
      </c>
      <c r="AC617" s="1">
        <f t="shared" si="518"/>
        <v>0</v>
      </c>
      <c r="AD617" s="1" t="str">
        <f t="shared" si="522"/>
        <v/>
      </c>
      <c r="AE617" s="1" t="str">
        <f t="shared" si="523"/>
        <v/>
      </c>
      <c r="AF617" s="1">
        <f t="shared" si="519"/>
        <v>0</v>
      </c>
      <c r="AG617" s="1">
        <f t="shared" si="546"/>
        <v>5</v>
      </c>
      <c r="AH617" s="1" t="str">
        <f t="shared" si="545"/>
        <v/>
      </c>
      <c r="AI617" s="1">
        <v>1</v>
      </c>
      <c r="AJ617" s="1">
        <f t="shared" si="556"/>
        <v>0</v>
      </c>
      <c r="AK617" s="1">
        <v>1</v>
      </c>
      <c r="AL617" s="1">
        <v>2</v>
      </c>
      <c r="AM617" s="1">
        <v>1</v>
      </c>
      <c r="AN617" s="1">
        <f t="shared" si="557"/>
        <v>0</v>
      </c>
      <c r="AO617" s="1">
        <v>1</v>
      </c>
      <c r="AP617" s="1">
        <v>2</v>
      </c>
      <c r="AQ617" s="1">
        <v>2</v>
      </c>
      <c r="AR617" s="1">
        <v>2</v>
      </c>
      <c r="AS617" s="1">
        <v>2</v>
      </c>
      <c r="AT617" s="1">
        <v>2</v>
      </c>
      <c r="AU617" s="1">
        <v>2</v>
      </c>
      <c r="AV617" s="1">
        <v>2</v>
      </c>
      <c r="AW617" s="1">
        <v>2</v>
      </c>
      <c r="AX617" s="1">
        <v>2</v>
      </c>
      <c r="AY617" s="1">
        <v>1</v>
      </c>
      <c r="AZ617" s="1">
        <v>2</v>
      </c>
      <c r="BA617" s="1">
        <v>1</v>
      </c>
      <c r="BB617" s="1">
        <v>2</v>
      </c>
      <c r="BC617" s="1">
        <v>2</v>
      </c>
      <c r="BD617" s="1">
        <v>1</v>
      </c>
      <c r="BE617" s="1">
        <v>1</v>
      </c>
      <c r="BF617" s="1">
        <v>1</v>
      </c>
      <c r="BG617" s="1">
        <f t="shared" si="558"/>
        <v>0</v>
      </c>
      <c r="BH617" s="1">
        <v>1</v>
      </c>
      <c r="BI617" s="1">
        <v>2</v>
      </c>
      <c r="BJ617" s="1">
        <v>1</v>
      </c>
      <c r="BK617" s="1">
        <v>1</v>
      </c>
      <c r="BL617" s="1">
        <v>1</v>
      </c>
      <c r="BM617" s="1">
        <v>1</v>
      </c>
      <c r="BN617" s="1">
        <v>1</v>
      </c>
      <c r="BO617" s="1">
        <v>1</v>
      </c>
      <c r="BP617" s="1">
        <v>1</v>
      </c>
      <c r="BQ617" s="1">
        <f t="shared" si="559"/>
        <v>0</v>
      </c>
      <c r="BR617" s="1">
        <v>1</v>
      </c>
      <c r="BS617" s="1">
        <v>1</v>
      </c>
      <c r="BT617" s="1">
        <f t="shared" si="550"/>
        <v>0</v>
      </c>
      <c r="BU617" s="1">
        <f t="shared" si="551"/>
        <v>0</v>
      </c>
      <c r="BV617" s="1">
        <v>1</v>
      </c>
      <c r="BW617" s="1">
        <v>1</v>
      </c>
      <c r="BX617" s="1">
        <v>1</v>
      </c>
      <c r="BY617" s="1">
        <v>1</v>
      </c>
      <c r="BZ617" s="1">
        <v>1</v>
      </c>
      <c r="CA617" s="1">
        <v>1</v>
      </c>
      <c r="CB617" s="1">
        <v>1</v>
      </c>
      <c r="CC617" s="1">
        <v>1</v>
      </c>
      <c r="CD617" s="1">
        <v>1</v>
      </c>
      <c r="CE617" s="1">
        <v>1</v>
      </c>
      <c r="CF617" s="1">
        <v>2</v>
      </c>
      <c r="CG617" s="1">
        <f t="shared" si="552"/>
        <v>0</v>
      </c>
      <c r="CH617" s="1">
        <v>1</v>
      </c>
      <c r="CI617" s="1">
        <v>1</v>
      </c>
      <c r="CJ617" s="1">
        <v>1</v>
      </c>
      <c r="CK617" s="1">
        <v>1</v>
      </c>
      <c r="CL617" s="1">
        <v>1</v>
      </c>
      <c r="CM617" s="1">
        <v>1</v>
      </c>
      <c r="CN617" s="1">
        <v>1</v>
      </c>
      <c r="CO617" s="1">
        <v>1</v>
      </c>
      <c r="CP617" s="1">
        <v>1</v>
      </c>
      <c r="CQ617" s="1">
        <v>1</v>
      </c>
      <c r="CR617" s="1">
        <v>1</v>
      </c>
      <c r="CS617" s="1">
        <v>1</v>
      </c>
      <c r="CT617" s="1">
        <v>1</v>
      </c>
      <c r="CU617" s="1">
        <v>1</v>
      </c>
      <c r="CV617" s="1">
        <f t="shared" si="541"/>
        <v>0</v>
      </c>
      <c r="CW617" s="1">
        <v>1</v>
      </c>
      <c r="CX617" s="1">
        <v>2</v>
      </c>
      <c r="CY617" s="1">
        <v>2</v>
      </c>
      <c r="CZ617" s="1">
        <f t="shared" si="553"/>
        <v>0</v>
      </c>
      <c r="DA617" s="1">
        <v>1</v>
      </c>
      <c r="DB617" s="1">
        <v>1</v>
      </c>
      <c r="DC617" s="1">
        <v>1</v>
      </c>
      <c r="DD617" s="1">
        <v>2</v>
      </c>
      <c r="DE617" s="1">
        <v>1</v>
      </c>
      <c r="DF617" s="1">
        <v>1</v>
      </c>
      <c r="DG617" s="1">
        <v>1</v>
      </c>
      <c r="DH617" s="1">
        <v>1</v>
      </c>
      <c r="DI617" s="1">
        <f t="shared" si="543"/>
        <v>0</v>
      </c>
      <c r="DJ617" s="1">
        <v>1</v>
      </c>
      <c r="DK617" s="1" t="s">
        <v>250</v>
      </c>
      <c r="DL617" s="1" t="s">
        <v>170</v>
      </c>
      <c r="DS617" s="1" t="b">
        <f>FtToughnessEquiv</f>
        <v>0</v>
      </c>
      <c r="DT617" s="1" t="b">
        <f>FtDodgeEquiv</f>
        <v>0</v>
      </c>
      <c r="DU617" s="1" t="b">
        <f>FtImprovedInitiative</f>
        <v>0</v>
      </c>
      <c r="DV617" s="1" t="b">
        <f>BaseAtk&gt;=5</f>
        <v>0</v>
      </c>
      <c r="DW617" s="1" t="b">
        <f>AlignmentLawful</f>
        <v>1</v>
      </c>
      <c r="DX617" s="1" t="b">
        <f>Region="Crane Clan"</f>
        <v>0</v>
      </c>
      <c r="DY617" s="1" t="b">
        <f>Subtype="Human"</f>
        <v>0</v>
      </c>
      <c r="DZ617" s="1" t="b">
        <f t="shared" si="554"/>
        <v>1</v>
      </c>
      <c r="EA617" s="1" t="b">
        <f t="shared" si="560"/>
        <v>0</v>
      </c>
      <c r="EB617" s="11" t="s">
        <v>334</v>
      </c>
      <c r="EC617" s="1" t="str">
        <f>IF(DY617,"","• Human.
")&amp;IF(DX617,"","• Member of the Crane Clan
")&amp;IF(DW617,"","• Lawful alignment.
")&amp;IF(DV617,"","• Base Attack Bonus +5
")&amp;IF(DU617,"","• Improved Initiative feat.
")&amp;IF(DT617,"","• Dodge feat.
")&amp;IF(DS617,"","• Toughness feat.
")&amp;IF(DZ617,"","• Not available in Living Greyhawk.")</f>
        <v xml:space="preserve">• Human.
• Member of the Crane Clan
• Base Attack Bonus +5
• Improved Initiative feat.
• Dodge feat.
• Toughness feat.
</v>
      </c>
      <c r="ED617" s="11" t="s">
        <v>335</v>
      </c>
    </row>
    <row r="618" spans="1:134" ht="11.25" customHeight="1" x14ac:dyDescent="0.2">
      <c r="A618" s="1">
        <f t="shared" si="535"/>
        <v>615</v>
      </c>
      <c r="B618" s="1" t="s">
        <v>1465</v>
      </c>
      <c r="C618" s="1" t="s">
        <v>1466</v>
      </c>
      <c r="D618" s="1" t="s">
        <v>1466</v>
      </c>
      <c r="E618" s="1">
        <f t="shared" si="517"/>
        <v>0</v>
      </c>
      <c r="G618" s="1">
        <f>MAX(0,EuWLvl-1)</f>
        <v>0</v>
      </c>
      <c r="K618" s="1">
        <v>4</v>
      </c>
      <c r="L618" s="1">
        <v>6</v>
      </c>
      <c r="S618" s="1" t="b">
        <v>1</v>
      </c>
      <c r="V618" s="1">
        <v>0.5</v>
      </c>
      <c r="W618" s="1">
        <v>0.34</v>
      </c>
      <c r="X618" s="1">
        <v>0.34</v>
      </c>
      <c r="Y618" s="1">
        <v>0.5</v>
      </c>
      <c r="Z618" s="1" t="b">
        <v>0</v>
      </c>
      <c r="AA618" s="1" t="str">
        <f t="shared" si="520"/>
        <v/>
      </c>
      <c r="AB618" s="1" t="str">
        <f t="shared" si="521"/>
        <v/>
      </c>
      <c r="AC618" s="1">
        <f t="shared" si="518"/>
        <v>0</v>
      </c>
      <c r="AD618" s="1" t="str">
        <f t="shared" si="522"/>
        <v/>
      </c>
      <c r="AE618" s="1" t="str">
        <f t="shared" si="523"/>
        <v/>
      </c>
      <c r="AF618" s="1">
        <f t="shared" si="519"/>
        <v>0</v>
      </c>
      <c r="AG618" s="1">
        <f t="shared" si="546"/>
        <v>5</v>
      </c>
      <c r="AH618" s="1" t="str">
        <f t="shared" si="545"/>
        <v/>
      </c>
      <c r="AI618" s="1">
        <v>1</v>
      </c>
      <c r="AJ618" s="1">
        <f t="shared" si="556"/>
        <v>0</v>
      </c>
      <c r="AK618" s="1">
        <v>1</v>
      </c>
      <c r="AL618" s="1">
        <v>2</v>
      </c>
      <c r="AM618" s="1">
        <v>1</v>
      </c>
      <c r="AN618" s="1">
        <f t="shared" si="557"/>
        <v>0</v>
      </c>
      <c r="AO618" s="1">
        <v>2</v>
      </c>
      <c r="AP618" s="1">
        <v>2</v>
      </c>
      <c r="AQ618" s="1">
        <v>2</v>
      </c>
      <c r="AR618" s="1">
        <v>2</v>
      </c>
      <c r="AS618" s="1">
        <v>2</v>
      </c>
      <c r="AT618" s="1">
        <v>2</v>
      </c>
      <c r="AU618" s="1">
        <v>2</v>
      </c>
      <c r="AV618" s="1">
        <v>2</v>
      </c>
      <c r="AW618" s="1">
        <v>1</v>
      </c>
      <c r="AX618" s="1">
        <v>2</v>
      </c>
      <c r="AY618" s="1">
        <v>1</v>
      </c>
      <c r="AZ618" s="1">
        <v>2</v>
      </c>
      <c r="BA618" s="1">
        <v>1</v>
      </c>
      <c r="BB618" s="1">
        <v>2</v>
      </c>
      <c r="BC618" s="1">
        <v>2</v>
      </c>
      <c r="BD618" s="1">
        <v>1</v>
      </c>
      <c r="BE618" s="1">
        <v>1</v>
      </c>
      <c r="BF618" s="1">
        <v>1</v>
      </c>
      <c r="BG618" s="1">
        <f t="shared" si="558"/>
        <v>0</v>
      </c>
      <c r="BH618" s="1">
        <v>1</v>
      </c>
      <c r="BI618" s="1">
        <v>1</v>
      </c>
      <c r="BJ618" s="1">
        <v>1</v>
      </c>
      <c r="BK618" s="1">
        <v>2</v>
      </c>
      <c r="BL618" s="1">
        <v>1</v>
      </c>
      <c r="BM618" s="1">
        <v>1</v>
      </c>
      <c r="BN618" s="1">
        <v>1</v>
      </c>
      <c r="BO618" s="1">
        <v>1</v>
      </c>
      <c r="BP618" s="1">
        <v>1</v>
      </c>
      <c r="BQ618" s="1">
        <f t="shared" si="559"/>
        <v>0</v>
      </c>
      <c r="BR618" s="1">
        <v>1</v>
      </c>
      <c r="BS618" s="1">
        <v>1</v>
      </c>
      <c r="BT618" s="1">
        <f t="shared" si="550"/>
        <v>0</v>
      </c>
      <c r="BU618" s="1">
        <f t="shared" si="551"/>
        <v>0</v>
      </c>
      <c r="BV618" s="1">
        <v>1</v>
      </c>
      <c r="BW618" s="1">
        <v>1</v>
      </c>
      <c r="BX618" s="1">
        <v>1</v>
      </c>
      <c r="BY618" s="1">
        <v>1</v>
      </c>
      <c r="BZ618" s="1">
        <v>1</v>
      </c>
      <c r="CA618" s="1">
        <v>1</v>
      </c>
      <c r="CB618" s="1">
        <v>1</v>
      </c>
      <c r="CC618" s="1">
        <v>1</v>
      </c>
      <c r="CD618" s="1">
        <v>1</v>
      </c>
      <c r="CE618" s="1">
        <v>1</v>
      </c>
      <c r="CF618" s="1">
        <v>1</v>
      </c>
      <c r="CG618" s="1">
        <f t="shared" si="552"/>
        <v>0</v>
      </c>
      <c r="CH618" s="1">
        <v>1</v>
      </c>
      <c r="CI618" s="1">
        <v>1</v>
      </c>
      <c r="CJ618" s="1">
        <v>1</v>
      </c>
      <c r="CK618" s="1">
        <v>1</v>
      </c>
      <c r="CL618" s="1">
        <v>1</v>
      </c>
      <c r="CM618" s="1">
        <v>1</v>
      </c>
      <c r="CN618" s="1">
        <v>1</v>
      </c>
      <c r="CO618" s="1">
        <v>1</v>
      </c>
      <c r="CP618" s="1">
        <v>2</v>
      </c>
      <c r="CQ618" s="1">
        <v>2</v>
      </c>
      <c r="CR618" s="1">
        <v>2</v>
      </c>
      <c r="CS618" s="1">
        <v>2</v>
      </c>
      <c r="CT618" s="1">
        <v>2</v>
      </c>
      <c r="CU618" s="1">
        <v>2</v>
      </c>
      <c r="CV618" s="1">
        <f t="shared" si="541"/>
        <v>0</v>
      </c>
      <c r="CW618" s="1">
        <v>1</v>
      </c>
      <c r="CX618" s="1">
        <v>1</v>
      </c>
      <c r="CY618" s="1">
        <v>1</v>
      </c>
      <c r="CZ618" s="1">
        <f t="shared" si="553"/>
        <v>0</v>
      </c>
      <c r="DA618" s="1">
        <v>1</v>
      </c>
      <c r="DB618" s="1">
        <v>1</v>
      </c>
      <c r="DC618" s="1">
        <v>2</v>
      </c>
      <c r="DD618" s="1">
        <v>1</v>
      </c>
      <c r="DE618" s="1">
        <v>1</v>
      </c>
      <c r="DF618" s="1">
        <v>1</v>
      </c>
      <c r="DG618" s="1">
        <v>1</v>
      </c>
      <c r="DH618" s="1">
        <v>1</v>
      </c>
      <c r="DI618" s="1">
        <f t="shared" si="543"/>
        <v>0</v>
      </c>
      <c r="DJ618" s="1">
        <v>1</v>
      </c>
      <c r="DK618" s="1" t="s">
        <v>250</v>
      </c>
      <c r="DL618" s="1" t="s">
        <v>170</v>
      </c>
      <c r="DV618" s="1" t="b">
        <f ca="1">MaxArcaneSpellLevel&gt;=5</f>
        <v>0</v>
      </c>
      <c r="DW618" s="1" t="b">
        <f>FtSpellFocus</f>
        <v>0</v>
      </c>
      <c r="DX618" s="1" t="b">
        <f>AlignmentEvil</f>
        <v>0</v>
      </c>
      <c r="DY618" s="1" t="b">
        <f>Gender="Male"</f>
        <v>0</v>
      </c>
      <c r="DZ618" s="1" t="b">
        <f t="shared" si="554"/>
        <v>1</v>
      </c>
      <c r="EA618" s="1" t="b">
        <f t="shared" ca="1" si="560"/>
        <v>0</v>
      </c>
      <c r="EB618" s="11" t="s">
        <v>338</v>
      </c>
      <c r="EC618" s="1" t="str">
        <f ca="1">IF(DY618,"","• Male.
")&amp;IF(DX618,"","• Evil alignment.
")&amp;IF(DW618,"","• Spell Focus feat.
")&amp;IF(DV618,"","• Able to cast 5th level arcane spells.
")&amp;"• Must be a eunuch in the Emperor's service (not checked).
"&amp;IF(DZ618,"","• Not available in Living Greyhawk.")</f>
        <v xml:space="preserve">• Male.
• Evil alignment.
• Spell Focus feat.
• Able to cast 5th level arcane spells.
• Must be a eunuch in the Emperor's service (not checked).
</v>
      </c>
      <c r="ED618" s="11" t="s">
        <v>335</v>
      </c>
    </row>
    <row r="619" spans="1:134" ht="11.25" customHeight="1" x14ac:dyDescent="0.2">
      <c r="A619" s="1">
        <f t="shared" si="535"/>
        <v>616</v>
      </c>
      <c r="B619" s="1" t="s">
        <v>1467</v>
      </c>
      <c r="C619" s="1" t="s">
        <v>970</v>
      </c>
      <c r="D619" s="1" t="s">
        <v>970</v>
      </c>
      <c r="E619" s="1">
        <f t="shared" si="517"/>
        <v>0</v>
      </c>
      <c r="K619" s="1">
        <v>4</v>
      </c>
      <c r="L619" s="1">
        <v>8</v>
      </c>
      <c r="V619" s="1">
        <v>0.75</v>
      </c>
      <c r="W619" s="1">
        <v>0.5</v>
      </c>
      <c r="X619" s="1">
        <v>0.5</v>
      </c>
      <c r="Y619" s="1">
        <v>0.5</v>
      </c>
      <c r="Z619" s="1" t="b">
        <v>0</v>
      </c>
      <c r="AA619" s="1" t="str">
        <f t="shared" si="520"/>
        <v/>
      </c>
      <c r="AB619" s="1" t="str">
        <f t="shared" si="521"/>
        <v/>
      </c>
      <c r="AC619" s="1">
        <f t="shared" si="518"/>
        <v>0</v>
      </c>
      <c r="AD619" s="1" t="str">
        <f t="shared" si="522"/>
        <v/>
      </c>
      <c r="AE619" s="1" t="str">
        <f t="shared" si="523"/>
        <v/>
      </c>
      <c r="AF619" s="1">
        <f t="shared" si="519"/>
        <v>0</v>
      </c>
      <c r="AG619" s="1">
        <f t="shared" si="546"/>
        <v>5</v>
      </c>
      <c r="AH619" s="1" t="str">
        <f t="shared" si="545"/>
        <v/>
      </c>
      <c r="AI619" s="1">
        <v>1</v>
      </c>
      <c r="AJ619" s="1">
        <f t="shared" si="556"/>
        <v>0</v>
      </c>
      <c r="AK619" s="1">
        <v>2</v>
      </c>
      <c r="AL619" s="1">
        <v>1</v>
      </c>
      <c r="AM619" s="1">
        <v>2</v>
      </c>
      <c r="AN619" s="1">
        <f t="shared" si="557"/>
        <v>0</v>
      </c>
      <c r="AO619" s="1">
        <v>2</v>
      </c>
      <c r="AP619" s="1">
        <v>2</v>
      </c>
      <c r="AQ619" s="1">
        <v>2</v>
      </c>
      <c r="AR619" s="1">
        <v>2</v>
      </c>
      <c r="AS619" s="1">
        <v>2</v>
      </c>
      <c r="AT619" s="1">
        <v>2</v>
      </c>
      <c r="AU619" s="1">
        <v>2</v>
      </c>
      <c r="AV619" s="1">
        <v>2</v>
      </c>
      <c r="AW619" s="1">
        <v>1</v>
      </c>
      <c r="AX619" s="1">
        <v>2</v>
      </c>
      <c r="AY619" s="1">
        <v>1</v>
      </c>
      <c r="AZ619" s="1">
        <v>1</v>
      </c>
      <c r="BA619" s="1">
        <v>2</v>
      </c>
      <c r="BB619" s="1">
        <v>1</v>
      </c>
      <c r="BC619" s="1">
        <v>1</v>
      </c>
      <c r="BD619" s="1">
        <v>1</v>
      </c>
      <c r="BE619" s="1">
        <v>2</v>
      </c>
      <c r="BF619" s="1">
        <v>1</v>
      </c>
      <c r="BG619" s="1">
        <f t="shared" si="558"/>
        <v>0</v>
      </c>
      <c r="BH619" s="1">
        <v>1</v>
      </c>
      <c r="BI619" s="1">
        <v>1</v>
      </c>
      <c r="BJ619" s="1">
        <v>2</v>
      </c>
      <c r="BK619" s="1">
        <v>2</v>
      </c>
      <c r="BL619" s="1">
        <v>2</v>
      </c>
      <c r="BM619" s="1">
        <v>2</v>
      </c>
      <c r="BN619" s="1">
        <v>2</v>
      </c>
      <c r="BO619" s="1">
        <v>2</v>
      </c>
      <c r="BP619" s="1">
        <v>2</v>
      </c>
      <c r="BQ619" s="1">
        <f>IF(HRRVL,2,0)</f>
        <v>0</v>
      </c>
      <c r="BR619" s="1">
        <v>2</v>
      </c>
      <c r="BS619" s="1">
        <v>2</v>
      </c>
      <c r="BT619" s="1">
        <f>IF(HRXPH,2,0)</f>
        <v>0</v>
      </c>
      <c r="BU619" s="1">
        <f>IF(HRRVL,2,0)</f>
        <v>0</v>
      </c>
      <c r="BV619" s="1">
        <v>2</v>
      </c>
      <c r="BW619" s="1">
        <v>2</v>
      </c>
      <c r="BX619" s="1">
        <v>2</v>
      </c>
      <c r="BY619" s="1">
        <v>2</v>
      </c>
      <c r="BZ619" s="1">
        <v>2</v>
      </c>
      <c r="CA619" s="1">
        <v>2</v>
      </c>
      <c r="CB619" s="1">
        <v>2</v>
      </c>
      <c r="CC619" s="1">
        <v>2</v>
      </c>
      <c r="CD619" s="1">
        <v>2</v>
      </c>
      <c r="CE619" s="1">
        <v>2</v>
      </c>
      <c r="CF619" s="1">
        <v>2</v>
      </c>
      <c r="CG619" s="1">
        <f t="shared" si="552"/>
        <v>0</v>
      </c>
      <c r="CH619" s="1">
        <v>1</v>
      </c>
      <c r="CI619" s="1">
        <v>1</v>
      </c>
      <c r="CJ619" s="1">
        <v>2</v>
      </c>
      <c r="CK619" s="1">
        <v>2</v>
      </c>
      <c r="CL619" s="1">
        <v>2</v>
      </c>
      <c r="CM619" s="1">
        <v>2</v>
      </c>
      <c r="CN619" s="1">
        <v>2</v>
      </c>
      <c r="CO619" s="1">
        <v>2</v>
      </c>
      <c r="CP619" s="1">
        <v>2</v>
      </c>
      <c r="CQ619" s="1">
        <v>2</v>
      </c>
      <c r="CR619" s="1">
        <v>2</v>
      </c>
      <c r="CS619" s="1">
        <v>2</v>
      </c>
      <c r="CT619" s="1">
        <v>2</v>
      </c>
      <c r="CU619" s="1">
        <v>2</v>
      </c>
      <c r="CV619" s="1">
        <f t="shared" si="541"/>
        <v>0</v>
      </c>
      <c r="CW619" s="1">
        <v>1</v>
      </c>
      <c r="CX619" s="1">
        <v>1</v>
      </c>
      <c r="CY619" s="1">
        <v>1</v>
      </c>
      <c r="CZ619" s="1">
        <f t="shared" si="553"/>
        <v>0</v>
      </c>
      <c r="DA619" s="1">
        <v>1</v>
      </c>
      <c r="DB619" s="1">
        <v>1</v>
      </c>
      <c r="DC619" s="1">
        <v>2</v>
      </c>
      <c r="DD619" s="1">
        <v>1</v>
      </c>
      <c r="DE619" s="1">
        <v>1</v>
      </c>
      <c r="DF619" s="1">
        <v>2</v>
      </c>
      <c r="DG619" s="1">
        <v>2</v>
      </c>
      <c r="DH619" s="1">
        <v>1</v>
      </c>
      <c r="DI619" s="1">
        <f t="shared" si="543"/>
        <v>0</v>
      </c>
      <c r="DJ619" s="1">
        <v>1</v>
      </c>
      <c r="DK619" s="1" t="s">
        <v>250</v>
      </c>
      <c r="DL619" s="1" t="s">
        <v>170</v>
      </c>
      <c r="DU619" s="1" t="b">
        <f>MnkLvl&gt;=5</f>
        <v>0</v>
      </c>
      <c r="DV619" s="1" t="b">
        <f>SkKnowledgeReligionRanks&gt;=13</f>
        <v>0</v>
      </c>
      <c r="DW619" s="1" t="b">
        <f>SkKnowledgeArcanaRanks&gt;=6</f>
        <v>0</v>
      </c>
      <c r="DX619" s="1" t="b">
        <f>BaseAtk&gt;=7</f>
        <v>0</v>
      </c>
      <c r="DY619" s="1" t="b">
        <f>AlignmentLawful</f>
        <v>1</v>
      </c>
      <c r="DZ619" s="1" t="b">
        <f t="shared" si="554"/>
        <v>1</v>
      </c>
      <c r="EA619" s="1" t="b">
        <f t="shared" si="560"/>
        <v>0</v>
      </c>
      <c r="EB619" s="11" t="s">
        <v>334</v>
      </c>
      <c r="EC619" s="1" t="str">
        <f>IF(DY619,"","• Lawful alignment.
")&amp;IF(DX619,"","• Base Attack Bonus +7.
")&amp;IF(DW619,"","• 6 ranks in Knowledge (arcana).
")&amp;IF(DV619,"","• 13 ranks in Knowledge (religion).
")&amp;IF(DU619,"","• Purity of Body class ability.
")&amp;IF(DZ619,"","• Not available in Living Greyhawk.")</f>
        <v xml:space="preserve">• Base Attack Bonus +7.
• 6 ranks in Knowledge (arcana).
• 13 ranks in Knowledge (religion).
• Purity of Body class ability.
</v>
      </c>
      <c r="ED619" s="11" t="s">
        <v>335</v>
      </c>
    </row>
    <row r="620" spans="1:134" ht="11.25" customHeight="1" x14ac:dyDescent="0.2">
      <c r="A620" s="1">
        <f t="shared" si="535"/>
        <v>617</v>
      </c>
      <c r="B620" s="1" t="s">
        <v>1468</v>
      </c>
      <c r="C620" s="1" t="s">
        <v>973</v>
      </c>
      <c r="D620" s="1" t="s">
        <v>973</v>
      </c>
      <c r="E620" s="1">
        <f t="shared" si="517"/>
        <v>0</v>
      </c>
      <c r="K620" s="1">
        <v>2</v>
      </c>
      <c r="L620" s="1">
        <v>12</v>
      </c>
      <c r="V620" s="1">
        <v>1</v>
      </c>
      <c r="W620" s="1">
        <v>0.5</v>
      </c>
      <c r="X620" s="1">
        <v>0.34</v>
      </c>
      <c r="Y620" s="1">
        <v>0.34</v>
      </c>
      <c r="Z620" s="1" t="b">
        <v>0</v>
      </c>
      <c r="AA620" s="1" t="str">
        <f t="shared" si="520"/>
        <v/>
      </c>
      <c r="AB620" s="1" t="str">
        <f t="shared" si="521"/>
        <v/>
      </c>
      <c r="AC620" s="1">
        <f t="shared" si="518"/>
        <v>0</v>
      </c>
      <c r="AD620" s="1" t="str">
        <f t="shared" si="522"/>
        <v/>
      </c>
      <c r="AE620" s="1" t="str">
        <f t="shared" si="523"/>
        <v/>
      </c>
      <c r="AF620" s="1">
        <f t="shared" si="519"/>
        <v>0</v>
      </c>
      <c r="AG620" s="1">
        <f t="shared" si="546"/>
        <v>5</v>
      </c>
      <c r="AH620" s="1" t="str">
        <f t="shared" si="545"/>
        <v/>
      </c>
      <c r="AI620" s="1">
        <v>1</v>
      </c>
      <c r="AJ620" s="1">
        <f t="shared" si="556"/>
        <v>0</v>
      </c>
      <c r="AK620" s="1">
        <v>1</v>
      </c>
      <c r="AL620" s="1">
        <v>1</v>
      </c>
      <c r="AM620" s="1">
        <v>2</v>
      </c>
      <c r="AN620" s="1">
        <f t="shared" si="557"/>
        <v>0</v>
      </c>
      <c r="AO620" s="1">
        <v>1</v>
      </c>
      <c r="AP620" s="1">
        <v>1</v>
      </c>
      <c r="AQ620" s="1">
        <v>1</v>
      </c>
      <c r="AR620" s="1">
        <v>1</v>
      </c>
      <c r="AS620" s="1">
        <v>1</v>
      </c>
      <c r="AT620" s="1">
        <v>1</v>
      </c>
      <c r="AU620" s="1">
        <v>1</v>
      </c>
      <c r="AV620" s="1">
        <v>1</v>
      </c>
      <c r="AW620" s="1">
        <v>1</v>
      </c>
      <c r="AX620" s="1">
        <v>1</v>
      </c>
      <c r="AY620" s="1">
        <v>1</v>
      </c>
      <c r="AZ620" s="1">
        <v>1</v>
      </c>
      <c r="BA620" s="1">
        <v>1</v>
      </c>
      <c r="BB620" s="1">
        <v>1</v>
      </c>
      <c r="BC620" s="1">
        <v>1</v>
      </c>
      <c r="BD620" s="1">
        <v>2</v>
      </c>
      <c r="BE620" s="1">
        <v>1</v>
      </c>
      <c r="BF620" s="1">
        <v>1</v>
      </c>
      <c r="BG620" s="1">
        <f t="shared" si="558"/>
        <v>0</v>
      </c>
      <c r="BH620" s="1">
        <v>2</v>
      </c>
      <c r="BI620" s="1">
        <v>2</v>
      </c>
      <c r="BJ620" s="1">
        <v>2</v>
      </c>
      <c r="BK620" s="1">
        <v>1</v>
      </c>
      <c r="BL620" s="1">
        <v>1</v>
      </c>
      <c r="BM620" s="1">
        <v>1</v>
      </c>
      <c r="BN620" s="1">
        <v>1</v>
      </c>
      <c r="BO620" s="1">
        <v>1</v>
      </c>
      <c r="BP620" s="1">
        <v>1</v>
      </c>
      <c r="BQ620" s="1">
        <f t="shared" si="559"/>
        <v>0</v>
      </c>
      <c r="BR620" s="1">
        <v>1</v>
      </c>
      <c r="BS620" s="1">
        <v>1</v>
      </c>
      <c r="BT620" s="1">
        <f t="shared" si="550"/>
        <v>0</v>
      </c>
      <c r="BU620" s="1">
        <f t="shared" si="551"/>
        <v>0</v>
      </c>
      <c r="BV620" s="1">
        <v>1</v>
      </c>
      <c r="BW620" s="1">
        <v>1</v>
      </c>
      <c r="BX620" s="1">
        <f t="shared" ref="BX620:CE620" si="561">IF(LOWER(BX2)="knowledge (shadowlands)",2,1)</f>
        <v>1</v>
      </c>
      <c r="BY620" s="1">
        <f t="shared" si="561"/>
        <v>1</v>
      </c>
      <c r="BZ620" s="1">
        <f t="shared" si="561"/>
        <v>1</v>
      </c>
      <c r="CA620" s="1">
        <f t="shared" si="561"/>
        <v>1</v>
      </c>
      <c r="CB620" s="1">
        <f t="shared" si="561"/>
        <v>1</v>
      </c>
      <c r="CC620" s="1">
        <f t="shared" si="561"/>
        <v>1</v>
      </c>
      <c r="CD620" s="1">
        <f t="shared" si="561"/>
        <v>1</v>
      </c>
      <c r="CE620" s="1">
        <f t="shared" si="561"/>
        <v>1</v>
      </c>
      <c r="CF620" s="1">
        <v>1</v>
      </c>
      <c r="CG620" s="1">
        <f t="shared" si="552"/>
        <v>0</v>
      </c>
      <c r="CH620" s="1">
        <v>1</v>
      </c>
      <c r="CI620" s="1">
        <v>1</v>
      </c>
      <c r="CJ620" s="1">
        <v>1</v>
      </c>
      <c r="CK620" s="1">
        <v>1</v>
      </c>
      <c r="CL620" s="1">
        <v>1</v>
      </c>
      <c r="CM620" s="1">
        <v>1</v>
      </c>
      <c r="CN620" s="1">
        <v>1</v>
      </c>
      <c r="CO620" s="1">
        <v>1</v>
      </c>
      <c r="CP620" s="1">
        <v>1</v>
      </c>
      <c r="CQ620" s="1">
        <v>1</v>
      </c>
      <c r="CR620" s="1">
        <v>1</v>
      </c>
      <c r="CS620" s="1">
        <v>1</v>
      </c>
      <c r="CT620" s="1">
        <v>1</v>
      </c>
      <c r="CU620" s="1">
        <v>1</v>
      </c>
      <c r="CV620" s="1">
        <f t="shared" si="541"/>
        <v>0</v>
      </c>
      <c r="CW620" s="1">
        <v>2</v>
      </c>
      <c r="CX620" s="1">
        <v>1</v>
      </c>
      <c r="CY620" s="1">
        <v>2</v>
      </c>
      <c r="CZ620" s="1">
        <f t="shared" si="553"/>
        <v>0</v>
      </c>
      <c r="DA620" s="1">
        <v>1</v>
      </c>
      <c r="DB620" s="1">
        <v>1</v>
      </c>
      <c r="DC620" s="1">
        <v>1</v>
      </c>
      <c r="DD620" s="1">
        <v>1</v>
      </c>
      <c r="DE620" s="1">
        <v>1</v>
      </c>
      <c r="DF620" s="1">
        <v>2</v>
      </c>
      <c r="DG620" s="1">
        <v>1</v>
      </c>
      <c r="DH620" s="1">
        <v>1</v>
      </c>
      <c r="DI620" s="1">
        <f t="shared" si="543"/>
        <v>0</v>
      </c>
      <c r="DJ620" s="1">
        <v>1</v>
      </c>
      <c r="DK620" s="1" t="s">
        <v>250</v>
      </c>
      <c r="DL620" s="1" t="s">
        <v>170</v>
      </c>
      <c r="DS620" s="1" t="b">
        <f>OR(NOT(ISNA(MATCH("Battleaxe",TblWeaponFocusFeat,0))),NOT(ISNA(MATCH("Warhammer",TblWeaponFocusFeat,0))),NOT(ISNA(MATCH("Greatclub",TblWeaponFocusFeat,0))))</f>
        <v>0</v>
      </c>
      <c r="DT620" s="1" t="b">
        <f>FtPowerAttackEquiv</f>
        <v>0</v>
      </c>
      <c r="DU620" s="1" t="b">
        <f>FtArmorHeavy</f>
        <v>0</v>
      </c>
      <c r="DV620" s="1" t="b">
        <f>BaseAtk&gt;=5</f>
        <v>0</v>
      </c>
      <c r="DW620" s="1" t="b">
        <f>AlignmentNonEvil</f>
        <v>1</v>
      </c>
      <c r="DX620" s="1" t="b">
        <f>Region="Crab Clan"</f>
        <v>0</v>
      </c>
      <c r="DY620" s="1" t="b">
        <f>Subtype="Human"</f>
        <v>0</v>
      </c>
      <c r="DZ620" s="1" t="b">
        <f t="shared" si="554"/>
        <v>1</v>
      </c>
      <c r="EA620" s="1" t="b">
        <f t="shared" si="560"/>
        <v>0</v>
      </c>
      <c r="EB620" s="11" t="s">
        <v>334</v>
      </c>
      <c r="EC620" s="1" t="str">
        <f>IF(DY620,"","• Human.
")&amp;IF(DX620,"","• Member of the Crab Clan
")&amp;IF(DW620,"","• Nonevil alignment.
")&amp;IF(DV620,"","• Base Attack Bonus +5
")&amp;IF(DU620,"","• Armor proficiency (heavy).
")&amp;IF(DT620,"","• Power Attack feat.
")&amp;IF(DS620,"","• Weapon Focus (battleaxe, warhammer, or greatclub).
")&amp;IF(DZ620,"","• Not available in Living Greyhawk.")</f>
        <v xml:space="preserve">• Human.
• Member of the Crab Clan
• Base Attack Bonus +5
• Armor proficiency (heavy).
• Power Attack feat.
• Weapon Focus (battleaxe, warhammer, or greatclub).
</v>
      </c>
      <c r="ED620" s="11" t="s">
        <v>335</v>
      </c>
    </row>
    <row r="621" spans="1:134" ht="11.25" customHeight="1" x14ac:dyDescent="0.2">
      <c r="A621" s="1">
        <f t="shared" si="535"/>
        <v>618</v>
      </c>
      <c r="B621" s="1" t="s">
        <v>1469</v>
      </c>
      <c r="C621" s="1" t="s">
        <v>1470</v>
      </c>
      <c r="D621" s="1" t="s">
        <v>1470</v>
      </c>
      <c r="E621" s="1">
        <f t="shared" si="517"/>
        <v>0</v>
      </c>
      <c r="K621" s="1">
        <v>4</v>
      </c>
      <c r="L621" s="1">
        <v>10</v>
      </c>
      <c r="S621" s="1" t="b">
        <v>1</v>
      </c>
      <c r="T621" s="1" t="b">
        <v>1</v>
      </c>
      <c r="V621" s="1">
        <v>1</v>
      </c>
      <c r="W621" s="1">
        <v>0.34</v>
      </c>
      <c r="X621" s="1">
        <v>0.5</v>
      </c>
      <c r="Y621" s="1">
        <v>0.34</v>
      </c>
      <c r="Z621" s="1" t="b">
        <v>0</v>
      </c>
      <c r="AA621" s="1" t="str">
        <f t="shared" si="520"/>
        <v/>
      </c>
      <c r="AB621" s="1" t="str">
        <f t="shared" si="521"/>
        <v/>
      </c>
      <c r="AC621" s="1">
        <f t="shared" si="518"/>
        <v>0</v>
      </c>
      <c r="AD621" s="1" t="str">
        <f t="shared" si="522"/>
        <v/>
      </c>
      <c r="AE621" s="1" t="str">
        <f t="shared" si="523"/>
        <v/>
      </c>
      <c r="AF621" s="1">
        <f t="shared" si="519"/>
        <v>0</v>
      </c>
      <c r="AG621" s="1">
        <f t="shared" si="546"/>
        <v>5</v>
      </c>
      <c r="AH621" s="1" t="str">
        <f t="shared" si="545"/>
        <v/>
      </c>
      <c r="AI621" s="1">
        <v>1</v>
      </c>
      <c r="AJ621" s="1">
        <f t="shared" si="556"/>
        <v>0</v>
      </c>
      <c r="AK621" s="1">
        <v>2</v>
      </c>
      <c r="AL621" s="1">
        <v>1</v>
      </c>
      <c r="AM621" s="1">
        <v>2</v>
      </c>
      <c r="AN621" s="1">
        <f t="shared" si="557"/>
        <v>0</v>
      </c>
      <c r="AO621" s="1">
        <v>1</v>
      </c>
      <c r="AP621" s="1">
        <v>2</v>
      </c>
      <c r="AQ621" s="1">
        <v>2</v>
      </c>
      <c r="AR621" s="1">
        <v>2</v>
      </c>
      <c r="AS621" s="1">
        <v>2</v>
      </c>
      <c r="AT621" s="1">
        <v>2</v>
      </c>
      <c r="AU621" s="1">
        <v>2</v>
      </c>
      <c r="AV621" s="1">
        <v>2</v>
      </c>
      <c r="AW621" s="1">
        <v>1</v>
      </c>
      <c r="AX621" s="1">
        <v>2</v>
      </c>
      <c r="AY621" s="1">
        <v>1</v>
      </c>
      <c r="AZ621" s="1">
        <v>1</v>
      </c>
      <c r="BA621" s="1">
        <v>2</v>
      </c>
      <c r="BB621" s="1">
        <v>1</v>
      </c>
      <c r="BC621" s="1">
        <v>1</v>
      </c>
      <c r="BD621" s="1">
        <v>1</v>
      </c>
      <c r="BE621" s="1">
        <v>1</v>
      </c>
      <c r="BF621" s="1">
        <v>1</v>
      </c>
      <c r="BG621" s="1">
        <f t="shared" si="558"/>
        <v>0</v>
      </c>
      <c r="BH621" s="1">
        <v>2</v>
      </c>
      <c r="BI621" s="1">
        <v>1</v>
      </c>
      <c r="BJ621" s="1">
        <v>2</v>
      </c>
      <c r="BK621" s="1">
        <v>1</v>
      </c>
      <c r="BL621" s="1">
        <v>1</v>
      </c>
      <c r="BM621" s="1">
        <v>1</v>
      </c>
      <c r="BN621" s="1">
        <v>1</v>
      </c>
      <c r="BO621" s="1">
        <v>1</v>
      </c>
      <c r="BP621" s="1">
        <v>1</v>
      </c>
      <c r="BQ621" s="1">
        <f t="shared" si="559"/>
        <v>0</v>
      </c>
      <c r="BR621" s="1">
        <v>1</v>
      </c>
      <c r="BS621" s="1">
        <v>1</v>
      </c>
      <c r="BT621" s="1">
        <f t="shared" si="550"/>
        <v>0</v>
      </c>
      <c r="BU621" s="1">
        <v>1</v>
      </c>
      <c r="BV621" s="1">
        <v>1</v>
      </c>
      <c r="BW621" s="1">
        <v>1</v>
      </c>
      <c r="BX621" s="1">
        <v>1</v>
      </c>
      <c r="BY621" s="1">
        <v>1</v>
      </c>
      <c r="BZ621" s="1">
        <v>1</v>
      </c>
      <c r="CA621" s="1">
        <v>1</v>
      </c>
      <c r="CB621" s="1">
        <v>1</v>
      </c>
      <c r="CC621" s="1">
        <v>1</v>
      </c>
      <c r="CD621" s="1">
        <v>1</v>
      </c>
      <c r="CE621" s="1">
        <v>1</v>
      </c>
      <c r="CF621" s="1">
        <v>1</v>
      </c>
      <c r="CG621" s="1">
        <f t="shared" si="552"/>
        <v>0</v>
      </c>
      <c r="CH621" s="1">
        <v>1</v>
      </c>
      <c r="CI621" s="1">
        <v>1</v>
      </c>
      <c r="CJ621" s="1">
        <v>2</v>
      </c>
      <c r="CK621" s="1">
        <v>2</v>
      </c>
      <c r="CL621" s="1">
        <v>2</v>
      </c>
      <c r="CM621" s="1">
        <v>2</v>
      </c>
      <c r="CN621" s="1">
        <v>2</v>
      </c>
      <c r="CO621" s="1">
        <v>2</v>
      </c>
      <c r="CP621" s="1">
        <v>2</v>
      </c>
      <c r="CQ621" s="1">
        <v>2</v>
      </c>
      <c r="CR621" s="1">
        <v>2</v>
      </c>
      <c r="CS621" s="1">
        <v>2</v>
      </c>
      <c r="CT621" s="1">
        <v>2</v>
      </c>
      <c r="CU621" s="1">
        <v>2</v>
      </c>
      <c r="CV621" s="1">
        <f t="shared" si="541"/>
        <v>0</v>
      </c>
      <c r="CW621" s="1">
        <v>2</v>
      </c>
      <c r="CX621" s="1">
        <v>1</v>
      </c>
      <c r="CY621" s="1">
        <v>2</v>
      </c>
      <c r="CZ621" s="1">
        <f t="shared" si="553"/>
        <v>0</v>
      </c>
      <c r="DA621" s="1">
        <v>1</v>
      </c>
      <c r="DB621" s="1">
        <v>1</v>
      </c>
      <c r="DC621" s="1">
        <v>1</v>
      </c>
      <c r="DD621" s="1">
        <v>1</v>
      </c>
      <c r="DE621" s="1">
        <v>1</v>
      </c>
      <c r="DF621" s="1">
        <v>1</v>
      </c>
      <c r="DG621" s="1">
        <v>2</v>
      </c>
      <c r="DH621" s="1">
        <v>1</v>
      </c>
      <c r="DI621" s="1">
        <f t="shared" si="543"/>
        <v>0</v>
      </c>
      <c r="DJ621" s="1">
        <v>1</v>
      </c>
      <c r="DK621" s="1" t="s">
        <v>250</v>
      </c>
      <c r="DL621" s="1" t="s">
        <v>170</v>
      </c>
      <c r="DT621" s="1" t="b">
        <f>NOT(ISNA(MATCH("Katana",TblWeaponFocusFeat,0)))</f>
        <v>0</v>
      </c>
      <c r="DU621" s="1" t="b">
        <f>FtQuickDraw</f>
        <v>0</v>
      </c>
      <c r="DV621" s="1" t="b">
        <f>FtImprovedInitiative</f>
        <v>0</v>
      </c>
      <c r="DW621" s="1" t="b">
        <f>SkIaijutsuRanks&gt;=9</f>
        <v>0</v>
      </c>
      <c r="DX621" s="1" t="b">
        <f>BaseAtk&gt;=6</f>
        <v>0</v>
      </c>
      <c r="DY621" s="1" t="b">
        <f>AlignmentLawful</f>
        <v>1</v>
      </c>
      <c r="DZ621" s="1" t="b">
        <f t="shared" si="554"/>
        <v>1</v>
      </c>
      <c r="EA621" s="1" t="b">
        <f t="shared" si="560"/>
        <v>0</v>
      </c>
      <c r="EB621" s="11" t="s">
        <v>334</v>
      </c>
      <c r="EC621" s="1" t="str">
        <f>IF(DY621,"","• Lawful alignment.
")&amp;IF(DX621,"","• Base Attack Bonus +6.
")&amp;IF(DW621,"","• 9 ranks in Iaijutsu Focus.
")&amp;IF(DV621,"","• Improved Initiative feat.
")&amp;IF(DU621,"","• Quick Draw feat.
")&amp;IF(DT621,"","• Weapon Focus (katana).
")&amp;IF(DZ621,"","• Not available in Living Greyhawk.")</f>
        <v xml:space="preserve">• Base Attack Bonus +6.
• 9 ranks in Iaijutsu Focus.
• Improved Initiative feat.
• Quick Draw feat.
• Weapon Focus (katana).
</v>
      </c>
      <c r="ED621" s="11" t="s">
        <v>335</v>
      </c>
    </row>
    <row r="622" spans="1:134" ht="11.25" customHeight="1" x14ac:dyDescent="0.2">
      <c r="A622" s="1">
        <f t="shared" si="535"/>
        <v>619</v>
      </c>
      <c r="B622" s="1" t="s">
        <v>1471</v>
      </c>
      <c r="C622" s="1" t="s">
        <v>1472</v>
      </c>
      <c r="D622" s="1" t="s">
        <v>1472</v>
      </c>
      <c r="E622" s="1">
        <f t="shared" si="517"/>
        <v>0</v>
      </c>
      <c r="K622" s="1">
        <v>4</v>
      </c>
      <c r="L622" s="1">
        <v>10</v>
      </c>
      <c r="N622" s="1" t="b">
        <v>1</v>
      </c>
      <c r="O622" s="1" t="b">
        <v>1</v>
      </c>
      <c r="S622" s="1" t="b">
        <v>1</v>
      </c>
      <c r="T622" s="1" t="b">
        <v>1</v>
      </c>
      <c r="V622" s="1">
        <v>1</v>
      </c>
      <c r="W622" s="1">
        <v>0.5</v>
      </c>
      <c r="X622" s="1">
        <v>0.34</v>
      </c>
      <c r="Y622" s="1">
        <v>0.34</v>
      </c>
      <c r="Z622" s="1" t="b">
        <v>0</v>
      </c>
      <c r="AA622" s="1" t="str">
        <f t="shared" si="520"/>
        <v/>
      </c>
      <c r="AB622" s="1" t="str">
        <f t="shared" si="521"/>
        <v/>
      </c>
      <c r="AC622" s="1">
        <f t="shared" si="518"/>
        <v>0</v>
      </c>
      <c r="AD622" s="1" t="str">
        <f t="shared" si="522"/>
        <v/>
      </c>
      <c r="AE622" s="1" t="str">
        <f t="shared" si="523"/>
        <v/>
      </c>
      <c r="AF622" s="1">
        <f t="shared" si="519"/>
        <v>0</v>
      </c>
      <c r="AG622" s="1">
        <f t="shared" si="546"/>
        <v>5</v>
      </c>
      <c r="AH622" s="1" t="str">
        <f t="shared" si="545"/>
        <v/>
      </c>
      <c r="AI622" s="1">
        <v>1</v>
      </c>
      <c r="AJ622" s="1">
        <f t="shared" si="556"/>
        <v>0</v>
      </c>
      <c r="AK622" s="1">
        <v>1</v>
      </c>
      <c r="AL622" s="1">
        <v>1</v>
      </c>
      <c r="AM622" s="1">
        <v>2</v>
      </c>
      <c r="AN622" s="1">
        <f t="shared" si="557"/>
        <v>0</v>
      </c>
      <c r="AO622" s="1">
        <v>1</v>
      </c>
      <c r="AP622" s="1">
        <v>2</v>
      </c>
      <c r="AQ622" s="1">
        <v>2</v>
      </c>
      <c r="AR622" s="1">
        <v>2</v>
      </c>
      <c r="AS622" s="1">
        <v>2</v>
      </c>
      <c r="AT622" s="1">
        <v>2</v>
      </c>
      <c r="AU622" s="1">
        <v>2</v>
      </c>
      <c r="AV622" s="1">
        <v>2</v>
      </c>
      <c r="AW622" s="1">
        <v>1</v>
      </c>
      <c r="AX622" s="1">
        <v>1</v>
      </c>
      <c r="AY622" s="1">
        <v>1</v>
      </c>
      <c r="AZ622" s="1">
        <v>1</v>
      </c>
      <c r="BA622" s="1">
        <v>1</v>
      </c>
      <c r="BB622" s="1">
        <v>1</v>
      </c>
      <c r="BC622" s="1">
        <v>1</v>
      </c>
      <c r="BD622" s="1">
        <v>2</v>
      </c>
      <c r="BE622" s="1">
        <v>1</v>
      </c>
      <c r="BF622" s="1">
        <v>1</v>
      </c>
      <c r="BG622" s="1">
        <f t="shared" si="558"/>
        <v>0</v>
      </c>
      <c r="BH622" s="1">
        <v>2</v>
      </c>
      <c r="BI622" s="1">
        <v>2</v>
      </c>
      <c r="BJ622" s="1">
        <v>2</v>
      </c>
      <c r="BK622" s="1">
        <v>1</v>
      </c>
      <c r="BL622" s="1">
        <v>1</v>
      </c>
      <c r="BM622" s="1">
        <v>1</v>
      </c>
      <c r="BN622" s="1">
        <v>1</v>
      </c>
      <c r="BO622" s="1">
        <v>1</v>
      </c>
      <c r="BP622" s="1">
        <v>1</v>
      </c>
      <c r="BQ622" s="1">
        <f t="shared" si="559"/>
        <v>0</v>
      </c>
      <c r="BR622" s="1">
        <v>1</v>
      </c>
      <c r="BS622" s="1">
        <v>1</v>
      </c>
      <c r="BT622" s="1">
        <f t="shared" si="550"/>
        <v>0</v>
      </c>
      <c r="BU622" s="1">
        <f t="shared" si="551"/>
        <v>0</v>
      </c>
      <c r="BV622" s="1">
        <v>1</v>
      </c>
      <c r="BW622" s="1">
        <v>1</v>
      </c>
      <c r="BX622" s="1">
        <v>1</v>
      </c>
      <c r="BY622" s="1">
        <v>1</v>
      </c>
      <c r="BZ622" s="1">
        <v>1</v>
      </c>
      <c r="CA622" s="1">
        <v>1</v>
      </c>
      <c r="CB622" s="1">
        <v>1</v>
      </c>
      <c r="CC622" s="1">
        <v>1</v>
      </c>
      <c r="CD622" s="1">
        <v>1</v>
      </c>
      <c r="CE622" s="1">
        <v>1</v>
      </c>
      <c r="CF622" s="1">
        <v>2</v>
      </c>
      <c r="CG622" s="1">
        <f t="shared" si="552"/>
        <v>0</v>
      </c>
      <c r="CH622" s="1">
        <v>1</v>
      </c>
      <c r="CI622" s="1">
        <v>1</v>
      </c>
      <c r="CJ622" s="1">
        <v>2</v>
      </c>
      <c r="CK622" s="1">
        <v>2</v>
      </c>
      <c r="CL622" s="1">
        <v>2</v>
      </c>
      <c r="CM622" s="1">
        <v>2</v>
      </c>
      <c r="CN622" s="1">
        <v>2</v>
      </c>
      <c r="CO622" s="1">
        <v>2</v>
      </c>
      <c r="CP622" s="1">
        <v>2</v>
      </c>
      <c r="CQ622" s="1">
        <v>2</v>
      </c>
      <c r="CR622" s="1">
        <v>2</v>
      </c>
      <c r="CS622" s="1">
        <v>2</v>
      </c>
      <c r="CT622" s="1">
        <v>2</v>
      </c>
      <c r="CU622" s="1">
        <v>2</v>
      </c>
      <c r="CV622" s="1">
        <f t="shared" si="541"/>
        <v>0</v>
      </c>
      <c r="CW622" s="1">
        <v>2</v>
      </c>
      <c r="CX622" s="1">
        <v>1</v>
      </c>
      <c r="CY622" s="1">
        <v>2</v>
      </c>
      <c r="CZ622" s="1">
        <f t="shared" si="553"/>
        <v>0</v>
      </c>
      <c r="DA622" s="1">
        <v>1</v>
      </c>
      <c r="DB622" s="1">
        <v>1</v>
      </c>
      <c r="DC622" s="1">
        <v>2</v>
      </c>
      <c r="DD622" s="1">
        <v>1</v>
      </c>
      <c r="DE622" s="1">
        <v>2</v>
      </c>
      <c r="DF622" s="1">
        <v>2</v>
      </c>
      <c r="DG622" s="1">
        <v>1</v>
      </c>
      <c r="DH622" s="1">
        <v>1</v>
      </c>
      <c r="DI622" s="1">
        <f t="shared" si="543"/>
        <v>0</v>
      </c>
      <c r="DJ622" s="1">
        <v>1</v>
      </c>
      <c r="DK622" s="1" t="s">
        <v>250</v>
      </c>
      <c r="DL622" s="1" t="s">
        <v>170</v>
      </c>
      <c r="DT622" s="1" t="b">
        <f>NOT(ISNA(MATCH("Lance",TblProfList,0)))</f>
        <v>0</v>
      </c>
      <c r="DU622" s="1" t="b">
        <f>FtSpiritedCharge</f>
        <v>0</v>
      </c>
      <c r="DV622" s="1" t="b">
        <f>FtRideByAttack</f>
        <v>0</v>
      </c>
      <c r="DW622" s="1" t="b">
        <f>FtMountedCombat</f>
        <v>0</v>
      </c>
      <c r="DX622" s="1" t="b">
        <f>SkRideRanks&gt;=9</f>
        <v>0</v>
      </c>
      <c r="DY622" s="1" t="b">
        <f>BaseAtk&gt;=6</f>
        <v>0</v>
      </c>
      <c r="DZ622" s="1" t="b">
        <f t="shared" si="554"/>
        <v>1</v>
      </c>
      <c r="EA622" s="1" t="b">
        <f t="shared" si="560"/>
        <v>0</v>
      </c>
      <c r="EB622" s="11" t="s">
        <v>334</v>
      </c>
      <c r="EC622" s="1" t="str">
        <f>IF(DY622,"","• Base Attack Bonus +6.
")&amp;IF(DX622,"","• 9 ranks in Ride.
")&amp;IF(DW622,"","• Mounted Combat feat.
")&amp;IF(DV622,"","• Ride-By Attack feat.
")&amp;IF(DU622,"","• Spirited Charge feat.
")&amp;IF(DT622,"","• Weapon proficiency (lance).
")&amp;IF(DZ622,"","• Not available in Living Greyhawk.")</f>
        <v xml:space="preserve">• Base Attack Bonus +6.
• 9 ranks in Ride.
• Mounted Combat feat.
• Ride-By Attack feat.
• Spirited Charge feat.
• Weapon proficiency (lance).
</v>
      </c>
      <c r="ED622" s="11" t="s">
        <v>335</v>
      </c>
    </row>
    <row r="623" spans="1:134" ht="11.25" customHeight="1" x14ac:dyDescent="0.2">
      <c r="A623" s="1">
        <f t="shared" si="535"/>
        <v>620</v>
      </c>
      <c r="B623" s="1" t="s">
        <v>1473</v>
      </c>
      <c r="C623" s="1" t="s">
        <v>1474</v>
      </c>
      <c r="D623" s="1" t="s">
        <v>1474</v>
      </c>
      <c r="E623" s="1">
        <f t="shared" si="517"/>
        <v>0</v>
      </c>
      <c r="K623" s="1">
        <v>2</v>
      </c>
      <c r="L623" s="1">
        <v>10</v>
      </c>
      <c r="V623" s="1">
        <v>1</v>
      </c>
      <c r="W623" s="1">
        <v>0.5</v>
      </c>
      <c r="X623" s="1">
        <v>0.34</v>
      </c>
      <c r="Y623" s="1">
        <v>0.34</v>
      </c>
      <c r="Z623" s="1" t="b">
        <v>0</v>
      </c>
      <c r="AA623" s="1" t="str">
        <f t="shared" si="520"/>
        <v/>
      </c>
      <c r="AB623" s="1" t="str">
        <f t="shared" si="521"/>
        <v/>
      </c>
      <c r="AC623" s="1">
        <f t="shared" si="518"/>
        <v>0</v>
      </c>
      <c r="AD623" s="1" t="str">
        <f t="shared" si="522"/>
        <v/>
      </c>
      <c r="AE623" s="1" t="str">
        <f t="shared" si="523"/>
        <v/>
      </c>
      <c r="AF623" s="1">
        <f t="shared" si="519"/>
        <v>0</v>
      </c>
      <c r="AG623" s="1">
        <f t="shared" si="546"/>
        <v>5</v>
      </c>
      <c r="AH623" s="1" t="str">
        <f t="shared" si="545"/>
        <v/>
      </c>
      <c r="AI623" s="1">
        <v>1</v>
      </c>
      <c r="AJ623" s="1">
        <f t="shared" si="556"/>
        <v>0</v>
      </c>
      <c r="AK623" s="1">
        <v>2</v>
      </c>
      <c r="AL623" s="1">
        <v>1</v>
      </c>
      <c r="AM623" s="1">
        <v>2</v>
      </c>
      <c r="AN623" s="1">
        <f t="shared" si="557"/>
        <v>0</v>
      </c>
      <c r="AO623" s="1">
        <v>1</v>
      </c>
      <c r="AP623" s="1">
        <v>2</v>
      </c>
      <c r="AQ623" s="1">
        <v>2</v>
      </c>
      <c r="AR623" s="1">
        <v>2</v>
      </c>
      <c r="AS623" s="1">
        <v>2</v>
      </c>
      <c r="AT623" s="1">
        <v>2</v>
      </c>
      <c r="AU623" s="1">
        <v>2</v>
      </c>
      <c r="AV623" s="1">
        <v>2</v>
      </c>
      <c r="AW623" s="1">
        <v>1</v>
      </c>
      <c r="AX623" s="1">
        <v>1</v>
      </c>
      <c r="AY623" s="1">
        <v>1</v>
      </c>
      <c r="AZ623" s="1">
        <v>1</v>
      </c>
      <c r="BA623" s="1">
        <v>1</v>
      </c>
      <c r="BB623" s="1">
        <v>1</v>
      </c>
      <c r="BC623" s="1">
        <v>1</v>
      </c>
      <c r="BD623" s="1">
        <v>1</v>
      </c>
      <c r="BE623" s="1">
        <v>1</v>
      </c>
      <c r="BF623" s="1">
        <v>1</v>
      </c>
      <c r="BG623" s="1">
        <f t="shared" si="558"/>
        <v>0</v>
      </c>
      <c r="BH623" s="1">
        <v>1</v>
      </c>
      <c r="BI623" s="1">
        <v>2</v>
      </c>
      <c r="BJ623" s="1">
        <v>2</v>
      </c>
      <c r="BK623" s="1">
        <v>1</v>
      </c>
      <c r="BL623" s="1">
        <v>1</v>
      </c>
      <c r="BM623" s="1">
        <v>1</v>
      </c>
      <c r="BN623" s="1">
        <v>1</v>
      </c>
      <c r="BO623" s="1">
        <v>1</v>
      </c>
      <c r="BP623" s="1">
        <v>1</v>
      </c>
      <c r="BQ623" s="1">
        <f t="shared" si="559"/>
        <v>0</v>
      </c>
      <c r="BR623" s="1">
        <v>1</v>
      </c>
      <c r="BS623" s="1">
        <v>1</v>
      </c>
      <c r="BT623" s="1">
        <f t="shared" si="550"/>
        <v>0</v>
      </c>
      <c r="BU623" s="1">
        <f t="shared" si="551"/>
        <v>0</v>
      </c>
      <c r="BV623" s="1">
        <v>1</v>
      </c>
      <c r="BW623" s="1">
        <v>1</v>
      </c>
      <c r="BX623" s="1">
        <v>1</v>
      </c>
      <c r="BY623" s="1">
        <v>1</v>
      </c>
      <c r="BZ623" s="1">
        <v>1</v>
      </c>
      <c r="CA623" s="1">
        <v>1</v>
      </c>
      <c r="CB623" s="1">
        <v>1</v>
      </c>
      <c r="CC623" s="1">
        <v>1</v>
      </c>
      <c r="CD623" s="1">
        <v>1</v>
      </c>
      <c r="CE623" s="1">
        <v>1</v>
      </c>
      <c r="CF623" s="1">
        <v>1</v>
      </c>
      <c r="CG623" s="1">
        <f t="shared" si="552"/>
        <v>0</v>
      </c>
      <c r="CH623" s="1">
        <v>1</v>
      </c>
      <c r="CI623" s="1">
        <v>1</v>
      </c>
      <c r="CJ623" s="1">
        <v>1</v>
      </c>
      <c r="CK623" s="1">
        <v>1</v>
      </c>
      <c r="CL623" s="1">
        <v>1</v>
      </c>
      <c r="CM623" s="1">
        <v>1</v>
      </c>
      <c r="CN623" s="1">
        <v>1</v>
      </c>
      <c r="CO623" s="1">
        <v>1</v>
      </c>
      <c r="CP623" s="1">
        <v>2</v>
      </c>
      <c r="CQ623" s="1">
        <v>2</v>
      </c>
      <c r="CR623" s="1">
        <v>2</v>
      </c>
      <c r="CS623" s="1">
        <v>2</v>
      </c>
      <c r="CT623" s="1">
        <v>2</v>
      </c>
      <c r="CU623" s="1">
        <v>2</v>
      </c>
      <c r="CV623" s="1">
        <f t="shared" si="541"/>
        <v>0</v>
      </c>
      <c r="CW623" s="1">
        <v>1</v>
      </c>
      <c r="CX623" s="1">
        <v>1</v>
      </c>
      <c r="CY623" s="1">
        <v>1</v>
      </c>
      <c r="CZ623" s="1">
        <f t="shared" si="553"/>
        <v>0</v>
      </c>
      <c r="DA623" s="1">
        <v>1</v>
      </c>
      <c r="DB623" s="1">
        <v>1</v>
      </c>
      <c r="DC623" s="1">
        <v>1</v>
      </c>
      <c r="DD623" s="1">
        <v>1</v>
      </c>
      <c r="DE623" s="1">
        <v>1</v>
      </c>
      <c r="DF623" s="1">
        <v>2</v>
      </c>
      <c r="DG623" s="1">
        <v>1</v>
      </c>
      <c r="DH623" s="1">
        <v>1</v>
      </c>
      <c r="DI623" s="1">
        <f t="shared" si="543"/>
        <v>0</v>
      </c>
      <c r="DJ623" s="1">
        <v>1</v>
      </c>
      <c r="DK623" s="1" t="s">
        <v>250</v>
      </c>
      <c r="DL623" s="1" t="s">
        <v>170</v>
      </c>
      <c r="DT623" s="1" t="b">
        <f>NOT(AND(ISNA(MATCH("Chijiriki",TblWeaponFocusFeat,0)),ISNA(MATCH("Jitte",TblWeaponFocusFeat,0)),ISNA(MATCH("Kama",TblWeaponFocusFeat,0)),ISNA(MATCH("Kusari-Gama",TblWeaponFocusFeat,0)),ISNA(MATCH("Manriki-Gusari",TblWeaponFocusFeat,0)),ISNA(MATCH("Nunchaku",TblWeaponFocusFeat,0)),ISNA(MATCH("Sai",TblWeaponFocusFeat,0)),ISNA(MATCH("Shikomi-Zue",TblWeaponFocusFeat,0)),ISNA(MATCH("Siangham",TblWeaponFocusFeat,0)),ISNA(MATCH("Tonfa",TblWeaponFocusFeat,0))))</f>
        <v>0</v>
      </c>
      <c r="DU623" s="1" t="b">
        <f>FtDodgeEquiv</f>
        <v>0</v>
      </c>
      <c r="DV623" s="1" t="b">
        <f>BaseAtk&gt;=5</f>
        <v>0</v>
      </c>
      <c r="DW623" s="1" t="b">
        <f>AlignmentNeutral</f>
        <v>0</v>
      </c>
      <c r="DX623" s="1" t="b">
        <f>Region="Mantis Clan"</f>
        <v>0</v>
      </c>
      <c r="DY623" s="1" t="b">
        <f>Subtype="Human"</f>
        <v>0</v>
      </c>
      <c r="DZ623" s="1" t="b">
        <f t="shared" si="554"/>
        <v>1</v>
      </c>
      <c r="EA623" s="1" t="b">
        <f t="shared" si="560"/>
        <v>0</v>
      </c>
      <c r="EB623" s="11" t="s">
        <v>334</v>
      </c>
      <c r="EC623" s="1" t="str">
        <f>IF(DY623,"","• Human.
")&amp;IF(DX623,"","• Member of the Mantis clan.
")&amp;IF(DW623,"","• Any Neutral alignment.
")&amp;IF(DV623,"","• Base Attack Bonus +5.
")&amp;IF(DU623,"","• Dodge feat.
")&amp;IF(DT623,"","• Weapon Focus in any of the following weapons: Chijiriki, Jitte, Kama, Kusari-Gama, Manriki-Gusari, Nunchaku, Sai, Shikomi-Zue, Siangham, Tonfa.
")&amp;IF(DZ623,"","• Not available in Living Greyhawk.")</f>
        <v xml:space="preserve">• Human.
• Member of the Mantis clan.
• Any Neutral alignment.
• Base Attack Bonus +5.
• Dodge feat.
• Weapon Focus in any of the following weapons: Chijiriki, Jitte, Kama, Kusari-Gama, Manriki-Gusari, Nunchaku, Sai, Shikomi-Zue, Siangham, Tonfa.
</v>
      </c>
      <c r="ED623" s="11" t="s">
        <v>335</v>
      </c>
    </row>
    <row r="624" spans="1:134" ht="11.25" customHeight="1" x14ac:dyDescent="0.2">
      <c r="A624" s="1">
        <f t="shared" si="535"/>
        <v>621</v>
      </c>
      <c r="B624" s="1" t="s">
        <v>1475</v>
      </c>
      <c r="C624" s="1" t="s">
        <v>1476</v>
      </c>
      <c r="D624" s="1" t="s">
        <v>1476</v>
      </c>
      <c r="E624" s="1">
        <f t="shared" si="517"/>
        <v>0</v>
      </c>
      <c r="K624" s="1">
        <v>2</v>
      </c>
      <c r="L624" s="1">
        <v>10</v>
      </c>
      <c r="V624" s="1">
        <v>1</v>
      </c>
      <c r="W624" s="1">
        <v>0.5</v>
      </c>
      <c r="X624" s="1">
        <v>0.34</v>
      </c>
      <c r="Y624" s="1">
        <v>0.5</v>
      </c>
      <c r="Z624" s="1" t="b">
        <v>0</v>
      </c>
      <c r="AA624" s="1" t="str">
        <f t="shared" si="520"/>
        <v/>
      </c>
      <c r="AB624" s="1" t="str">
        <f t="shared" si="521"/>
        <v/>
      </c>
      <c r="AC624" s="1">
        <f t="shared" si="518"/>
        <v>0</v>
      </c>
      <c r="AD624" s="1" t="str">
        <f t="shared" si="522"/>
        <v/>
      </c>
      <c r="AE624" s="1" t="str">
        <f t="shared" si="523"/>
        <v/>
      </c>
      <c r="AF624" s="1">
        <f t="shared" si="519"/>
        <v>0</v>
      </c>
      <c r="AG624" s="1">
        <f t="shared" si="546"/>
        <v>5</v>
      </c>
      <c r="AH624" s="1" t="str">
        <f t="shared" si="545"/>
        <v/>
      </c>
      <c r="AI624" s="1">
        <v>1</v>
      </c>
      <c r="AJ624" s="1">
        <f t="shared" si="556"/>
        <v>0</v>
      </c>
      <c r="AK624" s="1">
        <v>2</v>
      </c>
      <c r="AL624" s="1">
        <v>1</v>
      </c>
      <c r="AM624" s="1">
        <v>2</v>
      </c>
      <c r="AN624" s="1">
        <f t="shared" si="557"/>
        <v>0</v>
      </c>
      <c r="AO624" s="1">
        <v>2</v>
      </c>
      <c r="AP624" s="1">
        <v>2</v>
      </c>
      <c r="AQ624" s="1">
        <v>2</v>
      </c>
      <c r="AR624" s="1">
        <v>2</v>
      </c>
      <c r="AS624" s="1">
        <v>2</v>
      </c>
      <c r="AT624" s="1">
        <v>2</v>
      </c>
      <c r="AU624" s="1">
        <v>2</v>
      </c>
      <c r="AV624" s="1">
        <v>2</v>
      </c>
      <c r="AW624" s="1">
        <v>1</v>
      </c>
      <c r="AX624" s="1">
        <v>2</v>
      </c>
      <c r="AY624" s="1">
        <v>1</v>
      </c>
      <c r="AZ624" s="1">
        <v>1</v>
      </c>
      <c r="BA624" s="1">
        <v>1</v>
      </c>
      <c r="BB624" s="1">
        <v>1</v>
      </c>
      <c r="BC624" s="1">
        <v>1</v>
      </c>
      <c r="BD624" s="1">
        <v>1</v>
      </c>
      <c r="BE624" s="1">
        <v>1</v>
      </c>
      <c r="BF624" s="1">
        <v>1</v>
      </c>
      <c r="BG624" s="1">
        <f t="shared" si="558"/>
        <v>0</v>
      </c>
      <c r="BH624" s="1">
        <v>2</v>
      </c>
      <c r="BI624" s="1">
        <v>2</v>
      </c>
      <c r="BJ624" s="1">
        <v>2</v>
      </c>
      <c r="BK624" s="1">
        <v>2</v>
      </c>
      <c r="BL624" s="1">
        <v>1</v>
      </c>
      <c r="BM624" s="1">
        <v>1</v>
      </c>
      <c r="BN624" s="1">
        <v>1</v>
      </c>
      <c r="BO624" s="1">
        <v>1</v>
      </c>
      <c r="BP624" s="1">
        <v>1</v>
      </c>
      <c r="BQ624" s="1">
        <f t="shared" si="559"/>
        <v>0</v>
      </c>
      <c r="BR624" s="1">
        <v>1</v>
      </c>
      <c r="BS624" s="1">
        <v>1</v>
      </c>
      <c r="BT624" s="1">
        <f t="shared" si="550"/>
        <v>0</v>
      </c>
      <c r="BU624" s="1">
        <f t="shared" si="551"/>
        <v>0</v>
      </c>
      <c r="BV624" s="1">
        <v>1</v>
      </c>
      <c r="BW624" s="1">
        <v>1</v>
      </c>
      <c r="BX624" s="1">
        <v>1</v>
      </c>
      <c r="BY624" s="1">
        <v>1</v>
      </c>
      <c r="BZ624" s="1">
        <v>1</v>
      </c>
      <c r="CA624" s="1">
        <v>1</v>
      </c>
      <c r="CB624" s="1">
        <v>1</v>
      </c>
      <c r="CC624" s="1">
        <v>1</v>
      </c>
      <c r="CD624" s="1">
        <v>1</v>
      </c>
      <c r="CE624" s="1">
        <v>1</v>
      </c>
      <c r="CF624" s="1">
        <v>1</v>
      </c>
      <c r="CG624" s="1">
        <f t="shared" si="552"/>
        <v>0</v>
      </c>
      <c r="CH624" s="1">
        <v>1</v>
      </c>
      <c r="CI624" s="1">
        <v>1</v>
      </c>
      <c r="CJ624" s="1">
        <v>2</v>
      </c>
      <c r="CK624" s="1">
        <v>2</v>
      </c>
      <c r="CL624" s="1">
        <v>2</v>
      </c>
      <c r="CM624" s="1">
        <v>2</v>
      </c>
      <c r="CN624" s="1">
        <v>2</v>
      </c>
      <c r="CO624" s="1">
        <v>2</v>
      </c>
      <c r="CP624" s="1">
        <v>2</v>
      </c>
      <c r="CQ624" s="1">
        <v>2</v>
      </c>
      <c r="CR624" s="1">
        <v>2</v>
      </c>
      <c r="CS624" s="1">
        <v>2</v>
      </c>
      <c r="CT624" s="1">
        <v>2</v>
      </c>
      <c r="CU624" s="1">
        <v>2</v>
      </c>
      <c r="CV624" s="1">
        <f t="shared" si="541"/>
        <v>0</v>
      </c>
      <c r="CW624" s="1">
        <v>2</v>
      </c>
      <c r="CX624" s="1">
        <v>1</v>
      </c>
      <c r="CY624" s="1">
        <v>2</v>
      </c>
      <c r="CZ624" s="1">
        <f t="shared" si="553"/>
        <v>0</v>
      </c>
      <c r="DA624" s="1">
        <v>1</v>
      </c>
      <c r="DB624" s="1">
        <v>1</v>
      </c>
      <c r="DC624" s="1">
        <v>1</v>
      </c>
      <c r="DD624" s="1">
        <v>1</v>
      </c>
      <c r="DE624" s="1">
        <v>1</v>
      </c>
      <c r="DF624" s="1">
        <v>2</v>
      </c>
      <c r="DG624" s="1">
        <v>1</v>
      </c>
      <c r="DH624" s="1">
        <v>1</v>
      </c>
      <c r="DI624" s="1">
        <f t="shared" si="543"/>
        <v>0</v>
      </c>
      <c r="DJ624" s="1">
        <v>1</v>
      </c>
      <c r="DK624" s="1" t="s">
        <v>250</v>
      </c>
      <c r="DL624" s="1" t="s">
        <v>170</v>
      </c>
      <c r="DS624" s="1" t="b">
        <f>FtTwoWeaponFighting</f>
        <v>0</v>
      </c>
      <c r="DT624" s="1" t="b">
        <f>FtCombatExpertise</f>
        <v>0</v>
      </c>
      <c r="DU624" s="1" t="b">
        <f>NOT(ISNA(MATCH("Katana",TblExoticFeats,0)))</f>
        <v>0</v>
      </c>
      <c r="DV624" s="1" t="b">
        <f>SkKnowledgeArcanaRanks&gt;=3</f>
        <v>0</v>
      </c>
      <c r="DW624" s="1" t="b">
        <f>BaseAtk&gt;=5</f>
        <v>0</v>
      </c>
      <c r="DX624" s="1" t="b">
        <f>Region="Dragon Clan"</f>
        <v>0</v>
      </c>
      <c r="DY624" s="1" t="b">
        <f>Subtype="Human"</f>
        <v>0</v>
      </c>
      <c r="DZ624" s="1" t="b">
        <f t="shared" si="554"/>
        <v>1</v>
      </c>
      <c r="EA624" s="1" t="b">
        <f t="shared" si="560"/>
        <v>0</v>
      </c>
      <c r="EB624" s="11" t="s">
        <v>334</v>
      </c>
      <c r="EC624" s="1" t="str">
        <f>IF(DY624,"","• Human.
")&amp;IF(DX624,"","• Member of the Dragon Clan.
")&amp;IF(DW624,"","• Base Attack Bonus +5.
")&amp;IF(DV624,"","• 3 ranks in Knowledge (arcana).
")&amp;IF(DU624,"","• Exotic Weapon Proficiency (Katana).
")&amp;IF(DT624,"","• Combat Expertise feat.
")&amp;IF(DS624,"","• Two Weapon Fighting feat.
")&amp;IF(DZ624,"","• Not available in Living Greyhawk.")</f>
        <v xml:space="preserve">• Human.
• Member of the Dragon Clan.
• Base Attack Bonus +5.
• 3 ranks in Knowledge (arcana).
• Exotic Weapon Proficiency (Katana).
• Combat Expertise feat.
• Two Weapon Fighting feat.
</v>
      </c>
      <c r="ED624" s="11" t="s">
        <v>335</v>
      </c>
    </row>
    <row r="625" spans="1:134" ht="11.25" customHeight="1" x14ac:dyDescent="0.2">
      <c r="A625" s="1">
        <f t="shared" si="535"/>
        <v>622</v>
      </c>
      <c r="B625" s="1" t="s">
        <v>1477</v>
      </c>
      <c r="C625" s="1" t="s">
        <v>1478</v>
      </c>
      <c r="D625" s="1" t="s">
        <v>1478</v>
      </c>
      <c r="E625" s="1">
        <f t="shared" si="517"/>
        <v>0</v>
      </c>
      <c r="K625" s="1">
        <v>4</v>
      </c>
      <c r="L625" s="1">
        <v>10</v>
      </c>
      <c r="N625" s="1" t="b">
        <v>1</v>
      </c>
      <c r="O625" s="1" t="b">
        <v>1</v>
      </c>
      <c r="S625" s="1" t="b">
        <v>1</v>
      </c>
      <c r="T625" s="1" t="b">
        <v>1</v>
      </c>
      <c r="V625" s="1">
        <v>1</v>
      </c>
      <c r="W625" s="1">
        <v>0.5</v>
      </c>
      <c r="X625" s="1">
        <v>0.34</v>
      </c>
      <c r="Y625" s="1">
        <v>0.34</v>
      </c>
      <c r="Z625" s="1" t="b">
        <v>0</v>
      </c>
      <c r="AA625" s="1" t="str">
        <f t="shared" si="520"/>
        <v/>
      </c>
      <c r="AB625" s="1" t="str">
        <f t="shared" si="521"/>
        <v/>
      </c>
      <c r="AC625" s="1">
        <f t="shared" si="518"/>
        <v>0</v>
      </c>
      <c r="AD625" s="1" t="str">
        <f t="shared" si="522"/>
        <v/>
      </c>
      <c r="AE625" s="1" t="str">
        <f t="shared" si="523"/>
        <v/>
      </c>
      <c r="AF625" s="1">
        <f t="shared" si="519"/>
        <v>0</v>
      </c>
      <c r="AG625" s="1">
        <f t="shared" si="546"/>
        <v>5</v>
      </c>
      <c r="AH625" s="1" t="str">
        <f t="shared" si="545"/>
        <v/>
      </c>
      <c r="AI625" s="1">
        <v>1</v>
      </c>
      <c r="AJ625" s="1">
        <f t="shared" si="556"/>
        <v>0</v>
      </c>
      <c r="AK625" s="1">
        <v>1</v>
      </c>
      <c r="AL625" s="1">
        <v>1</v>
      </c>
      <c r="AM625" s="1">
        <v>2</v>
      </c>
      <c r="AN625" s="1">
        <f t="shared" si="557"/>
        <v>0</v>
      </c>
      <c r="AO625" s="1">
        <v>1</v>
      </c>
      <c r="AP625" s="1">
        <v>2</v>
      </c>
      <c r="AQ625" s="1">
        <v>2</v>
      </c>
      <c r="AR625" s="1">
        <v>2</v>
      </c>
      <c r="AS625" s="1">
        <v>2</v>
      </c>
      <c r="AT625" s="1">
        <v>2</v>
      </c>
      <c r="AU625" s="1">
        <v>2</v>
      </c>
      <c r="AV625" s="1">
        <v>2</v>
      </c>
      <c r="AW625" s="1">
        <v>1</v>
      </c>
      <c r="AX625" s="1">
        <v>1</v>
      </c>
      <c r="AY625" s="1">
        <v>1</v>
      </c>
      <c r="AZ625" s="1">
        <v>1</v>
      </c>
      <c r="BA625" s="1">
        <v>1</v>
      </c>
      <c r="BB625" s="1">
        <v>1</v>
      </c>
      <c r="BC625" s="1">
        <v>1</v>
      </c>
      <c r="BD625" s="1">
        <v>2</v>
      </c>
      <c r="BE625" s="1">
        <v>1</v>
      </c>
      <c r="BF625" s="1">
        <v>1</v>
      </c>
      <c r="BG625" s="1">
        <f t="shared" si="558"/>
        <v>0</v>
      </c>
      <c r="BH625" s="1">
        <v>1</v>
      </c>
      <c r="BI625" s="1">
        <v>2</v>
      </c>
      <c r="BJ625" s="1">
        <v>2</v>
      </c>
      <c r="BK625" s="1">
        <v>1</v>
      </c>
      <c r="BL625" s="1">
        <v>1</v>
      </c>
      <c r="BM625" s="1">
        <v>1</v>
      </c>
      <c r="BN625" s="1">
        <v>1</v>
      </c>
      <c r="BO625" s="1">
        <v>1</v>
      </c>
      <c r="BP625" s="1">
        <v>1</v>
      </c>
      <c r="BQ625" s="1">
        <f t="shared" si="559"/>
        <v>0</v>
      </c>
      <c r="BR625" s="1">
        <v>1</v>
      </c>
      <c r="BS625" s="1">
        <v>1</v>
      </c>
      <c r="BT625" s="1">
        <f t="shared" si="550"/>
        <v>0</v>
      </c>
      <c r="BU625" s="1">
        <f t="shared" si="551"/>
        <v>0</v>
      </c>
      <c r="BV625" s="1">
        <v>1</v>
      </c>
      <c r="BW625" s="1">
        <v>1</v>
      </c>
      <c r="BX625" s="1">
        <v>1</v>
      </c>
      <c r="BY625" s="1">
        <v>1</v>
      </c>
      <c r="BZ625" s="1">
        <v>1</v>
      </c>
      <c r="CA625" s="1">
        <v>1</v>
      </c>
      <c r="CB625" s="1">
        <v>1</v>
      </c>
      <c r="CC625" s="1">
        <v>1</v>
      </c>
      <c r="CD625" s="1">
        <v>1</v>
      </c>
      <c r="CE625" s="1">
        <v>1</v>
      </c>
      <c r="CF625" s="1">
        <v>1</v>
      </c>
      <c r="CG625" s="1">
        <f t="shared" si="552"/>
        <v>0</v>
      </c>
      <c r="CH625" s="1">
        <v>1</v>
      </c>
      <c r="CI625" s="1">
        <v>1</v>
      </c>
      <c r="CJ625" s="1">
        <v>1</v>
      </c>
      <c r="CK625" s="1">
        <v>1</v>
      </c>
      <c r="CL625" s="1">
        <v>1</v>
      </c>
      <c r="CM625" s="1">
        <v>1</v>
      </c>
      <c r="CN625" s="1">
        <v>1</v>
      </c>
      <c r="CO625" s="1">
        <v>1</v>
      </c>
      <c r="CP625" s="1">
        <v>2</v>
      </c>
      <c r="CQ625" s="1">
        <v>2</v>
      </c>
      <c r="CR625" s="1">
        <v>2</v>
      </c>
      <c r="CS625" s="1">
        <v>2</v>
      </c>
      <c r="CT625" s="1">
        <v>2</v>
      </c>
      <c r="CU625" s="1">
        <v>2</v>
      </c>
      <c r="CV625" s="1">
        <f t="shared" si="541"/>
        <v>0</v>
      </c>
      <c r="CW625" s="1">
        <v>2</v>
      </c>
      <c r="CX625" s="1">
        <v>1</v>
      </c>
      <c r="CY625" s="1">
        <v>2</v>
      </c>
      <c r="CZ625" s="1">
        <f t="shared" si="553"/>
        <v>0</v>
      </c>
      <c r="DA625" s="1">
        <v>1</v>
      </c>
      <c r="DB625" s="1">
        <v>1</v>
      </c>
      <c r="DC625" s="1">
        <v>2</v>
      </c>
      <c r="DD625" s="1">
        <v>1</v>
      </c>
      <c r="DE625" s="1">
        <v>1</v>
      </c>
      <c r="DF625" s="1">
        <v>2</v>
      </c>
      <c r="DG625" s="1">
        <v>1</v>
      </c>
      <c r="DH625" s="1">
        <v>1</v>
      </c>
      <c r="DI625" s="1">
        <f t="shared" si="543"/>
        <v>0</v>
      </c>
      <c r="DJ625" s="1">
        <v>1</v>
      </c>
      <c r="DK625" s="1" t="s">
        <v>250</v>
      </c>
      <c r="DL625" s="1" t="s">
        <v>170</v>
      </c>
      <c r="DR625" s="1" t="b">
        <f>FtTrample</f>
        <v>0</v>
      </c>
      <c r="DS625" s="1" t="b">
        <f>FtSpiritedCharge</f>
        <v>0</v>
      </c>
      <c r="DT625" s="1" t="b">
        <f>FtMountedCombat</f>
        <v>0</v>
      </c>
      <c r="DU625" s="1" t="b">
        <f>SkRideRanks&gt;=8</f>
        <v>0</v>
      </c>
      <c r="DV625" s="1" t="b">
        <f>BaseAtk&gt;=5</f>
        <v>0</v>
      </c>
      <c r="DW625" s="1" t="b">
        <f>AlignmentGood</f>
        <v>1</v>
      </c>
      <c r="DX625" s="1" t="b">
        <f>Region="Unicorn Clan"</f>
        <v>0</v>
      </c>
      <c r="DY625" s="1" t="b">
        <f>Subtype="Human"</f>
        <v>0</v>
      </c>
      <c r="DZ625" s="1" t="b">
        <f t="shared" si="554"/>
        <v>1</v>
      </c>
      <c r="EA625" s="1" t="b">
        <f t="shared" si="560"/>
        <v>0</v>
      </c>
      <c r="EB625" s="11" t="s">
        <v>334</v>
      </c>
      <c r="EC625" s="1" t="str">
        <f>IF(DY625,"","• Human.
")&amp;IF(DX625,"","• Member of the Unicorn Clan
")&amp;IF(DW625,"","• Good alignment.
")&amp;IF(DV625,"","• Base Attack Bonus +5
")&amp;IF(DU625,"","• 8 ranks in Ride.
")&amp;IF(DT625,"","• Mounted Combat feat.
")&amp;IF(DS625,"","• Spirited Charge feat.
")&amp;IF(DR625,"","• Trample feat.
")&amp;IF(DZ625,"","• Not available in Living Greyhawk.")</f>
        <v xml:space="preserve">• Human.
• Member of the Unicorn Clan
• Base Attack Bonus +5
• 8 ranks in Ride.
• Mounted Combat feat.
• Spirited Charge feat.
• Trample feat.
</v>
      </c>
      <c r="ED625" s="11" t="s">
        <v>335</v>
      </c>
    </row>
    <row r="626" spans="1:134" ht="11.25" customHeight="1" x14ac:dyDescent="0.2">
      <c r="A626" s="1">
        <f t="shared" si="535"/>
        <v>623</v>
      </c>
      <c r="B626" s="1" t="s">
        <v>1479</v>
      </c>
      <c r="C626" s="1" t="s">
        <v>1480</v>
      </c>
      <c r="D626" s="1" t="s">
        <v>1480</v>
      </c>
      <c r="E626" s="1">
        <f t="shared" si="517"/>
        <v>0</v>
      </c>
      <c r="K626" s="1">
        <v>6</v>
      </c>
      <c r="L626" s="1">
        <v>6</v>
      </c>
      <c r="V626" s="1">
        <v>0.75</v>
      </c>
      <c r="W626" s="1">
        <v>0.5</v>
      </c>
      <c r="X626" s="1">
        <v>0.5</v>
      </c>
      <c r="Y626" s="1">
        <v>0.5</v>
      </c>
      <c r="Z626" s="1" t="b">
        <v>0</v>
      </c>
      <c r="AA626" s="1" t="str">
        <f t="shared" si="520"/>
        <v/>
      </c>
      <c r="AB626" s="1" t="str">
        <f t="shared" si="521"/>
        <v/>
      </c>
      <c r="AC626" s="1">
        <f t="shared" si="518"/>
        <v>0</v>
      </c>
      <c r="AD626" s="1" t="str">
        <f t="shared" si="522"/>
        <v/>
      </c>
      <c r="AE626" s="1" t="str">
        <f t="shared" si="523"/>
        <v/>
      </c>
      <c r="AF626" s="1">
        <f t="shared" si="519"/>
        <v>0</v>
      </c>
      <c r="AG626" s="1">
        <f t="shared" si="546"/>
        <v>5</v>
      </c>
      <c r="AH626" s="1" t="str">
        <f t="shared" si="545"/>
        <v/>
      </c>
      <c r="AI626" s="1">
        <v>1</v>
      </c>
      <c r="AJ626" s="1">
        <f t="shared" si="556"/>
        <v>0</v>
      </c>
      <c r="AK626" s="1">
        <v>2</v>
      </c>
      <c r="AL626" s="1">
        <v>2</v>
      </c>
      <c r="AM626" s="1">
        <v>2</v>
      </c>
      <c r="AN626" s="1">
        <f t="shared" si="557"/>
        <v>0</v>
      </c>
      <c r="AO626" s="1">
        <v>1</v>
      </c>
      <c r="AP626" s="1">
        <v>1</v>
      </c>
      <c r="AQ626" s="1">
        <v>1</v>
      </c>
      <c r="AR626" s="1">
        <v>1</v>
      </c>
      <c r="AS626" s="1">
        <v>1</v>
      </c>
      <c r="AT626" s="1">
        <v>1</v>
      </c>
      <c r="AU626" s="1">
        <v>1</v>
      </c>
      <c r="AV626" s="1">
        <v>1</v>
      </c>
      <c r="AW626" s="1">
        <v>1</v>
      </c>
      <c r="AX626" s="1">
        <v>2</v>
      </c>
      <c r="AY626" s="1">
        <v>2</v>
      </c>
      <c r="AZ626" s="1">
        <v>2</v>
      </c>
      <c r="BA626" s="1">
        <v>2</v>
      </c>
      <c r="BB626" s="1">
        <v>1</v>
      </c>
      <c r="BC626" s="1">
        <v>2</v>
      </c>
      <c r="BD626" s="1">
        <v>1</v>
      </c>
      <c r="BE626" s="1">
        <v>1</v>
      </c>
      <c r="BF626" s="1">
        <v>2</v>
      </c>
      <c r="BG626" s="1">
        <f t="shared" si="558"/>
        <v>0</v>
      </c>
      <c r="BH626" s="1">
        <v>1</v>
      </c>
      <c r="BI626" s="1">
        <v>2</v>
      </c>
      <c r="BJ626" s="1">
        <v>2</v>
      </c>
      <c r="BK626" s="1">
        <v>1</v>
      </c>
      <c r="BL626" s="1">
        <v>1</v>
      </c>
      <c r="BM626" s="1">
        <v>1</v>
      </c>
      <c r="BN626" s="1">
        <v>1</v>
      </c>
      <c r="BO626" s="1">
        <v>1</v>
      </c>
      <c r="BP626" s="1">
        <v>1</v>
      </c>
      <c r="BQ626" s="1">
        <f t="shared" si="559"/>
        <v>0</v>
      </c>
      <c r="BR626" s="1">
        <v>1</v>
      </c>
      <c r="BS626" s="1">
        <v>1</v>
      </c>
      <c r="BT626" s="1">
        <f t="shared" si="550"/>
        <v>0</v>
      </c>
      <c r="BU626" s="1">
        <f t="shared" si="551"/>
        <v>0</v>
      </c>
      <c r="BV626" s="1">
        <v>1</v>
      </c>
      <c r="BW626" s="1">
        <v>1</v>
      </c>
      <c r="BX626" s="1">
        <v>1</v>
      </c>
      <c r="BY626" s="1">
        <v>1</v>
      </c>
      <c r="BZ626" s="1">
        <v>1</v>
      </c>
      <c r="CA626" s="1">
        <v>1</v>
      </c>
      <c r="CB626" s="1">
        <v>1</v>
      </c>
      <c r="CC626" s="1">
        <v>1</v>
      </c>
      <c r="CD626" s="1">
        <v>1</v>
      </c>
      <c r="CE626" s="1">
        <v>1</v>
      </c>
      <c r="CF626" s="1">
        <v>2</v>
      </c>
      <c r="CG626" s="1">
        <f t="shared" si="552"/>
        <v>0</v>
      </c>
      <c r="CH626" s="1">
        <v>2</v>
      </c>
      <c r="CI626" s="1">
        <v>2</v>
      </c>
      <c r="CJ626" s="1">
        <v>1</v>
      </c>
      <c r="CK626" s="1">
        <v>1</v>
      </c>
      <c r="CL626" s="1">
        <v>1</v>
      </c>
      <c r="CM626" s="1">
        <v>1</v>
      </c>
      <c r="CN626" s="1">
        <v>1</v>
      </c>
      <c r="CO626" s="1">
        <v>1</v>
      </c>
      <c r="CP626" s="1">
        <v>1</v>
      </c>
      <c r="CQ626" s="1">
        <v>1</v>
      </c>
      <c r="CR626" s="1">
        <v>1</v>
      </c>
      <c r="CS626" s="1">
        <v>1</v>
      </c>
      <c r="CT626" s="1">
        <v>1</v>
      </c>
      <c r="CU626" s="1">
        <v>1</v>
      </c>
      <c r="CV626" s="1">
        <f t="shared" si="541"/>
        <v>0</v>
      </c>
      <c r="CW626" s="1">
        <v>1</v>
      </c>
      <c r="CX626" s="1">
        <v>1</v>
      </c>
      <c r="CY626" s="1">
        <v>2</v>
      </c>
      <c r="CZ626" s="1">
        <f t="shared" si="553"/>
        <v>0</v>
      </c>
      <c r="DA626" s="1">
        <v>2</v>
      </c>
      <c r="DB626" s="1">
        <v>1</v>
      </c>
      <c r="DC626" s="1">
        <v>1</v>
      </c>
      <c r="DD626" s="1">
        <v>2</v>
      </c>
      <c r="DE626" s="1">
        <v>1</v>
      </c>
      <c r="DF626" s="1">
        <v>1</v>
      </c>
      <c r="DG626" s="1">
        <v>2</v>
      </c>
      <c r="DH626" s="1">
        <v>1</v>
      </c>
      <c r="DI626" s="1">
        <f t="shared" si="543"/>
        <v>0</v>
      </c>
      <c r="DJ626" s="1">
        <v>1</v>
      </c>
      <c r="DK626" s="1" t="s">
        <v>250</v>
      </c>
      <c r="DL626" s="1" t="s">
        <v>170</v>
      </c>
      <c r="DS626" s="1" t="b">
        <f>hasEvasion</f>
        <v>0</v>
      </c>
      <c r="DT626" s="1" t="b">
        <f>FtDodgeEquiv</f>
        <v>0</v>
      </c>
      <c r="DU626" s="1" t="b">
        <f>SkTumbleRanks&gt;=7</f>
        <v>0</v>
      </c>
      <c r="DV626" s="1" t="b">
        <f>SkHideRanks&gt;=7</f>
        <v>0</v>
      </c>
      <c r="DW626" s="1" t="b">
        <f>SkDisguiseRanks&gt;=7</f>
        <v>0</v>
      </c>
      <c r="DX626" s="1" t="b">
        <f>SkBluffRanks&gt;=10</f>
        <v>0</v>
      </c>
      <c r="DY626" s="1" t="b">
        <f>AND(AlignmentNonGood,AlignmentNonChaotic)</f>
        <v>0</v>
      </c>
      <c r="DZ626" s="1" t="b">
        <f t="shared" si="554"/>
        <v>1</v>
      </c>
      <c r="EA626" s="1" t="b">
        <f t="shared" si="560"/>
        <v>0</v>
      </c>
      <c r="EB626" s="11" t="s">
        <v>334</v>
      </c>
      <c r="EC626" s="1" t="str">
        <f>IF(DY626,"","• Nongood, nonchaotic alignment.
")&amp;IF(DX626,"","• 10 ranks in Bluff.
")&amp;IF(DW626,"","• 7 ranks in Disguise.
")&amp;IF(DV626,"","• 7 ranks in Hide.
")&amp;IF(DU626,"","• 7 ranks in Tumble.
")&amp;IF(DT626,"","• Dodge feat.
")&amp;IF(DS626,"","• Evasion class feature.
")&amp;IF(DZ626,"","• Not available in Living Greyhawk.")</f>
        <v xml:space="preserve">• Nongood, nonchaotic alignment.
• 10 ranks in Bluff.
• 7 ranks in Disguise.
• 7 ranks in Hide.
• 7 ranks in Tumble.
• Dodge feat.
• Evasion class feature.
</v>
      </c>
      <c r="ED626" s="11" t="s">
        <v>335</v>
      </c>
    </row>
    <row r="627" spans="1:134" ht="11.25" customHeight="1" x14ac:dyDescent="0.2">
      <c r="A627" s="1">
        <f t="shared" si="535"/>
        <v>624</v>
      </c>
      <c r="B627" s="1" t="s">
        <v>1481</v>
      </c>
      <c r="C627" s="1" t="s">
        <v>1482</v>
      </c>
      <c r="D627" s="1" t="s">
        <v>1482</v>
      </c>
      <c r="E627" s="1">
        <f t="shared" si="517"/>
        <v>0</v>
      </c>
      <c r="K627" s="1">
        <v>4</v>
      </c>
      <c r="L627" s="1">
        <v>10</v>
      </c>
      <c r="N627" s="1" t="b">
        <v>1</v>
      </c>
      <c r="S627" s="1" t="b">
        <v>1</v>
      </c>
      <c r="T627" s="1" t="b">
        <v>1</v>
      </c>
      <c r="V627" s="1">
        <v>1</v>
      </c>
      <c r="W627" s="1">
        <v>0.5</v>
      </c>
      <c r="X627" s="1">
        <v>0.34</v>
      </c>
      <c r="Y627" s="1">
        <v>0.34</v>
      </c>
      <c r="Z627" s="1" t="b">
        <v>0</v>
      </c>
      <c r="AA627" s="1" t="str">
        <f t="shared" si="520"/>
        <v/>
      </c>
      <c r="AB627" s="1" t="str">
        <f t="shared" si="521"/>
        <v/>
      </c>
      <c r="AC627" s="1">
        <f t="shared" si="518"/>
        <v>0</v>
      </c>
      <c r="AD627" s="1" t="str">
        <f t="shared" si="522"/>
        <v/>
      </c>
      <c r="AE627" s="1" t="str">
        <f t="shared" si="523"/>
        <v/>
      </c>
      <c r="AF627" s="1">
        <f t="shared" si="519"/>
        <v>0</v>
      </c>
      <c r="AG627" s="1">
        <f t="shared" si="546"/>
        <v>5</v>
      </c>
      <c r="AH627" s="1" t="str">
        <f t="shared" si="545"/>
        <v/>
      </c>
      <c r="AI627" s="1">
        <v>1</v>
      </c>
      <c r="AJ627" s="1">
        <f t="shared" si="556"/>
        <v>0</v>
      </c>
      <c r="AK627" s="1">
        <v>1</v>
      </c>
      <c r="AL627" s="1">
        <v>1</v>
      </c>
      <c r="AM627" s="1">
        <v>2</v>
      </c>
      <c r="AN627" s="1">
        <f t="shared" si="557"/>
        <v>0</v>
      </c>
      <c r="AO627" s="1">
        <v>1</v>
      </c>
      <c r="AP627" s="1">
        <v>2</v>
      </c>
      <c r="AQ627" s="1">
        <v>2</v>
      </c>
      <c r="AR627" s="1">
        <v>2</v>
      </c>
      <c r="AS627" s="1">
        <v>2</v>
      </c>
      <c r="AT627" s="1">
        <v>2</v>
      </c>
      <c r="AU627" s="1">
        <v>2</v>
      </c>
      <c r="AV627" s="1">
        <v>2</v>
      </c>
      <c r="AW627" s="1">
        <v>1</v>
      </c>
      <c r="AX627" s="1">
        <v>1</v>
      </c>
      <c r="AY627" s="1">
        <v>1</v>
      </c>
      <c r="AZ627" s="1">
        <v>1</v>
      </c>
      <c r="BA627" s="1">
        <v>1</v>
      </c>
      <c r="BB627" s="1">
        <v>1</v>
      </c>
      <c r="BC627" s="1">
        <v>1</v>
      </c>
      <c r="BD627" s="1">
        <v>1</v>
      </c>
      <c r="BE627" s="1">
        <v>1</v>
      </c>
      <c r="BF627" s="1">
        <v>2</v>
      </c>
      <c r="BG627" s="1">
        <f t="shared" si="558"/>
        <v>0</v>
      </c>
      <c r="BH627" s="1">
        <v>1</v>
      </c>
      <c r="BI627" s="1">
        <v>1</v>
      </c>
      <c r="BJ627" s="1">
        <v>2</v>
      </c>
      <c r="BK627" s="1">
        <v>1</v>
      </c>
      <c r="BL627" s="1">
        <v>1</v>
      </c>
      <c r="BM627" s="1">
        <v>1</v>
      </c>
      <c r="BN627" s="1">
        <v>1</v>
      </c>
      <c r="BO627" s="1">
        <v>1</v>
      </c>
      <c r="BP627" s="1">
        <v>1</v>
      </c>
      <c r="BQ627" s="1">
        <f t="shared" si="559"/>
        <v>0</v>
      </c>
      <c r="BR627" s="1">
        <v>2</v>
      </c>
      <c r="BS627" s="1">
        <v>1</v>
      </c>
      <c r="BT627" s="1">
        <f t="shared" si="550"/>
        <v>0</v>
      </c>
      <c r="BU627" s="1">
        <f t="shared" si="551"/>
        <v>0</v>
      </c>
      <c r="BV627" s="1">
        <v>1</v>
      </c>
      <c r="BW627" s="1">
        <v>1</v>
      </c>
      <c r="BX627" s="1">
        <f t="shared" ref="BX627:CE627" si="562">IF(LOWER(BX9)="knowledge (shadowlands)",2,1)</f>
        <v>1</v>
      </c>
      <c r="BY627" s="1">
        <f t="shared" si="562"/>
        <v>1</v>
      </c>
      <c r="BZ627" s="1">
        <f t="shared" si="562"/>
        <v>1</v>
      </c>
      <c r="CA627" s="1">
        <f t="shared" si="562"/>
        <v>1</v>
      </c>
      <c r="CB627" s="1">
        <f t="shared" si="562"/>
        <v>1</v>
      </c>
      <c r="CC627" s="1">
        <f t="shared" si="562"/>
        <v>1</v>
      </c>
      <c r="CD627" s="1">
        <f t="shared" si="562"/>
        <v>1</v>
      </c>
      <c r="CE627" s="1">
        <f t="shared" si="562"/>
        <v>1</v>
      </c>
      <c r="CF627" s="1">
        <v>2</v>
      </c>
      <c r="CG627" s="1">
        <f t="shared" si="552"/>
        <v>0</v>
      </c>
      <c r="CH627" s="1">
        <v>2</v>
      </c>
      <c r="CI627" s="1">
        <v>1</v>
      </c>
      <c r="CJ627" s="1">
        <v>1</v>
      </c>
      <c r="CK627" s="1">
        <v>1</v>
      </c>
      <c r="CL627" s="1">
        <v>1</v>
      </c>
      <c r="CM627" s="1">
        <v>1</v>
      </c>
      <c r="CN627" s="1">
        <v>1</v>
      </c>
      <c r="CO627" s="1">
        <v>1</v>
      </c>
      <c r="CP627" s="1">
        <v>2</v>
      </c>
      <c r="CQ627" s="1">
        <v>2</v>
      </c>
      <c r="CR627" s="1">
        <v>2</v>
      </c>
      <c r="CS627" s="1">
        <v>2</v>
      </c>
      <c r="CT627" s="1">
        <v>2</v>
      </c>
      <c r="CU627" s="1">
        <v>2</v>
      </c>
      <c r="CV627" s="1">
        <f t="shared" si="541"/>
        <v>0</v>
      </c>
      <c r="CW627" s="1">
        <v>2</v>
      </c>
      <c r="CX627" s="1">
        <v>2</v>
      </c>
      <c r="CY627" s="1">
        <v>1</v>
      </c>
      <c r="CZ627" s="1">
        <f t="shared" si="553"/>
        <v>0</v>
      </c>
      <c r="DA627" s="1">
        <v>1</v>
      </c>
      <c r="DB627" s="1">
        <v>1</v>
      </c>
      <c r="DC627" s="1">
        <v>1</v>
      </c>
      <c r="DD627" s="1">
        <v>2</v>
      </c>
      <c r="DE627" s="1">
        <v>2</v>
      </c>
      <c r="DF627" s="1">
        <v>1</v>
      </c>
      <c r="DG627" s="1">
        <v>1</v>
      </c>
      <c r="DH627" s="1">
        <v>1</v>
      </c>
      <c r="DI627" s="1">
        <f t="shared" si="543"/>
        <v>0</v>
      </c>
      <c r="DJ627" s="1">
        <v>2</v>
      </c>
      <c r="DK627" s="1" t="s">
        <v>250</v>
      </c>
      <c r="DL627" s="1" t="s">
        <v>170</v>
      </c>
      <c r="DS627" s="1" t="b">
        <f>FtTrack</f>
        <v>0</v>
      </c>
      <c r="DT627" s="1" t="b">
        <f>FtRun</f>
        <v>0</v>
      </c>
      <c r="DU627" s="1" t="b">
        <f>SkSpotRanks&gt;=5</f>
        <v>0</v>
      </c>
      <c r="DV627" s="1" t="b">
        <f>SkMoveSilentlyRanks&gt;=9</f>
        <v>0</v>
      </c>
      <c r="DW627" s="1" t="b">
        <f>SkHideRanks&gt;=9</f>
        <v>0</v>
      </c>
      <c r="DX627" s="1" t="b">
        <f>BaseAtk&gt;=4</f>
        <v>0</v>
      </c>
      <c r="DY627" s="1" t="b">
        <f>AlignmentNonEvil</f>
        <v>1</v>
      </c>
      <c r="DZ627" s="1" t="b">
        <f t="shared" si="554"/>
        <v>1</v>
      </c>
      <c r="EA627" s="1" t="b">
        <f t="shared" si="560"/>
        <v>0</v>
      </c>
      <c r="EB627" s="11" t="s">
        <v>334</v>
      </c>
      <c r="EC627" s="1" t="str">
        <f>IF(DY627,"","• Nonevil alignment.
")&amp;IF(DX627,"","• Base Attack Bonus +4.
")&amp;IF(DW627,"","• 9 ranks in Hide.
")&amp;IF(DV627,"","• 9 ranks in Move Silently.
")&amp;IF(DU627,"","• 5 ranks in Spot.
")&amp;IF(DT627,"","• Run feat.
")&amp;IF(DS627,"","• Track feat.
")&amp;IF(DZ627,"","• Not available in Living Greyhawk.")</f>
        <v xml:space="preserve">• Base Attack Bonus +4.
• 9 ranks in Hide.
• 9 ranks in Move Silently.
• 5 ranks in Spot.
• Run feat.
• Track feat.
</v>
      </c>
      <c r="ED627" s="11" t="s">
        <v>335</v>
      </c>
    </row>
    <row r="628" spans="1:134" ht="11.25" customHeight="1" x14ac:dyDescent="0.2">
      <c r="A628" s="1">
        <f t="shared" si="535"/>
        <v>625</v>
      </c>
      <c r="B628" s="1" t="s">
        <v>1483</v>
      </c>
      <c r="C628" s="1" t="s">
        <v>708</v>
      </c>
      <c r="D628" s="1" t="s">
        <v>708</v>
      </c>
      <c r="E628" s="1">
        <f t="shared" si="517"/>
        <v>0</v>
      </c>
      <c r="G628" s="1">
        <f>INT(ShpLvl/2)</f>
        <v>0</v>
      </c>
      <c r="K628" s="1">
        <v>4</v>
      </c>
      <c r="L628" s="1">
        <v>8</v>
      </c>
      <c r="S628" s="1" t="b">
        <v>1</v>
      </c>
      <c r="V628" s="1">
        <v>0.75</v>
      </c>
      <c r="W628" s="1">
        <v>0.5</v>
      </c>
      <c r="X628" s="1">
        <v>0.5</v>
      </c>
      <c r="Y628" s="1">
        <v>0.5</v>
      </c>
      <c r="Z628" s="1" t="b">
        <v>0</v>
      </c>
      <c r="AA628" s="1" t="str">
        <f t="shared" si="520"/>
        <v/>
      </c>
      <c r="AB628" s="1" t="str">
        <f t="shared" si="521"/>
        <v/>
      </c>
      <c r="AC628" s="1">
        <f t="shared" si="518"/>
        <v>0</v>
      </c>
      <c r="AD628" s="1" t="str">
        <f t="shared" si="522"/>
        <v/>
      </c>
      <c r="AE628" s="1" t="str">
        <f t="shared" si="523"/>
        <v/>
      </c>
      <c r="AF628" s="1">
        <f t="shared" si="519"/>
        <v>0</v>
      </c>
      <c r="AG628" s="1">
        <f t="shared" si="546"/>
        <v>5</v>
      </c>
      <c r="AH628" s="1" t="str">
        <f t="shared" si="545"/>
        <v/>
      </c>
      <c r="AI628" s="1">
        <v>1</v>
      </c>
      <c r="AJ628" s="1">
        <f t="shared" si="556"/>
        <v>0</v>
      </c>
      <c r="AK628" s="1">
        <v>1</v>
      </c>
      <c r="AL628" s="1">
        <v>1</v>
      </c>
      <c r="AM628" s="1">
        <v>1</v>
      </c>
      <c r="AN628" s="1">
        <f t="shared" si="557"/>
        <v>0</v>
      </c>
      <c r="AO628" s="1">
        <v>2</v>
      </c>
      <c r="AP628" s="1">
        <v>2</v>
      </c>
      <c r="AQ628" s="1">
        <v>2</v>
      </c>
      <c r="AR628" s="1">
        <v>2</v>
      </c>
      <c r="AS628" s="1">
        <v>2</v>
      </c>
      <c r="AT628" s="1">
        <v>2</v>
      </c>
      <c r="AU628" s="1">
        <v>2</v>
      </c>
      <c r="AV628" s="1">
        <v>2</v>
      </c>
      <c r="AW628" s="1">
        <v>1</v>
      </c>
      <c r="AX628" s="1">
        <v>2</v>
      </c>
      <c r="AY628" s="1">
        <v>1</v>
      </c>
      <c r="AZ628" s="1">
        <v>1</v>
      </c>
      <c r="BA628" s="1">
        <v>1</v>
      </c>
      <c r="BB628" s="1">
        <v>1</v>
      </c>
      <c r="BC628" s="1">
        <v>1</v>
      </c>
      <c r="BD628" s="1">
        <v>2</v>
      </c>
      <c r="BE628" s="1">
        <v>1</v>
      </c>
      <c r="BF628" s="1">
        <v>1</v>
      </c>
      <c r="BG628" s="1">
        <f t="shared" si="558"/>
        <v>0</v>
      </c>
      <c r="BH628" s="1">
        <v>1</v>
      </c>
      <c r="BI628" s="1">
        <v>1</v>
      </c>
      <c r="BJ628" s="1">
        <v>1</v>
      </c>
      <c r="BK628" s="1">
        <v>1</v>
      </c>
      <c r="BL628" s="1">
        <v>1</v>
      </c>
      <c r="BM628" s="1">
        <v>1</v>
      </c>
      <c r="BN628" s="1">
        <v>1</v>
      </c>
      <c r="BO628" s="1">
        <v>1</v>
      </c>
      <c r="BP628" s="1">
        <v>1</v>
      </c>
      <c r="BQ628" s="1">
        <f t="shared" si="559"/>
        <v>0</v>
      </c>
      <c r="BR628" s="1">
        <v>2</v>
      </c>
      <c r="BS628" s="1">
        <v>1</v>
      </c>
      <c r="BT628" s="1">
        <f t="shared" si="550"/>
        <v>0</v>
      </c>
      <c r="BU628" s="1">
        <f t="shared" si="551"/>
        <v>0</v>
      </c>
      <c r="BV628" s="1">
        <v>1</v>
      </c>
      <c r="BW628" s="1">
        <v>1</v>
      </c>
      <c r="BX628" s="1">
        <v>1</v>
      </c>
      <c r="BY628" s="1">
        <v>1</v>
      </c>
      <c r="BZ628" s="1">
        <v>1</v>
      </c>
      <c r="CA628" s="1">
        <v>1</v>
      </c>
      <c r="CB628" s="1">
        <v>1</v>
      </c>
      <c r="CC628" s="1">
        <v>1</v>
      </c>
      <c r="CD628" s="1">
        <v>1</v>
      </c>
      <c r="CE628" s="1">
        <v>1</v>
      </c>
      <c r="CF628" s="1">
        <v>1</v>
      </c>
      <c r="CG628" s="1">
        <f t="shared" si="552"/>
        <v>0</v>
      </c>
      <c r="CH628" s="1">
        <v>1</v>
      </c>
      <c r="CI628" s="1">
        <v>1</v>
      </c>
      <c r="CJ628" s="1">
        <v>1</v>
      </c>
      <c r="CK628" s="1">
        <v>1</v>
      </c>
      <c r="CL628" s="1">
        <v>1</v>
      </c>
      <c r="CM628" s="1">
        <v>1</v>
      </c>
      <c r="CN628" s="1">
        <v>1</v>
      </c>
      <c r="CO628" s="1">
        <v>1</v>
      </c>
      <c r="CP628" s="1">
        <v>2</v>
      </c>
      <c r="CQ628" s="1">
        <v>2</v>
      </c>
      <c r="CR628" s="1">
        <v>2</v>
      </c>
      <c r="CS628" s="1">
        <v>2</v>
      </c>
      <c r="CT628" s="1">
        <v>2</v>
      </c>
      <c r="CU628" s="1">
        <v>2</v>
      </c>
      <c r="CV628" s="1">
        <f t="shared" si="541"/>
        <v>0</v>
      </c>
      <c r="CW628" s="1">
        <v>1</v>
      </c>
      <c r="CX628" s="1">
        <v>1</v>
      </c>
      <c r="CY628" s="1">
        <v>1</v>
      </c>
      <c r="CZ628" s="1">
        <f t="shared" si="553"/>
        <v>0</v>
      </c>
      <c r="DA628" s="1">
        <v>1</v>
      </c>
      <c r="DB628" s="1">
        <v>1</v>
      </c>
      <c r="DC628" s="1">
        <v>2</v>
      </c>
      <c r="DD628" s="1">
        <v>1</v>
      </c>
      <c r="DE628" s="1">
        <v>2</v>
      </c>
      <c r="DF628" s="1">
        <v>2</v>
      </c>
      <c r="DG628" s="1">
        <v>1</v>
      </c>
      <c r="DH628" s="1">
        <v>1</v>
      </c>
      <c r="DI628" s="1">
        <f t="shared" si="543"/>
        <v>0</v>
      </c>
      <c r="DJ628" s="1">
        <v>1</v>
      </c>
      <c r="DK628" s="1" t="s">
        <v>250</v>
      </c>
      <c r="DL628" s="1" t="s">
        <v>170</v>
      </c>
      <c r="DX628" s="1" t="b">
        <f>SkConcentrationRanks&gt;=10</f>
        <v>0</v>
      </c>
      <c r="DY628" s="1" t="b">
        <f>BaseAtk&gt;=3</f>
        <v>0</v>
      </c>
      <c r="DZ628" s="1" t="b">
        <f t="shared" si="554"/>
        <v>1</v>
      </c>
      <c r="EA628" s="1" t="b">
        <f t="shared" si="560"/>
        <v>0</v>
      </c>
      <c r="EB628" s="11" t="s">
        <v>338</v>
      </c>
      <c r="EC628" s="1" t="str">
        <f>IF(DY628,"","• Base Attack Bonus +3.
")&amp;IF(DX628,"","• Concentration 10 ranks.
")&amp;"• Must know the Polymorph spell or have a natural shapechanging ability (not checked).
"&amp;IF(DZ628,"","• Not available in Living Greyhawk.")</f>
        <v xml:space="preserve">• Base Attack Bonus +3.
• Concentration 10 ranks.
• Must know the Polymorph spell or have a natural shapechanging ability (not checked).
</v>
      </c>
      <c r="ED628" s="11" t="s">
        <v>335</v>
      </c>
    </row>
    <row r="629" spans="1:134" ht="11.25" customHeight="1" x14ac:dyDescent="0.2">
      <c r="A629" s="1">
        <f t="shared" si="535"/>
        <v>626</v>
      </c>
      <c r="B629" s="1" t="s">
        <v>1484</v>
      </c>
      <c r="C629" s="1" t="s">
        <v>1485</v>
      </c>
      <c r="D629" s="1" t="s">
        <v>1485</v>
      </c>
      <c r="E629" s="1">
        <f t="shared" si="517"/>
        <v>0</v>
      </c>
      <c r="K629" s="1">
        <v>2</v>
      </c>
      <c r="L629" s="1">
        <v>10</v>
      </c>
      <c r="V629" s="1">
        <v>0.75</v>
      </c>
      <c r="W629" s="1">
        <v>0.5</v>
      </c>
      <c r="X629" s="1">
        <v>0.34</v>
      </c>
      <c r="Y629" s="1">
        <v>0.5</v>
      </c>
      <c r="Z629" s="1" t="b">
        <v>0</v>
      </c>
      <c r="AA629" s="1" t="str">
        <f t="shared" si="520"/>
        <v/>
      </c>
      <c r="AB629" s="1" t="str">
        <f t="shared" si="521"/>
        <v/>
      </c>
      <c r="AC629" s="1">
        <f t="shared" si="518"/>
        <v>0</v>
      </c>
      <c r="AD629" s="1" t="str">
        <f t="shared" si="522"/>
        <v/>
      </c>
      <c r="AE629" s="1" t="str">
        <f t="shared" si="523"/>
        <v/>
      </c>
      <c r="AF629" s="1">
        <f t="shared" si="519"/>
        <v>0</v>
      </c>
      <c r="AG629" s="1">
        <f t="shared" si="546"/>
        <v>5</v>
      </c>
      <c r="AH629" s="1" t="str">
        <f t="shared" si="545"/>
        <v/>
      </c>
      <c r="AI629" s="1">
        <v>1</v>
      </c>
      <c r="AJ629" s="1">
        <f t="shared" si="556"/>
        <v>0</v>
      </c>
      <c r="AK629" s="1">
        <v>1</v>
      </c>
      <c r="AL629" s="1">
        <v>1</v>
      </c>
      <c r="AM629" s="1">
        <v>2</v>
      </c>
      <c r="AN629" s="1">
        <f t="shared" si="557"/>
        <v>0</v>
      </c>
      <c r="AO629" s="1">
        <v>2</v>
      </c>
      <c r="AP629" s="1">
        <v>2</v>
      </c>
      <c r="AQ629" s="1">
        <v>2</v>
      </c>
      <c r="AR629" s="1">
        <v>2</v>
      </c>
      <c r="AS629" s="1">
        <v>2</v>
      </c>
      <c r="AT629" s="1">
        <v>2</v>
      </c>
      <c r="AU629" s="1">
        <v>2</v>
      </c>
      <c r="AV629" s="1">
        <v>2</v>
      </c>
      <c r="AW629" s="1">
        <v>1</v>
      </c>
      <c r="AX629" s="1">
        <v>2</v>
      </c>
      <c r="AY629" s="1">
        <v>1</v>
      </c>
      <c r="AZ629" s="1">
        <v>1</v>
      </c>
      <c r="BA629" s="1">
        <v>1</v>
      </c>
      <c r="BB629" s="1">
        <v>1</v>
      </c>
      <c r="BC629" s="1">
        <v>1</v>
      </c>
      <c r="BD629" s="1">
        <v>1</v>
      </c>
      <c r="BE629" s="1">
        <v>1</v>
      </c>
      <c r="BF629" s="1">
        <v>1</v>
      </c>
      <c r="BG629" s="1">
        <f t="shared" si="558"/>
        <v>0</v>
      </c>
      <c r="BH629" s="1">
        <v>2</v>
      </c>
      <c r="BI629" s="1">
        <v>2</v>
      </c>
      <c r="BJ629" s="1">
        <v>2</v>
      </c>
      <c r="BK629" s="1">
        <v>1</v>
      </c>
      <c r="BL629" s="1">
        <v>1</v>
      </c>
      <c r="BM629" s="1">
        <v>1</v>
      </c>
      <c r="BN629" s="1">
        <v>1</v>
      </c>
      <c r="BO629" s="1">
        <v>1</v>
      </c>
      <c r="BP629" s="1">
        <v>1</v>
      </c>
      <c r="BQ629" s="1">
        <f t="shared" si="559"/>
        <v>0</v>
      </c>
      <c r="BR629" s="1">
        <v>1</v>
      </c>
      <c r="BS629" s="1">
        <v>1</v>
      </c>
      <c r="BT629" s="1">
        <f t="shared" si="550"/>
        <v>0</v>
      </c>
      <c r="BU629" s="1">
        <f t="shared" si="551"/>
        <v>0</v>
      </c>
      <c r="BV629" s="1">
        <v>1</v>
      </c>
      <c r="BW629" s="1">
        <v>1</v>
      </c>
      <c r="BX629" s="1">
        <v>1</v>
      </c>
      <c r="BY629" s="1">
        <v>1</v>
      </c>
      <c r="BZ629" s="1">
        <v>1</v>
      </c>
      <c r="CA629" s="1">
        <v>1</v>
      </c>
      <c r="CB629" s="1">
        <v>1</v>
      </c>
      <c r="CC629" s="1">
        <v>1</v>
      </c>
      <c r="CD629" s="1">
        <v>1</v>
      </c>
      <c r="CE629" s="1">
        <v>1</v>
      </c>
      <c r="CF629" s="1">
        <v>1</v>
      </c>
      <c r="CG629" s="1">
        <f t="shared" si="552"/>
        <v>0</v>
      </c>
      <c r="CH629" s="1">
        <v>1</v>
      </c>
      <c r="CI629" s="1">
        <v>1</v>
      </c>
      <c r="CJ629" s="1">
        <v>2</v>
      </c>
      <c r="CK629" s="1">
        <v>2</v>
      </c>
      <c r="CL629" s="1">
        <v>2</v>
      </c>
      <c r="CM629" s="1">
        <v>2</v>
      </c>
      <c r="CN629" s="1">
        <v>2</v>
      </c>
      <c r="CO629" s="1">
        <v>2</v>
      </c>
      <c r="CP629" s="1">
        <v>2</v>
      </c>
      <c r="CQ629" s="1">
        <v>2</v>
      </c>
      <c r="CR629" s="1">
        <v>2</v>
      </c>
      <c r="CS629" s="1">
        <v>2</v>
      </c>
      <c r="CT629" s="1">
        <v>2</v>
      </c>
      <c r="CU629" s="1">
        <v>2</v>
      </c>
      <c r="CV629" s="1">
        <f t="shared" si="541"/>
        <v>0</v>
      </c>
      <c r="CW629" s="1">
        <v>2</v>
      </c>
      <c r="CX629" s="1">
        <v>1</v>
      </c>
      <c r="CY629" s="1">
        <v>2</v>
      </c>
      <c r="CZ629" s="1">
        <f t="shared" si="553"/>
        <v>0</v>
      </c>
      <c r="DA629" s="1">
        <v>1</v>
      </c>
      <c r="DB629" s="1">
        <v>1</v>
      </c>
      <c r="DC629" s="1">
        <v>2</v>
      </c>
      <c r="DD629" s="1">
        <v>1</v>
      </c>
      <c r="DE629" s="1">
        <v>1</v>
      </c>
      <c r="DF629" s="1">
        <v>2</v>
      </c>
      <c r="DG629" s="1">
        <v>1</v>
      </c>
      <c r="DH629" s="1">
        <v>1</v>
      </c>
      <c r="DI629" s="1">
        <f t="shared" si="543"/>
        <v>0</v>
      </c>
      <c r="DJ629" s="1">
        <v>1</v>
      </c>
      <c r="DK629" s="1" t="s">
        <v>250</v>
      </c>
      <c r="DL629" s="1" t="s">
        <v>170</v>
      </c>
      <c r="DS629" s="1" t="b">
        <f>FtIronWill</f>
        <v>0</v>
      </c>
      <c r="DT629" s="1" t="b">
        <f>FtCombatExpertise</f>
        <v>0</v>
      </c>
      <c r="DU629" s="1" t="b">
        <f>FtAlertness</f>
        <v>0</v>
      </c>
      <c r="DV629" s="1" t="b">
        <f>SkKnowledgeReligionRanks&gt;=4</f>
        <v>0</v>
      </c>
      <c r="DW629" s="1" t="b">
        <f>BaseAtk&gt;=5</f>
        <v>0</v>
      </c>
      <c r="DX629" s="1" t="b">
        <f>Region="Phoenix Clan"</f>
        <v>0</v>
      </c>
      <c r="DY629" s="1" t="b">
        <f>Subtype="Human"</f>
        <v>0</v>
      </c>
      <c r="DZ629" s="1" t="b">
        <f t="shared" si="554"/>
        <v>1</v>
      </c>
      <c r="EA629" s="1" t="b">
        <f t="shared" si="560"/>
        <v>0</v>
      </c>
      <c r="EB629" s="11" t="s">
        <v>334</v>
      </c>
      <c r="EC629" s="1" t="str">
        <f>IF(DY629,"","• Human.
")&amp;IF(DX629,"","• Member of the Phoenix Clan.
")&amp;IF(DW629,"","• Base Attack Bonus +5.
")&amp;IF(DV629,"","• 4 ranks in Knowledge (religion).
")&amp;IF(DU629,"","• Alertness feat.
")&amp;IF(DT629,"","• Combat Expertise feat.
")&amp;IF(DS629,"","• Iron Will feat.
")&amp;IF(DZ629,"","• Not available in Living Greyhawk.")</f>
        <v xml:space="preserve">• Human.
• Member of the Phoenix Clan.
• Base Attack Bonus +5.
• 4 ranks in Knowledge (religion).
• Alertness feat.
• Combat Expertise feat.
• Iron Will feat.
</v>
      </c>
      <c r="ED629" s="11" t="s">
        <v>335</v>
      </c>
    </row>
    <row r="630" spans="1:134" ht="11.25" customHeight="1" x14ac:dyDescent="0.2">
      <c r="A630" s="1">
        <f t="shared" si="535"/>
        <v>627</v>
      </c>
      <c r="B630" s="1" t="s">
        <v>1486</v>
      </c>
      <c r="C630" s="1" t="s">
        <v>1487</v>
      </c>
      <c r="D630" s="1" t="s">
        <v>1487</v>
      </c>
      <c r="E630" s="1">
        <f t="shared" si="517"/>
        <v>0</v>
      </c>
      <c r="K630" s="1">
        <v>4</v>
      </c>
      <c r="L630" s="1">
        <v>8</v>
      </c>
      <c r="V630" s="1">
        <v>0.75</v>
      </c>
      <c r="W630" s="1">
        <v>0.5</v>
      </c>
      <c r="X630" s="1">
        <v>0.5</v>
      </c>
      <c r="Y630" s="1">
        <v>0.5</v>
      </c>
      <c r="Z630" s="1" t="b">
        <f>Alignment&lt;&gt;"Lawful Good"</f>
        <v>1</v>
      </c>
      <c r="AA630" s="1" t="str">
        <f t="shared" si="520"/>
        <v/>
      </c>
      <c r="AB630" s="1" t="str">
        <f t="shared" si="521"/>
        <v/>
      </c>
      <c r="AC630" s="1">
        <f t="shared" si="518"/>
        <v>0</v>
      </c>
      <c r="AD630" s="1" t="str">
        <f t="shared" si="522"/>
        <v/>
      </c>
      <c r="AE630" s="1" t="str">
        <f t="shared" si="523"/>
        <v/>
      </c>
      <c r="AF630" s="1">
        <f t="shared" si="519"/>
        <v>0</v>
      </c>
      <c r="AG630" s="1">
        <f t="shared" si="546"/>
        <v>5</v>
      </c>
      <c r="AH630" s="1" t="str">
        <f t="shared" si="545"/>
        <v/>
      </c>
      <c r="AI630" s="1">
        <v>1</v>
      </c>
      <c r="AJ630" s="1">
        <f t="shared" si="556"/>
        <v>0</v>
      </c>
      <c r="AK630" s="1">
        <v>2</v>
      </c>
      <c r="AL630" s="1">
        <v>1</v>
      </c>
      <c r="AM630" s="1">
        <v>2</v>
      </c>
      <c r="AN630" s="1">
        <f t="shared" si="557"/>
        <v>0</v>
      </c>
      <c r="AO630" s="1">
        <v>2</v>
      </c>
      <c r="AP630" s="1">
        <v>2</v>
      </c>
      <c r="AQ630" s="1">
        <v>2</v>
      </c>
      <c r="AR630" s="1">
        <v>2</v>
      </c>
      <c r="AS630" s="1">
        <v>2</v>
      </c>
      <c r="AT630" s="1">
        <v>2</v>
      </c>
      <c r="AU630" s="1">
        <v>2</v>
      </c>
      <c r="AV630" s="1">
        <v>2</v>
      </c>
      <c r="AW630" s="1">
        <v>1</v>
      </c>
      <c r="AX630" s="1">
        <v>2</v>
      </c>
      <c r="AY630" s="1">
        <v>1</v>
      </c>
      <c r="AZ630" s="1">
        <v>1</v>
      </c>
      <c r="BA630" s="1">
        <v>2</v>
      </c>
      <c r="BB630" s="1">
        <v>1</v>
      </c>
      <c r="BC630" s="1">
        <v>1</v>
      </c>
      <c r="BD630" s="1">
        <v>1</v>
      </c>
      <c r="BE630" s="1">
        <v>2</v>
      </c>
      <c r="BF630" s="1">
        <v>1</v>
      </c>
      <c r="BG630" s="1">
        <f t="shared" si="558"/>
        <v>0</v>
      </c>
      <c r="BH630" s="1">
        <v>1</v>
      </c>
      <c r="BI630" s="1">
        <v>1</v>
      </c>
      <c r="BJ630" s="1">
        <v>2</v>
      </c>
      <c r="BK630" s="1">
        <v>2</v>
      </c>
      <c r="BL630" s="1">
        <v>2</v>
      </c>
      <c r="BM630" s="1">
        <v>2</v>
      </c>
      <c r="BN630" s="1">
        <v>2</v>
      </c>
      <c r="BO630" s="1">
        <v>2</v>
      </c>
      <c r="BP630" s="1">
        <v>2</v>
      </c>
      <c r="BQ630" s="1">
        <f>IF(HRRVL,2,0)</f>
        <v>0</v>
      </c>
      <c r="BR630" s="1">
        <v>2</v>
      </c>
      <c r="BS630" s="1">
        <v>2</v>
      </c>
      <c r="BT630" s="1">
        <f>IF(HRXPH,2,0)</f>
        <v>0</v>
      </c>
      <c r="BU630" s="1">
        <f>IF(HRRVL,2,0)</f>
        <v>0</v>
      </c>
      <c r="BV630" s="1">
        <v>2</v>
      </c>
      <c r="BW630" s="1">
        <v>2</v>
      </c>
      <c r="BX630" s="1">
        <v>2</v>
      </c>
      <c r="BY630" s="1">
        <v>2</v>
      </c>
      <c r="BZ630" s="1">
        <v>2</v>
      </c>
      <c r="CA630" s="1">
        <v>2</v>
      </c>
      <c r="CB630" s="1">
        <v>2</v>
      </c>
      <c r="CC630" s="1">
        <v>2</v>
      </c>
      <c r="CD630" s="1">
        <v>2</v>
      </c>
      <c r="CE630" s="1">
        <v>2</v>
      </c>
      <c r="CF630" s="1">
        <v>2</v>
      </c>
      <c r="CG630" s="1">
        <f t="shared" si="552"/>
        <v>0</v>
      </c>
      <c r="CH630" s="1">
        <v>1</v>
      </c>
      <c r="CI630" s="1">
        <v>1</v>
      </c>
      <c r="CJ630" s="1">
        <v>2</v>
      </c>
      <c r="CK630" s="1">
        <v>2</v>
      </c>
      <c r="CL630" s="1">
        <v>2</v>
      </c>
      <c r="CM630" s="1">
        <v>2</v>
      </c>
      <c r="CN630" s="1">
        <v>2</v>
      </c>
      <c r="CO630" s="1">
        <v>2</v>
      </c>
      <c r="CP630" s="1">
        <v>2</v>
      </c>
      <c r="CQ630" s="1">
        <v>2</v>
      </c>
      <c r="CR630" s="1">
        <v>2</v>
      </c>
      <c r="CS630" s="1">
        <v>2</v>
      </c>
      <c r="CT630" s="1">
        <v>2</v>
      </c>
      <c r="CU630" s="1">
        <v>2</v>
      </c>
      <c r="CV630" s="1">
        <f t="shared" si="541"/>
        <v>0</v>
      </c>
      <c r="CW630" s="1">
        <v>1</v>
      </c>
      <c r="CX630" s="1">
        <v>1</v>
      </c>
      <c r="CY630" s="1">
        <v>1</v>
      </c>
      <c r="CZ630" s="1">
        <f t="shared" si="553"/>
        <v>0</v>
      </c>
      <c r="DA630" s="1">
        <v>1</v>
      </c>
      <c r="DB630" s="1">
        <v>1</v>
      </c>
      <c r="DC630" s="1">
        <v>2</v>
      </c>
      <c r="DD630" s="1">
        <v>1</v>
      </c>
      <c r="DE630" s="1">
        <v>1</v>
      </c>
      <c r="DF630" s="1">
        <v>2</v>
      </c>
      <c r="DG630" s="1">
        <v>2</v>
      </c>
      <c r="DH630" s="1">
        <v>1</v>
      </c>
      <c r="DI630" s="1">
        <f t="shared" si="543"/>
        <v>0</v>
      </c>
      <c r="DJ630" s="1">
        <v>1</v>
      </c>
      <c r="DK630" s="1" t="s">
        <v>250</v>
      </c>
      <c r="DL630" s="1" t="s">
        <v>170</v>
      </c>
      <c r="DW630" s="1" t="b">
        <f>SkKnowledgeReligionRanks&gt;=8</f>
        <v>0</v>
      </c>
      <c r="DX630" s="1" t="b">
        <f>BaseWill&gt;=4</f>
        <v>0</v>
      </c>
      <c r="DY630" s="1" t="b">
        <f>Alignment="Lawful Good"</f>
        <v>0</v>
      </c>
      <c r="DZ630" s="1" t="b">
        <f t="shared" si="554"/>
        <v>1</v>
      </c>
      <c r="EA630" s="1" t="b">
        <f t="shared" si="560"/>
        <v>0</v>
      </c>
      <c r="EB630" s="11" t="s">
        <v>334</v>
      </c>
      <c r="EC630" s="1" t="str">
        <f>IF(DY630,"","• Lawful Good alignment.
")&amp;IF(DX630,"","• Base Will save bonus +4.
")&amp;IF(DW630,"","• 8 ranks in Knowledge Religion.
")&amp;IF('[1]Class Abilities'!D78,"","• Still Mind class feature.
")&amp;IF(DZ630,"","• Not available in Living Greyhawk.")</f>
        <v xml:space="preserve">• Lawful Good alignment.
• Base Will save bonus +4.
• 8 ranks in Knowledge Religion.
• Still Mind class feature.
</v>
      </c>
      <c r="ED630" s="11" t="s">
        <v>335</v>
      </c>
    </row>
    <row r="631" spans="1:134" ht="11.25" customHeight="1" x14ac:dyDescent="0.2">
      <c r="A631" s="1">
        <f t="shared" si="535"/>
        <v>628</v>
      </c>
      <c r="B631" s="1" t="s">
        <v>1488</v>
      </c>
      <c r="C631" s="1" t="s">
        <v>1489</v>
      </c>
      <c r="D631" s="1" t="s">
        <v>1489</v>
      </c>
      <c r="E631" s="1">
        <f t="shared" si="517"/>
        <v>0</v>
      </c>
      <c r="K631" s="1">
        <v>2</v>
      </c>
      <c r="L631" s="1">
        <v>12</v>
      </c>
      <c r="N631" s="1" t="b">
        <v>1</v>
      </c>
      <c r="O631" s="1" t="b">
        <v>1</v>
      </c>
      <c r="P631" s="1" t="b">
        <v>1</v>
      </c>
      <c r="S631" s="1" t="b">
        <v>1</v>
      </c>
      <c r="T631" s="1" t="b">
        <v>1</v>
      </c>
      <c r="V631" s="1">
        <v>1</v>
      </c>
      <c r="W631" s="1">
        <v>0.5</v>
      </c>
      <c r="X631" s="1">
        <v>0.34</v>
      </c>
      <c r="Y631" s="1">
        <v>0.5</v>
      </c>
      <c r="Z631" s="1" t="b">
        <v>0</v>
      </c>
      <c r="AA631" s="1" t="str">
        <f t="shared" si="520"/>
        <v/>
      </c>
      <c r="AB631" s="1" t="str">
        <f t="shared" si="521"/>
        <v/>
      </c>
      <c r="AC631" s="1">
        <f t="shared" si="518"/>
        <v>0</v>
      </c>
      <c r="AD631" s="1" t="str">
        <f t="shared" si="522"/>
        <v/>
      </c>
      <c r="AE631" s="1" t="str">
        <f t="shared" si="523"/>
        <v/>
      </c>
      <c r="AF631" s="1">
        <f t="shared" si="519"/>
        <v>0</v>
      </c>
      <c r="AG631" s="1">
        <f t="shared" si="546"/>
        <v>5</v>
      </c>
      <c r="AH631" s="1" t="str">
        <f t="shared" si="545"/>
        <v/>
      </c>
      <c r="AI631" s="1">
        <v>1</v>
      </c>
      <c r="AJ631" s="1">
        <f t="shared" si="556"/>
        <v>0</v>
      </c>
      <c r="AK631" s="1">
        <v>1</v>
      </c>
      <c r="AL631" s="1">
        <v>1</v>
      </c>
      <c r="AM631" s="1">
        <v>2</v>
      </c>
      <c r="AN631" s="1">
        <f t="shared" si="557"/>
        <v>0</v>
      </c>
      <c r="AO631" s="1">
        <v>1</v>
      </c>
      <c r="AP631" s="1">
        <v>2</v>
      </c>
      <c r="AQ631" s="1">
        <v>2</v>
      </c>
      <c r="AR631" s="1">
        <v>2</v>
      </c>
      <c r="AS631" s="1">
        <v>2</v>
      </c>
      <c r="AT631" s="1">
        <v>2</v>
      </c>
      <c r="AU631" s="1">
        <v>2</v>
      </c>
      <c r="AV631" s="1">
        <v>2</v>
      </c>
      <c r="AW631" s="1">
        <v>1</v>
      </c>
      <c r="AX631" s="1">
        <v>1</v>
      </c>
      <c r="AY631" s="1">
        <v>1</v>
      </c>
      <c r="AZ631" s="1">
        <v>1</v>
      </c>
      <c r="BA631" s="1">
        <v>1</v>
      </c>
      <c r="BB631" s="1">
        <v>1</v>
      </c>
      <c r="BC631" s="1">
        <v>1</v>
      </c>
      <c r="BD631" s="1">
        <v>2</v>
      </c>
      <c r="BE631" s="1">
        <v>1</v>
      </c>
      <c r="BF631" s="1">
        <v>1</v>
      </c>
      <c r="BG631" s="1">
        <f t="shared" si="558"/>
        <v>0</v>
      </c>
      <c r="BH631" s="1">
        <v>2</v>
      </c>
      <c r="BI631" s="1">
        <v>2</v>
      </c>
      <c r="BJ631" s="1">
        <v>2</v>
      </c>
      <c r="BK631" s="1">
        <v>1</v>
      </c>
      <c r="BL631" s="1">
        <v>1</v>
      </c>
      <c r="BM631" s="1">
        <v>1</v>
      </c>
      <c r="BN631" s="1">
        <v>1</v>
      </c>
      <c r="BO631" s="1">
        <v>2</v>
      </c>
      <c r="BP631" s="1">
        <v>1</v>
      </c>
      <c r="BQ631" s="1">
        <f t="shared" si="559"/>
        <v>0</v>
      </c>
      <c r="BR631" s="1">
        <v>1</v>
      </c>
      <c r="BS631" s="1">
        <v>1</v>
      </c>
      <c r="BT631" s="1">
        <f t="shared" si="550"/>
        <v>0</v>
      </c>
      <c r="BU631" s="1">
        <f t="shared" si="551"/>
        <v>0</v>
      </c>
      <c r="BV631" s="1">
        <v>1</v>
      </c>
      <c r="BW631" s="1">
        <v>1</v>
      </c>
      <c r="BX631" s="1">
        <v>1</v>
      </c>
      <c r="BY631" s="1">
        <v>1</v>
      </c>
      <c r="BZ631" s="1">
        <v>1</v>
      </c>
      <c r="CA631" s="1">
        <v>1</v>
      </c>
      <c r="CB631" s="1">
        <v>1</v>
      </c>
      <c r="CC631" s="1">
        <v>1</v>
      </c>
      <c r="CD631" s="1">
        <v>1</v>
      </c>
      <c r="CE631" s="1">
        <v>1</v>
      </c>
      <c r="CF631" s="1">
        <v>1</v>
      </c>
      <c r="CG631" s="1">
        <f t="shared" si="552"/>
        <v>0</v>
      </c>
      <c r="CH631" s="1">
        <v>1</v>
      </c>
      <c r="CI631" s="1">
        <v>1</v>
      </c>
      <c r="CJ631" s="1">
        <v>1</v>
      </c>
      <c r="CK631" s="1">
        <v>1</v>
      </c>
      <c r="CL631" s="1">
        <v>1</v>
      </c>
      <c r="CM631" s="1">
        <v>1</v>
      </c>
      <c r="CN631" s="1">
        <v>1</v>
      </c>
      <c r="CO631" s="1">
        <v>1</v>
      </c>
      <c r="CP631" s="1">
        <v>1</v>
      </c>
      <c r="CQ631" s="1">
        <v>1</v>
      </c>
      <c r="CR631" s="1">
        <v>1</v>
      </c>
      <c r="CS631" s="1">
        <v>1</v>
      </c>
      <c r="CT631" s="1">
        <v>1</v>
      </c>
      <c r="CU631" s="1">
        <v>1</v>
      </c>
      <c r="CV631" s="1">
        <f t="shared" si="541"/>
        <v>0</v>
      </c>
      <c r="CW631" s="1">
        <v>2</v>
      </c>
      <c r="CX631" s="1">
        <v>1</v>
      </c>
      <c r="CY631" s="1">
        <v>2</v>
      </c>
      <c r="CZ631" s="1">
        <f t="shared" si="553"/>
        <v>0</v>
      </c>
      <c r="DA631" s="1">
        <v>1</v>
      </c>
      <c r="DB631" s="1">
        <v>1</v>
      </c>
      <c r="DC631" s="1">
        <v>1</v>
      </c>
      <c r="DD631" s="1">
        <v>1</v>
      </c>
      <c r="DE631" s="1">
        <v>1</v>
      </c>
      <c r="DF631" s="1">
        <v>2</v>
      </c>
      <c r="DG631" s="1">
        <v>1</v>
      </c>
      <c r="DH631" s="1">
        <v>1</v>
      </c>
      <c r="DI631" s="1">
        <f t="shared" si="543"/>
        <v>0</v>
      </c>
      <c r="DJ631" s="1">
        <v>1</v>
      </c>
      <c r="DK631" s="1" t="s">
        <v>250</v>
      </c>
      <c r="DL631" s="1" t="s">
        <v>170</v>
      </c>
      <c r="DV631" s="1" t="b">
        <f>FtKiaiShout</f>
        <v>0</v>
      </c>
      <c r="DW631" s="1" t="b">
        <f>FtIronWill</f>
        <v>0</v>
      </c>
      <c r="DX631" s="1" t="b">
        <f>BaseAtk&gt;=7</f>
        <v>0</v>
      </c>
      <c r="DY631" s="1" t="b">
        <f>AlignmentLawful</f>
        <v>1</v>
      </c>
      <c r="DZ631" s="1" t="b">
        <f t="shared" si="554"/>
        <v>1</v>
      </c>
      <c r="EA631" s="1" t="b">
        <f t="shared" si="560"/>
        <v>0</v>
      </c>
      <c r="EB631" s="11" t="s">
        <v>334</v>
      </c>
      <c r="EC631" s="1" t="str">
        <f>IF(DY631,"","• Lawful alignment.
")&amp;IF(DX631,"","• Base Attack Bonus +7.
")&amp;IF(DW631,"","• Iron Will feat.
")&amp;IF(DV631,"","• Kiai Shout feat.
")&amp;IF(DZ631,"","• Not available in Living Greyhawk.")</f>
        <v xml:space="preserve">• Base Attack Bonus +7.
• Iron Will feat.
• Kiai Shout feat.
</v>
      </c>
      <c r="ED631" s="11" t="s">
        <v>335</v>
      </c>
    </row>
    <row r="632" spans="1:134" ht="11.25" customHeight="1" x14ac:dyDescent="0.2">
      <c r="A632" s="1">
        <f t="shared" si="535"/>
        <v>629</v>
      </c>
      <c r="B632" s="1" t="s">
        <v>1490</v>
      </c>
      <c r="C632" s="1" t="s">
        <v>1491</v>
      </c>
      <c r="D632" s="1" t="s">
        <v>1491</v>
      </c>
      <c r="E632" s="1">
        <f t="shared" si="517"/>
        <v>0</v>
      </c>
      <c r="K632" s="1">
        <v>2</v>
      </c>
      <c r="L632" s="1">
        <v>10</v>
      </c>
      <c r="V632" s="1">
        <v>1</v>
      </c>
      <c r="W632" s="1">
        <v>0.34</v>
      </c>
      <c r="X632" s="1">
        <v>0.5</v>
      </c>
      <c r="Y632" s="1">
        <v>0.34</v>
      </c>
      <c r="Z632" s="1" t="b">
        <v>0</v>
      </c>
      <c r="AA632" s="1" t="str">
        <f t="shared" si="520"/>
        <v/>
      </c>
      <c r="AB632" s="1" t="str">
        <f t="shared" si="521"/>
        <v/>
      </c>
      <c r="AC632" s="1">
        <f t="shared" si="518"/>
        <v>0</v>
      </c>
      <c r="AD632" s="1" t="str">
        <f t="shared" si="522"/>
        <v/>
      </c>
      <c r="AE632" s="1" t="str">
        <f t="shared" si="523"/>
        <v/>
      </c>
      <c r="AF632" s="1">
        <f t="shared" si="519"/>
        <v>0</v>
      </c>
      <c r="AG632" s="1">
        <f t="shared" si="546"/>
        <v>5</v>
      </c>
      <c r="AH632" s="1" t="str">
        <f t="shared" si="545"/>
        <v/>
      </c>
      <c r="AI632" s="1">
        <v>1</v>
      </c>
      <c r="AJ632" s="1">
        <f t="shared" si="556"/>
        <v>0</v>
      </c>
      <c r="AK632" s="1">
        <v>1</v>
      </c>
      <c r="AL632" s="1">
        <v>1</v>
      </c>
      <c r="AM632" s="1">
        <v>1</v>
      </c>
      <c r="AN632" s="1">
        <f t="shared" si="557"/>
        <v>0</v>
      </c>
      <c r="AO632" s="1">
        <v>1</v>
      </c>
      <c r="AP632" s="1">
        <v>1</v>
      </c>
      <c r="AQ632" s="1">
        <v>1</v>
      </c>
      <c r="AR632" s="1">
        <v>1</v>
      </c>
      <c r="AS632" s="1">
        <v>1</v>
      </c>
      <c r="AT632" s="1">
        <v>1</v>
      </c>
      <c r="AU632" s="1">
        <v>1</v>
      </c>
      <c r="AV632" s="1">
        <v>1</v>
      </c>
      <c r="AW632" s="1">
        <v>1</v>
      </c>
      <c r="AX632" s="1">
        <v>1</v>
      </c>
      <c r="AY632" s="1">
        <v>1</v>
      </c>
      <c r="AZ632" s="1">
        <v>1</v>
      </c>
      <c r="BA632" s="1">
        <v>1</v>
      </c>
      <c r="BB632" s="1">
        <v>1</v>
      </c>
      <c r="BC632" s="1">
        <v>1</v>
      </c>
      <c r="BD632" s="1">
        <v>1</v>
      </c>
      <c r="BE632" s="1">
        <v>1</v>
      </c>
      <c r="BF632" s="1">
        <v>1</v>
      </c>
      <c r="BG632" s="1">
        <f t="shared" si="558"/>
        <v>0</v>
      </c>
      <c r="BH632" s="1">
        <v>2</v>
      </c>
      <c r="BI632" s="1">
        <v>2</v>
      </c>
      <c r="BJ632" s="1">
        <v>1</v>
      </c>
      <c r="BK632" s="1">
        <v>1</v>
      </c>
      <c r="BL632" s="1">
        <v>1</v>
      </c>
      <c r="BM632" s="1">
        <v>1</v>
      </c>
      <c r="BN632" s="1">
        <v>1</v>
      </c>
      <c r="BO632" s="1">
        <v>1</v>
      </c>
      <c r="BP632" s="1">
        <v>1</v>
      </c>
      <c r="BQ632" s="1">
        <f t="shared" si="559"/>
        <v>0</v>
      </c>
      <c r="BR632" s="1">
        <v>1</v>
      </c>
      <c r="BS632" s="1">
        <v>1</v>
      </c>
      <c r="BT632" s="1">
        <f t="shared" si="550"/>
        <v>0</v>
      </c>
      <c r="BU632" s="1">
        <f t="shared" si="551"/>
        <v>0</v>
      </c>
      <c r="BV632" s="1">
        <v>1</v>
      </c>
      <c r="BW632" s="1">
        <v>1</v>
      </c>
      <c r="BX632" s="1">
        <v>1</v>
      </c>
      <c r="BY632" s="1">
        <v>1</v>
      </c>
      <c r="BZ632" s="1">
        <v>1</v>
      </c>
      <c r="CA632" s="1">
        <v>1</v>
      </c>
      <c r="CB632" s="1">
        <v>1</v>
      </c>
      <c r="CC632" s="1">
        <v>1</v>
      </c>
      <c r="CD632" s="1">
        <v>1</v>
      </c>
      <c r="CE632" s="1">
        <v>1</v>
      </c>
      <c r="CF632" s="1">
        <v>2</v>
      </c>
      <c r="CG632" s="1">
        <f t="shared" si="552"/>
        <v>0</v>
      </c>
      <c r="CH632" s="1">
        <v>1</v>
      </c>
      <c r="CI632" s="1">
        <v>1</v>
      </c>
      <c r="CJ632" s="1">
        <v>1</v>
      </c>
      <c r="CK632" s="1">
        <v>1</v>
      </c>
      <c r="CL632" s="1">
        <v>1</v>
      </c>
      <c r="CM632" s="1">
        <v>1</v>
      </c>
      <c r="CN632" s="1">
        <v>1</v>
      </c>
      <c r="CO632" s="1">
        <v>1</v>
      </c>
      <c r="CP632" s="1">
        <v>1</v>
      </c>
      <c r="CQ632" s="1">
        <v>1</v>
      </c>
      <c r="CR632" s="1">
        <v>1</v>
      </c>
      <c r="CS632" s="1">
        <v>1</v>
      </c>
      <c r="CT632" s="1">
        <v>1</v>
      </c>
      <c r="CU632" s="1">
        <v>1</v>
      </c>
      <c r="CV632" s="1">
        <f t="shared" si="541"/>
        <v>0</v>
      </c>
      <c r="CW632" s="1">
        <v>1</v>
      </c>
      <c r="CX632" s="1">
        <v>1</v>
      </c>
      <c r="CY632" s="1">
        <v>2</v>
      </c>
      <c r="CZ632" s="1">
        <f t="shared" si="553"/>
        <v>0</v>
      </c>
      <c r="DA632" s="1">
        <v>1</v>
      </c>
      <c r="DB632" s="1">
        <v>1</v>
      </c>
      <c r="DC632" s="1">
        <v>1</v>
      </c>
      <c r="DD632" s="1">
        <v>2</v>
      </c>
      <c r="DE632" s="1">
        <v>1</v>
      </c>
      <c r="DF632" s="1">
        <v>1</v>
      </c>
      <c r="DG632" s="1">
        <v>1</v>
      </c>
      <c r="DH632" s="1">
        <v>1</v>
      </c>
      <c r="DI632" s="1">
        <f t="shared" si="543"/>
        <v>0</v>
      </c>
      <c r="DJ632" s="1">
        <v>1</v>
      </c>
      <c r="DK632" s="1" t="s">
        <v>250</v>
      </c>
      <c r="DL632" s="1" t="s">
        <v>170</v>
      </c>
      <c r="DR632" s="1" t="b">
        <f>FtWhirlwindAttack</f>
        <v>0</v>
      </c>
      <c r="DS632" s="1" t="b">
        <f>FtWeaponFocus</f>
        <v>0</v>
      </c>
      <c r="DT632" s="1" t="b">
        <f>FtCombatReflexes</f>
        <v>0</v>
      </c>
      <c r="DU632" s="1" t="b">
        <f>FtCombatExpertise</f>
        <v>0</v>
      </c>
      <c r="DV632" s="1" t="b">
        <f>FtMobility</f>
        <v>0</v>
      </c>
      <c r="DW632" s="1" t="b">
        <f>FtDodgeEquiv</f>
        <v>0</v>
      </c>
      <c r="DX632" s="1" t="b">
        <f>SkIntimidateRanks&gt;=4</f>
        <v>0</v>
      </c>
      <c r="DY632" s="1" t="b">
        <f>BaseAtk&gt;=5</f>
        <v>0</v>
      </c>
      <c r="DZ632" s="1" t="b">
        <f t="shared" si="554"/>
        <v>1</v>
      </c>
      <c r="EA632" s="1" t="b">
        <f t="shared" si="560"/>
        <v>0</v>
      </c>
      <c r="EB632" s="11" t="s">
        <v>338</v>
      </c>
      <c r="EC632" s="1" t="str">
        <f>IF(DY632,"","• Base Attack Bonus +5.
")&amp;IF(DX632,"","• 4 ranks in Intimidate.
")&amp;IF(DW632,"","• Dodge feat.
")&amp;IF(DV632,"","• Mobility feat.
")&amp;IF(DU632,"","• Combat Expertise feat.
")&amp;IF(DT632,"","• Combat Reflexes feat.
")&amp;IF(DS632,"","• Weapon Focus feat.
")&amp;IF(DR632,"","• Whirlwind Attack feat.
")&amp;"•Must own a masterwork weapon of choice (not checked).
"&amp;IF(DZ632,"","• Not available in Living Greyhawk.")</f>
        <v xml:space="preserve">• Base Attack Bonus +5.
• 4 ranks in Intimidate.
• Dodge feat.
• Mobility feat.
• Combat Expertise feat.
• Combat Reflexes feat.
• Weapon Focus feat.
• Whirlwind Attack feat.
•Must own a masterwork weapon of choice (not checked).
</v>
      </c>
      <c r="ED632" s="11" t="s">
        <v>335</v>
      </c>
    </row>
    <row r="633" spans="1:134" ht="11.25" customHeight="1" x14ac:dyDescent="0.2">
      <c r="A633" s="1">
        <f t="shared" si="535"/>
        <v>630</v>
      </c>
      <c r="B633" s="1" t="s">
        <v>1492</v>
      </c>
      <c r="C633" s="1" t="s">
        <v>1493</v>
      </c>
      <c r="D633" s="1" t="s">
        <v>1493</v>
      </c>
      <c r="E633" s="1">
        <f t="shared" si="517"/>
        <v>0</v>
      </c>
      <c r="G633" s="1">
        <f>(WHnLvl&gt;=2)+(WHnLvl&gt;=5)+(WHnLvl&gt;=7)+(WHnLvl&gt;=9)+(WHnLvl&gt;=10)</f>
        <v>0</v>
      </c>
      <c r="K633" s="1">
        <v>4</v>
      </c>
      <c r="L633" s="1">
        <v>8</v>
      </c>
      <c r="N633" s="1" t="b">
        <v>1</v>
      </c>
      <c r="O633" s="1" t="b">
        <v>1</v>
      </c>
      <c r="P633" s="1" t="b">
        <v>1</v>
      </c>
      <c r="S633" s="1" t="b">
        <v>1</v>
      </c>
      <c r="T633" s="1" t="b">
        <v>1</v>
      </c>
      <c r="V633" s="1">
        <v>1</v>
      </c>
      <c r="W633" s="1">
        <v>0.5</v>
      </c>
      <c r="X633" s="1">
        <v>0.34</v>
      </c>
      <c r="Y633" s="1">
        <v>0.5</v>
      </c>
      <c r="Z633" s="1" t="b">
        <v>0</v>
      </c>
      <c r="AA633" s="1" t="str">
        <f t="shared" si="520"/>
        <v/>
      </c>
      <c r="AB633" s="1" t="str">
        <f t="shared" si="521"/>
        <v/>
      </c>
      <c r="AC633" s="1">
        <f t="shared" si="518"/>
        <v>0</v>
      </c>
      <c r="AD633" s="1" t="str">
        <f t="shared" si="522"/>
        <v/>
      </c>
      <c r="AE633" s="1" t="str">
        <f t="shared" si="523"/>
        <v/>
      </c>
      <c r="AF633" s="1">
        <f t="shared" si="519"/>
        <v>0</v>
      </c>
      <c r="AG633" s="1">
        <f t="shared" si="546"/>
        <v>5</v>
      </c>
      <c r="AH633" s="1" t="str">
        <f t="shared" si="545"/>
        <v/>
      </c>
      <c r="AI633" s="1">
        <v>1</v>
      </c>
      <c r="AJ633" s="1">
        <f t="shared" si="556"/>
        <v>0</v>
      </c>
      <c r="AK633" s="1">
        <v>1</v>
      </c>
      <c r="AL633" s="1">
        <v>1</v>
      </c>
      <c r="AM633" s="1">
        <v>2</v>
      </c>
      <c r="AN633" s="1">
        <f t="shared" si="557"/>
        <v>0</v>
      </c>
      <c r="AO633" s="1">
        <v>2</v>
      </c>
      <c r="AP633" s="1">
        <v>2</v>
      </c>
      <c r="AQ633" s="1">
        <v>2</v>
      </c>
      <c r="AR633" s="1">
        <v>2</v>
      </c>
      <c r="AS633" s="1">
        <v>2</v>
      </c>
      <c r="AT633" s="1">
        <v>2</v>
      </c>
      <c r="AU633" s="1">
        <v>2</v>
      </c>
      <c r="AV633" s="1">
        <v>2</v>
      </c>
      <c r="AW633" s="1">
        <v>1</v>
      </c>
      <c r="AX633" s="1">
        <v>1</v>
      </c>
      <c r="AY633" s="1">
        <v>1</v>
      </c>
      <c r="AZ633" s="1">
        <v>1</v>
      </c>
      <c r="BA633" s="1">
        <v>1</v>
      </c>
      <c r="BB633" s="1">
        <v>1</v>
      </c>
      <c r="BC633" s="1">
        <v>1</v>
      </c>
      <c r="BD633" s="1">
        <v>1</v>
      </c>
      <c r="BE633" s="1">
        <v>2</v>
      </c>
      <c r="BF633" s="1">
        <v>2</v>
      </c>
      <c r="BG633" s="1">
        <f t="shared" si="558"/>
        <v>0</v>
      </c>
      <c r="BH633" s="1">
        <v>1</v>
      </c>
      <c r="BI633" s="1">
        <v>1</v>
      </c>
      <c r="BJ633" s="1">
        <v>2</v>
      </c>
      <c r="BK633" s="1">
        <v>2</v>
      </c>
      <c r="BL633" s="1">
        <v>1</v>
      </c>
      <c r="BM633" s="1">
        <v>1</v>
      </c>
      <c r="BN633" s="1">
        <v>1</v>
      </c>
      <c r="BO633" s="1">
        <v>1</v>
      </c>
      <c r="BP633" s="1">
        <v>2</v>
      </c>
      <c r="BQ633" s="1">
        <f t="shared" si="559"/>
        <v>0</v>
      </c>
      <c r="BR633" s="1">
        <v>1</v>
      </c>
      <c r="BS633" s="1">
        <v>1</v>
      </c>
      <c r="BT633" s="1">
        <f t="shared" si="550"/>
        <v>0</v>
      </c>
      <c r="BU633" s="1">
        <f t="shared" si="551"/>
        <v>0</v>
      </c>
      <c r="BV633" s="1">
        <v>2</v>
      </c>
      <c r="BW633" s="1">
        <v>1</v>
      </c>
      <c r="BX633" s="1">
        <f t="shared" ref="BX633:CE633" si="563">IF(LOWER(BX16)="knowledge (shadowlands)",2,1)</f>
        <v>1</v>
      </c>
      <c r="BY633" s="1">
        <f t="shared" si="563"/>
        <v>1</v>
      </c>
      <c r="BZ633" s="1">
        <f t="shared" si="563"/>
        <v>1</v>
      </c>
      <c r="CA633" s="1">
        <f t="shared" si="563"/>
        <v>1</v>
      </c>
      <c r="CB633" s="1">
        <f t="shared" si="563"/>
        <v>1</v>
      </c>
      <c r="CC633" s="1">
        <f t="shared" si="563"/>
        <v>1</v>
      </c>
      <c r="CD633" s="1">
        <f t="shared" si="563"/>
        <v>1</v>
      </c>
      <c r="CE633" s="1">
        <f t="shared" si="563"/>
        <v>1</v>
      </c>
      <c r="CF633" s="1">
        <v>2</v>
      </c>
      <c r="CG633" s="1">
        <f t="shared" si="552"/>
        <v>0</v>
      </c>
      <c r="CH633" s="1">
        <v>2</v>
      </c>
      <c r="CI633" s="1">
        <v>1</v>
      </c>
      <c r="CJ633" s="1">
        <v>1</v>
      </c>
      <c r="CK633" s="1">
        <v>1</v>
      </c>
      <c r="CL633" s="1">
        <v>1</v>
      </c>
      <c r="CM633" s="1">
        <v>1</v>
      </c>
      <c r="CN633" s="1">
        <v>1</v>
      </c>
      <c r="CO633" s="1">
        <v>1</v>
      </c>
      <c r="CP633" s="1">
        <v>2</v>
      </c>
      <c r="CQ633" s="1">
        <v>2</v>
      </c>
      <c r="CR633" s="1">
        <v>2</v>
      </c>
      <c r="CS633" s="1">
        <v>2</v>
      </c>
      <c r="CT633" s="1">
        <v>2</v>
      </c>
      <c r="CU633" s="1">
        <v>2</v>
      </c>
      <c r="CV633" s="1">
        <f t="shared" si="541"/>
        <v>0</v>
      </c>
      <c r="CW633" s="1">
        <v>1</v>
      </c>
      <c r="CX633" s="1">
        <v>2</v>
      </c>
      <c r="CY633" s="1">
        <v>2</v>
      </c>
      <c r="CZ633" s="1">
        <f t="shared" si="553"/>
        <v>0</v>
      </c>
      <c r="DA633" s="1">
        <v>1</v>
      </c>
      <c r="DB633" s="1">
        <v>1</v>
      </c>
      <c r="DC633" s="1">
        <v>2</v>
      </c>
      <c r="DD633" s="1">
        <v>2</v>
      </c>
      <c r="DE633" s="1">
        <v>2</v>
      </c>
      <c r="DF633" s="1">
        <v>2</v>
      </c>
      <c r="DG633" s="1">
        <v>1</v>
      </c>
      <c r="DH633" s="1">
        <v>1</v>
      </c>
      <c r="DI633" s="1">
        <f t="shared" si="543"/>
        <v>0</v>
      </c>
      <c r="DJ633" s="1">
        <v>2</v>
      </c>
      <c r="DK633" s="1" t="s">
        <v>250</v>
      </c>
      <c r="DL633" s="1" t="s">
        <v>170</v>
      </c>
      <c r="DV633" s="1" t="b">
        <f>FtTrack</f>
        <v>0</v>
      </c>
      <c r="DW633" s="1" t="b">
        <f>OR(SkKnowledgeArcanaRanks&gt;=10,IF(NOT(ISNA(MATCH("Shadowlands",TblKnowledgeSkills,0))),INDEX(TblKnowledgeRanks,MATCH("Shadowlands",TblKnowledgeSkills,0),1)&gt;=10,FALSE))</f>
        <v>0</v>
      </c>
      <c r="DX633" s="1" t="b">
        <f>BaseAtk&gt;=5</f>
        <v>0</v>
      </c>
      <c r="DY633" s="1" t="b">
        <f>AlignmentNonEvil</f>
        <v>1</v>
      </c>
      <c r="DZ633" s="1" t="b">
        <f t="shared" si="554"/>
        <v>1</v>
      </c>
      <c r="EA633" s="1" t="b">
        <f t="shared" si="560"/>
        <v>0</v>
      </c>
      <c r="EB633" s="11" t="s">
        <v>338</v>
      </c>
      <c r="EC633" s="1" t="str">
        <f>IF(DY633,"","• Nonevil alignment.
")&amp;IF(DX633,"","• Base Attack Bonus +5.
")&amp;IF(DW633,"","• 10 ranks in Knowledge (arcana) or Knowledge (Shadowlands).
")&amp;IF(DV633,"","• Track feat.
")&amp;"• Able to cast Magic Circle against Taint or Magic Circle against Evil (not checked).
"&amp;"• Must have been selected and trained by another Witch Hunter (not checked).
"&amp;IF(DZ633,"","• Not available in Living Greyhawk.")</f>
        <v xml:space="preserve">• Base Attack Bonus +5.
• 10 ranks in Knowledge (arcana) or Knowledge (Shadowlands).
• Track feat.
• Able to cast Magic Circle against Taint or Magic Circle against Evil (not checked).
• Must have been selected and trained by another Witch Hunter (not checked).
</v>
      </c>
      <c r="ED633" s="11" t="s">
        <v>335</v>
      </c>
    </row>
    <row r="634" spans="1:134" ht="11.25" customHeight="1" x14ac:dyDescent="0.2">
      <c r="A634" s="1">
        <f t="shared" si="535"/>
        <v>631</v>
      </c>
      <c r="B634" s="1" t="s">
        <v>1494</v>
      </c>
      <c r="C634" s="1" t="s">
        <v>1495</v>
      </c>
      <c r="D634" s="1" t="s">
        <v>1495</v>
      </c>
      <c r="E634" s="1">
        <f t="shared" si="517"/>
        <v>0</v>
      </c>
      <c r="K634" s="1">
        <v>8</v>
      </c>
      <c r="L634" s="1">
        <v>6</v>
      </c>
      <c r="V634" s="1">
        <v>0.75</v>
      </c>
      <c r="W634" s="1">
        <v>0.34</v>
      </c>
      <c r="X634" s="1">
        <v>0.5</v>
      </c>
      <c r="Y634" s="1">
        <v>0.34</v>
      </c>
      <c r="Z634" s="1" t="b">
        <v>0</v>
      </c>
      <c r="AA634" s="1" t="str">
        <f t="shared" si="520"/>
        <v/>
      </c>
      <c r="AB634" s="1" t="str">
        <f t="shared" si="521"/>
        <v/>
      </c>
      <c r="AC634" s="1">
        <f t="shared" si="518"/>
        <v>0</v>
      </c>
      <c r="AD634" s="1" t="str">
        <f t="shared" si="522"/>
        <v/>
      </c>
      <c r="AE634" s="1" t="str">
        <f t="shared" si="523"/>
        <v/>
      </c>
      <c r="AF634" s="1">
        <f t="shared" si="519"/>
        <v>0</v>
      </c>
      <c r="AG634" s="1">
        <f t="shared" si="546"/>
        <v>5</v>
      </c>
      <c r="AH634" s="1" t="str">
        <f t="shared" si="545"/>
        <v/>
      </c>
      <c r="AI634" s="1">
        <v>1</v>
      </c>
      <c r="AJ634" s="1">
        <f t="shared" si="556"/>
        <v>0</v>
      </c>
      <c r="AK634" s="1">
        <v>1</v>
      </c>
      <c r="AL634" s="1">
        <v>2</v>
      </c>
      <c r="AM634" s="1">
        <v>1</v>
      </c>
      <c r="AN634" s="1">
        <f t="shared" si="557"/>
        <v>0</v>
      </c>
      <c r="AO634" s="1">
        <v>1</v>
      </c>
      <c r="AP634" s="1">
        <v>1</v>
      </c>
      <c r="AQ634" s="1">
        <v>1</v>
      </c>
      <c r="AR634" s="1">
        <v>1</v>
      </c>
      <c r="AS634" s="1">
        <v>1</v>
      </c>
      <c r="AT634" s="1">
        <v>1</v>
      </c>
      <c r="AU634" s="1">
        <v>1</v>
      </c>
      <c r="AV634" s="1">
        <v>1</v>
      </c>
      <c r="AW634" s="1">
        <v>1</v>
      </c>
      <c r="AX634" s="1">
        <v>2</v>
      </c>
      <c r="AY634" s="1">
        <v>2</v>
      </c>
      <c r="AZ634" s="1">
        <v>1</v>
      </c>
      <c r="BA634" s="1">
        <v>1</v>
      </c>
      <c r="BB634" s="1">
        <v>2</v>
      </c>
      <c r="BC634" s="1">
        <v>2</v>
      </c>
      <c r="BD634" s="1">
        <v>1</v>
      </c>
      <c r="BE634" s="1">
        <v>1</v>
      </c>
      <c r="BF634" s="1">
        <v>2</v>
      </c>
      <c r="BG634" s="1">
        <f t="shared" si="558"/>
        <v>0</v>
      </c>
      <c r="BH634" s="1">
        <v>1</v>
      </c>
      <c r="BI634" s="1">
        <v>2</v>
      </c>
      <c r="BJ634" s="1">
        <v>1</v>
      </c>
      <c r="BK634" s="1">
        <v>1</v>
      </c>
      <c r="BL634" s="1">
        <v>1</v>
      </c>
      <c r="BM634" s="1">
        <v>1</v>
      </c>
      <c r="BN634" s="1">
        <v>1</v>
      </c>
      <c r="BO634" s="1">
        <v>1</v>
      </c>
      <c r="BP634" s="1">
        <v>1</v>
      </c>
      <c r="BQ634" s="1">
        <f t="shared" si="559"/>
        <v>0</v>
      </c>
      <c r="BR634" s="1">
        <v>1</v>
      </c>
      <c r="BS634" s="1">
        <v>1</v>
      </c>
      <c r="BT634" s="1">
        <f t="shared" si="550"/>
        <v>0</v>
      </c>
      <c r="BU634" s="1">
        <f t="shared" si="551"/>
        <v>0</v>
      </c>
      <c r="BV634" s="1">
        <v>1</v>
      </c>
      <c r="BW634" s="1">
        <v>1</v>
      </c>
      <c r="BX634" s="1">
        <v>1</v>
      </c>
      <c r="BY634" s="1">
        <v>1</v>
      </c>
      <c r="BZ634" s="1">
        <v>1</v>
      </c>
      <c r="CA634" s="1">
        <v>1</v>
      </c>
      <c r="CB634" s="1">
        <v>1</v>
      </c>
      <c r="CC634" s="1">
        <v>1</v>
      </c>
      <c r="CD634" s="1">
        <v>1</v>
      </c>
      <c r="CE634" s="1">
        <v>1</v>
      </c>
      <c r="CF634" s="1">
        <v>2</v>
      </c>
      <c r="CG634" s="1">
        <f t="shared" si="552"/>
        <v>0</v>
      </c>
      <c r="CH634" s="1">
        <v>2</v>
      </c>
      <c r="CI634" s="1">
        <v>2</v>
      </c>
      <c r="CJ634" s="1">
        <v>1</v>
      </c>
      <c r="CK634" s="1">
        <v>1</v>
      </c>
      <c r="CL634" s="1">
        <v>1</v>
      </c>
      <c r="CM634" s="1">
        <v>1</v>
      </c>
      <c r="CN634" s="1">
        <v>1</v>
      </c>
      <c r="CO634" s="1">
        <v>1</v>
      </c>
      <c r="CP634" s="1">
        <v>1</v>
      </c>
      <c r="CQ634" s="1">
        <v>1</v>
      </c>
      <c r="CR634" s="1">
        <v>1</v>
      </c>
      <c r="CS634" s="1">
        <v>1</v>
      </c>
      <c r="CT634" s="1">
        <v>1</v>
      </c>
      <c r="CU634" s="1">
        <v>1</v>
      </c>
      <c r="CV634" s="1">
        <f t="shared" si="541"/>
        <v>0</v>
      </c>
      <c r="CW634" s="1">
        <v>1</v>
      </c>
      <c r="CX634" s="1">
        <v>1</v>
      </c>
      <c r="CY634" s="1">
        <v>2</v>
      </c>
      <c r="CZ634" s="1">
        <f t="shared" si="553"/>
        <v>0</v>
      </c>
      <c r="DA634" s="1">
        <v>2</v>
      </c>
      <c r="DB634" s="1">
        <v>1</v>
      </c>
      <c r="DC634" s="1">
        <v>1</v>
      </c>
      <c r="DD634" s="1">
        <v>2</v>
      </c>
      <c r="DE634" s="1">
        <v>1</v>
      </c>
      <c r="DF634" s="1">
        <v>1</v>
      </c>
      <c r="DG634" s="1">
        <v>1</v>
      </c>
      <c r="DH634" s="1">
        <v>1</v>
      </c>
      <c r="DI634" s="1">
        <f t="shared" si="543"/>
        <v>0</v>
      </c>
      <c r="DJ634" s="1">
        <v>1</v>
      </c>
      <c r="DK634" s="1" t="s">
        <v>250</v>
      </c>
      <c r="DL634" s="1" t="s">
        <v>170</v>
      </c>
      <c r="DU634" s="1" t="b">
        <f>FtDodgeEquiv</f>
        <v>0</v>
      </c>
      <c r="DV634" s="1" t="b">
        <f>SkHideRanks&gt;=7</f>
        <v>0</v>
      </c>
      <c r="DW634" s="1" t="b">
        <f>SkGatherInformationRanks&gt;=10</f>
        <v>0</v>
      </c>
      <c r="DX634" s="1" t="b">
        <f>SkBluffRanks&gt;=10</f>
        <v>0</v>
      </c>
      <c r="DY634" s="1" t="b">
        <f>AND(AlignmentNonChaotic,AlignmentNonGood)</f>
        <v>0</v>
      </c>
      <c r="DZ634" s="1" t="b">
        <f t="shared" si="554"/>
        <v>1</v>
      </c>
      <c r="EA634" s="1" t="b">
        <f t="shared" si="560"/>
        <v>0</v>
      </c>
      <c r="EB634" s="11" t="s">
        <v>334</v>
      </c>
      <c r="EC634" s="1" t="str">
        <f>IF(DY634,"","• Nonchaotic, nongood alignment.
")&amp;IF(DX634,"","•10 ranks in Bluff.
")&amp;IF(DW634,"","• 10 ranks in Gather Information.
")&amp;IF(DV634,"","• 7 ranks in Hide.
")&amp;IF(DU634,"","• Dodge feat.
")&amp;IF(DZ634,"","• Not available in Living Greyhawk.")</f>
        <v xml:space="preserve">• Nonchaotic, nongood alignment.
•10 ranks in Bluff.
• 10 ranks in Gather Information.
• 7 ranks in Hide.
• Dodge feat.
</v>
      </c>
      <c r="ED634" s="11" t="s">
        <v>335</v>
      </c>
    </row>
    <row r="635" spans="1:134" ht="11.25" customHeight="1" x14ac:dyDescent="0.2">
      <c r="A635" s="1">
        <f t="shared" si="535"/>
        <v>632</v>
      </c>
      <c r="B635" s="1" t="s">
        <v>1496</v>
      </c>
      <c r="E635" s="1">
        <f t="shared" si="517"/>
        <v>0</v>
      </c>
      <c r="F635" s="1">
        <v>1</v>
      </c>
      <c r="Z635" s="1" t="b">
        <f>FALSE</f>
        <v>0</v>
      </c>
      <c r="AA635" s="1" t="str">
        <f t="shared" si="520"/>
        <v/>
      </c>
      <c r="AB635" s="1" t="str">
        <f t="shared" si="521"/>
        <v/>
      </c>
      <c r="AC635" s="1">
        <f t="shared" si="518"/>
        <v>0</v>
      </c>
      <c r="AD635" s="1" t="str">
        <f t="shared" si="522"/>
        <v/>
      </c>
      <c r="AE635" s="1" t="str">
        <f t="shared" si="523"/>
        <v/>
      </c>
      <c r="AF635" s="1">
        <f t="shared" si="519"/>
        <v>0</v>
      </c>
      <c r="AG635" s="1">
        <f t="shared" si="546"/>
        <v>5</v>
      </c>
      <c r="AH635" s="1" t="str">
        <f t="shared" si="545"/>
        <v/>
      </c>
      <c r="EB635" s="11"/>
      <c r="ED635" s="11" t="s">
        <v>335</v>
      </c>
    </row>
    <row r="636" spans="1:134" ht="11.25" customHeight="1" x14ac:dyDescent="0.2">
      <c r="A636" s="1">
        <f t="shared" si="535"/>
        <v>633</v>
      </c>
      <c r="B636" s="1" t="s">
        <v>1497</v>
      </c>
      <c r="C636" s="1" t="s">
        <v>1498</v>
      </c>
      <c r="D636" s="1" t="s">
        <v>1498</v>
      </c>
      <c r="E636" s="1">
        <f t="shared" si="517"/>
        <v>0</v>
      </c>
      <c r="G636" s="1">
        <f>DrcLvl</f>
        <v>0</v>
      </c>
      <c r="K636" s="1">
        <v>2</v>
      </c>
      <c r="L636" s="1">
        <v>8</v>
      </c>
      <c r="V636" s="1">
        <v>0.75</v>
      </c>
      <c r="W636" s="1">
        <v>0.5</v>
      </c>
      <c r="X636" s="1">
        <v>0.34</v>
      </c>
      <c r="Y636" s="1">
        <v>0.5</v>
      </c>
      <c r="Z636" s="1" t="b">
        <f>FALSE</f>
        <v>0</v>
      </c>
      <c r="AA636" s="1" t="str">
        <f t="shared" si="520"/>
        <v/>
      </c>
      <c r="AB636" s="1" t="str">
        <f t="shared" si="521"/>
        <v/>
      </c>
      <c r="AC636" s="1">
        <f t="shared" si="518"/>
        <v>0</v>
      </c>
      <c r="AD636" s="1" t="str">
        <f t="shared" si="522"/>
        <v/>
      </c>
      <c r="AE636" s="1" t="str">
        <f t="shared" si="523"/>
        <v/>
      </c>
      <c r="AF636" s="1">
        <f t="shared" si="519"/>
        <v>0</v>
      </c>
      <c r="AG636" s="1">
        <f t="shared" si="546"/>
        <v>5</v>
      </c>
      <c r="AH636" s="1" t="str">
        <f t="shared" si="545"/>
        <v/>
      </c>
      <c r="AI636" s="1">
        <v>1</v>
      </c>
      <c r="AJ636" s="1">
        <f t="shared" ref="AJ636:AJ667" si="564">IF(HRXPH,1,0)</f>
        <v>0</v>
      </c>
      <c r="AK636" s="1">
        <v>1</v>
      </c>
      <c r="AL636" s="1">
        <v>2</v>
      </c>
      <c r="AM636" s="1">
        <v>1</v>
      </c>
      <c r="AN636" s="1">
        <f t="shared" ref="AN636:AN653" si="565">IF(IsLycanthrope,2,0)</f>
        <v>0</v>
      </c>
      <c r="AO636" s="1">
        <v>2</v>
      </c>
      <c r="AP636" s="1">
        <v>1</v>
      </c>
      <c r="AQ636" s="1">
        <v>1</v>
      </c>
      <c r="AR636" s="1">
        <v>1</v>
      </c>
      <c r="AS636" s="1">
        <v>1</v>
      </c>
      <c r="AT636" s="1">
        <v>1</v>
      </c>
      <c r="AU636" s="1">
        <v>1</v>
      </c>
      <c r="AV636" s="1">
        <v>1</v>
      </c>
      <c r="AW636" s="1">
        <v>1</v>
      </c>
      <c r="AX636" s="1">
        <v>2</v>
      </c>
      <c r="AY636" s="1">
        <v>1</v>
      </c>
      <c r="AZ636" s="1">
        <v>1</v>
      </c>
      <c r="BA636" s="1">
        <v>1</v>
      </c>
      <c r="BB636" s="1">
        <v>1</v>
      </c>
      <c r="BC636" s="1">
        <v>1</v>
      </c>
      <c r="BD636" s="1">
        <v>1</v>
      </c>
      <c r="BE636" s="1">
        <v>2</v>
      </c>
      <c r="BF636" s="1">
        <v>1</v>
      </c>
      <c r="BG636" s="1">
        <f t="shared" ref="BG636:BG666" si="566">IF(HRRVL,1,0)</f>
        <v>0</v>
      </c>
      <c r="BH636" s="1">
        <f t="shared" ref="BH636:BH653" si="567">IF(HROA,1,0)</f>
        <v>0</v>
      </c>
      <c r="BI636" s="1">
        <v>1</v>
      </c>
      <c r="BJ636" s="1">
        <v>2</v>
      </c>
      <c r="BK636" s="1">
        <v>2</v>
      </c>
      <c r="BL636" s="1">
        <v>1</v>
      </c>
      <c r="BM636" s="1">
        <v>1</v>
      </c>
      <c r="BN636" s="1">
        <v>1</v>
      </c>
      <c r="BO636" s="1">
        <v>1</v>
      </c>
      <c r="BP636" s="1">
        <v>1</v>
      </c>
      <c r="BQ636" s="1">
        <f>IF(HRRVL,1,0)</f>
        <v>0</v>
      </c>
      <c r="BR636" s="1">
        <v>1</v>
      </c>
      <c r="BS636" s="1">
        <v>1</v>
      </c>
      <c r="BT636" s="1">
        <f>IF(HRXPH,1,0)</f>
        <v>0</v>
      </c>
      <c r="BU636" s="1">
        <f>IF(HRRVL,2,0)</f>
        <v>0</v>
      </c>
      <c r="BV636" s="1">
        <v>2</v>
      </c>
      <c r="BW636" s="1">
        <v>1</v>
      </c>
      <c r="BX636" s="1">
        <v>1</v>
      </c>
      <c r="BY636" s="1">
        <v>1</v>
      </c>
      <c r="BZ636" s="1">
        <v>1</v>
      </c>
      <c r="CA636" s="1">
        <v>1</v>
      </c>
      <c r="CB636" s="1">
        <v>1</v>
      </c>
      <c r="CC636" s="1">
        <v>1</v>
      </c>
      <c r="CD636" s="1">
        <v>1</v>
      </c>
      <c r="CE636" s="1">
        <v>1</v>
      </c>
      <c r="CF636" s="1">
        <v>1</v>
      </c>
      <c r="CG636" s="1">
        <f t="shared" ref="CG636:CG666" si="568">IF(HRToB,1,0)</f>
        <v>0</v>
      </c>
      <c r="CH636" s="1">
        <v>1</v>
      </c>
      <c r="CI636" s="1">
        <v>1</v>
      </c>
      <c r="CJ636" s="1">
        <v>1</v>
      </c>
      <c r="CK636" s="1">
        <v>1</v>
      </c>
      <c r="CL636" s="1">
        <v>1</v>
      </c>
      <c r="CM636" s="1">
        <v>1</v>
      </c>
      <c r="CN636" s="1">
        <v>1</v>
      </c>
      <c r="CO636" s="1">
        <v>1</v>
      </c>
      <c r="CP636" s="1">
        <v>1</v>
      </c>
      <c r="CQ636" s="1">
        <v>1</v>
      </c>
      <c r="CR636" s="1">
        <v>1</v>
      </c>
      <c r="CS636" s="1">
        <v>1</v>
      </c>
      <c r="CT636" s="1">
        <v>1</v>
      </c>
      <c r="CU636" s="1">
        <v>1</v>
      </c>
      <c r="CV636" s="1">
        <f t="shared" ref="CV636:CV666" si="569">IF(HRXPH,1,0)</f>
        <v>0</v>
      </c>
      <c r="CW636" s="1">
        <v>1</v>
      </c>
      <c r="CX636" s="1">
        <v>1</v>
      </c>
      <c r="CY636" s="1">
        <v>1</v>
      </c>
      <c r="CZ636" s="1">
        <f t="shared" ref="CZ636:CZ666" si="570">IF(HRCS,1,0)</f>
        <v>0</v>
      </c>
      <c r="DA636" s="1">
        <v>1</v>
      </c>
      <c r="DB636" s="1">
        <v>1</v>
      </c>
      <c r="DC636" s="1">
        <v>2</v>
      </c>
      <c r="DD636" s="1">
        <v>1</v>
      </c>
      <c r="DE636" s="1">
        <v>1</v>
      </c>
      <c r="DF636" s="1">
        <v>1</v>
      </c>
      <c r="DG636" s="1">
        <v>1</v>
      </c>
      <c r="DH636" s="1">
        <v>1</v>
      </c>
      <c r="DI636" s="1">
        <f t="shared" ref="DI636:DI666" si="571">IF(HRXPH,1,0)</f>
        <v>0</v>
      </c>
      <c r="DJ636" s="1">
        <v>1</v>
      </c>
      <c r="DK636" s="1" t="s">
        <v>1499</v>
      </c>
      <c r="DL636" s="1" t="s">
        <v>101</v>
      </c>
      <c r="DR636" s="1" t="b">
        <f>RaceCi&lt;&gt;"Dragon"</f>
        <v>1</v>
      </c>
      <c r="DS636" s="1" t="b">
        <f>FtDragonfriend</f>
        <v>0</v>
      </c>
      <c r="DT636" s="1" t="b">
        <f>FtToughnessEquiv</f>
        <v>0</v>
      </c>
      <c r="DU636" s="1" t="b">
        <f>SkConcentrationRanks&gt;=8</f>
        <v>0</v>
      </c>
      <c r="DV636" s="1" t="b">
        <f>SkDiplomacyRanks&gt;=4</f>
        <v>0</v>
      </c>
      <c r="DW636" s="1" t="b">
        <f>SkKnowledgeReligionRanks&gt;=8</f>
        <v>0</v>
      </c>
      <c r="DX636" s="1" t="b">
        <f>SkKnowledgeArcanaRanks&gt;=4</f>
        <v>0</v>
      </c>
      <c r="DY636" s="1" t="b">
        <f>NOT(ISNA(MATCH("Draconic",TblLangKnown,0)))</f>
        <v>0</v>
      </c>
      <c r="DZ636" s="1" t="b">
        <f ca="1">MaxDivineSpellLevel&gt;=2</f>
        <v>0</v>
      </c>
      <c r="EA636" s="1" t="b">
        <f ca="1">AND(DM636:DZ636)</f>
        <v>0</v>
      </c>
      <c r="EB636" s="11" t="s">
        <v>334</v>
      </c>
      <c r="EC636" s="1" t="str">
        <f ca="1">IF(DR636,"","• You must not be a Dragon.
")&amp;IF(DS636,"","• Dragonfriend Feat.
")&amp;IF(DT636,"","• Toughness Feat.
")&amp;IF(DU636,"","• 8 ranks in Concentration.
")&amp;IF(DV636,"","• 4 Ranks in Diplomacy.
")&amp;IF(DW636,"","• 8 Ranks in Knowledge (Religion).
")&amp;IF(DX636,"","• 4 Ranks in Knowledge (Arcana).
")&amp;IF(DY636,"","• Draconic Language.
")&amp;IF(DZ636,"","• Ability to cast 2nd level Divine Spells.")</f>
        <v>• Dragonfriend Feat.
• Toughness Feat.
• 8 ranks in Concentration.
• 4 Ranks in Diplomacy.
• 8 Ranks in Knowledge (Religion).
• 4 Ranks in Knowledge (Arcana).
• Draconic Language.
• Ability to cast 2nd level Divine Spells.</v>
      </c>
      <c r="ED636" s="11" t="s">
        <v>335</v>
      </c>
    </row>
    <row r="637" spans="1:134" ht="11.25" customHeight="1" x14ac:dyDescent="0.2">
      <c r="A637" s="1">
        <f t="shared" si="535"/>
        <v>634</v>
      </c>
      <c r="B637" s="1" t="s">
        <v>1500</v>
      </c>
      <c r="C637" s="1" t="s">
        <v>1501</v>
      </c>
      <c r="D637" s="1" t="s">
        <v>1501</v>
      </c>
      <c r="E637" s="1">
        <f t="shared" si="517"/>
        <v>0</v>
      </c>
      <c r="K637" s="1">
        <v>4</v>
      </c>
      <c r="L637" s="1">
        <v>8</v>
      </c>
      <c r="V637" s="1">
        <v>1</v>
      </c>
      <c r="W637" s="1">
        <v>0.5</v>
      </c>
      <c r="X637" s="1">
        <v>0.34</v>
      </c>
      <c r="Y637" s="1">
        <v>0.34</v>
      </c>
      <c r="Z637" s="1" t="b">
        <f>FALSE</f>
        <v>0</v>
      </c>
      <c r="AA637" s="1" t="str">
        <f t="shared" si="520"/>
        <v/>
      </c>
      <c r="AB637" s="1" t="str">
        <f t="shared" si="521"/>
        <v/>
      </c>
      <c r="AC637" s="1">
        <f t="shared" si="518"/>
        <v>0</v>
      </c>
      <c r="AD637" s="1" t="str">
        <f t="shared" si="522"/>
        <v/>
      </c>
      <c r="AE637" s="1" t="str">
        <f t="shared" si="523"/>
        <v/>
      </c>
      <c r="AF637" s="1">
        <f t="shared" si="519"/>
        <v>0</v>
      </c>
      <c r="AG637" s="1">
        <f t="shared" si="546"/>
        <v>5</v>
      </c>
      <c r="AH637" s="1" t="str">
        <f t="shared" si="545"/>
        <v/>
      </c>
      <c r="AI637" s="1">
        <v>2</v>
      </c>
      <c r="AJ637" s="1">
        <f t="shared" si="564"/>
        <v>0</v>
      </c>
      <c r="AK637" s="1">
        <v>1</v>
      </c>
      <c r="AL637" s="1">
        <v>2</v>
      </c>
      <c r="AM637" s="1">
        <v>1</v>
      </c>
      <c r="AN637" s="1">
        <f t="shared" si="565"/>
        <v>0</v>
      </c>
      <c r="AO637" s="1">
        <v>1</v>
      </c>
      <c r="AP637" s="1">
        <v>2</v>
      </c>
      <c r="AQ637" s="1">
        <v>2</v>
      </c>
      <c r="AR637" s="1">
        <v>2</v>
      </c>
      <c r="AS637" s="1">
        <v>2</v>
      </c>
      <c r="AT637" s="1">
        <v>2</v>
      </c>
      <c r="AU637" s="1">
        <v>2</v>
      </c>
      <c r="AV637" s="1">
        <v>2</v>
      </c>
      <c r="AW637" s="1">
        <v>1</v>
      </c>
      <c r="AX637" s="1">
        <v>2</v>
      </c>
      <c r="AY637" s="1">
        <v>1</v>
      </c>
      <c r="AZ637" s="1">
        <v>1</v>
      </c>
      <c r="BA637" s="1">
        <v>1</v>
      </c>
      <c r="BB637" s="1">
        <v>1</v>
      </c>
      <c r="BC637" s="1">
        <v>1</v>
      </c>
      <c r="BD637" s="1">
        <v>1</v>
      </c>
      <c r="BE637" s="1">
        <v>1</v>
      </c>
      <c r="BF637" s="1">
        <v>1</v>
      </c>
      <c r="BG637" s="1">
        <f t="shared" si="566"/>
        <v>0</v>
      </c>
      <c r="BH637" s="1">
        <f t="shared" si="567"/>
        <v>0</v>
      </c>
      <c r="BI637" s="1">
        <v>2</v>
      </c>
      <c r="BJ637" s="1">
        <v>1</v>
      </c>
      <c r="BK637" s="1">
        <v>2</v>
      </c>
      <c r="BL637" s="1">
        <v>2</v>
      </c>
      <c r="BM637" s="1">
        <v>2</v>
      </c>
      <c r="BN637" s="1">
        <v>2</v>
      </c>
      <c r="BO637" s="1">
        <v>2</v>
      </c>
      <c r="BP637" s="1">
        <f>1+NOT(HRLivingGreyhawk)</f>
        <v>2</v>
      </c>
      <c r="BQ637" s="1">
        <f>IF(HRRVL,2,0)</f>
        <v>0</v>
      </c>
      <c r="BR637" s="1">
        <v>2</v>
      </c>
      <c r="BS637" s="1">
        <v>2</v>
      </c>
      <c r="BT637" s="1">
        <f>IF(HRXPH,2,0)</f>
        <v>0</v>
      </c>
      <c r="BU637" s="1">
        <f>IF(HRRVL,2,0)</f>
        <v>0</v>
      </c>
      <c r="BV637" s="1">
        <v>2</v>
      </c>
      <c r="BW637" s="1">
        <v>2</v>
      </c>
      <c r="BX637" s="1">
        <v>2</v>
      </c>
      <c r="BY637" s="1">
        <v>2</v>
      </c>
      <c r="BZ637" s="1">
        <v>2</v>
      </c>
      <c r="CA637" s="1">
        <v>2</v>
      </c>
      <c r="CB637" s="1">
        <v>2</v>
      </c>
      <c r="CC637" s="1">
        <v>2</v>
      </c>
      <c r="CD637" s="1">
        <v>2</v>
      </c>
      <c r="CE637" s="1">
        <v>2</v>
      </c>
      <c r="CF637" s="1">
        <v>1</v>
      </c>
      <c r="CG637" s="1">
        <f t="shared" si="568"/>
        <v>0</v>
      </c>
      <c r="CH637" s="1">
        <v>1</v>
      </c>
      <c r="CI637" s="1">
        <v>1</v>
      </c>
      <c r="CJ637" s="1">
        <v>1</v>
      </c>
      <c r="CK637" s="1">
        <v>1</v>
      </c>
      <c r="CL637" s="1">
        <v>1</v>
      </c>
      <c r="CM637" s="1">
        <v>1</v>
      </c>
      <c r="CN637" s="1">
        <v>1</v>
      </c>
      <c r="CO637" s="1">
        <v>1</v>
      </c>
      <c r="CP637" s="1">
        <v>2</v>
      </c>
      <c r="CQ637" s="1">
        <v>2</v>
      </c>
      <c r="CR637" s="1">
        <v>2</v>
      </c>
      <c r="CS637" s="1">
        <v>2</v>
      </c>
      <c r="CT637" s="1">
        <v>2</v>
      </c>
      <c r="CU637" s="1">
        <v>2</v>
      </c>
      <c r="CV637" s="1">
        <f t="shared" si="569"/>
        <v>0</v>
      </c>
      <c r="CW637" s="1">
        <v>1</v>
      </c>
      <c r="CX637" s="1">
        <v>2</v>
      </c>
      <c r="CY637" s="1">
        <v>1</v>
      </c>
      <c r="CZ637" s="1">
        <f t="shared" si="570"/>
        <v>0</v>
      </c>
      <c r="DA637" s="1">
        <v>1</v>
      </c>
      <c r="DB637" s="1">
        <v>1</v>
      </c>
      <c r="DC637" s="1">
        <v>1</v>
      </c>
      <c r="DD637" s="1">
        <v>2</v>
      </c>
      <c r="DE637" s="1">
        <v>1</v>
      </c>
      <c r="DF637" s="1">
        <v>1</v>
      </c>
      <c r="DG637" s="1">
        <v>1</v>
      </c>
      <c r="DH637" s="1">
        <v>1</v>
      </c>
      <c r="DI637" s="1">
        <f t="shared" si="571"/>
        <v>0</v>
      </c>
      <c r="DJ637" s="1">
        <v>1</v>
      </c>
      <c r="DK637" s="1" t="s">
        <v>1499</v>
      </c>
      <c r="DL637" s="1" t="s">
        <v>101</v>
      </c>
      <c r="DR637" s="1" t="b">
        <f>BaseAtk&gt;=6</f>
        <v>0</v>
      </c>
      <c r="DS637" s="1" t="b">
        <f>FtAlertness</f>
        <v>0</v>
      </c>
      <c r="DT637" s="1" t="b">
        <f>OR(FtEndurance,FtKoboldEndurance)</f>
        <v>0</v>
      </c>
      <c r="DU637" s="1" t="b">
        <f>SkKnowledgeArcanaRanks&gt;=4</f>
        <v>0</v>
      </c>
      <c r="DV637" s="1" t="b">
        <f>NOT(ISNA(MATCH("Draconic",TblLangKnown,0)))</f>
        <v>0</v>
      </c>
      <c r="EA637" s="1" t="b">
        <f t="shared" ref="EA637:EA651" si="572">AND(DM637:DZ637)</f>
        <v>0</v>
      </c>
      <c r="EB637" s="11" t="s">
        <v>334</v>
      </c>
      <c r="EC637" s="1" t="str">
        <f>IF(DR637,"","• Base attack bonus of +6 or better.
")&amp;IF(DS637,"","• Alertness Feat.
")&amp;IF(DT637,"","• Endurance Feat.
")&amp;IF(DU637,"","• 8 ranks in Knowledge (Arcana).
")&amp;IF(DV637,"","• Draconic Language.")</f>
        <v>• Base attack bonus of +6 or better.
• Alertness Feat.
• Endurance Feat.
• 8 ranks in Knowledge (Arcana).
• Draconic Language.</v>
      </c>
      <c r="ED637" s="11" t="s">
        <v>335</v>
      </c>
    </row>
    <row r="638" spans="1:134" ht="11.25" customHeight="1" x14ac:dyDescent="0.2">
      <c r="A638" s="1">
        <f t="shared" si="535"/>
        <v>635</v>
      </c>
      <c r="B638" s="1" t="s">
        <v>1502</v>
      </c>
      <c r="C638" s="1" t="s">
        <v>1503</v>
      </c>
      <c r="D638" s="1" t="s">
        <v>1503</v>
      </c>
      <c r="E638" s="1">
        <f t="shared" si="517"/>
        <v>0</v>
      </c>
      <c r="K638" s="1">
        <v>2</v>
      </c>
      <c r="L638" s="1">
        <v>10</v>
      </c>
      <c r="N638" s="1" t="b">
        <v>1</v>
      </c>
      <c r="O638" s="1" t="b">
        <v>1</v>
      </c>
      <c r="P638" s="1" t="b">
        <v>1</v>
      </c>
      <c r="Q638" s="1" t="b">
        <v>1</v>
      </c>
      <c r="R638" s="1" t="b">
        <v>1</v>
      </c>
      <c r="S638" s="1" t="b">
        <v>1</v>
      </c>
      <c r="T638" s="1" t="b">
        <v>1</v>
      </c>
      <c r="V638" s="1">
        <v>1</v>
      </c>
      <c r="W638" s="1">
        <v>0.5</v>
      </c>
      <c r="X638" s="1">
        <v>0.34</v>
      </c>
      <c r="Y638" s="1">
        <v>0.5</v>
      </c>
      <c r="Z638" s="1" t="b">
        <f>FALSE</f>
        <v>0</v>
      </c>
      <c r="AA638" s="1" t="str">
        <f t="shared" si="520"/>
        <v/>
      </c>
      <c r="AB638" s="1" t="str">
        <f t="shared" si="521"/>
        <v/>
      </c>
      <c r="AC638" s="1">
        <f t="shared" si="518"/>
        <v>0</v>
      </c>
      <c r="AD638" s="1" t="str">
        <f t="shared" si="522"/>
        <v/>
      </c>
      <c r="AE638" s="1" t="str">
        <f t="shared" si="523"/>
        <v/>
      </c>
      <c r="AF638" s="1">
        <f t="shared" si="519"/>
        <v>0</v>
      </c>
      <c r="AG638" s="1">
        <f t="shared" si="546"/>
        <v>5</v>
      </c>
      <c r="AH638" s="1" t="str">
        <f t="shared" si="545"/>
        <v/>
      </c>
      <c r="AI638" s="1">
        <v>1</v>
      </c>
      <c r="AJ638" s="1">
        <f t="shared" si="564"/>
        <v>0</v>
      </c>
      <c r="AK638" s="1">
        <v>2</v>
      </c>
      <c r="AL638" s="1">
        <v>1</v>
      </c>
      <c r="AM638" s="1">
        <v>1</v>
      </c>
      <c r="AN638" s="1">
        <f t="shared" si="565"/>
        <v>0</v>
      </c>
      <c r="AO638" s="1">
        <v>2</v>
      </c>
      <c r="AP638" s="1">
        <v>1</v>
      </c>
      <c r="AQ638" s="1">
        <v>1</v>
      </c>
      <c r="AR638" s="1">
        <v>1</v>
      </c>
      <c r="AS638" s="1">
        <v>1</v>
      </c>
      <c r="AT638" s="1">
        <v>1</v>
      </c>
      <c r="AU638" s="1">
        <v>1</v>
      </c>
      <c r="AV638" s="1">
        <v>1</v>
      </c>
      <c r="AW638" s="1">
        <v>1</v>
      </c>
      <c r="AX638" s="1">
        <v>2</v>
      </c>
      <c r="AY638" s="1">
        <v>1</v>
      </c>
      <c r="AZ638" s="1">
        <v>1</v>
      </c>
      <c r="BA638" s="1">
        <v>1</v>
      </c>
      <c r="BB638" s="1">
        <v>1</v>
      </c>
      <c r="BC638" s="1">
        <v>1</v>
      </c>
      <c r="BD638" s="1">
        <v>2</v>
      </c>
      <c r="BE638" s="1">
        <v>1</v>
      </c>
      <c r="BF638" s="1">
        <v>1</v>
      </c>
      <c r="BG638" s="1">
        <f t="shared" si="566"/>
        <v>0</v>
      </c>
      <c r="BH638" s="1">
        <f t="shared" si="567"/>
        <v>0</v>
      </c>
      <c r="BI638" s="1">
        <v>1</v>
      </c>
      <c r="BJ638" s="1">
        <v>2</v>
      </c>
      <c r="BK638" s="1">
        <v>1</v>
      </c>
      <c r="BL638" s="1">
        <v>1</v>
      </c>
      <c r="BM638" s="1">
        <v>1</v>
      </c>
      <c r="BN638" s="1">
        <v>1</v>
      </c>
      <c r="BO638" s="1">
        <v>1</v>
      </c>
      <c r="BP638" s="1">
        <v>1</v>
      </c>
      <c r="BQ638" s="1">
        <f t="shared" ref="BQ638:BQ647" si="573">IF(HRRVL,1,0)</f>
        <v>0</v>
      </c>
      <c r="BR638" s="1">
        <v>1</v>
      </c>
      <c r="BS638" s="1">
        <v>1</v>
      </c>
      <c r="BT638" s="1">
        <f t="shared" ref="BT638:BT647" si="574">IF(HRXPH,1,0)</f>
        <v>0</v>
      </c>
      <c r="BU638" s="1">
        <f>IF(HRRVL,1,0)</f>
        <v>0</v>
      </c>
      <c r="BV638" s="1">
        <v>1</v>
      </c>
      <c r="BW638" s="1">
        <v>1</v>
      </c>
      <c r="BX638" s="1">
        <v>1</v>
      </c>
      <c r="BY638" s="1">
        <v>1</v>
      </c>
      <c r="BZ638" s="1">
        <v>1</v>
      </c>
      <c r="CA638" s="1">
        <v>1</v>
      </c>
      <c r="CB638" s="1">
        <v>1</v>
      </c>
      <c r="CC638" s="1">
        <v>1</v>
      </c>
      <c r="CD638" s="1">
        <v>1</v>
      </c>
      <c r="CE638" s="1">
        <v>1</v>
      </c>
      <c r="CF638" s="1">
        <v>1</v>
      </c>
      <c r="CG638" s="1">
        <f t="shared" si="568"/>
        <v>0</v>
      </c>
      <c r="CH638" s="1">
        <v>1</v>
      </c>
      <c r="CI638" s="1">
        <v>1</v>
      </c>
      <c r="CJ638" s="1">
        <v>1</v>
      </c>
      <c r="CK638" s="1">
        <v>1</v>
      </c>
      <c r="CL638" s="1">
        <v>1</v>
      </c>
      <c r="CM638" s="1">
        <v>1</v>
      </c>
      <c r="CN638" s="1">
        <v>1</v>
      </c>
      <c r="CO638" s="1">
        <v>1</v>
      </c>
      <c r="CP638" s="1">
        <v>1</v>
      </c>
      <c r="CQ638" s="1">
        <v>1</v>
      </c>
      <c r="CR638" s="1">
        <v>1</v>
      </c>
      <c r="CS638" s="1">
        <v>1</v>
      </c>
      <c r="CT638" s="1">
        <v>1</v>
      </c>
      <c r="CU638" s="1">
        <v>1</v>
      </c>
      <c r="CV638" s="1">
        <f t="shared" si="569"/>
        <v>0</v>
      </c>
      <c r="CW638" s="1">
        <v>2</v>
      </c>
      <c r="CX638" s="1">
        <v>1</v>
      </c>
      <c r="CY638" s="1">
        <v>1</v>
      </c>
      <c r="CZ638" s="1">
        <f t="shared" si="570"/>
        <v>0</v>
      </c>
      <c r="DA638" s="1">
        <v>1</v>
      </c>
      <c r="DB638" s="1">
        <v>1</v>
      </c>
      <c r="DC638" s="1">
        <v>1</v>
      </c>
      <c r="DD638" s="1">
        <v>2</v>
      </c>
      <c r="DE638" s="1">
        <v>1</v>
      </c>
      <c r="DF638" s="1">
        <v>1</v>
      </c>
      <c r="DG638" s="1">
        <v>2</v>
      </c>
      <c r="DH638" s="1">
        <v>1</v>
      </c>
      <c r="DI638" s="1">
        <f t="shared" si="571"/>
        <v>0</v>
      </c>
      <c r="DJ638" s="1">
        <v>1</v>
      </c>
      <c r="DK638" s="1" t="s">
        <v>1499</v>
      </c>
      <c r="DL638" s="1" t="s">
        <v>101</v>
      </c>
      <c r="DR638" s="1" t="b">
        <f>BaseAtk&gt;=5</f>
        <v>0</v>
      </c>
      <c r="DS638" s="1" t="b">
        <f>FtMountedCombat</f>
        <v>0</v>
      </c>
      <c r="DT638" s="1" t="b">
        <f>NOT(ISNA(MATCH("Ride*",TblSkillFocus,0)))</f>
        <v>0</v>
      </c>
      <c r="DU638" s="1" t="b">
        <f>SkDiplomacyRanks&gt;=4</f>
        <v>0</v>
      </c>
      <c r="DV638" s="1" t="b">
        <f>SkHandleAnimalRanks&gt;=4</f>
        <v>0</v>
      </c>
      <c r="DW638" s="1" t="b">
        <f>SkRideRanks&gt;=8</f>
        <v>0</v>
      </c>
      <c r="DX638" s="1" t="b">
        <f>NOT(ISNA(MATCH("Draconic",TblLangKnown,0)))</f>
        <v>0</v>
      </c>
      <c r="EA638" s="1" t="b">
        <f t="shared" si="572"/>
        <v>0</v>
      </c>
      <c r="EB638" s="11" t="s">
        <v>334</v>
      </c>
      <c r="EC638" s="1" t="str">
        <f>IF(DR638,"","• Base attack bonus of +5 or better.
")&amp;IF(DS638,"","• Mounted Combat Feat.
")&amp;IF(DT638,"","• Skill Focus (Ride) Feat.
")&amp;IF(DU638,"","• 4 ranks in Diplomacy.
")&amp;IF(DV638,"","• 4 ranks in Handle Animal.
")&amp;IF(DW638,"","• 8 ranks in Ride.
")&amp;IF(DX638,"","• Draconic Language.")</f>
        <v>• Base attack bonus of +5 or better.
• Mounted Combat Feat.
• Skill Focus (Ride) Feat.
• 4 ranks in Diplomacy.
• 4 ranks in Handle Animal.
• 8 ranks in Ride.
• Draconic Language.</v>
      </c>
      <c r="ED638" s="11" t="s">
        <v>335</v>
      </c>
    </row>
    <row r="639" spans="1:134" ht="11.25" customHeight="1" x14ac:dyDescent="0.2">
      <c r="A639" s="1">
        <f t="shared" si="535"/>
        <v>636</v>
      </c>
      <c r="B639" s="1" t="s">
        <v>1504</v>
      </c>
      <c r="C639" s="1" t="s">
        <v>1505</v>
      </c>
      <c r="D639" s="1" t="s">
        <v>195</v>
      </c>
      <c r="E639" s="1">
        <f t="shared" si="517"/>
        <v>0</v>
      </c>
      <c r="G639" s="1">
        <f>INT((DgSLvl+1)/2)</f>
        <v>0</v>
      </c>
      <c r="K639" s="1">
        <v>2</v>
      </c>
      <c r="L639" s="1">
        <v>10</v>
      </c>
      <c r="N639" s="1" t="b">
        <v>1</v>
      </c>
      <c r="O639" s="1" t="b">
        <v>1</v>
      </c>
      <c r="P639" s="1" t="b">
        <v>1</v>
      </c>
      <c r="Q639" s="1" t="b">
        <v>1</v>
      </c>
      <c r="R639" s="1" t="b">
        <v>1</v>
      </c>
      <c r="S639" s="1" t="b">
        <v>1</v>
      </c>
      <c r="T639" s="1" t="b">
        <v>1</v>
      </c>
      <c r="V639" s="1">
        <v>1</v>
      </c>
      <c r="W639" s="1">
        <v>0.5</v>
      </c>
      <c r="X639" s="1">
        <v>0.34</v>
      </c>
      <c r="Y639" s="1">
        <v>0.5</v>
      </c>
      <c r="Z639" s="1" t="b">
        <f>FALSE</f>
        <v>0</v>
      </c>
      <c r="AA639" s="1" t="str">
        <f t="shared" si="520"/>
        <v/>
      </c>
      <c r="AB639" s="1" t="str">
        <f t="shared" si="521"/>
        <v/>
      </c>
      <c r="AC639" s="1">
        <f t="shared" si="518"/>
        <v>0</v>
      </c>
      <c r="AD639" s="1" t="str">
        <f t="shared" si="522"/>
        <v/>
      </c>
      <c r="AE639" s="1" t="str">
        <f t="shared" si="523"/>
        <v/>
      </c>
      <c r="AF639" s="1">
        <f t="shared" si="519"/>
        <v>0</v>
      </c>
      <c r="AG639" s="1">
        <f t="shared" si="546"/>
        <v>5</v>
      </c>
      <c r="AH639" s="1" t="str">
        <f t="shared" si="545"/>
        <v/>
      </c>
      <c r="AI639" s="1">
        <v>1</v>
      </c>
      <c r="AJ639" s="1">
        <f t="shared" si="564"/>
        <v>0</v>
      </c>
      <c r="AK639" s="1">
        <v>1</v>
      </c>
      <c r="AL639" s="1">
        <v>1</v>
      </c>
      <c r="AM639" s="1">
        <v>2</v>
      </c>
      <c r="AN639" s="1">
        <f t="shared" si="565"/>
        <v>0</v>
      </c>
      <c r="AO639" s="1">
        <v>1</v>
      </c>
      <c r="AP639" s="1">
        <v>2</v>
      </c>
      <c r="AQ639" s="1">
        <v>2</v>
      </c>
      <c r="AR639" s="1">
        <v>2</v>
      </c>
      <c r="AS639" s="1">
        <v>2</v>
      </c>
      <c r="AT639" s="1">
        <v>2</v>
      </c>
      <c r="AU639" s="1">
        <v>2</v>
      </c>
      <c r="AV639" s="1">
        <v>2</v>
      </c>
      <c r="AW639" s="1">
        <v>1</v>
      </c>
      <c r="AX639" s="1">
        <v>1</v>
      </c>
      <c r="AY639" s="1">
        <v>1</v>
      </c>
      <c r="AZ639" s="1">
        <v>1</v>
      </c>
      <c r="BA639" s="1">
        <v>1</v>
      </c>
      <c r="BB639" s="1">
        <v>1</v>
      </c>
      <c r="BC639" s="1">
        <v>1</v>
      </c>
      <c r="BD639" s="1">
        <v>1</v>
      </c>
      <c r="BE639" s="1">
        <v>1</v>
      </c>
      <c r="BF639" s="1">
        <v>1</v>
      </c>
      <c r="BG639" s="1">
        <f t="shared" si="566"/>
        <v>0</v>
      </c>
      <c r="BH639" s="1">
        <f t="shared" si="567"/>
        <v>0</v>
      </c>
      <c r="BI639" s="1">
        <v>2</v>
      </c>
      <c r="BJ639" s="1">
        <v>2</v>
      </c>
      <c r="BK639" s="1">
        <v>2</v>
      </c>
      <c r="BL639" s="1">
        <v>1</v>
      </c>
      <c r="BM639" s="1">
        <v>1</v>
      </c>
      <c r="BN639" s="1">
        <v>1</v>
      </c>
      <c r="BO639" s="1">
        <v>1</v>
      </c>
      <c r="BP639" s="1">
        <v>1</v>
      </c>
      <c r="BQ639" s="1">
        <f t="shared" si="573"/>
        <v>0</v>
      </c>
      <c r="BR639" s="1">
        <v>1</v>
      </c>
      <c r="BS639" s="1">
        <v>1</v>
      </c>
      <c r="BT639" s="1">
        <f t="shared" si="574"/>
        <v>0</v>
      </c>
      <c r="BU639" s="1">
        <f>IF(HRRVL,1,0)</f>
        <v>0</v>
      </c>
      <c r="BV639" s="1">
        <v>1</v>
      </c>
      <c r="BW639" s="1">
        <v>1</v>
      </c>
      <c r="BX639" s="1">
        <v>1</v>
      </c>
      <c r="BY639" s="1">
        <v>1</v>
      </c>
      <c r="BZ639" s="1">
        <v>1</v>
      </c>
      <c r="CA639" s="1">
        <v>1</v>
      </c>
      <c r="CB639" s="1">
        <v>1</v>
      </c>
      <c r="CC639" s="1">
        <v>1</v>
      </c>
      <c r="CD639" s="1">
        <v>1</v>
      </c>
      <c r="CE639" s="1">
        <v>1</v>
      </c>
      <c r="CF639" s="1">
        <v>1</v>
      </c>
      <c r="CG639" s="1">
        <f t="shared" si="568"/>
        <v>0</v>
      </c>
      <c r="CH639" s="1">
        <v>1</v>
      </c>
      <c r="CI639" s="1">
        <v>1</v>
      </c>
      <c r="CJ639" s="1">
        <v>1</v>
      </c>
      <c r="CK639" s="1">
        <v>1</v>
      </c>
      <c r="CL639" s="1">
        <v>1</v>
      </c>
      <c r="CM639" s="1">
        <v>1</v>
      </c>
      <c r="CN639" s="1">
        <v>1</v>
      </c>
      <c r="CO639" s="1">
        <v>1</v>
      </c>
      <c r="CP639" s="1">
        <v>1</v>
      </c>
      <c r="CQ639" s="1">
        <v>1</v>
      </c>
      <c r="CR639" s="1">
        <v>1</v>
      </c>
      <c r="CS639" s="1">
        <v>1</v>
      </c>
      <c r="CT639" s="1">
        <v>1</v>
      </c>
      <c r="CU639" s="1">
        <v>1</v>
      </c>
      <c r="CV639" s="1">
        <f t="shared" si="569"/>
        <v>0</v>
      </c>
      <c r="CW639" s="1">
        <v>1</v>
      </c>
      <c r="CX639" s="1">
        <v>2</v>
      </c>
      <c r="CY639" s="1">
        <v>1</v>
      </c>
      <c r="CZ639" s="1">
        <f t="shared" si="570"/>
        <v>0</v>
      </c>
      <c r="DA639" s="1">
        <v>1</v>
      </c>
      <c r="DB639" s="1">
        <v>1</v>
      </c>
      <c r="DC639" s="1">
        <v>1</v>
      </c>
      <c r="DD639" s="1">
        <v>1</v>
      </c>
      <c r="DE639" s="1">
        <v>1</v>
      </c>
      <c r="DF639" s="1">
        <v>1</v>
      </c>
      <c r="DG639" s="1">
        <v>2</v>
      </c>
      <c r="DH639" s="1">
        <v>1</v>
      </c>
      <c r="DI639" s="1">
        <f t="shared" si="571"/>
        <v>0</v>
      </c>
      <c r="DJ639" s="1">
        <v>1</v>
      </c>
      <c r="DK639" s="1" t="s">
        <v>1499</v>
      </c>
      <c r="DL639" s="1" t="s">
        <v>101</v>
      </c>
      <c r="DR639" s="1" t="b">
        <f>BaseAtk&gt;=5</f>
        <v>0</v>
      </c>
      <c r="DS639" s="1" t="b">
        <f>FtDodgeEquiv</f>
        <v>0</v>
      </c>
      <c r="DT639" s="1" t="b">
        <f>FtIronWill</f>
        <v>0</v>
      </c>
      <c r="DU639" s="1" t="b">
        <f>SkTumbleRanks&gt;=2</f>
        <v>0</v>
      </c>
      <c r="EA639" s="1" t="b">
        <f t="shared" si="572"/>
        <v>0</v>
      </c>
      <c r="EB639" s="11" t="s">
        <v>334</v>
      </c>
      <c r="EC639" s="1" t="str">
        <f>IF(DR639,"","• Base attack bonus of +5 or better.
")&amp;IF(DS639,"","• Dodge Feat.
")&amp;IF(DT639,"","• Iron Will Feat.
")&amp;IF(DU639,"","• 2 ranks in Tumble.")</f>
        <v>• Base attack bonus of +5 or better.
• Dodge Feat.
• Iron Will Feat.
• 2 ranks in Tumble.</v>
      </c>
      <c r="ED639" s="11" t="s">
        <v>335</v>
      </c>
    </row>
    <row r="640" spans="1:134" ht="11.25" customHeight="1" x14ac:dyDescent="0.2">
      <c r="A640" s="1">
        <f t="shared" si="535"/>
        <v>637</v>
      </c>
      <c r="B640" s="1" t="s">
        <v>1506</v>
      </c>
      <c r="C640" s="1" t="s">
        <v>1507</v>
      </c>
      <c r="D640" s="1" t="s">
        <v>1507</v>
      </c>
      <c r="E640" s="1">
        <f t="shared" ref="E640:E708" si="575">$AC640+$AF640+IF(HasVirtualClasses,COUNTIF(TblVClassesAtLvlCS,$A640),0)</f>
        <v>0</v>
      </c>
      <c r="G640" s="1">
        <f>INT(DSLLvl/2)</f>
        <v>0</v>
      </c>
      <c r="K640" s="1">
        <v>4</v>
      </c>
      <c r="L640" s="1">
        <v>6</v>
      </c>
      <c r="N640" s="1" t="b">
        <v>1</v>
      </c>
      <c r="V640" s="1">
        <v>0.75</v>
      </c>
      <c r="W640" s="1">
        <v>0.34</v>
      </c>
      <c r="X640" s="1">
        <v>0.5</v>
      </c>
      <c r="Y640" s="1">
        <v>0.5</v>
      </c>
      <c r="Z640" s="1" t="b">
        <f>FALSE</f>
        <v>0</v>
      </c>
      <c r="AA640" s="1" t="str">
        <f t="shared" si="520"/>
        <v/>
      </c>
      <c r="AB640" s="1" t="str">
        <f t="shared" si="521"/>
        <v/>
      </c>
      <c r="AC640" s="1">
        <f t="shared" ref="AC640:AC708" si="576">COUNTIF(TblClassesAtLvlCS,$A640)</f>
        <v>0</v>
      </c>
      <c r="AD640" s="1" t="str">
        <f t="shared" si="522"/>
        <v/>
      </c>
      <c r="AE640" s="1" t="str">
        <f t="shared" si="523"/>
        <v/>
      </c>
      <c r="AF640" s="1">
        <f t="shared" ref="AF640:AF708" si="577">IF(HRGestalt,COUNTIF(TblGClassesAtLvlCS,$A640),0)</f>
        <v>0</v>
      </c>
      <c r="AG640" s="1">
        <f t="shared" si="546"/>
        <v>5</v>
      </c>
      <c r="AH640" s="1" t="str">
        <f t="shared" si="545"/>
        <v/>
      </c>
      <c r="AI640" s="1">
        <v>1</v>
      </c>
      <c r="AJ640" s="1">
        <f t="shared" si="564"/>
        <v>0</v>
      </c>
      <c r="AK640" s="1">
        <v>1</v>
      </c>
      <c r="AL640" s="1">
        <v>2</v>
      </c>
      <c r="AM640" s="1">
        <v>1</v>
      </c>
      <c r="AN640" s="1">
        <f t="shared" si="565"/>
        <v>0</v>
      </c>
      <c r="AO640" s="1">
        <v>2</v>
      </c>
      <c r="AP640" s="1">
        <v>2</v>
      </c>
      <c r="AQ640" s="1">
        <v>2</v>
      </c>
      <c r="AR640" s="1">
        <v>2</v>
      </c>
      <c r="AS640" s="1">
        <v>2</v>
      </c>
      <c r="AT640" s="1">
        <v>2</v>
      </c>
      <c r="AU640" s="1">
        <v>2</v>
      </c>
      <c r="AV640" s="1">
        <v>2</v>
      </c>
      <c r="AW640" s="1">
        <v>1</v>
      </c>
      <c r="AX640" s="1">
        <v>2</v>
      </c>
      <c r="AY640" s="1">
        <v>1</v>
      </c>
      <c r="AZ640" s="1">
        <v>1</v>
      </c>
      <c r="BA640" s="1">
        <v>1</v>
      </c>
      <c r="BB640" s="1">
        <v>1</v>
      </c>
      <c r="BC640" s="1">
        <v>1</v>
      </c>
      <c r="BD640" s="1">
        <v>1</v>
      </c>
      <c r="BE640" s="1">
        <v>1</v>
      </c>
      <c r="BF640" s="1">
        <v>1</v>
      </c>
      <c r="BG640" s="1">
        <f t="shared" si="566"/>
        <v>0</v>
      </c>
      <c r="BH640" s="1">
        <f t="shared" si="567"/>
        <v>0</v>
      </c>
      <c r="BI640" s="1">
        <v>1</v>
      </c>
      <c r="BJ640" s="1">
        <v>1</v>
      </c>
      <c r="BK640" s="1">
        <v>2</v>
      </c>
      <c r="BL640" s="1">
        <v>1</v>
      </c>
      <c r="BM640" s="1">
        <v>1</v>
      </c>
      <c r="BN640" s="1">
        <v>1</v>
      </c>
      <c r="BO640" s="1">
        <v>1</v>
      </c>
      <c r="BP640" s="1">
        <v>1</v>
      </c>
      <c r="BQ640" s="1">
        <f t="shared" si="573"/>
        <v>0</v>
      </c>
      <c r="BR640" s="1">
        <v>1</v>
      </c>
      <c r="BS640" s="1">
        <v>1</v>
      </c>
      <c r="BT640" s="1">
        <f t="shared" si="574"/>
        <v>0</v>
      </c>
      <c r="BU640" s="1">
        <f>IF(HRRVL,1,0)</f>
        <v>0</v>
      </c>
      <c r="BV640" s="1">
        <v>1</v>
      </c>
      <c r="BW640" s="1">
        <v>1</v>
      </c>
      <c r="BX640" s="1">
        <v>1</v>
      </c>
      <c r="BY640" s="1">
        <v>1</v>
      </c>
      <c r="BZ640" s="1">
        <v>1</v>
      </c>
      <c r="CA640" s="1">
        <v>1</v>
      </c>
      <c r="CB640" s="1">
        <v>1</v>
      </c>
      <c r="CC640" s="1">
        <v>1</v>
      </c>
      <c r="CD640" s="1">
        <v>1</v>
      </c>
      <c r="CE640" s="1">
        <v>1</v>
      </c>
      <c r="CF640" s="1">
        <v>2</v>
      </c>
      <c r="CG640" s="1">
        <f t="shared" si="568"/>
        <v>0</v>
      </c>
      <c r="CH640" s="1">
        <v>1</v>
      </c>
      <c r="CI640" s="1">
        <v>1</v>
      </c>
      <c r="CJ640" s="1">
        <v>2</v>
      </c>
      <c r="CK640" s="1">
        <v>2</v>
      </c>
      <c r="CL640" s="1">
        <v>2</v>
      </c>
      <c r="CM640" s="1">
        <v>2</v>
      </c>
      <c r="CN640" s="1">
        <v>2</v>
      </c>
      <c r="CO640" s="1">
        <v>2</v>
      </c>
      <c r="CP640" s="1">
        <v>1</v>
      </c>
      <c r="CQ640" s="1">
        <v>1</v>
      </c>
      <c r="CR640" s="1">
        <v>1</v>
      </c>
      <c r="CS640" s="1">
        <v>1</v>
      </c>
      <c r="CT640" s="1">
        <v>1</v>
      </c>
      <c r="CU640" s="1">
        <v>1</v>
      </c>
      <c r="CV640" s="1">
        <f t="shared" si="569"/>
        <v>0</v>
      </c>
      <c r="CW640" s="1">
        <v>1</v>
      </c>
      <c r="CX640" s="1">
        <v>1</v>
      </c>
      <c r="CY640" s="1">
        <v>2</v>
      </c>
      <c r="CZ640" s="1">
        <f t="shared" si="570"/>
        <v>0</v>
      </c>
      <c r="DA640" s="1">
        <v>1</v>
      </c>
      <c r="DB640" s="1">
        <v>1</v>
      </c>
      <c r="DC640" s="1">
        <v>1</v>
      </c>
      <c r="DD640" s="1">
        <v>1</v>
      </c>
      <c r="DE640" s="1">
        <v>1</v>
      </c>
      <c r="DF640" s="1">
        <v>1</v>
      </c>
      <c r="DG640" s="1">
        <v>1</v>
      </c>
      <c r="DH640" s="1">
        <v>1</v>
      </c>
      <c r="DI640" s="1">
        <f t="shared" si="571"/>
        <v>0</v>
      </c>
      <c r="DJ640" s="1">
        <v>1</v>
      </c>
      <c r="DK640" s="1" t="s">
        <v>1499</v>
      </c>
      <c r="DL640" s="1" t="s">
        <v>101</v>
      </c>
      <c r="DR640" s="1" t="b">
        <f>AlignmentNonEvil</f>
        <v>1</v>
      </c>
      <c r="DS640" s="1" t="b">
        <f>FtDragonsong</f>
        <v>0</v>
      </c>
      <c r="DT640" s="1" t="b">
        <f>SkConcentrationRanks&gt;=5</f>
        <v>0</v>
      </c>
      <c r="DU640" s="1" t="b">
        <f>SkDiplomacyRanks&gt;=5</f>
        <v>0</v>
      </c>
      <c r="DV640" s="1" t="b">
        <f>SkKnowledgeArcanaRanks&gt;=5</f>
        <v>0</v>
      </c>
      <c r="DW640" s="1" t="b">
        <f>SkPerformRanks&gt;=10</f>
        <v>0</v>
      </c>
      <c r="DX640" s="1" t="b">
        <f>NOT(ISNA(MATCH("Draconic",TblLangKnown,0)))</f>
        <v>0</v>
      </c>
      <c r="EA640" s="1" t="b">
        <f t="shared" si="572"/>
        <v>0</v>
      </c>
      <c r="EB640" s="11" t="s">
        <v>334</v>
      </c>
      <c r="EC640" s="1" t="str">
        <f>IF(DR640,"","• Any non-evil alignment.
")&amp;IF(DS640,"","• Dragonsong Feat.
")&amp;IF(DT640,"","• 5 ranks in Concentration.
")&amp;IF(DU640,"","• 5 ranks in Diplomacy.
")&amp;IF(DV640,"","• 5 ranks in Knowledge (Arcana).
")&amp;IF(DW640,"","• 10 ranks in Perform (Oratory) or Perform (Sing).
")&amp;IF(DX640,"","• Draconic Language.")</f>
        <v>• Dragonsong Feat.
• 5 ranks in Concentration.
• 5 ranks in Diplomacy.
• 5 ranks in Knowledge (Arcana).
• 10 ranks in Perform (Oratory) or Perform (Sing).
• Draconic Language.</v>
      </c>
      <c r="ED640" s="11" t="s">
        <v>335</v>
      </c>
    </row>
    <row r="641" spans="1:134" ht="11.25" customHeight="1" x14ac:dyDescent="0.2">
      <c r="A641" s="1">
        <f t="shared" si="535"/>
        <v>638</v>
      </c>
      <c r="B641" s="1" t="s">
        <v>1508</v>
      </c>
      <c r="C641" s="1" t="s">
        <v>1509</v>
      </c>
      <c r="D641" s="1" t="s">
        <v>1509</v>
      </c>
      <c r="E641" s="1">
        <f t="shared" si="575"/>
        <v>0</v>
      </c>
      <c r="K641" s="1">
        <v>4</v>
      </c>
      <c r="L641" s="1">
        <v>8</v>
      </c>
      <c r="N641" s="1" t="b">
        <v>1</v>
      </c>
      <c r="Q641" s="1" t="b">
        <v>1</v>
      </c>
      <c r="S641" s="1" t="b">
        <v>1</v>
      </c>
      <c r="V641" s="1">
        <v>1</v>
      </c>
      <c r="W641" s="1">
        <v>0.34</v>
      </c>
      <c r="X641" s="1">
        <v>0.5</v>
      </c>
      <c r="Y641" s="1">
        <v>0.5</v>
      </c>
      <c r="Z641" s="1" t="b">
        <f>FALSE</f>
        <v>0</v>
      </c>
      <c r="AA641" s="1" t="str">
        <f t="shared" ref="AA641:AA709" si="578">IF($AC641=0,"",IF($Z641,"Ex-","")&amp;$B641)</f>
        <v/>
      </c>
      <c r="AB641" s="1" t="str">
        <f t="shared" ref="AB641:AB709" si="579">IF($AC641=0,"",IF($Z641,"Ex-","")&amp;$C641)</f>
        <v/>
      </c>
      <c r="AC641" s="1">
        <f t="shared" si="576"/>
        <v>0</v>
      </c>
      <c r="AD641" s="1" t="str">
        <f t="shared" ref="AD641:AD709" si="580">IF($AF641=0,"",IF($Z641,"Ex-","")&amp;$B641)</f>
        <v/>
      </c>
      <c r="AE641" s="1" t="str">
        <f t="shared" ref="AE641:AE709" si="581">IF($AF641=0,"",IF($Z641,"Ex-","")&amp;$C641)</f>
        <v/>
      </c>
      <c r="AF641" s="1">
        <f t="shared" si="577"/>
        <v>0</v>
      </c>
      <c r="AG641" s="1">
        <f t="shared" si="546"/>
        <v>5</v>
      </c>
      <c r="AH641" s="1" t="str">
        <f t="shared" si="545"/>
        <v/>
      </c>
      <c r="AI641" s="1">
        <v>1</v>
      </c>
      <c r="AJ641" s="1">
        <f t="shared" si="564"/>
        <v>0</v>
      </c>
      <c r="AK641" s="1">
        <v>1</v>
      </c>
      <c r="AL641" s="1">
        <v>2</v>
      </c>
      <c r="AM641" s="1">
        <v>2</v>
      </c>
      <c r="AN641" s="1">
        <f t="shared" si="565"/>
        <v>0</v>
      </c>
      <c r="AO641" s="1">
        <v>1</v>
      </c>
      <c r="AP641" s="1">
        <v>2</v>
      </c>
      <c r="AQ641" s="1">
        <v>2</v>
      </c>
      <c r="AR641" s="1">
        <v>2</v>
      </c>
      <c r="AS641" s="1">
        <v>2</v>
      </c>
      <c r="AT641" s="1">
        <v>2</v>
      </c>
      <c r="AU641" s="1">
        <v>2</v>
      </c>
      <c r="AV641" s="1">
        <v>2</v>
      </c>
      <c r="AW641" s="1">
        <v>1</v>
      </c>
      <c r="AX641" s="1">
        <v>2</v>
      </c>
      <c r="AY641" s="1">
        <v>1</v>
      </c>
      <c r="AZ641" s="1">
        <v>2</v>
      </c>
      <c r="BA641" s="1">
        <v>1</v>
      </c>
      <c r="BB641" s="1">
        <v>1</v>
      </c>
      <c r="BC641" s="1">
        <v>2</v>
      </c>
      <c r="BD641" s="1">
        <v>1</v>
      </c>
      <c r="BE641" s="1">
        <v>1</v>
      </c>
      <c r="BF641" s="1">
        <v>2</v>
      </c>
      <c r="BG641" s="1">
        <f t="shared" si="566"/>
        <v>0</v>
      </c>
      <c r="BH641" s="1">
        <f t="shared" si="567"/>
        <v>0</v>
      </c>
      <c r="BI641" s="1">
        <v>1</v>
      </c>
      <c r="BJ641" s="1">
        <v>2</v>
      </c>
      <c r="BK641" s="1">
        <v>2</v>
      </c>
      <c r="BL641" s="1">
        <v>1</v>
      </c>
      <c r="BM641" s="1">
        <v>1</v>
      </c>
      <c r="BN641" s="1">
        <v>1</v>
      </c>
      <c r="BO641" s="1">
        <v>1</v>
      </c>
      <c r="BP641" s="1">
        <f>1+NOT(HRLivingGreyhawk)</f>
        <v>2</v>
      </c>
      <c r="BQ641" s="1">
        <f t="shared" si="573"/>
        <v>0</v>
      </c>
      <c r="BR641" s="1">
        <v>1</v>
      </c>
      <c r="BS641" s="1">
        <v>1</v>
      </c>
      <c r="BT641" s="1">
        <f t="shared" si="574"/>
        <v>0</v>
      </c>
      <c r="BU641" s="1">
        <f>IF(HRRVL,1,0)</f>
        <v>0</v>
      </c>
      <c r="BV641" s="1">
        <v>1</v>
      </c>
      <c r="BW641" s="1">
        <v>1</v>
      </c>
      <c r="BX641" s="1">
        <v>1</v>
      </c>
      <c r="BY641" s="1">
        <v>1</v>
      </c>
      <c r="BZ641" s="1">
        <v>1</v>
      </c>
      <c r="CA641" s="1">
        <v>1</v>
      </c>
      <c r="CB641" s="1">
        <v>1</v>
      </c>
      <c r="CC641" s="1">
        <v>1</v>
      </c>
      <c r="CD641" s="1">
        <v>1</v>
      </c>
      <c r="CE641" s="1">
        <v>1</v>
      </c>
      <c r="CF641" s="1">
        <v>2</v>
      </c>
      <c r="CG641" s="1">
        <f t="shared" si="568"/>
        <v>0</v>
      </c>
      <c r="CH641" s="1">
        <v>2</v>
      </c>
      <c r="CI641" s="1">
        <v>1</v>
      </c>
      <c r="CJ641" s="1">
        <v>1</v>
      </c>
      <c r="CK641" s="1">
        <v>1</v>
      </c>
      <c r="CL641" s="1">
        <v>1</v>
      </c>
      <c r="CM641" s="1">
        <v>1</v>
      </c>
      <c r="CN641" s="1">
        <v>1</v>
      </c>
      <c r="CO641" s="1">
        <v>1</v>
      </c>
      <c r="CP641" s="1">
        <v>1</v>
      </c>
      <c r="CQ641" s="1">
        <v>1</v>
      </c>
      <c r="CR641" s="1">
        <v>1</v>
      </c>
      <c r="CS641" s="1">
        <v>1</v>
      </c>
      <c r="CT641" s="1">
        <v>1</v>
      </c>
      <c r="CU641" s="1">
        <v>1</v>
      </c>
      <c r="CV641" s="1">
        <f t="shared" si="569"/>
        <v>0</v>
      </c>
      <c r="CW641" s="1">
        <v>1</v>
      </c>
      <c r="CX641" s="1">
        <v>2</v>
      </c>
      <c r="CY641" s="1">
        <v>1</v>
      </c>
      <c r="CZ641" s="1">
        <f t="shared" si="570"/>
        <v>0</v>
      </c>
      <c r="DA641" s="1">
        <v>1</v>
      </c>
      <c r="DB641" s="1">
        <v>1</v>
      </c>
      <c r="DC641" s="1">
        <v>1</v>
      </c>
      <c r="DD641" s="1">
        <v>2</v>
      </c>
      <c r="DE641" s="1">
        <v>2</v>
      </c>
      <c r="DF641" s="1">
        <v>1</v>
      </c>
      <c r="DG641" s="1">
        <v>1</v>
      </c>
      <c r="DH641" s="1">
        <v>1</v>
      </c>
      <c r="DI641" s="1">
        <f t="shared" si="571"/>
        <v>0</v>
      </c>
      <c r="DJ641" s="1">
        <v>1</v>
      </c>
      <c r="DK641" s="1" t="s">
        <v>1499</v>
      </c>
      <c r="DL641" s="1" t="s">
        <v>101</v>
      </c>
      <c r="DR641" s="1" t="b">
        <f>BaseAtk&gt;=5</f>
        <v>0</v>
      </c>
      <c r="DS641" s="1" t="b">
        <f>FtBlindFight</f>
        <v>0</v>
      </c>
      <c r="DT641" s="1" t="b">
        <f>OR(FreeTrack,FtTrack)</f>
        <v>0</v>
      </c>
      <c r="DU641" s="1" t="b">
        <f>SkGatherInformationRanks&gt;=4</f>
        <v>0</v>
      </c>
      <c r="DV641" s="1" t="b">
        <f>SkHideRanks&gt;=6</f>
        <v>0</v>
      </c>
      <c r="DW641" s="1" t="b">
        <f>SkKnowledgeArcanaRanks&gt;=4</f>
        <v>0</v>
      </c>
      <c r="DX641" s="1" t="b">
        <f>SkMoveSilentlyRanks&gt;=6</f>
        <v>0</v>
      </c>
      <c r="DY641" s="1" t="b">
        <f>SkSearchRanks&gt;=6</f>
        <v>0</v>
      </c>
      <c r="DZ641" s="1" t="b">
        <f>NOT(ISNA(MATCH("Draconic",TblLangKnown,0)))</f>
        <v>0</v>
      </c>
      <c r="EA641" s="1" t="b">
        <f t="shared" si="572"/>
        <v>0</v>
      </c>
      <c r="EB641" s="11" t="s">
        <v>334</v>
      </c>
      <c r="EC641" s="1" t="str">
        <f>IF(DR641,"","• Base attack bonus of +5 or greater.
")&amp;IF(DS641,"","• Blind-Fight Feat.
")&amp;IF(DT641,"","• Track Feat.
")&amp;IF(DU641,"","• 4 ranks in Gather Information..
")&amp;IF(DV641,"","• 6 ranks in Hide.
")&amp;IF(DW641,"","• 4 ranks in Knowledge (Arcana).
")&amp;IF(DX641,"","• 6 ranks in Move Silently.
")&amp;IF(DY641,"","• 6 ranks in Search.
")&amp;IF(DZ641,"","• Draconic Language.")</f>
        <v>• Base attack bonus of +5 or greater.
• Blind-Fight Feat.
• Track Feat.
• 4 ranks in Gather Information..
• 6 ranks in Hide.
• 4 ranks in Knowledge (Arcana).
• 6 ranks in Move Silently.
• 6 ranks in Search.
• Draconic Language.</v>
      </c>
      <c r="ED641" s="11" t="s">
        <v>335</v>
      </c>
    </row>
    <row r="642" spans="1:134" ht="11.25" customHeight="1" x14ac:dyDescent="0.2">
      <c r="A642" s="1">
        <f t="shared" si="535"/>
        <v>639</v>
      </c>
      <c r="B642" s="1" t="s">
        <v>1510</v>
      </c>
      <c r="C642" s="1" t="s">
        <v>1511</v>
      </c>
      <c r="D642" s="1" t="s">
        <v>1511</v>
      </c>
      <c r="E642" s="1">
        <f t="shared" si="575"/>
        <v>0</v>
      </c>
      <c r="K642" s="1">
        <v>6</v>
      </c>
      <c r="L642" s="1">
        <v>6</v>
      </c>
      <c r="S642" s="1" t="b">
        <v>1</v>
      </c>
      <c r="V642" s="1">
        <v>0.75</v>
      </c>
      <c r="W642" s="1">
        <v>0.34</v>
      </c>
      <c r="X642" s="1">
        <v>0.5</v>
      </c>
      <c r="Y642" s="1">
        <v>0.5</v>
      </c>
      <c r="Z642" s="1" t="b">
        <f>FALSE</f>
        <v>0</v>
      </c>
      <c r="AA642" s="1" t="str">
        <f t="shared" si="578"/>
        <v/>
      </c>
      <c r="AB642" s="1" t="str">
        <f t="shared" si="579"/>
        <v/>
      </c>
      <c r="AC642" s="1">
        <f t="shared" si="576"/>
        <v>0</v>
      </c>
      <c r="AD642" s="1" t="str">
        <f t="shared" si="580"/>
        <v/>
      </c>
      <c r="AE642" s="1" t="str">
        <f t="shared" si="581"/>
        <v/>
      </c>
      <c r="AF642" s="1">
        <f t="shared" si="577"/>
        <v>0</v>
      </c>
      <c r="AG642" s="1">
        <f t="shared" si="546"/>
        <v>5</v>
      </c>
      <c r="AH642" s="1" t="str">
        <f t="shared" si="545"/>
        <v/>
      </c>
      <c r="AI642" s="1">
        <v>2</v>
      </c>
      <c r="AJ642" s="1">
        <f t="shared" si="564"/>
        <v>0</v>
      </c>
      <c r="AK642" s="1">
        <v>2</v>
      </c>
      <c r="AL642" s="1">
        <v>2</v>
      </c>
      <c r="AM642" s="1">
        <v>2</v>
      </c>
      <c r="AN642" s="1">
        <f t="shared" si="565"/>
        <v>0</v>
      </c>
      <c r="AO642" s="1">
        <v>2</v>
      </c>
      <c r="AP642" s="1">
        <v>1</v>
      </c>
      <c r="AQ642" s="1">
        <v>1</v>
      </c>
      <c r="AR642" s="1">
        <v>1</v>
      </c>
      <c r="AS642" s="1">
        <v>1</v>
      </c>
      <c r="AT642" s="1">
        <v>1</v>
      </c>
      <c r="AU642" s="1">
        <v>1</v>
      </c>
      <c r="AV642" s="1">
        <v>1</v>
      </c>
      <c r="AW642" s="1">
        <v>2</v>
      </c>
      <c r="AX642" s="1">
        <v>1</v>
      </c>
      <c r="AY642" s="1">
        <v>2</v>
      </c>
      <c r="AZ642" s="1">
        <v>2</v>
      </c>
      <c r="BA642" s="1">
        <v>2</v>
      </c>
      <c r="BB642" s="1">
        <v>1</v>
      </c>
      <c r="BC642" s="1">
        <v>2</v>
      </c>
      <c r="BD642" s="1">
        <v>1</v>
      </c>
      <c r="BE642" s="1">
        <v>1</v>
      </c>
      <c r="BF642" s="1">
        <v>1</v>
      </c>
      <c r="BG642" s="1">
        <f t="shared" si="566"/>
        <v>0</v>
      </c>
      <c r="BH642" s="1">
        <f t="shared" si="567"/>
        <v>0</v>
      </c>
      <c r="BI642" s="1">
        <v>1</v>
      </c>
      <c r="BJ642" s="1">
        <v>2</v>
      </c>
      <c r="BK642" s="1">
        <v>1</v>
      </c>
      <c r="BL642" s="1">
        <v>1</v>
      </c>
      <c r="BM642" s="1">
        <v>1</v>
      </c>
      <c r="BN642" s="1">
        <v>1</v>
      </c>
      <c r="BO642" s="1">
        <v>1</v>
      </c>
      <c r="BP642" s="1">
        <v>1</v>
      </c>
      <c r="BQ642" s="1">
        <f t="shared" si="573"/>
        <v>0</v>
      </c>
      <c r="BR642" s="1">
        <v>1</v>
      </c>
      <c r="BS642" s="1">
        <v>1</v>
      </c>
      <c r="BT642" s="1">
        <f t="shared" si="574"/>
        <v>0</v>
      </c>
      <c r="BU642" s="1">
        <f>IF(HRRVL,1,0)</f>
        <v>0</v>
      </c>
      <c r="BV642" s="1">
        <v>1</v>
      </c>
      <c r="BW642" s="1">
        <v>1</v>
      </c>
      <c r="BX642" s="1">
        <v>1</v>
      </c>
      <c r="BY642" s="1">
        <v>1</v>
      </c>
      <c r="BZ642" s="1">
        <v>1</v>
      </c>
      <c r="CA642" s="1">
        <v>1</v>
      </c>
      <c r="CB642" s="1">
        <v>1</v>
      </c>
      <c r="CC642" s="1">
        <v>1</v>
      </c>
      <c r="CD642" s="1">
        <v>1</v>
      </c>
      <c r="CE642" s="1">
        <v>1</v>
      </c>
      <c r="CF642" s="1">
        <v>1</v>
      </c>
      <c r="CG642" s="1">
        <f t="shared" si="568"/>
        <v>0</v>
      </c>
      <c r="CH642" s="1">
        <v>1</v>
      </c>
      <c r="CI642" s="1">
        <v>2</v>
      </c>
      <c r="CJ642" s="1">
        <v>1</v>
      </c>
      <c r="CK642" s="1">
        <v>1</v>
      </c>
      <c r="CL642" s="1">
        <v>1</v>
      </c>
      <c r="CM642" s="1">
        <v>1</v>
      </c>
      <c r="CN642" s="1">
        <v>1</v>
      </c>
      <c r="CO642" s="1">
        <v>1</v>
      </c>
      <c r="CP642" s="1">
        <v>1</v>
      </c>
      <c r="CQ642" s="1">
        <v>1</v>
      </c>
      <c r="CR642" s="1">
        <v>1</v>
      </c>
      <c r="CS642" s="1">
        <v>1</v>
      </c>
      <c r="CT642" s="1">
        <v>1</v>
      </c>
      <c r="CU642" s="1">
        <v>1</v>
      </c>
      <c r="CV642" s="1">
        <f t="shared" si="569"/>
        <v>0</v>
      </c>
      <c r="CW642" s="1">
        <v>1</v>
      </c>
      <c r="CX642" s="1">
        <v>2</v>
      </c>
      <c r="CY642" s="1">
        <v>1</v>
      </c>
      <c r="CZ642" s="1">
        <f t="shared" si="570"/>
        <v>0</v>
      </c>
      <c r="DA642" s="1">
        <v>1</v>
      </c>
      <c r="DB642" s="1">
        <v>1</v>
      </c>
      <c r="DC642" s="1">
        <v>1</v>
      </c>
      <c r="DD642" s="1">
        <v>1</v>
      </c>
      <c r="DE642" s="1">
        <v>1</v>
      </c>
      <c r="DF642" s="1">
        <v>2</v>
      </c>
      <c r="DG642" s="1">
        <v>1</v>
      </c>
      <c r="DH642" s="1">
        <v>2</v>
      </c>
      <c r="DI642" s="1">
        <f t="shared" si="571"/>
        <v>0</v>
      </c>
      <c r="DJ642" s="1">
        <v>2</v>
      </c>
      <c r="DK642" s="1" t="s">
        <v>1499</v>
      </c>
      <c r="DL642" s="1" t="s">
        <v>101</v>
      </c>
      <c r="DR642" s="1" t="b">
        <f>AlignmentNonLawful</f>
        <v>0</v>
      </c>
      <c r="DS642" s="1" t="b">
        <f>SkAppraiseRanks&gt;=8</f>
        <v>0</v>
      </c>
      <c r="DT642" s="1" t="b">
        <f>SkDisableDeviceRanks&gt;=4</f>
        <v>0</v>
      </c>
      <c r="DU642" s="1" t="b">
        <f>SkEscapeArtistRanks&gt;=4</f>
        <v>0</v>
      </c>
      <c r="DV642" s="1" t="b">
        <f>SkHideRanks&gt;=8</f>
        <v>0</v>
      </c>
      <c r="DW642" s="1" t="b">
        <f>SkMoveSilentlyRanks&gt;=8</f>
        <v>0</v>
      </c>
      <c r="DX642" s="1" t="b">
        <f>SkOpenLockRanks&gt;=4</f>
        <v>0</v>
      </c>
      <c r="DY642" s="1" t="b">
        <f>SkSearchRanks&gt;=8</f>
        <v>0</v>
      </c>
      <c r="EA642" s="1" t="b">
        <f t="shared" si="572"/>
        <v>0</v>
      </c>
      <c r="EB642" s="11" t="s">
        <v>338</v>
      </c>
      <c r="EC642" s="1" t="str">
        <f>IF(DR642,"","• Must be of Any Non-Lawful Alignment.
")&amp;IF(DS642,"","• 8 ranks in Appraise.
")&amp;IF(DT642,"","• 4 ranks in Disable Device.
")&amp;IF(DU642,"","• 4 ranks in Escape Artist.
")&amp;IF(DV642,"","• 8 ranks in Hide.
")&amp;IF(DW642,"","• 8 ranks in Move Silently.
")&amp;IF(DX642,"","• 4 ranks in Open Lock.
")&amp;IF(DY642,"","• 8 ranks in Search.
")&amp;IF(DZ642,"","• Must have participated in the location and recovery of a treature hoard worth 5000gp or more (not verified).")</f>
        <v>• Must be of Any Non-Lawful Alignment.
• 8 ranks in Appraise.
• 4 ranks in Disable Device.
• 4 ranks in Escape Artist.
• 8 ranks in Hide.
• 8 ranks in Move Silently.
• 4 ranks in Open Lock.
• 8 ranks in Search.
• Must have participated in the location and recovery of a treature hoard worth 5000gp or more (not verified).</v>
      </c>
      <c r="ED642" s="11" t="s">
        <v>335</v>
      </c>
    </row>
    <row r="643" spans="1:134" ht="11.25" customHeight="1" x14ac:dyDescent="0.2">
      <c r="A643" s="1">
        <f t="shared" si="535"/>
        <v>640</v>
      </c>
      <c r="B643" s="1" t="s">
        <v>1512</v>
      </c>
      <c r="C643" s="1" t="s">
        <v>1513</v>
      </c>
      <c r="D643" s="1" t="s">
        <v>1513</v>
      </c>
      <c r="E643" s="1">
        <f t="shared" si="575"/>
        <v>0</v>
      </c>
      <c r="K643" s="1">
        <v>4</v>
      </c>
      <c r="L643" s="1">
        <v>8</v>
      </c>
      <c r="V643" s="1">
        <v>0.75</v>
      </c>
      <c r="W643" s="1">
        <v>0.5</v>
      </c>
      <c r="X643" s="1">
        <v>0.5</v>
      </c>
      <c r="Y643" s="1">
        <v>0.5</v>
      </c>
      <c r="Z643" s="1" t="b">
        <f>FALSE</f>
        <v>0</v>
      </c>
      <c r="AA643" s="1" t="str">
        <f t="shared" si="578"/>
        <v/>
      </c>
      <c r="AB643" s="1" t="str">
        <f t="shared" si="579"/>
        <v/>
      </c>
      <c r="AC643" s="1">
        <f t="shared" si="576"/>
        <v>0</v>
      </c>
      <c r="AD643" s="1" t="str">
        <f t="shared" si="580"/>
        <v/>
      </c>
      <c r="AE643" s="1" t="str">
        <f t="shared" si="581"/>
        <v/>
      </c>
      <c r="AF643" s="1">
        <f t="shared" si="577"/>
        <v>0</v>
      </c>
      <c r="AG643" s="1">
        <f t="shared" si="546"/>
        <v>5</v>
      </c>
      <c r="AH643" s="1" t="str">
        <f t="shared" si="545"/>
        <v/>
      </c>
      <c r="AI643" s="1">
        <v>1</v>
      </c>
      <c r="AJ643" s="1">
        <f t="shared" si="564"/>
        <v>0</v>
      </c>
      <c r="AK643" s="1">
        <v>2</v>
      </c>
      <c r="AL643" s="1">
        <v>1</v>
      </c>
      <c r="AM643" s="1">
        <v>1</v>
      </c>
      <c r="AN643" s="1">
        <f t="shared" si="565"/>
        <v>0</v>
      </c>
      <c r="AO643" s="1">
        <v>2</v>
      </c>
      <c r="AP643" s="1">
        <v>1</v>
      </c>
      <c r="AQ643" s="1">
        <v>1</v>
      </c>
      <c r="AR643" s="1">
        <v>1</v>
      </c>
      <c r="AS643" s="1">
        <v>1</v>
      </c>
      <c r="AT643" s="1">
        <v>1</v>
      </c>
      <c r="AU643" s="1">
        <v>1</v>
      </c>
      <c r="AV643" s="1">
        <v>1</v>
      </c>
      <c r="AW643" s="1">
        <v>1</v>
      </c>
      <c r="AX643" s="1">
        <v>2</v>
      </c>
      <c r="AY643" s="1">
        <v>1</v>
      </c>
      <c r="AZ643" s="1">
        <v>1</v>
      </c>
      <c r="BA643" s="1">
        <v>2</v>
      </c>
      <c r="BB643" s="1">
        <v>1</v>
      </c>
      <c r="BC643" s="1">
        <v>1</v>
      </c>
      <c r="BD643" s="1">
        <v>1</v>
      </c>
      <c r="BE643" s="1">
        <v>2</v>
      </c>
      <c r="BF643" s="1">
        <v>1</v>
      </c>
      <c r="BG643" s="1">
        <f t="shared" si="566"/>
        <v>0</v>
      </c>
      <c r="BH643" s="1">
        <f t="shared" si="567"/>
        <v>0</v>
      </c>
      <c r="BI643" s="1">
        <v>1</v>
      </c>
      <c r="BJ643" s="1">
        <v>1</v>
      </c>
      <c r="BK643" s="1">
        <v>2</v>
      </c>
      <c r="BL643" s="1">
        <v>1</v>
      </c>
      <c r="BM643" s="1">
        <v>1</v>
      </c>
      <c r="BN643" s="1">
        <v>1</v>
      </c>
      <c r="BO643" s="1">
        <v>1</v>
      </c>
      <c r="BP643" s="1">
        <v>1</v>
      </c>
      <c r="BQ643" s="1">
        <f t="shared" si="573"/>
        <v>0</v>
      </c>
      <c r="BR643" s="1">
        <v>1</v>
      </c>
      <c r="BS643" s="1">
        <v>1</v>
      </c>
      <c r="BT643" s="1">
        <f t="shared" si="574"/>
        <v>0</v>
      </c>
      <c r="BU643" s="1">
        <f>IF(HRRVL,2,0)</f>
        <v>0</v>
      </c>
      <c r="BV643" s="1">
        <v>2</v>
      </c>
      <c r="BW643" s="1">
        <v>1</v>
      </c>
      <c r="BX643" s="1">
        <v>1</v>
      </c>
      <c r="BY643" s="1">
        <v>1</v>
      </c>
      <c r="BZ643" s="1">
        <v>1</v>
      </c>
      <c r="CA643" s="1">
        <v>1</v>
      </c>
      <c r="CB643" s="1">
        <v>1</v>
      </c>
      <c r="CC643" s="1">
        <v>1</v>
      </c>
      <c r="CD643" s="1">
        <v>1</v>
      </c>
      <c r="CE643" s="1">
        <v>1</v>
      </c>
      <c r="CF643" s="1">
        <v>2</v>
      </c>
      <c r="CG643" s="1">
        <f t="shared" si="568"/>
        <v>0</v>
      </c>
      <c r="CH643" s="1">
        <v>1</v>
      </c>
      <c r="CI643" s="1">
        <v>1</v>
      </c>
      <c r="CJ643" s="1">
        <v>1</v>
      </c>
      <c r="CK643" s="1">
        <v>1</v>
      </c>
      <c r="CL643" s="1">
        <v>1</v>
      </c>
      <c r="CM643" s="1">
        <v>1</v>
      </c>
      <c r="CN643" s="1">
        <v>1</v>
      </c>
      <c r="CO643" s="1">
        <v>1</v>
      </c>
      <c r="CP643" s="1">
        <v>1</v>
      </c>
      <c r="CQ643" s="1">
        <v>1</v>
      </c>
      <c r="CR643" s="1">
        <v>1</v>
      </c>
      <c r="CS643" s="1">
        <v>1</v>
      </c>
      <c r="CT643" s="1">
        <v>1</v>
      </c>
      <c r="CU643" s="1">
        <v>1</v>
      </c>
      <c r="CV643" s="1">
        <f t="shared" si="569"/>
        <v>0</v>
      </c>
      <c r="CW643" s="1">
        <v>1</v>
      </c>
      <c r="CX643" s="1">
        <v>1</v>
      </c>
      <c r="CY643" s="1">
        <v>1</v>
      </c>
      <c r="CZ643" s="1">
        <f t="shared" si="570"/>
        <v>0</v>
      </c>
      <c r="DA643" s="1">
        <v>1</v>
      </c>
      <c r="DB643" s="1">
        <v>1</v>
      </c>
      <c r="DC643" s="1">
        <v>1</v>
      </c>
      <c r="DD643" s="1">
        <v>2</v>
      </c>
      <c r="DE643" s="1">
        <v>1</v>
      </c>
      <c r="DF643" s="1">
        <v>1</v>
      </c>
      <c r="DG643" s="1">
        <v>2</v>
      </c>
      <c r="DH643" s="1">
        <v>1</v>
      </c>
      <c r="DI643" s="1">
        <f t="shared" si="571"/>
        <v>0</v>
      </c>
      <c r="DJ643" s="1">
        <v>1</v>
      </c>
      <c r="DK643" s="1" t="s">
        <v>1499</v>
      </c>
      <c r="DL643" s="1" t="s">
        <v>101</v>
      </c>
      <c r="DR643" s="1" t="b">
        <f>OR(FreeAlertness,FtAlertness)</f>
        <v>0</v>
      </c>
      <c r="DS643" s="1" t="b">
        <f>OR(FreeImprovedUnarmedStrike,FtImprovedUnarmed)</f>
        <v>0</v>
      </c>
      <c r="DT643" s="1" t="b">
        <f>FtPowerAttackEquiv</f>
        <v>0</v>
      </c>
      <c r="DU643" s="1" t="b">
        <f>SkConcentrationRanks&gt;=6</f>
        <v>0</v>
      </c>
      <c r="DV643" s="1" t="b">
        <f>SkJumpRanks&gt;=8</f>
        <v>0</v>
      </c>
      <c r="DW643" s="1" t="b">
        <f>SkKnowledgeArcanaRanks&gt;=6</f>
        <v>0</v>
      </c>
      <c r="DX643" s="1" t="b">
        <f>SkKnowledgeReligionRanks&gt;=4</f>
        <v>0</v>
      </c>
      <c r="DY643" s="1" t="b">
        <f>SkTumbleRanks&gt;4</f>
        <v>0</v>
      </c>
      <c r="DZ643" s="1" t="b">
        <f>NOT(ISNA(MATCH("Draconic",TblLangKnown,0)))</f>
        <v>0</v>
      </c>
      <c r="EA643" s="1" t="b">
        <f t="shared" si="572"/>
        <v>0</v>
      </c>
      <c r="EB643" s="11" t="s">
        <v>334</v>
      </c>
      <c r="EC643" s="1" t="str">
        <f>IF(DR643,"","• Alertness Feat.
")&amp;IF(DS643,"","• Improved Unarmed Strike Feat.
")&amp;IF(DT643,"","• Power Attack Feat.
")&amp;IF(DU643,"","• 6 ranks in Concentration.
")&amp;IF(DV643,"","• 8 ranks in Jump.
")&amp;IF(DW643,"","• 6 ranks in Knowledge (arcana).
")&amp;IF(DX643,"","• 4 ranks in Knowledge (religion).
")&amp;IF(DY643,"","• 4 ranks in Tumble.
")&amp;IF(DZ643,"","• Must speak Draconic.")</f>
        <v>• Alertness Feat.
• Improved Unarmed Strike Feat.
• Power Attack Feat.
• 6 ranks in Concentration.
• 8 ranks in Jump.
• 6 ranks in Knowledge (arcana).
• 4 ranks in Knowledge (religion).
• 4 ranks in Tumble.
• Must speak Draconic.</v>
      </c>
      <c r="ED643" s="11" t="s">
        <v>335</v>
      </c>
    </row>
    <row r="644" spans="1:134" ht="11.25" customHeight="1" x14ac:dyDescent="0.2">
      <c r="A644" s="1">
        <f t="shared" si="535"/>
        <v>641</v>
      </c>
      <c r="B644" s="1" t="s">
        <v>1514</v>
      </c>
      <c r="C644" s="1" t="s">
        <v>294</v>
      </c>
      <c r="D644" s="1" t="s">
        <v>294</v>
      </c>
      <c r="E644" s="1">
        <f t="shared" si="575"/>
        <v>0</v>
      </c>
      <c r="G644" s="1">
        <f>INT(PlKLvl/2)</f>
        <v>0</v>
      </c>
      <c r="K644" s="1">
        <v>2</v>
      </c>
      <c r="L644" s="1">
        <v>8</v>
      </c>
      <c r="N644" s="1" t="b">
        <v>1</v>
      </c>
      <c r="O644" s="1" t="b">
        <v>1</v>
      </c>
      <c r="P644" s="1" t="b">
        <v>1</v>
      </c>
      <c r="Q644" s="1" t="b">
        <v>1</v>
      </c>
      <c r="R644" s="1" t="b">
        <v>1</v>
      </c>
      <c r="S644" s="1" t="b">
        <v>1</v>
      </c>
      <c r="T644" s="1" t="b">
        <v>1</v>
      </c>
      <c r="V644" s="1">
        <v>1</v>
      </c>
      <c r="W644" s="1">
        <v>0.5</v>
      </c>
      <c r="X644" s="1">
        <v>0.34</v>
      </c>
      <c r="Y644" s="1">
        <v>0.5</v>
      </c>
      <c r="Z644" s="1" t="b">
        <f>FALSE</f>
        <v>0</v>
      </c>
      <c r="AA644" s="1" t="str">
        <f t="shared" si="578"/>
        <v/>
      </c>
      <c r="AB644" s="1" t="str">
        <f t="shared" si="579"/>
        <v/>
      </c>
      <c r="AC644" s="1">
        <f t="shared" si="576"/>
        <v>0</v>
      </c>
      <c r="AD644" s="1" t="str">
        <f t="shared" si="580"/>
        <v/>
      </c>
      <c r="AE644" s="1" t="str">
        <f t="shared" si="581"/>
        <v/>
      </c>
      <c r="AF644" s="1">
        <f t="shared" si="577"/>
        <v>0</v>
      </c>
      <c r="AG644" s="1">
        <f t="shared" si="546"/>
        <v>5</v>
      </c>
      <c r="AH644" s="1" t="str">
        <f t="shared" si="545"/>
        <v/>
      </c>
      <c r="AI644" s="1">
        <v>1</v>
      </c>
      <c r="AJ644" s="1">
        <f t="shared" si="564"/>
        <v>0</v>
      </c>
      <c r="AK644" s="1">
        <v>1</v>
      </c>
      <c r="AL644" s="1">
        <v>1</v>
      </c>
      <c r="AM644" s="1">
        <v>1</v>
      </c>
      <c r="AN644" s="1">
        <f t="shared" si="565"/>
        <v>0</v>
      </c>
      <c r="AO644" s="1">
        <v>2</v>
      </c>
      <c r="AP644" s="1">
        <v>1</v>
      </c>
      <c r="AQ644" s="1">
        <v>1</v>
      </c>
      <c r="AR644" s="1">
        <v>1</v>
      </c>
      <c r="AS644" s="1">
        <v>1</v>
      </c>
      <c r="AT644" s="1">
        <v>1</v>
      </c>
      <c r="AU644" s="1">
        <v>1</v>
      </c>
      <c r="AV644" s="1">
        <v>1</v>
      </c>
      <c r="AW644" s="1">
        <v>1</v>
      </c>
      <c r="AX644" s="1">
        <v>2</v>
      </c>
      <c r="AY644" s="1">
        <v>1</v>
      </c>
      <c r="AZ644" s="1">
        <v>1</v>
      </c>
      <c r="BA644" s="1">
        <v>1</v>
      </c>
      <c r="BB644" s="1">
        <v>1</v>
      </c>
      <c r="BC644" s="1">
        <v>1</v>
      </c>
      <c r="BD644" s="1">
        <v>1</v>
      </c>
      <c r="BE644" s="1">
        <v>2</v>
      </c>
      <c r="BF644" s="1">
        <v>1</v>
      </c>
      <c r="BG644" s="1">
        <f t="shared" si="566"/>
        <v>0</v>
      </c>
      <c r="BH644" s="1">
        <f t="shared" si="567"/>
        <v>0</v>
      </c>
      <c r="BI644" s="1">
        <v>2</v>
      </c>
      <c r="BJ644" s="1">
        <v>1</v>
      </c>
      <c r="BK644" s="1">
        <v>2</v>
      </c>
      <c r="BL644" s="1">
        <v>1</v>
      </c>
      <c r="BM644" s="1">
        <v>1</v>
      </c>
      <c r="BN644" s="1">
        <v>1</v>
      </c>
      <c r="BO644" s="1">
        <v>1</v>
      </c>
      <c r="BP644" s="1">
        <v>1</v>
      </c>
      <c r="BQ644" s="1">
        <f t="shared" si="573"/>
        <v>0</v>
      </c>
      <c r="BR644" s="1">
        <v>1</v>
      </c>
      <c r="BS644" s="1">
        <v>1</v>
      </c>
      <c r="BT644" s="1">
        <f t="shared" si="574"/>
        <v>0</v>
      </c>
      <c r="BU644" s="1">
        <f>IF(HRRVL,1,0)</f>
        <v>0</v>
      </c>
      <c r="BV644" s="1">
        <v>1</v>
      </c>
      <c r="BW644" s="1">
        <v>1</v>
      </c>
      <c r="BX644" s="1">
        <v>1</v>
      </c>
      <c r="BY644" s="1">
        <v>1</v>
      </c>
      <c r="BZ644" s="1">
        <v>1</v>
      </c>
      <c r="CA644" s="1">
        <v>1</v>
      </c>
      <c r="CB644" s="1">
        <v>1</v>
      </c>
      <c r="CC644" s="1">
        <v>1</v>
      </c>
      <c r="CD644" s="1">
        <v>1</v>
      </c>
      <c r="CE644" s="1">
        <v>1</v>
      </c>
      <c r="CF644" s="1">
        <v>1</v>
      </c>
      <c r="CG644" s="1">
        <f t="shared" si="568"/>
        <v>0</v>
      </c>
      <c r="CH644" s="1">
        <v>1</v>
      </c>
      <c r="CI644" s="1">
        <v>1</v>
      </c>
      <c r="CJ644" s="1">
        <v>1</v>
      </c>
      <c r="CK644" s="1">
        <v>1</v>
      </c>
      <c r="CL644" s="1">
        <v>1</v>
      </c>
      <c r="CM644" s="1">
        <v>1</v>
      </c>
      <c r="CN644" s="1">
        <v>1</v>
      </c>
      <c r="CO644" s="1">
        <v>1</v>
      </c>
      <c r="CP644" s="1">
        <v>1</v>
      </c>
      <c r="CQ644" s="1">
        <v>1</v>
      </c>
      <c r="CR644" s="1">
        <v>1</v>
      </c>
      <c r="CS644" s="1">
        <v>1</v>
      </c>
      <c r="CT644" s="1">
        <v>1</v>
      </c>
      <c r="CU644" s="1">
        <v>1</v>
      </c>
      <c r="CV644" s="1">
        <f t="shared" si="569"/>
        <v>0</v>
      </c>
      <c r="CW644" s="1">
        <v>2</v>
      </c>
      <c r="CX644" s="1">
        <v>1</v>
      </c>
      <c r="CY644" s="1">
        <v>2</v>
      </c>
      <c r="CZ644" s="1">
        <f t="shared" si="570"/>
        <v>0</v>
      </c>
      <c r="DA644" s="1">
        <v>1</v>
      </c>
      <c r="DB644" s="1">
        <v>1</v>
      </c>
      <c r="DC644" s="1">
        <v>1</v>
      </c>
      <c r="DD644" s="1">
        <v>1</v>
      </c>
      <c r="DE644" s="1">
        <v>1</v>
      </c>
      <c r="DF644" s="1">
        <v>1</v>
      </c>
      <c r="DG644" s="1">
        <v>1</v>
      </c>
      <c r="DH644" s="1">
        <v>1</v>
      </c>
      <c r="DI644" s="1">
        <f t="shared" si="571"/>
        <v>0</v>
      </c>
      <c r="DJ644" s="1">
        <v>1</v>
      </c>
      <c r="DK644" s="1" t="s">
        <v>1499</v>
      </c>
      <c r="DL644" s="1" t="s">
        <v>101</v>
      </c>
      <c r="DR644" s="1" t="b">
        <f>AlignmentGood</f>
        <v>1</v>
      </c>
      <c r="DS644" s="1" t="b">
        <f>BaseAtk&gt;=5</f>
        <v>0</v>
      </c>
      <c r="DT644" s="1" t="b">
        <f>FtDragonfriend</f>
        <v>0</v>
      </c>
      <c r="DU644" s="1" t="b">
        <f>SkDiplomacyRanks&gt;=4</f>
        <v>0</v>
      </c>
      <c r="DV644" s="1" t="b">
        <f>SkKnowledgeArcanaRanks&gt;=4</f>
        <v>0</v>
      </c>
      <c r="DW644" s="1" t="b">
        <f>NOT(ISNA(MATCH("Draconic",TblLangKnown,0)))</f>
        <v>0</v>
      </c>
      <c r="EA644" s="1" t="b">
        <f t="shared" si="572"/>
        <v>0</v>
      </c>
      <c r="EB644" s="11" t="s">
        <v>334</v>
      </c>
      <c r="EC644" s="1" t="str">
        <f>IF(DR644,"","• Must be of Any Good Alignment.
")&amp;IF(DS644,"","• Base attack bonus of +5 or greater.
")&amp;IF(DT644,"","• Dragonfriend Feat.
")&amp;IF(DU644,"","• 4 ranks in Diplomacy.
")&amp;IF(DV644,"","• 4 ranks in Knowledge (arcana).
")&amp;IF(DW644,"","• Must speak Draconic.")</f>
        <v>• Base attack bonus of +5 or greater.
• Dragonfriend Feat.
• 4 ranks in Diplomacy.
• 4 ranks in Knowledge (arcana).
• Must speak Draconic.</v>
      </c>
      <c r="ED644" s="11" t="s">
        <v>335</v>
      </c>
    </row>
    <row r="645" spans="1:134" ht="11.25" customHeight="1" x14ac:dyDescent="0.2">
      <c r="A645" s="1">
        <f t="shared" si="535"/>
        <v>642</v>
      </c>
      <c r="B645" s="1" t="s">
        <v>1515</v>
      </c>
      <c r="C645" s="1" t="s">
        <v>1516</v>
      </c>
      <c r="D645" s="1" t="s">
        <v>1516</v>
      </c>
      <c r="E645" s="1">
        <f t="shared" si="575"/>
        <v>0</v>
      </c>
      <c r="G645" s="1">
        <f>INT(ToTLvl/2)</f>
        <v>0</v>
      </c>
      <c r="K645" s="1">
        <v>2</v>
      </c>
      <c r="L645" s="1">
        <v>8</v>
      </c>
      <c r="N645" s="1" t="b">
        <v>1</v>
      </c>
      <c r="O645" s="1" t="b">
        <v>1</v>
      </c>
      <c r="P645" s="1" t="b">
        <v>1</v>
      </c>
      <c r="Q645" s="1" t="b">
        <v>1</v>
      </c>
      <c r="R645" s="1" t="b">
        <v>1</v>
      </c>
      <c r="S645" s="1" t="b">
        <v>1</v>
      </c>
      <c r="T645" s="1" t="b">
        <v>1</v>
      </c>
      <c r="V645" s="1">
        <v>0.75</v>
      </c>
      <c r="W645" s="1">
        <v>0.5</v>
      </c>
      <c r="X645" s="1">
        <v>0.34</v>
      </c>
      <c r="Y645" s="1">
        <v>0.34</v>
      </c>
      <c r="Z645" s="1" t="b">
        <f>FALSE</f>
        <v>0</v>
      </c>
      <c r="AA645" s="1" t="str">
        <f t="shared" si="578"/>
        <v/>
      </c>
      <c r="AB645" s="1" t="str">
        <f t="shared" si="579"/>
        <v/>
      </c>
      <c r="AC645" s="1">
        <f t="shared" si="576"/>
        <v>0</v>
      </c>
      <c r="AD645" s="1" t="str">
        <f t="shared" si="580"/>
        <v/>
      </c>
      <c r="AE645" s="1" t="str">
        <f t="shared" si="581"/>
        <v/>
      </c>
      <c r="AF645" s="1">
        <f t="shared" si="577"/>
        <v>0</v>
      </c>
      <c r="AG645" s="1">
        <f t="shared" si="546"/>
        <v>5</v>
      </c>
      <c r="AH645" s="1" t="str">
        <f t="shared" si="545"/>
        <v/>
      </c>
      <c r="AI645" s="1">
        <v>2</v>
      </c>
      <c r="AJ645" s="1">
        <f t="shared" si="564"/>
        <v>0</v>
      </c>
      <c r="AK645" s="1">
        <v>1</v>
      </c>
      <c r="AL645" s="1">
        <v>2</v>
      </c>
      <c r="AM645" s="1">
        <v>1</v>
      </c>
      <c r="AN645" s="1">
        <f t="shared" si="565"/>
        <v>0</v>
      </c>
      <c r="AO645" s="1">
        <v>2</v>
      </c>
      <c r="AP645" s="1">
        <v>1</v>
      </c>
      <c r="AQ645" s="1">
        <v>1</v>
      </c>
      <c r="AR645" s="1">
        <v>1</v>
      </c>
      <c r="AS645" s="1">
        <v>1</v>
      </c>
      <c r="AT645" s="1">
        <v>1</v>
      </c>
      <c r="AU645" s="1">
        <v>1</v>
      </c>
      <c r="AV645" s="1">
        <v>1</v>
      </c>
      <c r="AW645" s="1">
        <v>1</v>
      </c>
      <c r="AX645" s="1">
        <v>1</v>
      </c>
      <c r="AY645" s="1">
        <v>1</v>
      </c>
      <c r="AZ645" s="1">
        <v>1</v>
      </c>
      <c r="BA645" s="1">
        <v>1</v>
      </c>
      <c r="BB645" s="1">
        <v>1</v>
      </c>
      <c r="BC645" s="1">
        <v>1</v>
      </c>
      <c r="BD645" s="1">
        <v>1</v>
      </c>
      <c r="BE645" s="1">
        <v>1</v>
      </c>
      <c r="BF645" s="1">
        <v>1</v>
      </c>
      <c r="BG645" s="1">
        <f t="shared" si="566"/>
        <v>0</v>
      </c>
      <c r="BH645" s="1">
        <f t="shared" si="567"/>
        <v>0</v>
      </c>
      <c r="BI645" s="1">
        <v>2</v>
      </c>
      <c r="BJ645" s="1">
        <v>1</v>
      </c>
      <c r="BK645" s="1">
        <v>2</v>
      </c>
      <c r="BL645" s="1">
        <v>1</v>
      </c>
      <c r="BM645" s="1">
        <v>1</v>
      </c>
      <c r="BN645" s="1">
        <v>1</v>
      </c>
      <c r="BO645" s="1">
        <v>1</v>
      </c>
      <c r="BP645" s="1">
        <v>1</v>
      </c>
      <c r="BQ645" s="1">
        <f t="shared" si="573"/>
        <v>0</v>
      </c>
      <c r="BR645" s="1">
        <v>1</v>
      </c>
      <c r="BS645" s="1">
        <v>1</v>
      </c>
      <c r="BT645" s="1">
        <f t="shared" si="574"/>
        <v>0</v>
      </c>
      <c r="BU645" s="1">
        <f>IF(HRRVL,1,0)</f>
        <v>0</v>
      </c>
      <c r="BV645" s="1">
        <v>1</v>
      </c>
      <c r="BW645" s="1">
        <v>1</v>
      </c>
      <c r="BX645" s="1">
        <v>1</v>
      </c>
      <c r="BY645" s="1">
        <v>1</v>
      </c>
      <c r="BZ645" s="1">
        <v>1</v>
      </c>
      <c r="CA645" s="1">
        <v>1</v>
      </c>
      <c r="CB645" s="1">
        <v>1</v>
      </c>
      <c r="CC645" s="1">
        <v>1</v>
      </c>
      <c r="CD645" s="1">
        <v>1</v>
      </c>
      <c r="CE645" s="1">
        <v>1</v>
      </c>
      <c r="CF645" s="1">
        <v>1</v>
      </c>
      <c r="CG645" s="1">
        <f t="shared" si="568"/>
        <v>0</v>
      </c>
      <c r="CH645" s="1">
        <v>1</v>
      </c>
      <c r="CI645" s="1">
        <v>1</v>
      </c>
      <c r="CJ645" s="1">
        <v>1</v>
      </c>
      <c r="CK645" s="1">
        <v>1</v>
      </c>
      <c r="CL645" s="1">
        <v>1</v>
      </c>
      <c r="CM645" s="1">
        <v>1</v>
      </c>
      <c r="CN645" s="1">
        <v>1</v>
      </c>
      <c r="CO645" s="1">
        <v>1</v>
      </c>
      <c r="CP645" s="1">
        <v>1</v>
      </c>
      <c r="CQ645" s="1">
        <v>1</v>
      </c>
      <c r="CR645" s="1">
        <v>1</v>
      </c>
      <c r="CS645" s="1">
        <v>1</v>
      </c>
      <c r="CT645" s="1">
        <v>1</v>
      </c>
      <c r="CU645" s="1">
        <v>1</v>
      </c>
      <c r="CV645" s="1">
        <f t="shared" si="569"/>
        <v>0</v>
      </c>
      <c r="CW645" s="1">
        <v>2</v>
      </c>
      <c r="CX645" s="1">
        <v>2</v>
      </c>
      <c r="CY645" s="1">
        <v>2</v>
      </c>
      <c r="CZ645" s="1">
        <f t="shared" si="570"/>
        <v>0</v>
      </c>
      <c r="DA645" s="1">
        <v>1</v>
      </c>
      <c r="DB645" s="1">
        <v>1</v>
      </c>
      <c r="DC645" s="1">
        <v>2</v>
      </c>
      <c r="DD645" s="1">
        <v>1</v>
      </c>
      <c r="DE645" s="1">
        <v>1</v>
      </c>
      <c r="DF645" s="1">
        <v>1</v>
      </c>
      <c r="DG645" s="1">
        <v>1</v>
      </c>
      <c r="DH645" s="1">
        <v>1</v>
      </c>
      <c r="DI645" s="1">
        <f t="shared" si="571"/>
        <v>0</v>
      </c>
      <c r="DJ645" s="1">
        <v>1</v>
      </c>
      <c r="DK645" s="1" t="s">
        <v>1499</v>
      </c>
      <c r="DL645" s="1" t="s">
        <v>101</v>
      </c>
      <c r="DR645" s="1" t="b">
        <f>AlignmentEvil</f>
        <v>0</v>
      </c>
      <c r="DS645" s="1" t="b">
        <f>BaseAtk&gt;=4</f>
        <v>0</v>
      </c>
      <c r="DT645" s="1" t="b">
        <f>FtDragonthrall</f>
        <v>0</v>
      </c>
      <c r="DU645" s="1" t="b">
        <f>SkBluffRanks&gt;=4</f>
        <v>0</v>
      </c>
      <c r="DV645" s="1" t="b">
        <f>SkIntimidateRanks&gt;=4</f>
        <v>0</v>
      </c>
      <c r="DW645" s="1" t="b">
        <f>SkKnowledgeArcanaRanks&gt;=4</f>
        <v>0</v>
      </c>
      <c r="DX645" s="1" t="b">
        <f>NOT(ISNA(MATCH("Draconic",TblLangKnown,0)))</f>
        <v>0</v>
      </c>
      <c r="EA645" s="1" t="b">
        <f t="shared" si="572"/>
        <v>0</v>
      </c>
      <c r="EB645" s="11" t="s">
        <v>334</v>
      </c>
      <c r="EC645" s="1" t="str">
        <f>IF(DR645,"","• Must be of Any Evil Alignment.
")&amp;IF(DS645,"","• Base attack bonus of +4 or greater.
")&amp;IF(DT645,"","• Dragonthrall Feat.
")&amp;IF(DU645,"","• 4 ranks in Bluff.
")&amp;IF(DV645,"","• 4 ranks in Intimidate.
")&amp;IF(DW645,"","• 4 ranks in Knowledge (arcana).
")&amp;IF(DX645,"","• Must speak Draconic.")</f>
        <v>• Must be of Any Evil Alignment.
• Base attack bonus of +4 or greater.
• Dragonthrall Feat.
• 4 ranks in Bluff.
• 4 ranks in Intimidate.
• 4 ranks in Knowledge (arcana).
• Must speak Draconic.</v>
      </c>
      <c r="ED645" s="11" t="s">
        <v>335</v>
      </c>
    </row>
    <row r="646" spans="1:134" ht="11.25" customHeight="1" x14ac:dyDescent="0.2">
      <c r="A646" s="1">
        <f t="shared" ref="A646:A709" si="582">A645+1</f>
        <v>643</v>
      </c>
      <c r="B646" s="1" t="s">
        <v>1517</v>
      </c>
      <c r="C646" s="1" t="s">
        <v>1518</v>
      </c>
      <c r="D646" s="1" t="s">
        <v>1518</v>
      </c>
      <c r="E646" s="1">
        <f t="shared" si="575"/>
        <v>0</v>
      </c>
      <c r="K646" s="1">
        <v>2</v>
      </c>
      <c r="L646" s="1">
        <v>12</v>
      </c>
      <c r="V646" s="1">
        <v>1</v>
      </c>
      <c r="W646" s="1">
        <v>0.5</v>
      </c>
      <c r="X646" s="1">
        <v>0.34</v>
      </c>
      <c r="Y646" s="1">
        <v>0.34</v>
      </c>
      <c r="Z646" s="1" t="b">
        <f>FALSE</f>
        <v>0</v>
      </c>
      <c r="AA646" s="1" t="str">
        <f t="shared" si="578"/>
        <v/>
      </c>
      <c r="AB646" s="1" t="str">
        <f t="shared" si="579"/>
        <v/>
      </c>
      <c r="AC646" s="1">
        <f t="shared" si="576"/>
        <v>0</v>
      </c>
      <c r="AD646" s="1" t="str">
        <f t="shared" si="580"/>
        <v/>
      </c>
      <c r="AE646" s="1" t="str">
        <f t="shared" si="581"/>
        <v/>
      </c>
      <c r="AF646" s="1">
        <f t="shared" si="577"/>
        <v>0</v>
      </c>
      <c r="AG646" s="1">
        <f t="shared" si="546"/>
        <v>5</v>
      </c>
      <c r="AH646" s="1" t="str">
        <f t="shared" si="545"/>
        <v/>
      </c>
      <c r="AI646" s="1">
        <v>1</v>
      </c>
      <c r="AJ646" s="1">
        <f t="shared" si="564"/>
        <v>0</v>
      </c>
      <c r="AK646" s="1">
        <v>1</v>
      </c>
      <c r="AL646" s="1">
        <v>1</v>
      </c>
      <c r="AM646" s="1">
        <v>2</v>
      </c>
      <c r="AN646" s="1">
        <f t="shared" si="565"/>
        <v>0</v>
      </c>
      <c r="AO646" s="1">
        <v>1</v>
      </c>
      <c r="AP646" s="1">
        <v>1</v>
      </c>
      <c r="AQ646" s="1">
        <v>1</v>
      </c>
      <c r="AR646" s="1">
        <v>1</v>
      </c>
      <c r="AS646" s="1">
        <v>1</v>
      </c>
      <c r="AT646" s="1">
        <v>1</v>
      </c>
      <c r="AU646" s="1">
        <v>1</v>
      </c>
      <c r="AV646" s="1">
        <v>1</v>
      </c>
      <c r="AW646" s="1">
        <v>1</v>
      </c>
      <c r="AX646" s="1">
        <v>1</v>
      </c>
      <c r="AY646" s="1">
        <v>1</v>
      </c>
      <c r="AZ646" s="1">
        <v>1</v>
      </c>
      <c r="BA646" s="1">
        <v>1</v>
      </c>
      <c r="BB646" s="1">
        <v>1</v>
      </c>
      <c r="BC646" s="1">
        <v>1</v>
      </c>
      <c r="BD646" s="1">
        <v>1</v>
      </c>
      <c r="BE646" s="1">
        <v>1</v>
      </c>
      <c r="BF646" s="1">
        <v>1</v>
      </c>
      <c r="BG646" s="1">
        <f t="shared" si="566"/>
        <v>0</v>
      </c>
      <c r="BH646" s="1">
        <f t="shared" si="567"/>
        <v>0</v>
      </c>
      <c r="BI646" s="1">
        <v>2</v>
      </c>
      <c r="BJ646" s="1">
        <v>2</v>
      </c>
      <c r="BK646" s="1">
        <v>1</v>
      </c>
      <c r="BL646" s="1">
        <v>1</v>
      </c>
      <c r="BM646" s="1">
        <v>1</v>
      </c>
      <c r="BN646" s="1">
        <v>1</v>
      </c>
      <c r="BO646" s="1">
        <v>1</v>
      </c>
      <c r="BP646" s="1">
        <v>1</v>
      </c>
      <c r="BQ646" s="1">
        <f t="shared" si="573"/>
        <v>0</v>
      </c>
      <c r="BR646" s="1">
        <v>1</v>
      </c>
      <c r="BS646" s="1">
        <v>1</v>
      </c>
      <c r="BT646" s="1">
        <f t="shared" si="574"/>
        <v>0</v>
      </c>
      <c r="BU646" s="1">
        <f>IF(HRRVL,1,0)</f>
        <v>0</v>
      </c>
      <c r="BV646" s="1">
        <v>1</v>
      </c>
      <c r="BW646" s="1">
        <v>1</v>
      </c>
      <c r="BX646" s="1">
        <v>1</v>
      </c>
      <c r="BY646" s="1">
        <v>1</v>
      </c>
      <c r="BZ646" s="1">
        <v>1</v>
      </c>
      <c r="CA646" s="1">
        <v>1</v>
      </c>
      <c r="CB646" s="1">
        <v>1</v>
      </c>
      <c r="CC646" s="1">
        <v>1</v>
      </c>
      <c r="CD646" s="1">
        <v>1</v>
      </c>
      <c r="CE646" s="1">
        <v>1</v>
      </c>
      <c r="CF646" s="1">
        <v>2</v>
      </c>
      <c r="CG646" s="1">
        <f t="shared" si="568"/>
        <v>0</v>
      </c>
      <c r="CH646" s="1">
        <v>1</v>
      </c>
      <c r="CI646" s="1">
        <v>1</v>
      </c>
      <c r="CJ646" s="1">
        <v>1</v>
      </c>
      <c r="CK646" s="1">
        <v>1</v>
      </c>
      <c r="CL646" s="1">
        <v>1</v>
      </c>
      <c r="CM646" s="1">
        <v>1</v>
      </c>
      <c r="CN646" s="1">
        <v>1</v>
      </c>
      <c r="CO646" s="1">
        <v>1</v>
      </c>
      <c r="CP646" s="1">
        <v>1</v>
      </c>
      <c r="CQ646" s="1">
        <v>1</v>
      </c>
      <c r="CR646" s="1">
        <v>1</v>
      </c>
      <c r="CS646" s="1">
        <v>1</v>
      </c>
      <c r="CT646" s="1">
        <v>1</v>
      </c>
      <c r="CU646" s="1">
        <v>1</v>
      </c>
      <c r="CV646" s="1">
        <f t="shared" si="569"/>
        <v>0</v>
      </c>
      <c r="CW646" s="1">
        <v>1</v>
      </c>
      <c r="CX646" s="1">
        <v>1</v>
      </c>
      <c r="CY646" s="1">
        <v>1</v>
      </c>
      <c r="CZ646" s="1">
        <f t="shared" si="570"/>
        <v>0</v>
      </c>
      <c r="DA646" s="1">
        <v>1</v>
      </c>
      <c r="DB646" s="1">
        <v>1</v>
      </c>
      <c r="DC646" s="1">
        <v>1</v>
      </c>
      <c r="DD646" s="1">
        <v>2</v>
      </c>
      <c r="DE646" s="1">
        <v>2</v>
      </c>
      <c r="DF646" s="1">
        <v>2</v>
      </c>
      <c r="DG646" s="1">
        <v>1</v>
      </c>
      <c r="DH646" s="1">
        <v>1</v>
      </c>
      <c r="DI646" s="1">
        <f t="shared" si="571"/>
        <v>0</v>
      </c>
      <c r="DJ646" s="1">
        <v>1</v>
      </c>
      <c r="DK646" s="1" t="s">
        <v>1499</v>
      </c>
      <c r="DL646" s="1" t="s">
        <v>101</v>
      </c>
      <c r="DR646" s="1" t="b">
        <f>RaceCi="Dragon"</f>
        <v>0</v>
      </c>
      <c r="DS646" s="1" t="b">
        <f>AlignmentChaotic</f>
        <v>0</v>
      </c>
      <c r="DT646" s="1" t="b">
        <f>BaseAtk&gt;=22</f>
        <v>0</v>
      </c>
      <c r="DU646" s="1" t="b">
        <f>SkIntimidateRanks&gt;=14</f>
        <v>0</v>
      </c>
      <c r="DV646" s="1" t="b">
        <f>FtPowerAttackEquiv</f>
        <v>0</v>
      </c>
      <c r="DW646" s="1" t="b">
        <f>FtShockWave</f>
        <v>0</v>
      </c>
      <c r="DX646" s="1" t="b">
        <f>FtWingstorm</f>
        <v>0</v>
      </c>
      <c r="DY646" s="1" t="b">
        <f>BbnLvl&gt;=1</f>
        <v>0</v>
      </c>
      <c r="DZ646" s="1" t="b">
        <f>FtFrightfulPresence</f>
        <v>0</v>
      </c>
      <c r="EA646" s="1" t="b">
        <f t="shared" si="572"/>
        <v>0</v>
      </c>
      <c r="EB646" s="11" t="s">
        <v>334</v>
      </c>
      <c r="EC646" s="1" t="str">
        <f>IF(DR646,"","• Must be a Dragon.
")&amp;IF(DS646,"","• Must be of Any Chaotic Alignment.
")&amp;IF(DT646,"","• Base attack bonus of +22 or greater.
")&amp;IF(DU646,"","• 14 ranks in Intimidate.
")&amp;IF(DV646,"","• Power Attack Feat.
")&amp;IF(DW646,"","• ShockWave Feat.
")&amp;IF(DX646,"","• Windstorm Feat.
")&amp;IF(DY646,"","• Must be able to Rage.
")&amp;IF(DZ646,"","• Must have the Frightful Presence Ability.")</f>
        <v>• Must be a Dragon.
• Must be of Any Chaotic Alignment.
• Base attack bonus of +22 or greater.
• 14 ranks in Intimidate.
• Power Attack Feat.
• ShockWave Feat.
• Windstorm Feat.
• Must be able to Rage.
• Must have the Frightful Presence Ability.</v>
      </c>
      <c r="ED646" s="11" t="s">
        <v>335</v>
      </c>
    </row>
    <row r="647" spans="1:134" ht="11.25" customHeight="1" x14ac:dyDescent="0.2">
      <c r="A647" s="1">
        <f t="shared" si="582"/>
        <v>644</v>
      </c>
      <c r="B647" s="1" t="s">
        <v>1519</v>
      </c>
      <c r="C647" s="1" t="s">
        <v>151</v>
      </c>
      <c r="D647" s="1" t="s">
        <v>151</v>
      </c>
      <c r="E647" s="1">
        <f t="shared" si="575"/>
        <v>0</v>
      </c>
      <c r="K647" s="1">
        <v>4</v>
      </c>
      <c r="L647" s="1">
        <v>8</v>
      </c>
      <c r="V647" s="1">
        <v>1</v>
      </c>
      <c r="W647" s="1">
        <v>0.5</v>
      </c>
      <c r="X647" s="1">
        <v>0.34</v>
      </c>
      <c r="Y647" s="1">
        <v>0.5</v>
      </c>
      <c r="Z647" s="1" t="b">
        <f>FALSE</f>
        <v>0</v>
      </c>
      <c r="AA647" s="1" t="str">
        <f t="shared" si="578"/>
        <v/>
      </c>
      <c r="AB647" s="1" t="str">
        <f t="shared" si="579"/>
        <v/>
      </c>
      <c r="AC647" s="1">
        <f t="shared" si="576"/>
        <v>0</v>
      </c>
      <c r="AD647" s="1" t="str">
        <f t="shared" si="580"/>
        <v/>
      </c>
      <c r="AE647" s="1" t="str">
        <f t="shared" si="581"/>
        <v/>
      </c>
      <c r="AF647" s="1">
        <f t="shared" si="577"/>
        <v>0</v>
      </c>
      <c r="AG647" s="1">
        <f t="shared" si="546"/>
        <v>5</v>
      </c>
      <c r="AH647" s="1" t="str">
        <f t="shared" si="545"/>
        <v/>
      </c>
      <c r="AI647" s="1">
        <v>1</v>
      </c>
      <c r="AJ647" s="1">
        <f t="shared" si="564"/>
        <v>0</v>
      </c>
      <c r="AK647" s="1">
        <v>1</v>
      </c>
      <c r="AL647" s="1">
        <v>1</v>
      </c>
      <c r="AM647" s="1">
        <v>1</v>
      </c>
      <c r="AN647" s="1">
        <f t="shared" si="565"/>
        <v>0</v>
      </c>
      <c r="AO647" s="1">
        <v>2</v>
      </c>
      <c r="AP647" s="1">
        <v>1</v>
      </c>
      <c r="AQ647" s="1">
        <v>1</v>
      </c>
      <c r="AR647" s="1">
        <v>1</v>
      </c>
      <c r="AS647" s="1">
        <v>1</v>
      </c>
      <c r="AT647" s="1">
        <v>1</v>
      </c>
      <c r="AU647" s="1">
        <v>1</v>
      </c>
      <c r="AV647" s="1">
        <v>1</v>
      </c>
      <c r="AW647" s="1">
        <v>1</v>
      </c>
      <c r="AX647" s="1">
        <v>1</v>
      </c>
      <c r="AY647" s="1">
        <v>1</v>
      </c>
      <c r="AZ647" s="1">
        <v>1</v>
      </c>
      <c r="BA647" s="1">
        <v>1</v>
      </c>
      <c r="BB647" s="1">
        <v>1</v>
      </c>
      <c r="BC647" s="1">
        <v>1</v>
      </c>
      <c r="BD647" s="1">
        <v>1</v>
      </c>
      <c r="BE647" s="1">
        <v>1</v>
      </c>
      <c r="BF647" s="1">
        <v>2</v>
      </c>
      <c r="BG647" s="1">
        <f t="shared" si="566"/>
        <v>0</v>
      </c>
      <c r="BH647" s="1">
        <f t="shared" si="567"/>
        <v>0</v>
      </c>
      <c r="BI647" s="1">
        <v>2</v>
      </c>
      <c r="BJ647" s="1">
        <v>1</v>
      </c>
      <c r="BK647" s="1">
        <v>2</v>
      </c>
      <c r="BL647" s="1">
        <v>1</v>
      </c>
      <c r="BM647" s="1">
        <v>1</v>
      </c>
      <c r="BN647" s="1">
        <v>1</v>
      </c>
      <c r="BO647" s="1">
        <v>1</v>
      </c>
      <c r="BP647" s="1">
        <v>1</v>
      </c>
      <c r="BQ647" s="1">
        <f t="shared" si="573"/>
        <v>0</v>
      </c>
      <c r="BR647" s="1">
        <v>1</v>
      </c>
      <c r="BS647" s="1">
        <v>1</v>
      </c>
      <c r="BT647" s="1">
        <f t="shared" si="574"/>
        <v>0</v>
      </c>
      <c r="BU647" s="1">
        <f>IF(HRRVL,2,0)</f>
        <v>0</v>
      </c>
      <c r="BV647" s="1">
        <v>2</v>
      </c>
      <c r="BW647" s="1">
        <v>2</v>
      </c>
      <c r="BX647" s="1">
        <v>1</v>
      </c>
      <c r="BY647" s="1">
        <v>1</v>
      </c>
      <c r="BZ647" s="1">
        <v>1</v>
      </c>
      <c r="CA647" s="1">
        <v>1</v>
      </c>
      <c r="CB647" s="1">
        <v>1</v>
      </c>
      <c r="CC647" s="1">
        <v>1</v>
      </c>
      <c r="CD647" s="1">
        <v>1</v>
      </c>
      <c r="CE647" s="1">
        <v>1</v>
      </c>
      <c r="CF647" s="1">
        <v>2</v>
      </c>
      <c r="CG647" s="1">
        <f t="shared" si="568"/>
        <v>0</v>
      </c>
      <c r="CH647" s="1">
        <v>2</v>
      </c>
      <c r="CI647" s="1">
        <v>1</v>
      </c>
      <c r="CJ647" s="1">
        <v>1</v>
      </c>
      <c r="CK647" s="1">
        <v>1</v>
      </c>
      <c r="CL647" s="1">
        <v>1</v>
      </c>
      <c r="CM647" s="1">
        <v>1</v>
      </c>
      <c r="CN647" s="1">
        <v>1</v>
      </c>
      <c r="CO647" s="1">
        <v>1</v>
      </c>
      <c r="CP647" s="1">
        <v>1</v>
      </c>
      <c r="CQ647" s="1">
        <v>1</v>
      </c>
      <c r="CR647" s="1">
        <v>1</v>
      </c>
      <c r="CS647" s="1">
        <v>1</v>
      </c>
      <c r="CT647" s="1">
        <v>1</v>
      </c>
      <c r="CU647" s="1">
        <v>1</v>
      </c>
      <c r="CV647" s="1">
        <f t="shared" si="569"/>
        <v>0</v>
      </c>
      <c r="CW647" s="1">
        <v>1</v>
      </c>
      <c r="CX647" s="1">
        <v>2</v>
      </c>
      <c r="CY647" s="1">
        <v>2</v>
      </c>
      <c r="CZ647" s="1">
        <f t="shared" si="570"/>
        <v>0</v>
      </c>
      <c r="DA647" s="1">
        <v>1</v>
      </c>
      <c r="DB647" s="1">
        <v>1</v>
      </c>
      <c r="DC647" s="1">
        <v>2</v>
      </c>
      <c r="DD647" s="1">
        <v>2</v>
      </c>
      <c r="DE647" s="1">
        <v>1</v>
      </c>
      <c r="DF647" s="1">
        <v>1</v>
      </c>
      <c r="DG647" s="1">
        <v>1</v>
      </c>
      <c r="DH647" s="1">
        <v>1</v>
      </c>
      <c r="DI647" s="1">
        <f t="shared" si="571"/>
        <v>0</v>
      </c>
      <c r="DJ647" s="1">
        <v>1</v>
      </c>
      <c r="DK647" s="1" t="s">
        <v>1499</v>
      </c>
      <c r="DL647" s="1" t="s">
        <v>101</v>
      </c>
      <c r="DR647" s="1" t="b">
        <f>RaceCi="Dragon"</f>
        <v>0</v>
      </c>
      <c r="DS647" s="1" t="b">
        <f>AlignmentEvil</f>
        <v>0</v>
      </c>
      <c r="DT647" s="1" t="b">
        <f>BaseAtk&gt;=18</f>
        <v>0</v>
      </c>
      <c r="DU647" s="1" t="b">
        <f>SkKnowledgeReligionRanks&gt;=18</f>
        <v>0</v>
      </c>
      <c r="DV647" s="1" t="b">
        <f>SkKnowledgePlanesRanks&gt;=18</f>
        <v>0</v>
      </c>
      <c r="DW647" s="1" t="b">
        <f>OR(FreeIronWill,FtIronWill)</f>
        <v>0</v>
      </c>
      <c r="DX647" s="1" t="b">
        <f>FtQuickenSpellLikeAbility</f>
        <v>0</v>
      </c>
      <c r="EA647" s="1" t="b">
        <f t="shared" si="572"/>
        <v>0</v>
      </c>
      <c r="EB647" s="11" t="s">
        <v>338</v>
      </c>
      <c r="EC647" s="1" t="str">
        <f>IF(DR647,"","• Must be a Dragon.
")&amp;IF(DS647,"","• Must be of Any Evil Alignment.
")&amp;IF(DT647,"","• Base attack bonus of +18 or greater.
")&amp;IF(DU647,"","• 18 ranks in Knowledge (religion).
")&amp;IF(DV647,"","• 18 ranks in Knowledge (the planes).
")&amp;IF(DW647,"","• Iron Will Feat.
")&amp;IF(DX647,"","• Quicken Spell-like Ability Feat.
")&amp;IF(DY647,"","• Initiation: You must undergo a ritual scarring of you heart robbing you of 1 point of con (not verified).")</f>
        <v>• Must be a Dragon.
• Must be of Any Evil Alignment.
• Base attack bonus of +18 or greater.
• 18 ranks in Knowledge (religion).
• 18 ranks in Knowledge (the planes).
• Iron Will Feat.
• Quicken Spell-like Ability Feat.
• Initiation: You must undergo a ritual scarring of you heart robbing you of 1 point of con (not verified).</v>
      </c>
      <c r="ED647" s="11" t="s">
        <v>335</v>
      </c>
    </row>
    <row r="648" spans="1:134" ht="11.25" customHeight="1" x14ac:dyDescent="0.2">
      <c r="A648" s="1">
        <f t="shared" si="582"/>
        <v>645</v>
      </c>
      <c r="B648" s="1" t="s">
        <v>1520</v>
      </c>
      <c r="C648" s="1" t="s">
        <v>1521</v>
      </c>
      <c r="D648" s="1" t="s">
        <v>1521</v>
      </c>
      <c r="E648" s="1">
        <f t="shared" si="575"/>
        <v>0</v>
      </c>
      <c r="G648" s="1">
        <f>(DPWLvl&gt;=2)*(DPWLvl-1)</f>
        <v>0</v>
      </c>
      <c r="K648" s="1">
        <v>2</v>
      </c>
      <c r="L648" s="1">
        <v>8</v>
      </c>
      <c r="V648" s="1">
        <v>0.75</v>
      </c>
      <c r="W648" s="1">
        <v>0.5</v>
      </c>
      <c r="X648" s="1">
        <v>0.34</v>
      </c>
      <c r="Y648" s="1">
        <v>0.5</v>
      </c>
      <c r="Z648" s="1" t="b">
        <f>FALSE</f>
        <v>0</v>
      </c>
      <c r="AA648" s="1" t="str">
        <f t="shared" si="578"/>
        <v/>
      </c>
      <c r="AB648" s="1" t="str">
        <f t="shared" si="579"/>
        <v/>
      </c>
      <c r="AC648" s="1">
        <f t="shared" si="576"/>
        <v>0</v>
      </c>
      <c r="AD648" s="1" t="str">
        <f t="shared" si="580"/>
        <v/>
      </c>
      <c r="AE648" s="1" t="str">
        <f t="shared" si="581"/>
        <v/>
      </c>
      <c r="AF648" s="1">
        <f t="shared" si="577"/>
        <v>0</v>
      </c>
      <c r="AG648" s="1">
        <f t="shared" si="546"/>
        <v>5</v>
      </c>
      <c r="AH648" s="1" t="str">
        <f t="shared" si="545"/>
        <v/>
      </c>
      <c r="AI648" s="1">
        <v>1</v>
      </c>
      <c r="AJ648" s="1">
        <f t="shared" si="564"/>
        <v>0</v>
      </c>
      <c r="AK648" s="1">
        <v>1</v>
      </c>
      <c r="AL648" s="1">
        <v>1</v>
      </c>
      <c r="AM648" s="1">
        <v>1</v>
      </c>
      <c r="AN648" s="1">
        <f t="shared" si="565"/>
        <v>0</v>
      </c>
      <c r="AO648" s="1">
        <v>2</v>
      </c>
      <c r="AP648" s="1">
        <v>1</v>
      </c>
      <c r="AQ648" s="1">
        <v>1</v>
      </c>
      <c r="AR648" s="1">
        <v>1</v>
      </c>
      <c r="AS648" s="1">
        <v>1</v>
      </c>
      <c r="AT648" s="1">
        <v>1</v>
      </c>
      <c r="AU648" s="1">
        <v>1</v>
      </c>
      <c r="AV648" s="1">
        <v>1</v>
      </c>
      <c r="AW648" s="1">
        <v>2</v>
      </c>
      <c r="AX648" s="1">
        <v>1</v>
      </c>
      <c r="AY648" s="1">
        <v>1</v>
      </c>
      <c r="AZ648" s="1">
        <v>1</v>
      </c>
      <c r="BA648" s="1">
        <v>1</v>
      </c>
      <c r="BB648" s="1">
        <v>1</v>
      </c>
      <c r="BC648" s="1">
        <v>1</v>
      </c>
      <c r="BD648" s="1">
        <v>1</v>
      </c>
      <c r="BE648" s="1">
        <v>1</v>
      </c>
      <c r="BF648" s="1">
        <v>1</v>
      </c>
      <c r="BG648" s="1">
        <f t="shared" si="566"/>
        <v>0</v>
      </c>
      <c r="BH648" s="1">
        <f t="shared" si="567"/>
        <v>0</v>
      </c>
      <c r="BI648" s="1">
        <v>1</v>
      </c>
      <c r="BJ648" s="1">
        <v>1</v>
      </c>
      <c r="BK648" s="1">
        <v>2</v>
      </c>
      <c r="BL648" s="1">
        <v>2</v>
      </c>
      <c r="BM648" s="1">
        <v>2</v>
      </c>
      <c r="BN648" s="1">
        <v>2</v>
      </c>
      <c r="BO648" s="1">
        <v>2</v>
      </c>
      <c r="BP648" s="1">
        <f>1+NOT(HRLivingGreyhawk)</f>
        <v>2</v>
      </c>
      <c r="BQ648" s="1">
        <f>IF(HRRVL,2,0)</f>
        <v>0</v>
      </c>
      <c r="BR648" s="1">
        <v>2</v>
      </c>
      <c r="BS648" s="1">
        <v>2</v>
      </c>
      <c r="BT648" s="1">
        <f>IF(HRXPH,2,0)</f>
        <v>0</v>
      </c>
      <c r="BU648" s="1">
        <f>IF(HRRVL,2,0)</f>
        <v>0</v>
      </c>
      <c r="BV648" s="1">
        <v>2</v>
      </c>
      <c r="BW648" s="1">
        <v>2</v>
      </c>
      <c r="BX648" s="1">
        <v>2</v>
      </c>
      <c r="BY648" s="1">
        <v>2</v>
      </c>
      <c r="BZ648" s="1">
        <v>2</v>
      </c>
      <c r="CA648" s="1">
        <v>2</v>
      </c>
      <c r="CB648" s="1">
        <v>2</v>
      </c>
      <c r="CC648" s="1">
        <v>2</v>
      </c>
      <c r="CD648" s="1">
        <v>2</v>
      </c>
      <c r="CE648" s="1">
        <v>2</v>
      </c>
      <c r="CF648" s="1">
        <v>1</v>
      </c>
      <c r="CG648" s="1">
        <f t="shared" si="568"/>
        <v>0</v>
      </c>
      <c r="CH648" s="1">
        <v>1</v>
      </c>
      <c r="CI648" s="1">
        <v>1</v>
      </c>
      <c r="CJ648" s="1">
        <v>1</v>
      </c>
      <c r="CK648" s="1">
        <v>1</v>
      </c>
      <c r="CL648" s="1">
        <v>1</v>
      </c>
      <c r="CM648" s="1">
        <v>1</v>
      </c>
      <c r="CN648" s="1">
        <v>1</v>
      </c>
      <c r="CO648" s="1">
        <v>1</v>
      </c>
      <c r="CP648" s="1">
        <v>1</v>
      </c>
      <c r="CQ648" s="1">
        <v>1</v>
      </c>
      <c r="CR648" s="1">
        <v>1</v>
      </c>
      <c r="CS648" s="1">
        <v>1</v>
      </c>
      <c r="CT648" s="1">
        <v>1</v>
      </c>
      <c r="CU648" s="1">
        <v>1</v>
      </c>
      <c r="CV648" s="1">
        <f t="shared" si="569"/>
        <v>0</v>
      </c>
      <c r="CW648" s="1">
        <v>1</v>
      </c>
      <c r="CX648" s="1">
        <v>1</v>
      </c>
      <c r="CY648" s="1">
        <v>1</v>
      </c>
      <c r="CZ648" s="1">
        <f t="shared" si="570"/>
        <v>0</v>
      </c>
      <c r="DA648" s="1">
        <v>1</v>
      </c>
      <c r="DB648" s="1">
        <v>1</v>
      </c>
      <c r="DC648" s="1">
        <v>2</v>
      </c>
      <c r="DD648" s="1">
        <v>1</v>
      </c>
      <c r="DE648" s="1">
        <v>1</v>
      </c>
      <c r="DF648" s="1">
        <v>1</v>
      </c>
      <c r="DG648" s="1">
        <v>1</v>
      </c>
      <c r="DH648" s="1">
        <v>1</v>
      </c>
      <c r="DI648" s="1">
        <f t="shared" si="571"/>
        <v>0</v>
      </c>
      <c r="DJ648" s="1">
        <v>1</v>
      </c>
      <c r="DK648" s="1" t="s">
        <v>1499</v>
      </c>
      <c r="DL648" s="1" t="s">
        <v>101</v>
      </c>
      <c r="DR648" s="1" t="b">
        <f>RaceCi="Dragon"</f>
        <v>0</v>
      </c>
      <c r="DS648" s="1" t="b">
        <f>AlignmentNeutral</f>
        <v>0</v>
      </c>
      <c r="DT648" s="1" t="b">
        <f>COUNTIF(TblSkKnowRanks,"&gt;=20")&gt;=2</f>
        <v>0</v>
      </c>
      <c r="DU648" s="1" t="b">
        <f ca="1">MaxDivineSpellLevel&gt;=1</f>
        <v>0</v>
      </c>
      <c r="DV648" s="1" t="b">
        <f>NOT(ISNA(MATCH("Knowledge",Domains,0)))</f>
        <v>0</v>
      </c>
      <c r="EA648" s="1" t="b">
        <f ca="1">AND(DM648:DZ648)</f>
        <v>0</v>
      </c>
      <c r="EB648" s="11" t="s">
        <v>334</v>
      </c>
      <c r="EC648" s="1" t="str">
        <f ca="1">IF(DR648,"","• Must be a Dragon.
")&amp;IF(DS648,"","• Must be of Any Neutral Alignment.
")&amp;IF(DT648,"","• Base attack bonus of +18 or greater.
")&amp;IF(DU648,"","• 20 ranks in Knowledge (any two).
")&amp;IF(DV648,"","• Able to cast Divine Spells.
")&amp;IF(DW648,"","• Knowledge Domain.")</f>
        <v>• Must be a Dragon.
• Must be of Any Neutral Alignment.
• Base attack bonus of +18 or greater.
• 20 ranks in Knowledge (any two).
• Able to cast Divine Spells.
• Knowledge Domain.</v>
      </c>
      <c r="ED648" s="11" t="s">
        <v>335</v>
      </c>
    </row>
    <row r="649" spans="1:134" ht="11.25" customHeight="1" x14ac:dyDescent="0.2">
      <c r="A649" s="1">
        <f t="shared" si="582"/>
        <v>646</v>
      </c>
      <c r="B649" s="1" t="s">
        <v>1522</v>
      </c>
      <c r="C649" s="1" t="s">
        <v>945</v>
      </c>
      <c r="D649" s="1" t="s">
        <v>945</v>
      </c>
      <c r="E649" s="1">
        <f t="shared" si="575"/>
        <v>0</v>
      </c>
      <c r="K649" s="1">
        <v>6</v>
      </c>
      <c r="L649" s="1">
        <v>12</v>
      </c>
      <c r="V649" s="1">
        <v>1</v>
      </c>
      <c r="W649" s="1">
        <v>0.5</v>
      </c>
      <c r="X649" s="1">
        <v>0.5</v>
      </c>
      <c r="Y649" s="1">
        <v>0.5</v>
      </c>
      <c r="Z649" s="1" t="b">
        <f>FALSE</f>
        <v>0</v>
      </c>
      <c r="AA649" s="1" t="str">
        <f t="shared" si="578"/>
        <v/>
      </c>
      <c r="AB649" s="1" t="str">
        <f t="shared" si="579"/>
        <v/>
      </c>
      <c r="AC649" s="1">
        <f t="shared" si="576"/>
        <v>0</v>
      </c>
      <c r="AD649" s="1" t="str">
        <f t="shared" si="580"/>
        <v/>
      </c>
      <c r="AE649" s="1" t="str">
        <f t="shared" si="581"/>
        <v/>
      </c>
      <c r="AF649" s="1">
        <f t="shared" si="577"/>
        <v>0</v>
      </c>
      <c r="AG649" s="1">
        <f t="shared" si="546"/>
        <v>5</v>
      </c>
      <c r="AH649" s="1" t="str">
        <f t="shared" si="545"/>
        <v/>
      </c>
      <c r="AI649" s="1">
        <v>1</v>
      </c>
      <c r="AJ649" s="1">
        <f t="shared" si="564"/>
        <v>0</v>
      </c>
      <c r="AK649" s="1">
        <v>1</v>
      </c>
      <c r="AL649" s="1">
        <v>1</v>
      </c>
      <c r="AM649" s="1">
        <v>1</v>
      </c>
      <c r="AN649" s="1">
        <f t="shared" si="565"/>
        <v>0</v>
      </c>
      <c r="AO649" s="1">
        <v>2</v>
      </c>
      <c r="AP649" s="1">
        <v>1</v>
      </c>
      <c r="AQ649" s="1">
        <v>1</v>
      </c>
      <c r="AR649" s="1">
        <v>1</v>
      </c>
      <c r="AS649" s="1">
        <v>1</v>
      </c>
      <c r="AT649" s="1">
        <v>1</v>
      </c>
      <c r="AU649" s="1">
        <v>1</v>
      </c>
      <c r="AV649" s="1">
        <v>1</v>
      </c>
      <c r="AW649" s="1">
        <v>1</v>
      </c>
      <c r="AX649" s="1">
        <v>2</v>
      </c>
      <c r="AY649" s="1">
        <v>1</v>
      </c>
      <c r="AZ649" s="1">
        <v>1</v>
      </c>
      <c r="BA649" s="1">
        <v>1</v>
      </c>
      <c r="BB649" s="1">
        <v>1</v>
      </c>
      <c r="BC649" s="1">
        <v>1</v>
      </c>
      <c r="BD649" s="1">
        <v>1</v>
      </c>
      <c r="BE649" s="1">
        <v>2</v>
      </c>
      <c r="BF649" s="1">
        <v>1</v>
      </c>
      <c r="BG649" s="1">
        <f t="shared" si="566"/>
        <v>0</v>
      </c>
      <c r="BH649" s="1">
        <f t="shared" si="567"/>
        <v>0</v>
      </c>
      <c r="BI649" s="1">
        <v>2</v>
      </c>
      <c r="BJ649" s="1">
        <v>2</v>
      </c>
      <c r="BK649" s="1">
        <v>2</v>
      </c>
      <c r="BL649" s="1">
        <v>1</v>
      </c>
      <c r="BM649" s="1">
        <v>1</v>
      </c>
      <c r="BN649" s="1">
        <v>1</v>
      </c>
      <c r="BO649" s="1">
        <v>1</v>
      </c>
      <c r="BP649" s="1">
        <v>1</v>
      </c>
      <c r="BQ649" s="1">
        <f>IF(HRRVL,1,0)</f>
        <v>0</v>
      </c>
      <c r="BR649" s="1">
        <v>1</v>
      </c>
      <c r="BS649" s="1">
        <v>1</v>
      </c>
      <c r="BT649" s="1">
        <f>IF(HRXPH,1,0)</f>
        <v>0</v>
      </c>
      <c r="BU649" s="1">
        <f>IF(HRRVL,2,0)</f>
        <v>0</v>
      </c>
      <c r="BV649" s="1">
        <v>2</v>
      </c>
      <c r="BW649" s="1">
        <v>2</v>
      </c>
      <c r="BX649" s="1">
        <v>1</v>
      </c>
      <c r="BY649" s="1">
        <v>1</v>
      </c>
      <c r="BZ649" s="1">
        <v>1</v>
      </c>
      <c r="CA649" s="1">
        <v>1</v>
      </c>
      <c r="CB649" s="1">
        <v>1</v>
      </c>
      <c r="CC649" s="1">
        <v>1</v>
      </c>
      <c r="CD649" s="1">
        <v>1</v>
      </c>
      <c r="CE649" s="1">
        <v>1</v>
      </c>
      <c r="CF649" s="1">
        <v>2</v>
      </c>
      <c r="CG649" s="1">
        <f t="shared" si="568"/>
        <v>0</v>
      </c>
      <c r="CH649" s="1">
        <v>1</v>
      </c>
      <c r="CI649" s="1">
        <v>1</v>
      </c>
      <c r="CJ649" s="1">
        <v>1</v>
      </c>
      <c r="CK649" s="1">
        <v>1</v>
      </c>
      <c r="CL649" s="1">
        <v>1</v>
      </c>
      <c r="CM649" s="1">
        <v>1</v>
      </c>
      <c r="CN649" s="1">
        <v>1</v>
      </c>
      <c r="CO649" s="1">
        <v>1</v>
      </c>
      <c r="CP649" s="1">
        <v>1</v>
      </c>
      <c r="CQ649" s="1">
        <v>1</v>
      </c>
      <c r="CR649" s="1">
        <v>1</v>
      </c>
      <c r="CS649" s="1">
        <v>1</v>
      </c>
      <c r="CT649" s="1">
        <v>1</v>
      </c>
      <c r="CU649" s="1">
        <v>1</v>
      </c>
      <c r="CV649" s="1">
        <f t="shared" si="569"/>
        <v>0</v>
      </c>
      <c r="CW649" s="1">
        <v>1</v>
      </c>
      <c r="CX649" s="1">
        <v>2</v>
      </c>
      <c r="CY649" s="1">
        <v>2</v>
      </c>
      <c r="CZ649" s="1">
        <f t="shared" si="570"/>
        <v>0</v>
      </c>
      <c r="DA649" s="1">
        <v>1</v>
      </c>
      <c r="DB649" s="1">
        <v>1</v>
      </c>
      <c r="DC649" s="1">
        <v>2</v>
      </c>
      <c r="DD649" s="1">
        <v>2</v>
      </c>
      <c r="DE649" s="1">
        <v>1</v>
      </c>
      <c r="DF649" s="1">
        <v>1</v>
      </c>
      <c r="DG649" s="1">
        <v>1</v>
      </c>
      <c r="DH649" s="1">
        <v>1</v>
      </c>
      <c r="DI649" s="1">
        <f t="shared" si="571"/>
        <v>0</v>
      </c>
      <c r="DJ649" s="1">
        <v>1</v>
      </c>
      <c r="DK649" s="1" t="s">
        <v>1499</v>
      </c>
      <c r="DL649" s="1" t="s">
        <v>101</v>
      </c>
      <c r="DR649" s="1" t="b">
        <f>RaceCi="True Dragon"</f>
        <v>0</v>
      </c>
      <c r="DS649" s="1" t="b">
        <f>BaseAtk&gt;=30</f>
        <v>0</v>
      </c>
      <c r="DT649" s="1" t="b">
        <f>FtDraconicKnowledge</f>
        <v>0</v>
      </c>
      <c r="DU649" s="1" t="b">
        <f>FtFasterHealing</f>
        <v>0</v>
      </c>
      <c r="DV649" s="1" t="b">
        <f>OR(FreeGreatFortitude,FtGreatFortitude)</f>
        <v>0</v>
      </c>
      <c r="DW649" s="1" t="b">
        <f>FtImprovedSpeed</f>
        <v>0</v>
      </c>
      <c r="DX649" s="1" t="b">
        <f>OR(FreeIronWill,FtIronWill)</f>
        <v>0</v>
      </c>
      <c r="DY649" s="1" t="b">
        <f>OR(FreeLightningReflexes,FtLightningReflexes)</f>
        <v>0</v>
      </c>
      <c r="EA649" s="1" t="b">
        <f t="shared" si="572"/>
        <v>0</v>
      </c>
      <c r="EB649" s="11" t="s">
        <v>338</v>
      </c>
      <c r="EC649" s="1" t="str">
        <f>IF(DR649,"","• Must be a True Dragon.
")&amp;IF(DS649,"","• Base attack bonus of +30 or greater.
")&amp;IF(DT649,"","• Draconic Knowledge Feat.
")&amp;IF(DU649,"","• Faster Healing Feat.
")&amp;IF(DV649,"","• Great Fortitude Feat.
")&amp;IF(DW649,"","• Improved Speed Feat.
")&amp;IF(DX649,"","• Iron Will Feat.
")&amp;IF(DY649,"","• Lightning Reflexes Feat.
")&amp;IF(DZ649,"","• Consume Hoard: You must consume your entire hoard worth 100,000gp or more.")</f>
        <v>• Must be a True Dragon.
• Base attack bonus of +30 or greater.
• Draconic Knowledge Feat.
• Faster Healing Feat.
• Great Fortitude Feat.
• Improved Speed Feat.
• Iron Will Feat.
• Lightning Reflexes Feat.
• Consume Hoard: You must consume your entire hoard worth 100,000gp or more.</v>
      </c>
      <c r="ED649" s="11" t="s">
        <v>335</v>
      </c>
    </row>
    <row r="650" spans="1:134" ht="11.25" customHeight="1" x14ac:dyDescent="0.2">
      <c r="A650" s="1">
        <f t="shared" si="582"/>
        <v>647</v>
      </c>
      <c r="B650" s="1" t="s">
        <v>1523</v>
      </c>
      <c r="C650" s="1" t="s">
        <v>1524</v>
      </c>
      <c r="D650" s="1" t="s">
        <v>1524</v>
      </c>
      <c r="E650" s="1">
        <f t="shared" si="575"/>
        <v>0</v>
      </c>
      <c r="K650" s="1">
        <v>2</v>
      </c>
      <c r="L650" s="1">
        <v>12</v>
      </c>
      <c r="V650" s="1">
        <v>1</v>
      </c>
      <c r="W650" s="1">
        <v>0.5</v>
      </c>
      <c r="X650" s="1">
        <v>0.5</v>
      </c>
      <c r="Y650" s="1">
        <v>0.5</v>
      </c>
      <c r="Z650" s="1" t="b">
        <f>FALSE</f>
        <v>0</v>
      </c>
      <c r="AA650" s="1" t="str">
        <f t="shared" si="578"/>
        <v/>
      </c>
      <c r="AB650" s="1" t="str">
        <f t="shared" si="579"/>
        <v/>
      </c>
      <c r="AC650" s="1">
        <f t="shared" si="576"/>
        <v>0</v>
      </c>
      <c r="AD650" s="1" t="str">
        <f t="shared" si="580"/>
        <v/>
      </c>
      <c r="AE650" s="1" t="str">
        <f t="shared" si="581"/>
        <v/>
      </c>
      <c r="AF650" s="1">
        <f t="shared" si="577"/>
        <v>0</v>
      </c>
      <c r="AG650" s="1">
        <f t="shared" si="546"/>
        <v>5</v>
      </c>
      <c r="AH650" s="1" t="str">
        <f t="shared" si="545"/>
        <v/>
      </c>
      <c r="AI650" s="1">
        <v>1</v>
      </c>
      <c r="AJ650" s="1">
        <f t="shared" si="564"/>
        <v>0</v>
      </c>
      <c r="AK650" s="1">
        <v>1</v>
      </c>
      <c r="AL650" s="1">
        <v>1</v>
      </c>
      <c r="AM650" s="1">
        <v>1</v>
      </c>
      <c r="AN650" s="1">
        <f t="shared" si="565"/>
        <v>0</v>
      </c>
      <c r="AO650" s="1">
        <v>2</v>
      </c>
      <c r="AP650" s="1">
        <v>1</v>
      </c>
      <c r="AQ650" s="1">
        <v>1</v>
      </c>
      <c r="AR650" s="1">
        <v>1</v>
      </c>
      <c r="AS650" s="1">
        <v>1</v>
      </c>
      <c r="AT650" s="1">
        <v>1</v>
      </c>
      <c r="AU650" s="1">
        <v>1</v>
      </c>
      <c r="AV650" s="1">
        <v>1</v>
      </c>
      <c r="AW650" s="1">
        <v>1</v>
      </c>
      <c r="AX650" s="1">
        <v>1</v>
      </c>
      <c r="AY650" s="1">
        <v>1</v>
      </c>
      <c r="AZ650" s="1">
        <v>1</v>
      </c>
      <c r="BA650" s="1">
        <v>1</v>
      </c>
      <c r="BB650" s="1">
        <v>1</v>
      </c>
      <c r="BC650" s="1">
        <v>1</v>
      </c>
      <c r="BD650" s="1">
        <v>1</v>
      </c>
      <c r="BE650" s="1">
        <v>1</v>
      </c>
      <c r="BF650" s="1">
        <v>1</v>
      </c>
      <c r="BG650" s="1">
        <f t="shared" si="566"/>
        <v>0</v>
      </c>
      <c r="BH650" s="1">
        <f t="shared" si="567"/>
        <v>0</v>
      </c>
      <c r="BI650" s="1">
        <v>1</v>
      </c>
      <c r="BJ650" s="1">
        <v>1</v>
      </c>
      <c r="BK650" s="1">
        <v>2</v>
      </c>
      <c r="BL650" s="1">
        <v>1</v>
      </c>
      <c r="BM650" s="1">
        <v>1</v>
      </c>
      <c r="BN650" s="1">
        <v>2</v>
      </c>
      <c r="BO650" s="1">
        <v>1</v>
      </c>
      <c r="BP650" s="1">
        <v>1</v>
      </c>
      <c r="BQ650" s="1">
        <f>IF(HRRVL,2,0)</f>
        <v>0</v>
      </c>
      <c r="BR650" s="1">
        <v>2</v>
      </c>
      <c r="BS650" s="1">
        <v>1</v>
      </c>
      <c r="BT650" s="1">
        <f>IF(HRXPH,1,0)</f>
        <v>0</v>
      </c>
      <c r="BU650" s="1">
        <f>IF(HRRVL,1,0)</f>
        <v>0</v>
      </c>
      <c r="BV650" s="1">
        <v>1</v>
      </c>
      <c r="BW650" s="1">
        <v>2</v>
      </c>
      <c r="BX650" s="1">
        <v>1</v>
      </c>
      <c r="BY650" s="1">
        <v>1</v>
      </c>
      <c r="BZ650" s="1">
        <v>1</v>
      </c>
      <c r="CA650" s="1">
        <v>1</v>
      </c>
      <c r="CB650" s="1">
        <v>1</v>
      </c>
      <c r="CC650" s="1">
        <v>1</v>
      </c>
      <c r="CD650" s="1">
        <v>1</v>
      </c>
      <c r="CE650" s="1">
        <v>1</v>
      </c>
      <c r="CF650" s="1">
        <v>1</v>
      </c>
      <c r="CG650" s="1">
        <f t="shared" si="568"/>
        <v>0</v>
      </c>
      <c r="CH650" s="1">
        <v>1</v>
      </c>
      <c r="CI650" s="1">
        <v>1</v>
      </c>
      <c r="CJ650" s="1">
        <v>1</v>
      </c>
      <c r="CK650" s="1">
        <v>1</v>
      </c>
      <c r="CL650" s="1">
        <v>1</v>
      </c>
      <c r="CM650" s="1">
        <v>1</v>
      </c>
      <c r="CN650" s="1">
        <v>1</v>
      </c>
      <c r="CO650" s="1">
        <v>1</v>
      </c>
      <c r="CP650" s="1">
        <v>1</v>
      </c>
      <c r="CQ650" s="1">
        <v>1</v>
      </c>
      <c r="CR650" s="1">
        <v>1</v>
      </c>
      <c r="CS650" s="1">
        <v>1</v>
      </c>
      <c r="CT650" s="1">
        <v>1</v>
      </c>
      <c r="CU650" s="1">
        <v>1</v>
      </c>
      <c r="CV650" s="1">
        <f t="shared" si="569"/>
        <v>0</v>
      </c>
      <c r="CW650" s="1">
        <v>1</v>
      </c>
      <c r="CX650" s="1">
        <v>1</v>
      </c>
      <c r="CY650" s="1">
        <v>1</v>
      </c>
      <c r="CZ650" s="1">
        <f t="shared" si="570"/>
        <v>0</v>
      </c>
      <c r="DA650" s="1">
        <v>1</v>
      </c>
      <c r="DB650" s="1">
        <v>1</v>
      </c>
      <c r="DC650" s="1">
        <v>2</v>
      </c>
      <c r="DD650" s="1">
        <v>1</v>
      </c>
      <c r="DE650" s="1">
        <v>2</v>
      </c>
      <c r="DF650" s="1">
        <v>1</v>
      </c>
      <c r="DG650" s="1">
        <v>1</v>
      </c>
      <c r="DH650" s="1">
        <v>1</v>
      </c>
      <c r="DI650" s="1">
        <f t="shared" si="571"/>
        <v>0</v>
      </c>
      <c r="DJ650" s="1">
        <v>1</v>
      </c>
      <c r="DK650" s="1" t="s">
        <v>1499</v>
      </c>
      <c r="DL650" s="1" t="s">
        <v>101</v>
      </c>
      <c r="DR650" s="1" t="b">
        <f>RaceCi="Dragon"</f>
        <v>0</v>
      </c>
      <c r="DS650" s="1" t="b">
        <f>BaseAtk&gt;=20</f>
        <v>0</v>
      </c>
      <c r="DT650" s="1" t="b">
        <f>MetaBreathFeats&gt;=3</f>
        <v>0</v>
      </c>
      <c r="DU650" s="1" t="b">
        <f ca="1">MaxArcaneSpellLevel&gt;=1</f>
        <v>0</v>
      </c>
      <c r="EA650" s="1" t="b">
        <f ca="1">AND(DM650:DZ650)</f>
        <v>0</v>
      </c>
      <c r="EB650" s="11" t="s">
        <v>338</v>
      </c>
      <c r="EC650" s="1" t="str">
        <f ca="1">IF(DR650,"","• Must be a Dragon.
")&amp;IF(DS650,"","• Base attack bonus of +20 or greater.
")&amp;IF(DT650,"","• Any three metabreath feats.
")&amp;IF(DU650,"","• Able to cast Arcane Spells.
")&amp;IF(DV650,"","• Elemental Attunement:  You must have an energy or elemental subtype (not verified).
")&amp;IF(DW650,"","• Breath Weapon: You must have a breath weapon that deals energy damage (not verified).")</f>
        <v>• Must be a Dragon.
• Base attack bonus of +20 or greater.
• Any three metabreath feats.
• Able to cast Arcane Spells.
• Elemental Attunement:  You must have an energy or elemental subtype (not verified).
• Breath Weapon: You must have a breath weapon that deals energy damage (not verified).</v>
      </c>
      <c r="ED650" s="11" t="s">
        <v>335</v>
      </c>
    </row>
    <row r="651" spans="1:134" ht="11.25" customHeight="1" x14ac:dyDescent="0.2">
      <c r="A651" s="1">
        <f t="shared" si="582"/>
        <v>648</v>
      </c>
      <c r="B651" s="1" t="s">
        <v>1525</v>
      </c>
      <c r="C651" s="1" t="s">
        <v>1526</v>
      </c>
      <c r="D651" s="1" t="s">
        <v>1526</v>
      </c>
      <c r="E651" s="1">
        <f t="shared" si="575"/>
        <v>0</v>
      </c>
      <c r="K651" s="1">
        <v>4</v>
      </c>
      <c r="L651" s="1">
        <v>10</v>
      </c>
      <c r="V651" s="1">
        <v>1</v>
      </c>
      <c r="W651" s="1">
        <v>0.5</v>
      </c>
      <c r="X651" s="1">
        <v>0.5</v>
      </c>
      <c r="Y651" s="1">
        <v>0.5</v>
      </c>
      <c r="Z651" s="1" t="b">
        <f>FALSE</f>
        <v>0</v>
      </c>
      <c r="AA651" s="1" t="str">
        <f t="shared" si="578"/>
        <v/>
      </c>
      <c r="AB651" s="1" t="str">
        <f t="shared" si="579"/>
        <v/>
      </c>
      <c r="AC651" s="1">
        <f t="shared" si="576"/>
        <v>0</v>
      </c>
      <c r="AD651" s="1" t="str">
        <f t="shared" si="580"/>
        <v/>
      </c>
      <c r="AE651" s="1" t="str">
        <f t="shared" si="581"/>
        <v/>
      </c>
      <c r="AF651" s="1">
        <f t="shared" si="577"/>
        <v>0</v>
      </c>
      <c r="AG651" s="1">
        <f t="shared" si="546"/>
        <v>5</v>
      </c>
      <c r="AH651" s="1" t="str">
        <f t="shared" si="545"/>
        <v/>
      </c>
      <c r="AI651" s="1">
        <v>1</v>
      </c>
      <c r="AJ651" s="1">
        <f t="shared" si="564"/>
        <v>0</v>
      </c>
      <c r="AK651" s="1">
        <v>2</v>
      </c>
      <c r="AL651" s="1">
        <v>1</v>
      </c>
      <c r="AM651" s="1">
        <v>2</v>
      </c>
      <c r="AN651" s="1">
        <f t="shared" si="565"/>
        <v>0</v>
      </c>
      <c r="AO651" s="1">
        <v>2</v>
      </c>
      <c r="AP651" s="1">
        <v>1</v>
      </c>
      <c r="AQ651" s="1">
        <v>1</v>
      </c>
      <c r="AR651" s="1">
        <v>1</v>
      </c>
      <c r="AS651" s="1">
        <v>1</v>
      </c>
      <c r="AT651" s="1">
        <v>1</v>
      </c>
      <c r="AU651" s="1">
        <v>1</v>
      </c>
      <c r="AV651" s="1">
        <v>1</v>
      </c>
      <c r="AW651" s="1">
        <v>1</v>
      </c>
      <c r="AX651" s="1">
        <v>2</v>
      </c>
      <c r="AY651" s="1">
        <v>1</v>
      </c>
      <c r="AZ651" s="1">
        <v>1</v>
      </c>
      <c r="BA651" s="1">
        <v>2</v>
      </c>
      <c r="BB651" s="1">
        <v>1</v>
      </c>
      <c r="BC651" s="1">
        <v>1</v>
      </c>
      <c r="BD651" s="1">
        <v>1</v>
      </c>
      <c r="BE651" s="1">
        <v>1</v>
      </c>
      <c r="BF651" s="1">
        <v>2</v>
      </c>
      <c r="BG651" s="1">
        <f t="shared" si="566"/>
        <v>0</v>
      </c>
      <c r="BH651" s="1">
        <f t="shared" si="567"/>
        <v>0</v>
      </c>
      <c r="BI651" s="1">
        <v>1</v>
      </c>
      <c r="BJ651" s="1">
        <v>2</v>
      </c>
      <c r="BK651" s="1">
        <v>2</v>
      </c>
      <c r="BL651" s="1">
        <v>1</v>
      </c>
      <c r="BM651" s="1">
        <v>1</v>
      </c>
      <c r="BN651" s="1">
        <v>1</v>
      </c>
      <c r="BO651" s="1">
        <v>1</v>
      </c>
      <c r="BP651" s="1">
        <v>1</v>
      </c>
      <c r="BQ651" s="1">
        <f>IF(HRRVL,1,0)</f>
        <v>0</v>
      </c>
      <c r="BR651" s="1">
        <v>1</v>
      </c>
      <c r="BS651" s="1">
        <v>1</v>
      </c>
      <c r="BT651" s="1">
        <f>IF(HRXPH,1,0)</f>
        <v>0</v>
      </c>
      <c r="BU651" s="1">
        <f>IF(HRRVL,2,0)</f>
        <v>0</v>
      </c>
      <c r="BV651" s="1">
        <v>2</v>
      </c>
      <c r="BW651" s="1">
        <v>1</v>
      </c>
      <c r="BX651" s="1">
        <v>1</v>
      </c>
      <c r="BY651" s="1">
        <v>1</v>
      </c>
      <c r="BZ651" s="1">
        <v>1</v>
      </c>
      <c r="CA651" s="1">
        <v>1</v>
      </c>
      <c r="CB651" s="1">
        <v>1</v>
      </c>
      <c r="CC651" s="1">
        <v>1</v>
      </c>
      <c r="CD651" s="1">
        <v>1</v>
      </c>
      <c r="CE651" s="1">
        <v>1</v>
      </c>
      <c r="CF651" s="1">
        <v>2</v>
      </c>
      <c r="CG651" s="1">
        <f t="shared" si="568"/>
        <v>0</v>
      </c>
      <c r="CH651" s="1">
        <v>2</v>
      </c>
      <c r="CI651" s="1">
        <v>1</v>
      </c>
      <c r="CJ651" s="1">
        <v>1</v>
      </c>
      <c r="CK651" s="1">
        <v>1</v>
      </c>
      <c r="CL651" s="1">
        <v>1</v>
      </c>
      <c r="CM651" s="1">
        <v>1</v>
      </c>
      <c r="CN651" s="1">
        <v>1</v>
      </c>
      <c r="CO651" s="1">
        <v>1</v>
      </c>
      <c r="CP651" s="1">
        <v>1</v>
      </c>
      <c r="CQ651" s="1">
        <v>1</v>
      </c>
      <c r="CR651" s="1">
        <v>1</v>
      </c>
      <c r="CS651" s="1">
        <v>1</v>
      </c>
      <c r="CT651" s="1">
        <v>1</v>
      </c>
      <c r="CU651" s="1">
        <v>1</v>
      </c>
      <c r="CV651" s="1">
        <f t="shared" si="569"/>
        <v>0</v>
      </c>
      <c r="CW651" s="1">
        <v>1</v>
      </c>
      <c r="CX651" s="1">
        <v>1</v>
      </c>
      <c r="CY651" s="1">
        <v>2</v>
      </c>
      <c r="CZ651" s="1">
        <f t="shared" si="570"/>
        <v>0</v>
      </c>
      <c r="DA651" s="1">
        <v>1</v>
      </c>
      <c r="DB651" s="1">
        <v>1</v>
      </c>
      <c r="DC651" s="1">
        <v>1</v>
      </c>
      <c r="DD651" s="1">
        <v>2</v>
      </c>
      <c r="DE651" s="1">
        <v>1</v>
      </c>
      <c r="DF651" s="1">
        <v>2</v>
      </c>
      <c r="DG651" s="1">
        <v>2</v>
      </c>
      <c r="DH651" s="1">
        <v>1</v>
      </c>
      <c r="DI651" s="1">
        <f t="shared" si="571"/>
        <v>0</v>
      </c>
      <c r="DJ651" s="1">
        <v>1</v>
      </c>
      <c r="DK651" s="1" t="s">
        <v>1499</v>
      </c>
      <c r="DL651" s="1" t="s">
        <v>101</v>
      </c>
      <c r="DR651" s="1" t="b">
        <f>RaceCi="Dragon"</f>
        <v>0</v>
      </c>
      <c r="DS651" s="1" t="b">
        <f>AlignmentLawful</f>
        <v>1</v>
      </c>
      <c r="DT651" s="1" t="b">
        <f>NaturalArmor&gt;=20</f>
        <v>0</v>
      </c>
      <c r="DU651" s="1" t="b">
        <f>BaseWill&gt;=5</f>
        <v>0</v>
      </c>
      <c r="DV651" s="1" t="b">
        <f>OR(FreeIronWill,FtIronWill)</f>
        <v>0</v>
      </c>
      <c r="EA651" s="1" t="b">
        <f t="shared" si="572"/>
        <v>0</v>
      </c>
      <c r="EB651" s="11" t="s">
        <v>334</v>
      </c>
      <c r="EC651" s="1" t="str">
        <f>IF(DR651,"","• Must be a Dragon.
")&amp;IF(DS651,"","• Must be of Any Lawful Alignment.
")&amp;IF(DT651,"","• Natural Armor bonus of +20 or greater.
")&amp;IF(DU651,"","• Base Will Save of +12 or greater.
")&amp;IF(DV651,"","• Iron Will Feat.")</f>
        <v>• Must be a Dragon.
• Natural Armor bonus of +20 or greater.
• Base Will Save of +12 or greater.
• Iron Will Feat.</v>
      </c>
      <c r="ED651" s="11" t="s">
        <v>335</v>
      </c>
    </row>
    <row r="652" spans="1:134" ht="11.25" customHeight="1" x14ac:dyDescent="0.2">
      <c r="A652" s="1">
        <f t="shared" si="582"/>
        <v>649</v>
      </c>
      <c r="B652" s="1" t="s">
        <v>1527</v>
      </c>
      <c r="C652" s="1" t="s">
        <v>1528</v>
      </c>
      <c r="D652" s="1" t="s">
        <v>1528</v>
      </c>
      <c r="E652" s="1">
        <f t="shared" si="575"/>
        <v>0</v>
      </c>
      <c r="G652" s="1">
        <f>(SWBLvl&gt;=2)*(SWBLvl-1)</f>
        <v>0</v>
      </c>
      <c r="K652" s="1">
        <v>2</v>
      </c>
      <c r="L652" s="1">
        <v>10</v>
      </c>
      <c r="V652" s="1">
        <v>1</v>
      </c>
      <c r="W652" s="1">
        <v>0.5</v>
      </c>
      <c r="X652" s="1">
        <v>0.34</v>
      </c>
      <c r="Y652" s="1">
        <v>0.5</v>
      </c>
      <c r="Z652" s="1" t="b">
        <f>FALSE</f>
        <v>0</v>
      </c>
      <c r="AA652" s="1" t="str">
        <f t="shared" si="578"/>
        <v/>
      </c>
      <c r="AB652" s="1" t="str">
        <f t="shared" si="579"/>
        <v/>
      </c>
      <c r="AC652" s="1">
        <f t="shared" si="576"/>
        <v>0</v>
      </c>
      <c r="AD652" s="1" t="str">
        <f t="shared" si="580"/>
        <v/>
      </c>
      <c r="AE652" s="1" t="str">
        <f t="shared" si="581"/>
        <v/>
      </c>
      <c r="AF652" s="1">
        <f t="shared" si="577"/>
        <v>0</v>
      </c>
      <c r="AG652" s="1">
        <f t="shared" si="546"/>
        <v>5</v>
      </c>
      <c r="AH652" s="1" t="str">
        <f t="shared" si="545"/>
        <v/>
      </c>
      <c r="AI652" s="1">
        <v>1</v>
      </c>
      <c r="AJ652" s="1">
        <f t="shared" si="564"/>
        <v>0</v>
      </c>
      <c r="AK652" s="1">
        <v>1</v>
      </c>
      <c r="AL652" s="1">
        <v>1</v>
      </c>
      <c r="AM652" s="1">
        <v>1</v>
      </c>
      <c r="AN652" s="1">
        <f t="shared" si="565"/>
        <v>0</v>
      </c>
      <c r="AO652" s="1">
        <v>2</v>
      </c>
      <c r="AP652" s="1">
        <v>1</v>
      </c>
      <c r="AQ652" s="1">
        <v>1</v>
      </c>
      <c r="AR652" s="1">
        <v>1</v>
      </c>
      <c r="AS652" s="1">
        <v>1</v>
      </c>
      <c r="AT652" s="1">
        <v>1</v>
      </c>
      <c r="AU652" s="1">
        <v>1</v>
      </c>
      <c r="AV652" s="1">
        <v>1</v>
      </c>
      <c r="AW652" s="1">
        <v>1</v>
      </c>
      <c r="AX652" s="1">
        <v>2</v>
      </c>
      <c r="AY652" s="1">
        <v>1</v>
      </c>
      <c r="AZ652" s="1">
        <v>1</v>
      </c>
      <c r="BA652" s="1">
        <v>1</v>
      </c>
      <c r="BB652" s="1">
        <v>1</v>
      </c>
      <c r="BC652" s="1">
        <v>1</v>
      </c>
      <c r="BD652" s="1">
        <v>1</v>
      </c>
      <c r="BE652" s="1">
        <v>2</v>
      </c>
      <c r="BF652" s="1">
        <v>1</v>
      </c>
      <c r="BG652" s="1">
        <f t="shared" si="566"/>
        <v>0</v>
      </c>
      <c r="BH652" s="1">
        <f t="shared" si="567"/>
        <v>0</v>
      </c>
      <c r="BI652" s="1">
        <v>1</v>
      </c>
      <c r="BJ652" s="1">
        <v>1</v>
      </c>
      <c r="BK652" s="1">
        <v>1</v>
      </c>
      <c r="BL652" s="1">
        <v>1</v>
      </c>
      <c r="BM652" s="1">
        <v>1</v>
      </c>
      <c r="BN652" s="1">
        <v>1</v>
      </c>
      <c r="BO652" s="1">
        <v>1</v>
      </c>
      <c r="BP652" s="1">
        <v>1</v>
      </c>
      <c r="BQ652" s="1">
        <f>IF(HRRVL,1,0)</f>
        <v>0</v>
      </c>
      <c r="BR652" s="1">
        <v>1</v>
      </c>
      <c r="BS652" s="1">
        <v>1</v>
      </c>
      <c r="BT652" s="1">
        <f>IF(HRXPH,1,0)</f>
        <v>0</v>
      </c>
      <c r="BU652" s="1">
        <f>IF(HRRVL,2,0)</f>
        <v>0</v>
      </c>
      <c r="BV652" s="1">
        <v>2</v>
      </c>
      <c r="BW652" s="1">
        <v>1</v>
      </c>
      <c r="BX652" s="1">
        <v>1</v>
      </c>
      <c r="BY652" s="1">
        <v>1</v>
      </c>
      <c r="BZ652" s="1">
        <v>1</v>
      </c>
      <c r="CA652" s="1">
        <v>1</v>
      </c>
      <c r="CB652" s="1">
        <v>1</v>
      </c>
      <c r="CC652" s="1">
        <v>1</v>
      </c>
      <c r="CD652" s="1">
        <v>1</v>
      </c>
      <c r="CE652" s="1">
        <v>1</v>
      </c>
      <c r="CF652" s="1">
        <v>1</v>
      </c>
      <c r="CG652" s="1">
        <f t="shared" si="568"/>
        <v>0</v>
      </c>
      <c r="CH652" s="1">
        <v>1</v>
      </c>
      <c r="CI652" s="1">
        <v>1</v>
      </c>
      <c r="CJ652" s="1">
        <v>1</v>
      </c>
      <c r="CK652" s="1">
        <v>1</v>
      </c>
      <c r="CL652" s="1">
        <v>1</v>
      </c>
      <c r="CM652" s="1">
        <v>1</v>
      </c>
      <c r="CN652" s="1">
        <v>1</v>
      </c>
      <c r="CO652" s="1">
        <v>1</v>
      </c>
      <c r="CP652" s="1">
        <v>1</v>
      </c>
      <c r="CQ652" s="1">
        <v>1</v>
      </c>
      <c r="CR652" s="1">
        <v>1</v>
      </c>
      <c r="CS652" s="1">
        <v>1</v>
      </c>
      <c r="CT652" s="1">
        <v>1</v>
      </c>
      <c r="CU652" s="1">
        <v>1</v>
      </c>
      <c r="CV652" s="1">
        <f t="shared" si="569"/>
        <v>0</v>
      </c>
      <c r="CW652" s="1">
        <v>1</v>
      </c>
      <c r="CX652" s="1">
        <v>1</v>
      </c>
      <c r="CY652" s="1">
        <v>2</v>
      </c>
      <c r="CZ652" s="1">
        <f t="shared" si="570"/>
        <v>0</v>
      </c>
      <c r="DA652" s="1">
        <v>1</v>
      </c>
      <c r="DB652" s="1">
        <v>1</v>
      </c>
      <c r="DC652" s="1">
        <v>1</v>
      </c>
      <c r="DD652" s="1">
        <v>1</v>
      </c>
      <c r="DE652" s="1">
        <v>1</v>
      </c>
      <c r="DF652" s="1">
        <v>1</v>
      </c>
      <c r="DG652" s="1">
        <v>1</v>
      </c>
      <c r="DH652" s="1">
        <v>1</v>
      </c>
      <c r="DI652" s="1">
        <f t="shared" si="571"/>
        <v>0</v>
      </c>
      <c r="DJ652" s="1">
        <v>1</v>
      </c>
      <c r="DK652" s="1" t="s">
        <v>1499</v>
      </c>
      <c r="DL652" s="1" t="s">
        <v>101</v>
      </c>
      <c r="DR652" s="1" t="b">
        <f>RaceCi="Dragon"</f>
        <v>0</v>
      </c>
      <c r="DS652" s="1" t="b">
        <f>AND(AlignmentNonChaotic,AlignmentGood)</f>
        <v>1</v>
      </c>
      <c r="DT652" s="1" t="b">
        <f>BaseAtk&gt;=15</f>
        <v>0</v>
      </c>
      <c r="DU652" s="1" t="b">
        <f>FtEndureBlows</f>
        <v>0</v>
      </c>
      <c r="DV652" s="1" t="b">
        <f>FtPowerAttackEquiv</f>
        <v>0</v>
      </c>
      <c r="DW652" s="1" t="b">
        <f ca="1">MaxDivineSpellLevel&gt;=1</f>
        <v>0</v>
      </c>
      <c r="DX652" s="1" t="b">
        <f>NOT(ISNA(MATCH("Protection",Domains,0)))</f>
        <v>0</v>
      </c>
      <c r="DY652" s="1" t="b">
        <f>DR&gt;=1</f>
        <v>1</v>
      </c>
      <c r="EA652" s="1" t="b">
        <f ca="1">AND(DM652:DZ652)</f>
        <v>0</v>
      </c>
      <c r="EB652" s="11" t="s">
        <v>334</v>
      </c>
      <c r="EC652" s="1" t="str">
        <f ca="1">IF(DR652,"","• Must be a Dragon.
")&amp;IF(DS652,"","• Must be of Lawful Good or Neutral Good Alignment.
")&amp;IF(DT652,"","• Base Attack Bonus of +15 or greater.
")&amp;IF(DU652,"","• Endure Blows Feat.
")&amp;IF(DV652,"","• Power Attack Feat.
")&amp;IF(DW652,"","• Able to cast divine spells.
")&amp;IF(DX652,"","• Protection Domain
")&amp;IF(DY652,"","• Damage Reduction 5/magic or Greater.")</f>
        <v xml:space="preserve">• Must be a Dragon.
• Base Attack Bonus of +15 or greater.
• Endure Blows Feat.
• Power Attack Feat.
• Able to cast divine spells.
• Protection Domain
</v>
      </c>
      <c r="ED652" s="11" t="s">
        <v>335</v>
      </c>
    </row>
    <row r="653" spans="1:134" ht="11.25" customHeight="1" x14ac:dyDescent="0.2">
      <c r="A653" s="1">
        <f t="shared" si="582"/>
        <v>650</v>
      </c>
      <c r="B653" s="1" t="s">
        <v>1529</v>
      </c>
      <c r="C653" s="1" t="s">
        <v>1530</v>
      </c>
      <c r="D653" s="1" t="s">
        <v>1530</v>
      </c>
      <c r="E653" s="1">
        <f t="shared" si="575"/>
        <v>0</v>
      </c>
      <c r="G653" s="1">
        <f>(URTLvl&gt;=2)*(URTLvl-1)</f>
        <v>0</v>
      </c>
      <c r="K653" s="1">
        <v>2</v>
      </c>
      <c r="L653" s="1">
        <v>10</v>
      </c>
      <c r="V653" s="1">
        <v>1</v>
      </c>
      <c r="W653" s="1">
        <v>0.5</v>
      </c>
      <c r="X653" s="1">
        <v>0.34</v>
      </c>
      <c r="Y653" s="1">
        <v>0.5</v>
      </c>
      <c r="Z653" s="1" t="b">
        <f>FALSE</f>
        <v>0</v>
      </c>
      <c r="AA653" s="1" t="str">
        <f t="shared" si="578"/>
        <v/>
      </c>
      <c r="AB653" s="1" t="str">
        <f t="shared" si="579"/>
        <v/>
      </c>
      <c r="AC653" s="1">
        <f t="shared" si="576"/>
        <v>0</v>
      </c>
      <c r="AD653" s="1" t="str">
        <f t="shared" si="580"/>
        <v/>
      </c>
      <c r="AE653" s="1" t="str">
        <f t="shared" si="581"/>
        <v/>
      </c>
      <c r="AF653" s="1">
        <f t="shared" si="577"/>
        <v>0</v>
      </c>
      <c r="AG653" s="1">
        <f t="shared" si="546"/>
        <v>5</v>
      </c>
      <c r="AH653" s="1" t="str">
        <f t="shared" si="545"/>
        <v/>
      </c>
      <c r="AI653" s="1">
        <v>1</v>
      </c>
      <c r="AJ653" s="1">
        <f t="shared" si="564"/>
        <v>0</v>
      </c>
      <c r="AK653" s="1">
        <v>1</v>
      </c>
      <c r="AL653" s="1">
        <v>1</v>
      </c>
      <c r="AM653" s="1">
        <v>2</v>
      </c>
      <c r="AN653" s="1">
        <f t="shared" si="565"/>
        <v>0</v>
      </c>
      <c r="AO653" s="1">
        <v>2</v>
      </c>
      <c r="AP653" s="1">
        <v>1</v>
      </c>
      <c r="AQ653" s="1">
        <v>1</v>
      </c>
      <c r="AR653" s="1">
        <v>1</v>
      </c>
      <c r="AS653" s="1">
        <v>1</v>
      </c>
      <c r="AT653" s="1">
        <v>1</v>
      </c>
      <c r="AU653" s="1">
        <v>1</v>
      </c>
      <c r="AV653" s="1">
        <v>1</v>
      </c>
      <c r="AW653" s="1">
        <v>1</v>
      </c>
      <c r="AX653" s="1">
        <v>1</v>
      </c>
      <c r="AY653" s="1">
        <v>1</v>
      </c>
      <c r="AZ653" s="1">
        <v>1</v>
      </c>
      <c r="BA653" s="1">
        <v>1</v>
      </c>
      <c r="BB653" s="1">
        <v>1</v>
      </c>
      <c r="BC653" s="1">
        <v>1</v>
      </c>
      <c r="BD653" s="1">
        <v>1</v>
      </c>
      <c r="BE653" s="1">
        <v>1</v>
      </c>
      <c r="BF653" s="1">
        <v>1</v>
      </c>
      <c r="BG653" s="1">
        <f t="shared" si="566"/>
        <v>0</v>
      </c>
      <c r="BH653" s="1">
        <f t="shared" si="567"/>
        <v>0</v>
      </c>
      <c r="BI653" s="1">
        <v>2</v>
      </c>
      <c r="BJ653" s="1">
        <v>2</v>
      </c>
      <c r="BK653" s="1">
        <v>2</v>
      </c>
      <c r="BL653" s="1">
        <v>1</v>
      </c>
      <c r="BM653" s="1">
        <v>1</v>
      </c>
      <c r="BN653" s="1">
        <v>1</v>
      </c>
      <c r="BO653" s="1">
        <v>1</v>
      </c>
      <c r="BP653" s="1">
        <v>1</v>
      </c>
      <c r="BQ653" s="1">
        <f>IF(HRRVL,1,0)</f>
        <v>0</v>
      </c>
      <c r="BR653" s="1">
        <v>1</v>
      </c>
      <c r="BS653" s="1">
        <v>1</v>
      </c>
      <c r="BT653" s="1">
        <f>IF(HRXPH,1,0)</f>
        <v>0</v>
      </c>
      <c r="BU653" s="1">
        <f>IF(HRRVL,2,0)</f>
        <v>0</v>
      </c>
      <c r="BV653" s="1">
        <v>2</v>
      </c>
      <c r="BW653" s="1">
        <v>1</v>
      </c>
      <c r="BX653" s="1">
        <v>1</v>
      </c>
      <c r="BY653" s="1">
        <v>1</v>
      </c>
      <c r="BZ653" s="1">
        <v>1</v>
      </c>
      <c r="CA653" s="1">
        <v>1</v>
      </c>
      <c r="CB653" s="1">
        <v>1</v>
      </c>
      <c r="CC653" s="1">
        <v>1</v>
      </c>
      <c r="CD653" s="1">
        <v>1</v>
      </c>
      <c r="CE653" s="1">
        <v>1</v>
      </c>
      <c r="CF653" s="1">
        <v>1</v>
      </c>
      <c r="CG653" s="1">
        <f t="shared" si="568"/>
        <v>0</v>
      </c>
      <c r="CH653" s="1">
        <v>1</v>
      </c>
      <c r="CI653" s="1">
        <v>1</v>
      </c>
      <c r="CJ653" s="1">
        <v>1</v>
      </c>
      <c r="CK653" s="1">
        <v>1</v>
      </c>
      <c r="CL653" s="1">
        <v>1</v>
      </c>
      <c r="CM653" s="1">
        <v>1</v>
      </c>
      <c r="CN653" s="1">
        <v>1</v>
      </c>
      <c r="CO653" s="1">
        <v>1</v>
      </c>
      <c r="CP653" s="1">
        <v>1</v>
      </c>
      <c r="CQ653" s="1">
        <v>1</v>
      </c>
      <c r="CR653" s="1">
        <v>1</v>
      </c>
      <c r="CS653" s="1">
        <v>1</v>
      </c>
      <c r="CT653" s="1">
        <v>1</v>
      </c>
      <c r="CU653" s="1">
        <v>1</v>
      </c>
      <c r="CV653" s="1">
        <f t="shared" si="569"/>
        <v>0</v>
      </c>
      <c r="CW653" s="1">
        <v>1</v>
      </c>
      <c r="CX653" s="1">
        <v>1</v>
      </c>
      <c r="CY653" s="1">
        <v>1</v>
      </c>
      <c r="CZ653" s="1">
        <f t="shared" si="570"/>
        <v>0</v>
      </c>
      <c r="DA653" s="1">
        <v>1</v>
      </c>
      <c r="DB653" s="1">
        <v>1</v>
      </c>
      <c r="DC653" s="1">
        <v>2</v>
      </c>
      <c r="DD653" s="1">
        <v>1</v>
      </c>
      <c r="DE653" s="1">
        <v>2</v>
      </c>
      <c r="DF653" s="1">
        <v>2</v>
      </c>
      <c r="DG653" s="1">
        <v>1</v>
      </c>
      <c r="DH653" s="1">
        <v>1</v>
      </c>
      <c r="DI653" s="1">
        <f t="shared" si="571"/>
        <v>0</v>
      </c>
      <c r="DJ653" s="1">
        <v>1</v>
      </c>
      <c r="DK653" s="1" t="s">
        <v>1499</v>
      </c>
      <c r="DL653" s="1" t="s">
        <v>101</v>
      </c>
      <c r="DR653" s="1" t="b">
        <f>RaceCi="Dragon"</f>
        <v>0</v>
      </c>
      <c r="DS653" s="1" t="b">
        <f>AND(AlignmentNonChaotic,AlignmentEvil)</f>
        <v>0</v>
      </c>
      <c r="DT653" s="1" t="b">
        <f>BaseAtk&gt;=15</f>
        <v>0</v>
      </c>
      <c r="DU653" s="1" t="b">
        <f>FtMaximizeBreath</f>
        <v>0</v>
      </c>
      <c r="DV653" s="1" t="b">
        <f>FtRecoverBreath</f>
        <v>0</v>
      </c>
      <c r="DW653" s="1" t="b">
        <f>FtTempestBreath</f>
        <v>0</v>
      </c>
      <c r="DX653" s="1" t="b">
        <f ca="1">MaxDivineSpellLevel&gt;=1</f>
        <v>0</v>
      </c>
      <c r="DY653" s="1" t="b">
        <f>NOT(ISNA(MATCH("Destruction",Domains,0)))</f>
        <v>0</v>
      </c>
      <c r="EA653" s="1" t="b">
        <f ca="1">AND(DM653:DZ653)</f>
        <v>0</v>
      </c>
      <c r="EB653" s="11" t="s">
        <v>334</v>
      </c>
      <c r="EC653" s="1" t="str">
        <f ca="1">IF(DR653,"","• Must be a Dragon.
")&amp;IF(DS653,"","• Must be of Lawful Evil or Neutral Evil Alignment.
")&amp;IF(DT653,"","• Base Attack Bonus of +15 or greater.
")&amp;IF(DU653,"","• Maximize Breath Feat.
")&amp;IF(DV653,"","• Recover Breath Feat.
")&amp;IF(DW653,"","• Tempest Breath Feat.
")&amp;IF(DX653,"","• Able to cast divine spells
")&amp;IF(DY653,"","• Destruction Domain.")</f>
        <v>• Must be a Dragon.
• Must be of Lawful Evil or Neutral Evil Alignment.
• Base Attack Bonus of +15 or greater.
• Maximize Breath Feat.
• Recover Breath Feat.
• Tempest Breath Feat.
• Able to cast divine spells
• Destruction Domain.</v>
      </c>
      <c r="ED653" s="11" t="s">
        <v>335</v>
      </c>
    </row>
    <row r="654" spans="1:134" ht="11.25" customHeight="1" x14ac:dyDescent="0.2">
      <c r="A654" s="1">
        <f t="shared" si="582"/>
        <v>651</v>
      </c>
      <c r="B654" s="1" t="s">
        <v>1531</v>
      </c>
      <c r="E654" s="1">
        <f t="shared" si="575"/>
        <v>0</v>
      </c>
      <c r="F654" s="1">
        <v>1</v>
      </c>
      <c r="Z654" s="1" t="b">
        <f>FALSE</f>
        <v>0</v>
      </c>
      <c r="AA654" s="1" t="str">
        <f t="shared" si="578"/>
        <v/>
      </c>
      <c r="AB654" s="1" t="str">
        <f t="shared" si="579"/>
        <v/>
      </c>
      <c r="AC654" s="1">
        <f t="shared" si="576"/>
        <v>0</v>
      </c>
      <c r="AD654" s="1" t="str">
        <f t="shared" si="580"/>
        <v/>
      </c>
      <c r="AE654" s="1" t="str">
        <f t="shared" si="581"/>
        <v/>
      </c>
      <c r="AF654" s="1">
        <f t="shared" si="577"/>
        <v>0</v>
      </c>
      <c r="AG654" s="1">
        <f t="shared" si="546"/>
        <v>5</v>
      </c>
      <c r="AH654" s="1" t="str">
        <f t="shared" si="545"/>
        <v/>
      </c>
      <c r="EB654" s="11"/>
      <c r="ED654" s="11" t="s">
        <v>335</v>
      </c>
    </row>
    <row r="655" spans="1:134" ht="11.25" customHeight="1" x14ac:dyDescent="0.2">
      <c r="A655" s="1">
        <f t="shared" si="582"/>
        <v>652</v>
      </c>
      <c r="B655" s="1" t="s">
        <v>1532</v>
      </c>
      <c r="C655" s="1" t="s">
        <v>204</v>
      </c>
      <c r="D655" s="1" t="s">
        <v>204</v>
      </c>
      <c r="E655" s="1">
        <f t="shared" si="575"/>
        <v>0</v>
      </c>
      <c r="I655" s="1">
        <f>DiDrLvl-(DiDrLvl&gt;=1)-(DiDrLvl&gt;=6)</f>
        <v>0</v>
      </c>
      <c r="K655" s="1">
        <v>2</v>
      </c>
      <c r="L655" s="1">
        <v>8</v>
      </c>
      <c r="V655" s="1">
        <v>0.75</v>
      </c>
      <c r="W655" s="1">
        <v>0.34</v>
      </c>
      <c r="X655" s="1">
        <v>0.5</v>
      </c>
      <c r="Y655" s="1">
        <v>0.5</v>
      </c>
      <c r="Z655" s="1" t="b">
        <f>FALSE</f>
        <v>0</v>
      </c>
      <c r="AA655" s="1" t="str">
        <f t="shared" si="578"/>
        <v/>
      </c>
      <c r="AB655" s="1" t="str">
        <f t="shared" si="579"/>
        <v/>
      </c>
      <c r="AC655" s="1">
        <f t="shared" si="576"/>
        <v>0</v>
      </c>
      <c r="AD655" s="1" t="str">
        <f t="shared" si="580"/>
        <v/>
      </c>
      <c r="AE655" s="1" t="str">
        <f t="shared" si="581"/>
        <v/>
      </c>
      <c r="AF655" s="1">
        <f t="shared" si="577"/>
        <v>0</v>
      </c>
      <c r="AG655" s="1">
        <f t="shared" si="546"/>
        <v>5</v>
      </c>
      <c r="AH655" s="1" t="str">
        <f t="shared" si="545"/>
        <v/>
      </c>
      <c r="AI655" s="1">
        <v>1</v>
      </c>
      <c r="AJ655" s="1">
        <v>2</v>
      </c>
      <c r="AK655" s="1">
        <v>2</v>
      </c>
      <c r="AL655" s="1">
        <v>1</v>
      </c>
      <c r="AM655" s="1">
        <v>2</v>
      </c>
      <c r="AN655" s="1">
        <f t="shared" ref="AN655:AN661" si="583">IF(IsLycanthrope,2,0)</f>
        <v>0</v>
      </c>
      <c r="AO655" s="1">
        <v>2</v>
      </c>
      <c r="AP655" s="1">
        <v>2</v>
      </c>
      <c r="AQ655" s="1">
        <v>2</v>
      </c>
      <c r="AR655" s="1">
        <v>2</v>
      </c>
      <c r="AS655" s="1">
        <v>2</v>
      </c>
      <c r="AT655" s="1">
        <v>2</v>
      </c>
      <c r="AU655" s="1">
        <v>2</v>
      </c>
      <c r="AV655" s="1">
        <v>2</v>
      </c>
      <c r="AW655" s="1">
        <v>1</v>
      </c>
      <c r="AX655" s="1">
        <v>1</v>
      </c>
      <c r="AY655" s="1">
        <v>1</v>
      </c>
      <c r="AZ655" s="1">
        <v>1</v>
      </c>
      <c r="BA655" s="1">
        <v>1</v>
      </c>
      <c r="BB655" s="1">
        <v>1</v>
      </c>
      <c r="BC655" s="1">
        <v>1</v>
      </c>
      <c r="BD655" s="1">
        <v>1</v>
      </c>
      <c r="BE655" s="1">
        <v>1</v>
      </c>
      <c r="BF655" s="1">
        <v>1</v>
      </c>
      <c r="BG655" s="1">
        <f t="shared" si="566"/>
        <v>0</v>
      </c>
      <c r="BH655" s="1">
        <f t="shared" ref="BH655:BH661" si="584">IF(HROA,1,0)</f>
        <v>0</v>
      </c>
      <c r="BI655" s="1">
        <v>1</v>
      </c>
      <c r="BJ655" s="1">
        <v>2</v>
      </c>
      <c r="BK655" s="1">
        <v>2</v>
      </c>
      <c r="BL655" s="1">
        <v>1</v>
      </c>
      <c r="BM655" s="1">
        <v>1</v>
      </c>
      <c r="BN655" s="1">
        <v>1</v>
      </c>
      <c r="BO655" s="1">
        <v>1</v>
      </c>
      <c r="BP655" s="1">
        <v>1</v>
      </c>
      <c r="BQ655" s="1">
        <f t="shared" ref="BQ655:BQ660" si="585">IF(HRRVL,1,0)</f>
        <v>0</v>
      </c>
      <c r="BR655" s="1">
        <v>1</v>
      </c>
      <c r="BS655" s="1">
        <v>1</v>
      </c>
      <c r="BT655" s="1">
        <v>2</v>
      </c>
      <c r="BU655" s="1">
        <f t="shared" ref="BU655:BU661" si="586">IF(HRRVL,2,0)</f>
        <v>0</v>
      </c>
      <c r="BV655" s="1">
        <v>1</v>
      </c>
      <c r="BW655" s="1">
        <v>1</v>
      </c>
      <c r="BX655" s="1">
        <v>1</v>
      </c>
      <c r="BY655" s="1">
        <v>1</v>
      </c>
      <c r="BZ655" s="1">
        <v>1</v>
      </c>
      <c r="CA655" s="1">
        <v>1</v>
      </c>
      <c r="CB655" s="1">
        <v>1</v>
      </c>
      <c r="CC655" s="1">
        <v>1</v>
      </c>
      <c r="CD655" s="1">
        <v>1</v>
      </c>
      <c r="CE655" s="1">
        <v>1</v>
      </c>
      <c r="CF655" s="1">
        <v>1</v>
      </c>
      <c r="CG655" s="1">
        <f t="shared" si="568"/>
        <v>0</v>
      </c>
      <c r="CH655" s="1">
        <v>1</v>
      </c>
      <c r="CI655" s="1">
        <v>1</v>
      </c>
      <c r="CJ655" s="1">
        <v>1</v>
      </c>
      <c r="CK655" s="1">
        <v>1</v>
      </c>
      <c r="CL655" s="1">
        <v>1</v>
      </c>
      <c r="CM655" s="1">
        <v>1</v>
      </c>
      <c r="CN655" s="1">
        <v>1</v>
      </c>
      <c r="CO655" s="1">
        <v>1</v>
      </c>
      <c r="CP655" s="1">
        <v>2</v>
      </c>
      <c r="CQ655" s="1">
        <v>2</v>
      </c>
      <c r="CR655" s="1">
        <v>2</v>
      </c>
      <c r="CS655" s="1">
        <v>2</v>
      </c>
      <c r="CT655" s="1">
        <v>2</v>
      </c>
      <c r="CU655" s="1">
        <v>2</v>
      </c>
      <c r="CV655" s="1">
        <v>2</v>
      </c>
      <c r="CW655" s="1">
        <v>2</v>
      </c>
      <c r="CX655" s="1">
        <v>2</v>
      </c>
      <c r="CY655" s="1">
        <v>1</v>
      </c>
      <c r="CZ655" s="1">
        <f t="shared" si="570"/>
        <v>0</v>
      </c>
      <c r="DA655" s="1">
        <v>1</v>
      </c>
      <c r="DB655" s="1">
        <v>1</v>
      </c>
      <c r="DC655" s="1">
        <v>1</v>
      </c>
      <c r="DD655" s="1">
        <v>1</v>
      </c>
      <c r="DE655" s="1">
        <v>1</v>
      </c>
      <c r="DF655" s="1">
        <v>2</v>
      </c>
      <c r="DG655" s="1">
        <v>1</v>
      </c>
      <c r="DH655" s="1">
        <v>1</v>
      </c>
      <c r="DI655" s="1">
        <v>2</v>
      </c>
      <c r="DJ655" s="1">
        <v>1</v>
      </c>
      <c r="DK655" s="1" t="s">
        <v>286</v>
      </c>
      <c r="DL655" s="1" t="s">
        <v>101</v>
      </c>
      <c r="DR655" s="1" t="b">
        <f>NOT(AlignmentNeutral)</f>
        <v>1</v>
      </c>
      <c r="DS655" s="1" t="b">
        <f>BaseAtk&gt;=3</f>
        <v>0</v>
      </c>
      <c r="DT655" s="1" t="b">
        <f>SkKnowledgeArcanaRanks&gt;=3</f>
        <v>0</v>
      </c>
      <c r="DU655" s="1" t="b">
        <f>Draconic</f>
        <v>0</v>
      </c>
      <c r="DV655" s="1" t="b">
        <f>MaxPowerLevel&gt;=3</f>
        <v>0</v>
      </c>
      <c r="EA655" s="1" t="b">
        <f t="shared" ref="EA655:EA661" si="587">AND(DM655:DZ655)</f>
        <v>0</v>
      </c>
      <c r="EB655" s="11" t="s">
        <v>334</v>
      </c>
      <c r="EC655" s="1" t="str">
        <f>IF(DR655,"","• Must be a neutral good, neutral evil, lawful neutral, chaotic neutral, or neutral.
")&amp;IF(DS655,"","• Base Attack Bonus of +3 or greater.
")&amp;IF(DT655,"","• 3 ranks in Knowledge (arcana).
")&amp;IF(DU655,"","• Language Draconic.
")&amp;IF(DV655,"","• Ability to manifest 3rd level psionic powers.")</f>
        <v>• Base Attack Bonus of +3 or greater.
• 3 ranks in Knowledge (arcana).
• Language Draconic.
• Ability to manifest 3rd level psionic powers.</v>
      </c>
      <c r="ED655" s="11" t="s">
        <v>335</v>
      </c>
    </row>
    <row r="656" spans="1:134" ht="11.25" customHeight="1" x14ac:dyDescent="0.2">
      <c r="A656" s="1">
        <f t="shared" si="582"/>
        <v>653</v>
      </c>
      <c r="B656" s="1" t="s">
        <v>1533</v>
      </c>
      <c r="C656" s="1" t="s">
        <v>1534</v>
      </c>
      <c r="D656" s="1" t="s">
        <v>1534</v>
      </c>
      <c r="E656" s="1">
        <f t="shared" si="575"/>
        <v>0</v>
      </c>
      <c r="K656" s="1">
        <v>4</v>
      </c>
      <c r="L656" s="1">
        <v>8</v>
      </c>
      <c r="V656" s="1">
        <v>0.75</v>
      </c>
      <c r="W656" s="1">
        <v>0.5</v>
      </c>
      <c r="X656" s="1">
        <v>0.34</v>
      </c>
      <c r="Y656" s="1">
        <v>0.5</v>
      </c>
      <c r="Z656" s="1" t="b">
        <f>FALSE</f>
        <v>0</v>
      </c>
      <c r="AA656" s="1" t="str">
        <f t="shared" si="578"/>
        <v/>
      </c>
      <c r="AB656" s="1" t="str">
        <f t="shared" si="579"/>
        <v/>
      </c>
      <c r="AC656" s="1">
        <f t="shared" si="576"/>
        <v>0</v>
      </c>
      <c r="AD656" s="1" t="str">
        <f t="shared" si="580"/>
        <v/>
      </c>
      <c r="AE656" s="1" t="str">
        <f t="shared" si="581"/>
        <v/>
      </c>
      <c r="AF656" s="1">
        <f t="shared" si="577"/>
        <v>0</v>
      </c>
      <c r="AG656" s="1">
        <f t="shared" si="546"/>
        <v>5</v>
      </c>
      <c r="AH656" s="1" t="str">
        <f t="shared" si="545"/>
        <v/>
      </c>
      <c r="AI656" s="1">
        <v>1</v>
      </c>
      <c r="AJ656" s="1">
        <f t="shared" si="564"/>
        <v>0</v>
      </c>
      <c r="AK656" s="1">
        <v>2</v>
      </c>
      <c r="AL656" s="1">
        <v>1</v>
      </c>
      <c r="AM656" s="1">
        <v>2</v>
      </c>
      <c r="AN656" s="1">
        <f t="shared" si="583"/>
        <v>0</v>
      </c>
      <c r="AO656" s="1">
        <v>2</v>
      </c>
      <c r="AP656" s="1">
        <v>2</v>
      </c>
      <c r="AQ656" s="1">
        <v>2</v>
      </c>
      <c r="AR656" s="1">
        <v>2</v>
      </c>
      <c r="AS656" s="1">
        <v>2</v>
      </c>
      <c r="AT656" s="1">
        <v>2</v>
      </c>
      <c r="AU656" s="1">
        <v>2</v>
      </c>
      <c r="AV656" s="1">
        <v>2</v>
      </c>
      <c r="AW656" s="1">
        <v>1</v>
      </c>
      <c r="AX656" s="1">
        <v>2</v>
      </c>
      <c r="AY656" s="1">
        <v>1</v>
      </c>
      <c r="AZ656" s="1">
        <v>1</v>
      </c>
      <c r="BA656" s="1">
        <v>2</v>
      </c>
      <c r="BB656" s="1">
        <v>1</v>
      </c>
      <c r="BC656" s="1">
        <v>1</v>
      </c>
      <c r="BD656" s="1">
        <v>1</v>
      </c>
      <c r="BE656" s="1">
        <v>1</v>
      </c>
      <c r="BF656" s="1">
        <v>2</v>
      </c>
      <c r="BG656" s="1">
        <f t="shared" si="566"/>
        <v>0</v>
      </c>
      <c r="BH656" s="1">
        <f t="shared" si="584"/>
        <v>0</v>
      </c>
      <c r="BI656" s="1">
        <v>1</v>
      </c>
      <c r="BJ656" s="1">
        <v>2</v>
      </c>
      <c r="BK656" s="1">
        <v>1</v>
      </c>
      <c r="BL656" s="1">
        <v>1</v>
      </c>
      <c r="BM656" s="1">
        <v>1</v>
      </c>
      <c r="BN656" s="1">
        <v>1</v>
      </c>
      <c r="BO656" s="1">
        <v>2</v>
      </c>
      <c r="BP656" s="1">
        <v>1</v>
      </c>
      <c r="BQ656" s="1">
        <f t="shared" si="585"/>
        <v>0</v>
      </c>
      <c r="BR656" s="1">
        <v>1</v>
      </c>
      <c r="BS656" s="1">
        <v>1</v>
      </c>
      <c r="BT656" s="1">
        <f>IF(HRXPH,1,0)</f>
        <v>0</v>
      </c>
      <c r="BU656" s="1">
        <f t="shared" si="586"/>
        <v>0</v>
      </c>
      <c r="BV656" s="1">
        <v>2</v>
      </c>
      <c r="BW656" s="1">
        <v>1</v>
      </c>
      <c r="BX656" s="1">
        <v>1</v>
      </c>
      <c r="BY656" s="1">
        <v>1</v>
      </c>
      <c r="BZ656" s="1">
        <v>1</v>
      </c>
      <c r="CA656" s="1">
        <v>1</v>
      </c>
      <c r="CB656" s="1">
        <v>1</v>
      </c>
      <c r="CC656" s="1">
        <v>1</v>
      </c>
      <c r="CD656" s="1">
        <v>1</v>
      </c>
      <c r="CE656" s="1">
        <v>1</v>
      </c>
      <c r="CF656" s="1">
        <v>2</v>
      </c>
      <c r="CG656" s="1">
        <f t="shared" si="568"/>
        <v>0</v>
      </c>
      <c r="CH656" s="1">
        <v>2</v>
      </c>
      <c r="CI656" s="1">
        <v>1</v>
      </c>
      <c r="CJ656" s="1">
        <v>1</v>
      </c>
      <c r="CK656" s="1">
        <v>1</v>
      </c>
      <c r="CL656" s="1">
        <v>1</v>
      </c>
      <c r="CM656" s="1">
        <v>1</v>
      </c>
      <c r="CN656" s="1">
        <v>1</v>
      </c>
      <c r="CO656" s="1">
        <v>1</v>
      </c>
      <c r="CP656" s="1">
        <v>2</v>
      </c>
      <c r="CQ656" s="1">
        <v>2</v>
      </c>
      <c r="CR656" s="1">
        <v>2</v>
      </c>
      <c r="CS656" s="1">
        <v>2</v>
      </c>
      <c r="CT656" s="1">
        <v>2</v>
      </c>
      <c r="CU656" s="1">
        <v>2</v>
      </c>
      <c r="CV656" s="1">
        <f t="shared" si="569"/>
        <v>0</v>
      </c>
      <c r="CW656" s="1">
        <v>1</v>
      </c>
      <c r="CX656" s="1">
        <v>1</v>
      </c>
      <c r="CY656" s="1">
        <v>2</v>
      </c>
      <c r="CZ656" s="1">
        <f t="shared" si="570"/>
        <v>0</v>
      </c>
      <c r="DA656" s="1">
        <v>1</v>
      </c>
      <c r="DB656" s="1">
        <v>1</v>
      </c>
      <c r="DC656" s="1">
        <v>1</v>
      </c>
      <c r="DD656" s="1">
        <v>2</v>
      </c>
      <c r="DE656" s="1">
        <v>1</v>
      </c>
      <c r="DF656" s="1">
        <v>2</v>
      </c>
      <c r="DG656" s="1">
        <v>1</v>
      </c>
      <c r="DH656" s="1">
        <v>1</v>
      </c>
      <c r="DI656" s="1">
        <f t="shared" si="571"/>
        <v>0</v>
      </c>
      <c r="DJ656" s="1">
        <v>1</v>
      </c>
      <c r="DK656" s="1" t="s">
        <v>286</v>
      </c>
      <c r="DL656" s="1" t="s">
        <v>101</v>
      </c>
      <c r="DR656" s="1" t="b">
        <f>SkConcentrationRanks&gt;=8</f>
        <v>0</v>
      </c>
      <c r="DS656" s="1" t="b">
        <f>FtCombatReflexes</f>
        <v>0</v>
      </c>
      <c r="DT656" s="1" t="b">
        <f>OR(FtDragontouched,AND(FtDraconicHeritage,OR(DraconicHeritageCell=4,DraconicHeritageCell=5,DraconicHeritageCell=8,DraconicHeritageCell=19,DraconicHeritageCell=29,DraconicHeritageCell=42)))</f>
        <v>0</v>
      </c>
      <c r="DU656" s="1" t="b">
        <f>FtImprovedUnarmed</f>
        <v>0</v>
      </c>
      <c r="DV656" s="1" t="b">
        <f>StillMind</f>
        <v>0</v>
      </c>
      <c r="EA656" s="1" t="b">
        <f t="shared" si="587"/>
        <v>0</v>
      </c>
      <c r="EB656" s="11" t="s">
        <v>334</v>
      </c>
      <c r="EC656" s="1" t="str">
        <f>IF(DR656,"","• 8 ranks in Concentration.
")&amp;IF(DS656,"","• Combat Reflexes feat.
")&amp;IF(DT656,"","• Dragontouched or Draconic Heritage (any chromatic) feats.
")&amp;IF(DU656,"","• Improved Unarmed Strike feat.
")&amp;IF(DV656,"","• Still mind class feature.")</f>
        <v>• 8 ranks in Concentration.
• Combat Reflexes feat.
• Dragontouched or Draconic Heritage (any chromatic) feats.
• Improved Unarmed Strike feat.
• Still mind class feature.</v>
      </c>
      <c r="ED656" s="11" t="s">
        <v>335</v>
      </c>
    </row>
    <row r="657" spans="1:134" ht="11.25" customHeight="1" x14ac:dyDescent="0.2">
      <c r="A657" s="1">
        <f t="shared" si="582"/>
        <v>654</v>
      </c>
      <c r="B657" s="1" t="s">
        <v>1535</v>
      </c>
      <c r="C657" s="1" t="s">
        <v>1536</v>
      </c>
      <c r="D657" s="1" t="s">
        <v>1536</v>
      </c>
      <c r="E657" s="1">
        <f t="shared" si="575"/>
        <v>0</v>
      </c>
      <c r="K657" s="1">
        <v>2</v>
      </c>
      <c r="L657" s="1">
        <v>10</v>
      </c>
      <c r="V657" s="1">
        <v>1</v>
      </c>
      <c r="W657" s="1">
        <v>0.5</v>
      </c>
      <c r="X657" s="1">
        <v>0.34</v>
      </c>
      <c r="Y657" s="1">
        <v>0.34</v>
      </c>
      <c r="Z657" s="1" t="b">
        <f>FALSE</f>
        <v>0</v>
      </c>
      <c r="AA657" s="1" t="str">
        <f t="shared" si="578"/>
        <v/>
      </c>
      <c r="AB657" s="1" t="str">
        <f t="shared" si="579"/>
        <v/>
      </c>
      <c r="AC657" s="1">
        <f t="shared" si="576"/>
        <v>0</v>
      </c>
      <c r="AD657" s="1" t="str">
        <f t="shared" si="580"/>
        <v/>
      </c>
      <c r="AE657" s="1" t="str">
        <f t="shared" si="581"/>
        <v/>
      </c>
      <c r="AF657" s="1">
        <f t="shared" si="577"/>
        <v>0</v>
      </c>
      <c r="AG657" s="1">
        <f t="shared" si="546"/>
        <v>5</v>
      </c>
      <c r="AH657" s="1" t="str">
        <f t="shared" si="545"/>
        <v/>
      </c>
      <c r="AI657" s="1">
        <v>1</v>
      </c>
      <c r="AJ657" s="1">
        <f t="shared" si="564"/>
        <v>0</v>
      </c>
      <c r="AK657" s="1">
        <v>1</v>
      </c>
      <c r="AL657" s="1">
        <v>1</v>
      </c>
      <c r="AM657" s="1">
        <v>2</v>
      </c>
      <c r="AN657" s="1">
        <f t="shared" si="583"/>
        <v>0</v>
      </c>
      <c r="AO657" s="1">
        <v>1</v>
      </c>
      <c r="AP657" s="1">
        <v>2</v>
      </c>
      <c r="AQ657" s="1">
        <v>2</v>
      </c>
      <c r="AR657" s="1">
        <v>2</v>
      </c>
      <c r="AS657" s="1">
        <v>2</v>
      </c>
      <c r="AT657" s="1">
        <v>2</v>
      </c>
      <c r="AU657" s="1">
        <v>2</v>
      </c>
      <c r="AV657" s="1">
        <v>2</v>
      </c>
      <c r="AW657" s="1">
        <v>1</v>
      </c>
      <c r="AX657" s="1">
        <v>1</v>
      </c>
      <c r="AY657" s="1">
        <v>1</v>
      </c>
      <c r="AZ657" s="1">
        <v>1</v>
      </c>
      <c r="BA657" s="1">
        <v>1</v>
      </c>
      <c r="BB657" s="1">
        <v>1</v>
      </c>
      <c r="BC657" s="1">
        <v>1</v>
      </c>
      <c r="BD657" s="1">
        <v>2</v>
      </c>
      <c r="BE657" s="1">
        <v>1</v>
      </c>
      <c r="BF657" s="1">
        <v>1</v>
      </c>
      <c r="BG657" s="1">
        <f t="shared" si="566"/>
        <v>0</v>
      </c>
      <c r="BH657" s="1">
        <f t="shared" si="584"/>
        <v>0</v>
      </c>
      <c r="BI657" s="1">
        <v>2</v>
      </c>
      <c r="BJ657" s="1">
        <v>2</v>
      </c>
      <c r="BK657" s="1">
        <v>1</v>
      </c>
      <c r="BL657" s="1">
        <v>1</v>
      </c>
      <c r="BM657" s="1">
        <v>1</v>
      </c>
      <c r="BN657" s="1">
        <v>1</v>
      </c>
      <c r="BO657" s="1">
        <v>1</v>
      </c>
      <c r="BP657" s="1">
        <v>1</v>
      </c>
      <c r="BQ657" s="1">
        <f t="shared" si="585"/>
        <v>0</v>
      </c>
      <c r="BR657" s="1">
        <v>1</v>
      </c>
      <c r="BS657" s="1">
        <v>1</v>
      </c>
      <c r="BT657" s="1">
        <f>IF(HRXPH,1,0)</f>
        <v>0</v>
      </c>
      <c r="BU657" s="1">
        <f t="shared" si="586"/>
        <v>0</v>
      </c>
      <c r="BV657" s="1">
        <v>1</v>
      </c>
      <c r="BW657" s="1">
        <v>1</v>
      </c>
      <c r="BX657" s="1">
        <v>1</v>
      </c>
      <c r="BY657" s="1">
        <v>1</v>
      </c>
      <c r="BZ657" s="1">
        <v>1</v>
      </c>
      <c r="CA657" s="1">
        <v>1</v>
      </c>
      <c r="CB657" s="1">
        <v>1</v>
      </c>
      <c r="CC657" s="1">
        <v>1</v>
      </c>
      <c r="CD657" s="1">
        <v>1</v>
      </c>
      <c r="CE657" s="1">
        <v>1</v>
      </c>
      <c r="CF657" s="1">
        <v>1</v>
      </c>
      <c r="CG657" s="1">
        <f t="shared" si="568"/>
        <v>0</v>
      </c>
      <c r="CH657" s="1">
        <v>1</v>
      </c>
      <c r="CI657" s="1">
        <v>1</v>
      </c>
      <c r="CJ657" s="1">
        <v>1</v>
      </c>
      <c r="CK657" s="1">
        <v>1</v>
      </c>
      <c r="CL657" s="1">
        <v>1</v>
      </c>
      <c r="CM657" s="1">
        <v>1</v>
      </c>
      <c r="CN657" s="1">
        <v>1</v>
      </c>
      <c r="CO657" s="1">
        <v>1</v>
      </c>
      <c r="CP657" s="1">
        <v>1</v>
      </c>
      <c r="CQ657" s="1">
        <v>1</v>
      </c>
      <c r="CR657" s="1">
        <v>1</v>
      </c>
      <c r="CS657" s="1">
        <v>1</v>
      </c>
      <c r="CT657" s="1">
        <v>1</v>
      </c>
      <c r="CU657" s="1">
        <v>1</v>
      </c>
      <c r="CV657" s="1">
        <f t="shared" si="569"/>
        <v>0</v>
      </c>
      <c r="CW657" s="1">
        <v>2</v>
      </c>
      <c r="CX657" s="1">
        <v>1</v>
      </c>
      <c r="CY657" s="1">
        <v>2</v>
      </c>
      <c r="CZ657" s="1">
        <f t="shared" si="570"/>
        <v>0</v>
      </c>
      <c r="DA657" s="1">
        <v>1</v>
      </c>
      <c r="DB657" s="1">
        <v>1</v>
      </c>
      <c r="DC657" s="1">
        <v>1</v>
      </c>
      <c r="DD657" s="1">
        <v>1</v>
      </c>
      <c r="DE657" s="1">
        <v>1</v>
      </c>
      <c r="DF657" s="1">
        <v>2</v>
      </c>
      <c r="DG657" s="1">
        <v>1</v>
      </c>
      <c r="DH657" s="1">
        <v>1</v>
      </c>
      <c r="DI657" s="1">
        <f t="shared" si="571"/>
        <v>0</v>
      </c>
      <c r="DJ657" s="1">
        <v>1</v>
      </c>
      <c r="DK657" s="1" t="s">
        <v>286</v>
      </c>
      <c r="DL657" s="1" t="s">
        <v>101</v>
      </c>
      <c r="DR657" s="1" t="b">
        <f>BaseAtk&gt;=6</f>
        <v>0</v>
      </c>
      <c r="DS657" s="1" t="b">
        <f>SkIntimidateRanks&gt;=9</f>
        <v>0</v>
      </c>
      <c r="EA657" s="1" t="b">
        <f t="shared" si="587"/>
        <v>0</v>
      </c>
      <c r="EB657" s="11" t="s">
        <v>334</v>
      </c>
      <c r="EC657" s="1" t="str">
        <f>IF(DR657,"","• Base attack bonus of +6 or greater.
")&amp;IF(DS657,"","• 9 ranks Intimidate.")</f>
        <v>• Base attack bonus of +6 or greater.
• 9 ranks Intimidate.</v>
      </c>
      <c r="ED657" s="11" t="s">
        <v>335</v>
      </c>
    </row>
    <row r="658" spans="1:134" ht="11.25" customHeight="1" x14ac:dyDescent="0.2">
      <c r="A658" s="1">
        <f t="shared" si="582"/>
        <v>655</v>
      </c>
      <c r="B658" s="1" t="s">
        <v>1537</v>
      </c>
      <c r="C658" s="1" t="s">
        <v>1538</v>
      </c>
      <c r="D658" s="1" t="s">
        <v>1538</v>
      </c>
      <c r="E658" s="1">
        <f t="shared" si="575"/>
        <v>0</v>
      </c>
      <c r="K658" s="1">
        <v>6</v>
      </c>
      <c r="L658" s="1">
        <v>8</v>
      </c>
      <c r="V658" s="1">
        <v>0.75</v>
      </c>
      <c r="W658" s="1">
        <v>0.34</v>
      </c>
      <c r="X658" s="1">
        <v>0.5</v>
      </c>
      <c r="Y658" s="1">
        <v>0.5</v>
      </c>
      <c r="Z658" s="1" t="b">
        <f>FALSE</f>
        <v>0</v>
      </c>
      <c r="AA658" s="1" t="str">
        <f t="shared" si="578"/>
        <v/>
      </c>
      <c r="AB658" s="1" t="str">
        <f t="shared" si="579"/>
        <v/>
      </c>
      <c r="AC658" s="1">
        <f t="shared" si="576"/>
        <v>0</v>
      </c>
      <c r="AD658" s="1" t="str">
        <f t="shared" si="580"/>
        <v/>
      </c>
      <c r="AE658" s="1" t="str">
        <f t="shared" si="581"/>
        <v/>
      </c>
      <c r="AF658" s="1">
        <f t="shared" si="577"/>
        <v>0</v>
      </c>
      <c r="AG658" s="1">
        <f t="shared" si="546"/>
        <v>5</v>
      </c>
      <c r="AH658" s="1" t="str">
        <f t="shared" si="545"/>
        <v/>
      </c>
      <c r="AI658" s="1">
        <v>2</v>
      </c>
      <c r="AJ658" s="1">
        <f t="shared" si="564"/>
        <v>0</v>
      </c>
      <c r="AK658" s="1">
        <v>2</v>
      </c>
      <c r="AL658" s="1">
        <v>2</v>
      </c>
      <c r="AM658" s="1">
        <v>2</v>
      </c>
      <c r="AN658" s="1">
        <f t="shared" si="583"/>
        <v>0</v>
      </c>
      <c r="AO658" s="1">
        <v>1</v>
      </c>
      <c r="AP658" s="1">
        <v>2</v>
      </c>
      <c r="AQ658" s="1">
        <v>2</v>
      </c>
      <c r="AR658" s="1">
        <v>2</v>
      </c>
      <c r="AS658" s="1">
        <v>2</v>
      </c>
      <c r="AT658" s="1">
        <v>2</v>
      </c>
      <c r="AU658" s="1">
        <v>2</v>
      </c>
      <c r="AV658" s="1">
        <v>2</v>
      </c>
      <c r="AW658" s="1">
        <v>2</v>
      </c>
      <c r="AX658" s="1">
        <v>2</v>
      </c>
      <c r="AY658" s="1">
        <v>2</v>
      </c>
      <c r="AZ658" s="1">
        <v>2</v>
      </c>
      <c r="BA658" s="1">
        <v>2</v>
      </c>
      <c r="BB658" s="1">
        <v>2</v>
      </c>
      <c r="BC658" s="1">
        <v>2</v>
      </c>
      <c r="BD658" s="1">
        <v>1</v>
      </c>
      <c r="BE658" s="1">
        <v>1</v>
      </c>
      <c r="BF658" s="1">
        <v>2</v>
      </c>
      <c r="BG658" s="1">
        <f t="shared" si="566"/>
        <v>0</v>
      </c>
      <c r="BH658" s="1">
        <f t="shared" si="584"/>
        <v>0</v>
      </c>
      <c r="BI658" s="1">
        <v>2</v>
      </c>
      <c r="BJ658" s="1">
        <v>2</v>
      </c>
      <c r="BK658" s="1">
        <v>2</v>
      </c>
      <c r="BL658" s="1">
        <v>1</v>
      </c>
      <c r="BM658" s="1">
        <v>1</v>
      </c>
      <c r="BN658" s="1">
        <v>1</v>
      </c>
      <c r="BO658" s="1">
        <v>1</v>
      </c>
      <c r="BP658" s="1">
        <v>2</v>
      </c>
      <c r="BQ658" s="1">
        <f t="shared" si="585"/>
        <v>0</v>
      </c>
      <c r="BR658" s="1">
        <v>1</v>
      </c>
      <c r="BS658" s="1">
        <v>1</v>
      </c>
      <c r="BT658" s="1">
        <f>IF(HRXPH,1,0)</f>
        <v>0</v>
      </c>
      <c r="BU658" s="1">
        <f t="shared" si="586"/>
        <v>0</v>
      </c>
      <c r="BV658" s="1">
        <v>1</v>
      </c>
      <c r="BW658" s="1">
        <v>1</v>
      </c>
      <c r="BX658" s="1">
        <v>1</v>
      </c>
      <c r="BY658" s="1">
        <v>1</v>
      </c>
      <c r="BZ658" s="1">
        <v>1</v>
      </c>
      <c r="CA658" s="1">
        <v>1</v>
      </c>
      <c r="CB658" s="1">
        <v>1</v>
      </c>
      <c r="CC658" s="1">
        <v>1</v>
      </c>
      <c r="CD658" s="1">
        <v>1</v>
      </c>
      <c r="CE658" s="1">
        <v>1</v>
      </c>
      <c r="CF658" s="1">
        <v>2</v>
      </c>
      <c r="CG658" s="1">
        <f t="shared" si="568"/>
        <v>0</v>
      </c>
      <c r="CH658" s="1">
        <v>2</v>
      </c>
      <c r="CI658" s="1">
        <v>2</v>
      </c>
      <c r="CJ658" s="1">
        <v>1</v>
      </c>
      <c r="CK658" s="1">
        <v>1</v>
      </c>
      <c r="CL658" s="1">
        <v>1</v>
      </c>
      <c r="CM658" s="1">
        <v>1</v>
      </c>
      <c r="CN658" s="1">
        <v>1</v>
      </c>
      <c r="CO658" s="1">
        <v>1</v>
      </c>
      <c r="CP658" s="1">
        <v>2</v>
      </c>
      <c r="CQ658" s="1">
        <v>2</v>
      </c>
      <c r="CR658" s="1">
        <v>2</v>
      </c>
      <c r="CS658" s="1">
        <v>2</v>
      </c>
      <c r="CT658" s="1">
        <v>2</v>
      </c>
      <c r="CU658" s="1">
        <v>2</v>
      </c>
      <c r="CV658" s="1">
        <f t="shared" si="569"/>
        <v>0</v>
      </c>
      <c r="CW658" s="1">
        <v>1</v>
      </c>
      <c r="CX658" s="1">
        <v>2</v>
      </c>
      <c r="CY658" s="1">
        <v>2</v>
      </c>
      <c r="CZ658" s="1">
        <f t="shared" si="570"/>
        <v>0</v>
      </c>
      <c r="DA658" s="1">
        <v>2</v>
      </c>
      <c r="DB658" s="1">
        <v>1</v>
      </c>
      <c r="DC658" s="1">
        <v>1</v>
      </c>
      <c r="DD658" s="1">
        <v>2</v>
      </c>
      <c r="DE658" s="1">
        <v>2</v>
      </c>
      <c r="DF658" s="1">
        <v>2</v>
      </c>
      <c r="DG658" s="1">
        <v>2</v>
      </c>
      <c r="DH658" s="1">
        <v>1</v>
      </c>
      <c r="DI658" s="1">
        <f t="shared" si="571"/>
        <v>0</v>
      </c>
      <c r="DJ658" s="1">
        <v>2</v>
      </c>
      <c r="DK658" s="1" t="s">
        <v>286</v>
      </c>
      <c r="DL658" s="1" t="s">
        <v>101</v>
      </c>
      <c r="DR658" s="1" t="b">
        <f>BaseAtk&gt;=4</f>
        <v>0</v>
      </c>
      <c r="DS658" s="1" t="b">
        <f>SkBluffRanks&gt;=4</f>
        <v>0</v>
      </c>
      <c r="DT658" s="1" t="b">
        <f>SkHideRanks&gt;=4</f>
        <v>0</v>
      </c>
      <c r="DU658" s="1" t="b">
        <f>SkMoveSilentlyRanks&gt;=4</f>
        <v>0</v>
      </c>
      <c r="DV658" s="1" t="b">
        <f>SkKnowledgeArcanaRanks&gt;=4</f>
        <v>0</v>
      </c>
      <c r="DW658" s="1" t="b">
        <f>SkSenseMotiveRanks&gt;=4</f>
        <v>0</v>
      </c>
      <c r="DX658" s="1" t="b">
        <f>Draconic</f>
        <v>0</v>
      </c>
      <c r="DY658" s="1" t="b">
        <f>FtDragontouched</f>
        <v>0</v>
      </c>
      <c r="DZ658" s="1" t="b">
        <f>OR(SkirmishDamageAmount&gt;=2,SneakAttack&gt;=2,SuddenStrike&gt;=2)</f>
        <v>0</v>
      </c>
      <c r="EA658" s="1" t="b">
        <f t="shared" si="587"/>
        <v>0</v>
      </c>
      <c r="EB658" s="11" t="s">
        <v>334</v>
      </c>
      <c r="EC658" s="1" t="str">
        <f>IF(DR658,"","• Base attack bonus of +4 or greater.
")&amp;IF(DS658,"","• 4 ranks Bluff.
")&amp;IF(DT658,"","• 4 ranks Hide.
")&amp;IF(DU658,"","• 4 ranks Move Silently.
")&amp;IF(DV658,"","• 4 ranks Knowledge (arcana).
")&amp;IF(DW658,"","• 4 ranks Sense Motive.
")&amp;IF(DX658,"","• Know Draconic language.
")&amp;IF(DY658,"","• Dragontouched feat.
")&amp;IF(DZ658,"","• Sneak Attack, Sudden Strike, or Skirmish +2d6.")</f>
        <v>• Base attack bonus of +4 or greater.
• 4 ranks Bluff.
• 4 ranks Hide.
• 4 ranks Move Silently.
• 4 ranks Knowledge (arcana).
• 4 ranks Sense Motive.
• Know Draconic language.
• Dragontouched feat.
• Sneak Attack, Sudden Strike, or Skirmish +2d6.</v>
      </c>
      <c r="ED658" s="11" t="s">
        <v>335</v>
      </c>
    </row>
    <row r="659" spans="1:134" ht="11.25" customHeight="1" x14ac:dyDescent="0.2">
      <c r="A659" s="1">
        <f t="shared" si="582"/>
        <v>656</v>
      </c>
      <c r="B659" s="1" t="s">
        <v>1539</v>
      </c>
      <c r="C659" s="1" t="s">
        <v>1540</v>
      </c>
      <c r="D659" s="1" t="s">
        <v>1540</v>
      </c>
      <c r="E659" s="1">
        <f t="shared" si="575"/>
        <v>0</v>
      </c>
      <c r="G659" s="1">
        <f>PbALvl-1*(PbALvl&gt;=1)-1*(PbALvl&gt;=4)</f>
        <v>0</v>
      </c>
      <c r="K659" s="1">
        <v>2</v>
      </c>
      <c r="L659" s="1">
        <v>4</v>
      </c>
      <c r="V659" s="1">
        <v>0.5</v>
      </c>
      <c r="W659" s="1">
        <v>0.34</v>
      </c>
      <c r="X659" s="1">
        <v>0.5</v>
      </c>
      <c r="Y659" s="1">
        <v>0.5</v>
      </c>
      <c r="Z659" s="1" t="b">
        <f>FALSE</f>
        <v>0</v>
      </c>
      <c r="AA659" s="1" t="str">
        <f t="shared" si="578"/>
        <v/>
      </c>
      <c r="AB659" s="1" t="str">
        <f t="shared" si="579"/>
        <v/>
      </c>
      <c r="AC659" s="1">
        <f t="shared" si="576"/>
        <v>0</v>
      </c>
      <c r="AD659" s="1" t="str">
        <f t="shared" si="580"/>
        <v/>
      </c>
      <c r="AE659" s="1" t="str">
        <f t="shared" si="581"/>
        <v/>
      </c>
      <c r="AF659" s="1">
        <f t="shared" si="577"/>
        <v>0</v>
      </c>
      <c r="AG659" s="1">
        <f t="shared" si="546"/>
        <v>5</v>
      </c>
      <c r="AH659" s="1" t="str">
        <f t="shared" ref="AH659:AH722" si="588">IF(ROW()&gt;$AG$2,"",INDEX($B$5:$B$794,MATCH(ROW(),$AG$5:$AG$794,0)))</f>
        <v/>
      </c>
      <c r="AI659" s="1">
        <v>1</v>
      </c>
      <c r="AJ659" s="1">
        <f t="shared" si="564"/>
        <v>0</v>
      </c>
      <c r="AK659" s="1">
        <v>1</v>
      </c>
      <c r="AL659" s="1">
        <v>1</v>
      </c>
      <c r="AM659" s="1">
        <v>1</v>
      </c>
      <c r="AN659" s="1">
        <f t="shared" si="583"/>
        <v>0</v>
      </c>
      <c r="AO659" s="1">
        <v>2</v>
      </c>
      <c r="AP659" s="1">
        <v>2</v>
      </c>
      <c r="AQ659" s="1">
        <v>2</v>
      </c>
      <c r="AR659" s="1">
        <v>2</v>
      </c>
      <c r="AS659" s="1">
        <v>2</v>
      </c>
      <c r="AT659" s="1">
        <v>2</v>
      </c>
      <c r="AU659" s="1">
        <v>2</v>
      </c>
      <c r="AV659" s="1">
        <v>2</v>
      </c>
      <c r="AW659" s="1">
        <v>1</v>
      </c>
      <c r="AX659" s="1">
        <v>2</v>
      </c>
      <c r="AY659" s="1">
        <v>1</v>
      </c>
      <c r="AZ659" s="1">
        <v>1</v>
      </c>
      <c r="BA659" s="1">
        <v>1</v>
      </c>
      <c r="BB659" s="1">
        <v>1</v>
      </c>
      <c r="BC659" s="1">
        <v>1</v>
      </c>
      <c r="BD659" s="1">
        <v>1</v>
      </c>
      <c r="BE659" s="1">
        <v>1</v>
      </c>
      <c r="BF659" s="1">
        <v>1</v>
      </c>
      <c r="BG659" s="1">
        <f t="shared" si="566"/>
        <v>0</v>
      </c>
      <c r="BH659" s="1">
        <f t="shared" si="584"/>
        <v>0</v>
      </c>
      <c r="BI659" s="1">
        <v>1</v>
      </c>
      <c r="BJ659" s="1">
        <v>1</v>
      </c>
      <c r="BK659" s="1">
        <v>2</v>
      </c>
      <c r="BL659" s="1">
        <v>1</v>
      </c>
      <c r="BM659" s="1">
        <v>1</v>
      </c>
      <c r="BN659" s="1">
        <v>1</v>
      </c>
      <c r="BO659" s="1">
        <v>1</v>
      </c>
      <c r="BP659" s="1">
        <v>1</v>
      </c>
      <c r="BQ659" s="1">
        <f t="shared" si="585"/>
        <v>0</v>
      </c>
      <c r="BR659" s="1">
        <v>1</v>
      </c>
      <c r="BS659" s="1">
        <v>1</v>
      </c>
      <c r="BT659" s="1">
        <f>IF(HRXPH,1,0)</f>
        <v>0</v>
      </c>
      <c r="BU659" s="1">
        <f t="shared" si="586"/>
        <v>0</v>
      </c>
      <c r="BV659" s="1">
        <v>1</v>
      </c>
      <c r="BW659" s="1">
        <v>1</v>
      </c>
      <c r="BX659" s="1">
        <v>1</v>
      </c>
      <c r="BY659" s="1">
        <v>1</v>
      </c>
      <c r="BZ659" s="1">
        <v>1</v>
      </c>
      <c r="CA659" s="1">
        <v>1</v>
      </c>
      <c r="CB659" s="1">
        <v>1</v>
      </c>
      <c r="CC659" s="1">
        <v>1</v>
      </c>
      <c r="CD659" s="1">
        <v>1</v>
      </c>
      <c r="CE659" s="1">
        <v>1</v>
      </c>
      <c r="CF659" s="1">
        <v>1</v>
      </c>
      <c r="CG659" s="1">
        <f t="shared" si="568"/>
        <v>0</v>
      </c>
      <c r="CH659" s="1">
        <v>1</v>
      </c>
      <c r="CI659" s="1">
        <v>1</v>
      </c>
      <c r="CJ659" s="1">
        <v>1</v>
      </c>
      <c r="CK659" s="1">
        <v>1</v>
      </c>
      <c r="CL659" s="1">
        <v>1</v>
      </c>
      <c r="CM659" s="1">
        <v>1</v>
      </c>
      <c r="CN659" s="1">
        <v>1</v>
      </c>
      <c r="CO659" s="1">
        <v>1</v>
      </c>
      <c r="CP659" s="1">
        <v>2</v>
      </c>
      <c r="CQ659" s="1">
        <v>2</v>
      </c>
      <c r="CR659" s="1">
        <v>2</v>
      </c>
      <c r="CS659" s="1">
        <v>2</v>
      </c>
      <c r="CT659" s="1">
        <v>2</v>
      </c>
      <c r="CU659" s="1">
        <v>2</v>
      </c>
      <c r="CV659" s="1">
        <f t="shared" si="569"/>
        <v>0</v>
      </c>
      <c r="CW659" s="1">
        <v>1</v>
      </c>
      <c r="CX659" s="1">
        <v>1</v>
      </c>
      <c r="CY659" s="1">
        <v>1</v>
      </c>
      <c r="CZ659" s="1">
        <f t="shared" si="570"/>
        <v>0</v>
      </c>
      <c r="DA659" s="1">
        <v>1</v>
      </c>
      <c r="DB659" s="1">
        <v>1</v>
      </c>
      <c r="DC659" s="1">
        <v>2</v>
      </c>
      <c r="DD659" s="1">
        <v>1</v>
      </c>
      <c r="DE659" s="1">
        <v>1</v>
      </c>
      <c r="DF659" s="1">
        <v>1</v>
      </c>
      <c r="DG659" s="1">
        <v>1</v>
      </c>
      <c r="DH659" s="1">
        <v>1</v>
      </c>
      <c r="DI659" s="1">
        <f t="shared" si="571"/>
        <v>0</v>
      </c>
      <c r="DJ659" s="1">
        <v>1</v>
      </c>
      <c r="DK659" s="1" t="s">
        <v>286</v>
      </c>
      <c r="DL659" s="1" t="s">
        <v>101</v>
      </c>
      <c r="DR659" s="1" t="b">
        <f>SkKnowledgeArcanaRanks&gt;=9</f>
        <v>0</v>
      </c>
      <c r="DS659" s="1" t="b">
        <f>SkSpellcraftRanks&gt;=9</f>
        <v>0</v>
      </c>
      <c r="DT659" s="1" t="b">
        <f>FtDraconicHeritage</f>
        <v>0</v>
      </c>
      <c r="DU659" s="1" t="b">
        <f ca="1">MaxArcaneSpellLevel&gt;=3</f>
        <v>0</v>
      </c>
      <c r="EA659" s="1" t="b">
        <f t="shared" ca="1" si="587"/>
        <v>0</v>
      </c>
      <c r="EB659" s="11" t="s">
        <v>338</v>
      </c>
      <c r="EC659" s="1" t="str">
        <f ca="1">IF(DR659,"","• 9 ranks Knowledge (arcana).
")&amp;IF(DS659,"","• 9 ranks Spellcraft.
")&amp;IF(DT659,"","• Draconic Heritage feat.
")&amp;IF(DU659,"","• Able to cast 3rd level Arcane Spells.
")&amp;IF(DV659,"","• Must have an active dragonpact (not verified).")</f>
        <v>• 9 ranks Knowledge (arcana).
• 9 ranks Spellcraft.
• Draconic Heritage feat.
• Able to cast 3rd level Arcane Spells.
• Must have an active dragonpact (not verified).</v>
      </c>
      <c r="ED659" s="11" t="s">
        <v>335</v>
      </c>
    </row>
    <row r="660" spans="1:134" ht="11.25" customHeight="1" x14ac:dyDescent="0.2">
      <c r="A660" s="1">
        <f t="shared" si="582"/>
        <v>657</v>
      </c>
      <c r="B660" s="1" t="s">
        <v>1541</v>
      </c>
      <c r="C660" s="1" t="s">
        <v>365</v>
      </c>
      <c r="D660" s="1" t="s">
        <v>365</v>
      </c>
      <c r="E660" s="1">
        <f t="shared" si="575"/>
        <v>0</v>
      </c>
      <c r="G660" s="1">
        <f>SWiLvl-1*(SWiLvl&gt;=1)-1*(SWiLvl&gt;=5)</f>
        <v>0</v>
      </c>
      <c r="K660" s="1">
        <v>4</v>
      </c>
      <c r="L660" s="1">
        <v>8</v>
      </c>
      <c r="V660" s="1">
        <v>0.75</v>
      </c>
      <c r="W660" s="1">
        <v>0.5</v>
      </c>
      <c r="X660" s="1">
        <v>0.5</v>
      </c>
      <c r="Y660" s="1">
        <v>0.34</v>
      </c>
      <c r="Z660" s="1" t="b">
        <f>FALSE</f>
        <v>0</v>
      </c>
      <c r="AA660" s="1" t="str">
        <f t="shared" si="578"/>
        <v/>
      </c>
      <c r="AB660" s="1" t="str">
        <f t="shared" si="579"/>
        <v/>
      </c>
      <c r="AC660" s="1">
        <f t="shared" si="576"/>
        <v>0</v>
      </c>
      <c r="AD660" s="1" t="str">
        <f t="shared" si="580"/>
        <v/>
      </c>
      <c r="AE660" s="1" t="str">
        <f t="shared" si="581"/>
        <v/>
      </c>
      <c r="AF660" s="1">
        <f t="shared" si="577"/>
        <v>0</v>
      </c>
      <c r="AG660" s="1">
        <f t="shared" si="546"/>
        <v>5</v>
      </c>
      <c r="AH660" s="1" t="str">
        <f t="shared" si="588"/>
        <v/>
      </c>
      <c r="AI660" s="1">
        <v>2</v>
      </c>
      <c r="AJ660" s="1">
        <f t="shared" si="564"/>
        <v>0</v>
      </c>
      <c r="AK660" s="1">
        <v>1</v>
      </c>
      <c r="AL660" s="1">
        <v>2</v>
      </c>
      <c r="AM660" s="1">
        <v>1</v>
      </c>
      <c r="AN660" s="1">
        <f t="shared" si="583"/>
        <v>0</v>
      </c>
      <c r="AO660" s="1">
        <v>2</v>
      </c>
      <c r="AP660" s="1">
        <v>1</v>
      </c>
      <c r="AQ660" s="1">
        <v>1</v>
      </c>
      <c r="AR660" s="1">
        <v>1</v>
      </c>
      <c r="AS660" s="1">
        <v>1</v>
      </c>
      <c r="AT660" s="1">
        <v>1</v>
      </c>
      <c r="AU660" s="1">
        <v>1</v>
      </c>
      <c r="AV660" s="1">
        <v>1</v>
      </c>
      <c r="AW660" s="1">
        <v>1</v>
      </c>
      <c r="AX660" s="1">
        <v>2</v>
      </c>
      <c r="AY660" s="1">
        <v>1</v>
      </c>
      <c r="AZ660" s="1">
        <v>1</v>
      </c>
      <c r="BA660" s="1">
        <v>1</v>
      </c>
      <c r="BB660" s="1">
        <v>1</v>
      </c>
      <c r="BC660" s="1">
        <v>2</v>
      </c>
      <c r="BD660" s="1">
        <v>1</v>
      </c>
      <c r="BE660" s="1">
        <v>2</v>
      </c>
      <c r="BF660" s="1">
        <v>1</v>
      </c>
      <c r="BG660" s="1">
        <f t="shared" si="566"/>
        <v>0</v>
      </c>
      <c r="BH660" s="1">
        <f t="shared" si="584"/>
        <v>0</v>
      </c>
      <c r="BI660" s="1">
        <v>2</v>
      </c>
      <c r="BJ660" s="1">
        <v>1</v>
      </c>
      <c r="BK660" s="1">
        <v>2</v>
      </c>
      <c r="BL660" s="1">
        <v>1</v>
      </c>
      <c r="BM660" s="1">
        <v>1</v>
      </c>
      <c r="BN660" s="1">
        <v>1</v>
      </c>
      <c r="BO660" s="1">
        <v>1</v>
      </c>
      <c r="BP660" s="1">
        <v>1</v>
      </c>
      <c r="BQ660" s="1">
        <f t="shared" si="585"/>
        <v>0</v>
      </c>
      <c r="BR660" s="1">
        <v>1</v>
      </c>
      <c r="BS660" s="1">
        <v>1</v>
      </c>
      <c r="BT660" s="1">
        <f>IF(HRXPH,1,0)</f>
        <v>0</v>
      </c>
      <c r="BU660" s="1">
        <f t="shared" si="586"/>
        <v>0</v>
      </c>
      <c r="BV660" s="1">
        <v>2</v>
      </c>
      <c r="BW660" s="1">
        <v>2</v>
      </c>
      <c r="BX660" s="1">
        <v>1</v>
      </c>
      <c r="BY660" s="1">
        <v>1</v>
      </c>
      <c r="BZ660" s="1">
        <v>1</v>
      </c>
      <c r="CA660" s="1">
        <v>1</v>
      </c>
      <c r="CB660" s="1">
        <v>1</v>
      </c>
      <c r="CC660" s="1">
        <v>1</v>
      </c>
      <c r="CD660" s="1">
        <v>1</v>
      </c>
      <c r="CE660" s="1">
        <v>1</v>
      </c>
      <c r="CF660" s="1">
        <v>2</v>
      </c>
      <c r="CG660" s="1">
        <f t="shared" si="568"/>
        <v>0</v>
      </c>
      <c r="CH660" s="1">
        <v>1</v>
      </c>
      <c r="CI660" s="1">
        <v>1</v>
      </c>
      <c r="CJ660" s="1">
        <v>1</v>
      </c>
      <c r="CK660" s="1">
        <v>1</v>
      </c>
      <c r="CL660" s="1">
        <v>1</v>
      </c>
      <c r="CM660" s="1">
        <v>1</v>
      </c>
      <c r="CN660" s="1">
        <v>1</v>
      </c>
      <c r="CO660" s="1">
        <v>1</v>
      </c>
      <c r="CP660" s="1">
        <v>1</v>
      </c>
      <c r="CQ660" s="1">
        <v>1</v>
      </c>
      <c r="CR660" s="1">
        <v>1</v>
      </c>
      <c r="CS660" s="1">
        <v>1</v>
      </c>
      <c r="CT660" s="1">
        <v>1</v>
      </c>
      <c r="CU660" s="1">
        <v>1</v>
      </c>
      <c r="CV660" s="1">
        <f t="shared" si="569"/>
        <v>0</v>
      </c>
      <c r="CW660" s="1">
        <v>1</v>
      </c>
      <c r="CX660" s="1">
        <v>1</v>
      </c>
      <c r="CY660" s="1">
        <v>1</v>
      </c>
      <c r="CZ660" s="1">
        <f t="shared" si="570"/>
        <v>0</v>
      </c>
      <c r="DA660" s="1">
        <v>1</v>
      </c>
      <c r="DB660" s="1">
        <v>1</v>
      </c>
      <c r="DC660" s="1">
        <v>2</v>
      </c>
      <c r="DD660" s="1">
        <v>2</v>
      </c>
      <c r="DE660" s="1">
        <v>1</v>
      </c>
      <c r="DF660" s="1">
        <v>1</v>
      </c>
      <c r="DG660" s="1">
        <v>1</v>
      </c>
      <c r="DH660" s="1">
        <v>1</v>
      </c>
      <c r="DI660" s="1">
        <f t="shared" si="571"/>
        <v>0</v>
      </c>
      <c r="DJ660" s="1">
        <v>1</v>
      </c>
      <c r="DK660" s="1" t="s">
        <v>286</v>
      </c>
      <c r="DL660" s="1" t="s">
        <v>101</v>
      </c>
      <c r="DR660" s="1" t="b">
        <f>BaseAtk&gt;=3</f>
        <v>0</v>
      </c>
      <c r="DS660" s="1" t="b">
        <f>Draconic</f>
        <v>0</v>
      </c>
      <c r="DT660" s="1" t="b">
        <f ca="1">MaxDivineSpellLevel&gt;=3</f>
        <v>0</v>
      </c>
      <c r="DU660" s="1" t="b">
        <f>AND(TurnLvl&gt;=1,TurnRebuke="Turn")</f>
        <v>0</v>
      </c>
      <c r="EA660" s="1" t="b">
        <f t="shared" ca="1" si="587"/>
        <v>0</v>
      </c>
      <c r="EB660" s="11" t="s">
        <v>334</v>
      </c>
      <c r="EC660" s="1" t="str">
        <f ca="1">IF(DR660,"","• Base attack bonus of +3 or greater.
")&amp;IF(DS660,"","• Know Draconic language.
")&amp;IF(DT660,"","• Able to cast 3rd level Divine Spells.
")&amp;IF(DU660,"","• Able to turn undead.")</f>
        <v>• Base attack bonus of +3 or greater.
• Know Draconic language.
• Able to cast 3rd level Divine Spells.
• Able to turn undead.</v>
      </c>
      <c r="ED660" s="11" t="s">
        <v>335</v>
      </c>
    </row>
    <row r="661" spans="1:134" ht="11.25" customHeight="1" x14ac:dyDescent="0.2">
      <c r="A661" s="1">
        <f t="shared" si="582"/>
        <v>658</v>
      </c>
      <c r="B661" s="1" t="s">
        <v>1542</v>
      </c>
      <c r="C661" s="1" t="s">
        <v>1543</v>
      </c>
      <c r="D661" s="1" t="s">
        <v>1543</v>
      </c>
      <c r="E661" s="1">
        <f t="shared" si="575"/>
        <v>0</v>
      </c>
      <c r="G661" s="1">
        <f>WWiLvl-1*(WWiLvl&gt;=2)-1*(WWiLvl&gt;=4)-1*(WWiLvl&gt;=6)</f>
        <v>0</v>
      </c>
      <c r="K661" s="1">
        <v>4</v>
      </c>
      <c r="L661" s="1">
        <v>4</v>
      </c>
      <c r="V661" s="1">
        <v>0.5</v>
      </c>
      <c r="W661" s="1">
        <v>0.34</v>
      </c>
      <c r="X661" s="1">
        <v>0.34</v>
      </c>
      <c r="Y661" s="1">
        <v>0.5</v>
      </c>
      <c r="Z661" s="1" t="b">
        <f>FALSE</f>
        <v>0</v>
      </c>
      <c r="AA661" s="1" t="str">
        <f t="shared" si="578"/>
        <v/>
      </c>
      <c r="AB661" s="1" t="str">
        <f t="shared" si="579"/>
        <v/>
      </c>
      <c r="AC661" s="1">
        <f t="shared" si="576"/>
        <v>0</v>
      </c>
      <c r="AD661" s="1" t="str">
        <f t="shared" si="580"/>
        <v/>
      </c>
      <c r="AE661" s="1" t="str">
        <f t="shared" si="581"/>
        <v/>
      </c>
      <c r="AF661" s="1">
        <f t="shared" si="577"/>
        <v>0</v>
      </c>
      <c r="AG661" s="1">
        <f t="shared" ref="AG661:AG724" si="589">IF($AC661&gt;0,$AG660+1,$AG660)</f>
        <v>5</v>
      </c>
      <c r="AH661" s="1" t="str">
        <f t="shared" si="588"/>
        <v/>
      </c>
      <c r="AI661" s="1">
        <v>1</v>
      </c>
      <c r="AJ661" s="1">
        <f t="shared" si="564"/>
        <v>0</v>
      </c>
      <c r="AK661" s="1">
        <v>1</v>
      </c>
      <c r="AL661" s="1">
        <v>1</v>
      </c>
      <c r="AM661" s="1">
        <v>1</v>
      </c>
      <c r="AN661" s="1">
        <f t="shared" si="583"/>
        <v>0</v>
      </c>
      <c r="AO661" s="1">
        <v>2</v>
      </c>
      <c r="AP661" s="1">
        <v>2</v>
      </c>
      <c r="AQ661" s="1">
        <v>2</v>
      </c>
      <c r="AR661" s="1">
        <v>2</v>
      </c>
      <c r="AS661" s="1">
        <v>2</v>
      </c>
      <c r="AT661" s="1">
        <v>2</v>
      </c>
      <c r="AU661" s="1">
        <v>2</v>
      </c>
      <c r="AV661" s="1">
        <v>2</v>
      </c>
      <c r="AW661" s="1">
        <v>2</v>
      </c>
      <c r="AX661" s="1">
        <v>1</v>
      </c>
      <c r="AY661" s="1">
        <v>1</v>
      </c>
      <c r="AZ661" s="1">
        <v>1</v>
      </c>
      <c r="BA661" s="1">
        <v>1</v>
      </c>
      <c r="BB661" s="1">
        <v>1</v>
      </c>
      <c r="BC661" s="1">
        <v>1</v>
      </c>
      <c r="BD661" s="1">
        <v>1</v>
      </c>
      <c r="BE661" s="1">
        <v>1</v>
      </c>
      <c r="BF661" s="1">
        <v>1</v>
      </c>
      <c r="BG661" s="1">
        <f t="shared" si="566"/>
        <v>0</v>
      </c>
      <c r="BH661" s="1">
        <f t="shared" si="584"/>
        <v>0</v>
      </c>
      <c r="BI661" s="1">
        <v>1</v>
      </c>
      <c r="BJ661" s="1">
        <v>1</v>
      </c>
      <c r="BK661" s="1">
        <v>2</v>
      </c>
      <c r="BL661" s="1">
        <v>2</v>
      </c>
      <c r="BM661" s="1">
        <v>2</v>
      </c>
      <c r="BN661" s="1">
        <v>2</v>
      </c>
      <c r="BO661" s="1">
        <v>2</v>
      </c>
      <c r="BP661" s="1">
        <v>2</v>
      </c>
      <c r="BQ661" s="1">
        <f>IF(HRRVL,2,0)</f>
        <v>0</v>
      </c>
      <c r="BR661" s="1">
        <v>2</v>
      </c>
      <c r="BS661" s="1">
        <v>2</v>
      </c>
      <c r="BT661" s="1">
        <f>IF(HRXPH,2,0)</f>
        <v>0</v>
      </c>
      <c r="BU661" s="1">
        <f t="shared" si="586"/>
        <v>0</v>
      </c>
      <c r="BV661" s="1">
        <v>2</v>
      </c>
      <c r="BW661" s="1">
        <v>2</v>
      </c>
      <c r="BX661" s="1">
        <v>2</v>
      </c>
      <c r="BY661" s="1">
        <v>2</v>
      </c>
      <c r="BZ661" s="1">
        <v>2</v>
      </c>
      <c r="CA661" s="1">
        <v>2</v>
      </c>
      <c r="CB661" s="1">
        <v>2</v>
      </c>
      <c r="CC661" s="1">
        <v>2</v>
      </c>
      <c r="CD661" s="1">
        <v>2</v>
      </c>
      <c r="CE661" s="1">
        <v>2</v>
      </c>
      <c r="CF661" s="1">
        <v>1</v>
      </c>
      <c r="CG661" s="1">
        <f t="shared" si="568"/>
        <v>0</v>
      </c>
      <c r="CH661" s="1">
        <v>1</v>
      </c>
      <c r="CI661" s="1">
        <v>1</v>
      </c>
      <c r="CJ661" s="1">
        <v>1</v>
      </c>
      <c r="CK661" s="1">
        <v>1</v>
      </c>
      <c r="CL661" s="1">
        <v>1</v>
      </c>
      <c r="CM661" s="1">
        <v>1</v>
      </c>
      <c r="CN661" s="1">
        <v>1</v>
      </c>
      <c r="CO661" s="1">
        <v>1</v>
      </c>
      <c r="CP661" s="1">
        <v>2</v>
      </c>
      <c r="CQ661" s="1">
        <v>2</v>
      </c>
      <c r="CR661" s="1">
        <v>2</v>
      </c>
      <c r="CS661" s="1">
        <v>2</v>
      </c>
      <c r="CT661" s="1">
        <v>2</v>
      </c>
      <c r="CU661" s="1">
        <v>2</v>
      </c>
      <c r="CV661" s="1">
        <f t="shared" si="569"/>
        <v>0</v>
      </c>
      <c r="CW661" s="1">
        <v>1</v>
      </c>
      <c r="CX661" s="1">
        <v>1</v>
      </c>
      <c r="CY661" s="1">
        <v>1</v>
      </c>
      <c r="CZ661" s="1">
        <f t="shared" si="570"/>
        <v>0</v>
      </c>
      <c r="DA661" s="1">
        <v>1</v>
      </c>
      <c r="DB661" s="1">
        <v>1</v>
      </c>
      <c r="DC661" s="1">
        <v>2</v>
      </c>
      <c r="DD661" s="1">
        <v>1</v>
      </c>
      <c r="DE661" s="1">
        <v>1</v>
      </c>
      <c r="DF661" s="1">
        <v>1</v>
      </c>
      <c r="DG661" s="1">
        <v>1</v>
      </c>
      <c r="DH661" s="1">
        <v>1</v>
      </c>
      <c r="DI661" s="1">
        <f t="shared" si="571"/>
        <v>0</v>
      </c>
      <c r="DJ661" s="1">
        <v>1</v>
      </c>
      <c r="DK661" s="1" t="s">
        <v>286</v>
      </c>
      <c r="DL661" s="1" t="s">
        <v>101</v>
      </c>
      <c r="DR661" s="1" t="b">
        <f>SkKnowledgeArcanaRanks&gt;=9</f>
        <v>0</v>
      </c>
      <c r="DS661" s="1" t="b">
        <f>SkSpellcraftRanks&gt;=9</f>
        <v>0</v>
      </c>
      <c r="DT661" s="1" t="b">
        <f>Draconic</f>
        <v>0</v>
      </c>
      <c r="DU661" s="1" t="b">
        <f>MetamagicSelected&gt;=1</f>
        <v>0</v>
      </c>
      <c r="DV661" s="1" t="b">
        <f ca="1">MaxArcaneSpellLevel&gt;=1</f>
        <v>0</v>
      </c>
      <c r="EA661" s="1" t="b">
        <f t="shared" ca="1" si="587"/>
        <v>0</v>
      </c>
      <c r="EB661" s="11" t="s">
        <v>338</v>
      </c>
      <c r="EC661" s="1" t="str">
        <f ca="1">IF(DR661,"","• 9 ranks Knowledge (arcana).
")&amp;IF(DS661,"","• 9 ranks Spellcraft.
")&amp;IF(DT661,"","• Know Draconic language.
")&amp;IF(DU661,"","• Any metamagic feat.
")&amp;IF(DV661,"","• Ability to prepare and cast 1st level arcane spells (not verified).")</f>
        <v>• 9 ranks Knowledge (arcana).
• 9 ranks Spellcraft.
• Know Draconic language.
• Any metamagic feat.
• Ability to prepare and cast 1st level arcane spells (not verified).</v>
      </c>
      <c r="ED661" s="11" t="s">
        <v>335</v>
      </c>
    </row>
    <row r="662" spans="1:134" ht="11.25" customHeight="1" x14ac:dyDescent="0.2">
      <c r="A662" s="1">
        <f t="shared" si="582"/>
        <v>659</v>
      </c>
      <c r="B662" s="1" t="s">
        <v>1544</v>
      </c>
      <c r="E662" s="1">
        <f t="shared" si="575"/>
        <v>0</v>
      </c>
      <c r="F662" s="1">
        <v>1</v>
      </c>
      <c r="Z662" s="1" t="b">
        <f>FALSE</f>
        <v>0</v>
      </c>
      <c r="AA662" s="1" t="str">
        <f t="shared" si="578"/>
        <v/>
      </c>
      <c r="AB662" s="1" t="str">
        <f t="shared" si="579"/>
        <v/>
      </c>
      <c r="AC662" s="1">
        <f t="shared" si="576"/>
        <v>0</v>
      </c>
      <c r="AD662" s="1" t="str">
        <f t="shared" si="580"/>
        <v/>
      </c>
      <c r="AE662" s="1" t="str">
        <f t="shared" si="581"/>
        <v/>
      </c>
      <c r="AF662" s="1">
        <f t="shared" si="577"/>
        <v>0</v>
      </c>
      <c r="AG662" s="1">
        <f t="shared" si="589"/>
        <v>5</v>
      </c>
      <c r="AH662" s="1" t="str">
        <f t="shared" si="588"/>
        <v/>
      </c>
      <c r="AJ662" s="1">
        <f t="shared" si="564"/>
        <v>0</v>
      </c>
      <c r="EB662" s="11"/>
      <c r="ED662" s="11" t="s">
        <v>335</v>
      </c>
    </row>
    <row r="663" spans="1:134" ht="11.25" customHeight="1" x14ac:dyDescent="0.2">
      <c r="A663" s="1">
        <f t="shared" si="582"/>
        <v>660</v>
      </c>
      <c r="B663" s="1" t="s">
        <v>1545</v>
      </c>
      <c r="C663" s="1" t="s">
        <v>1546</v>
      </c>
      <c r="D663" s="1" t="s">
        <v>1546</v>
      </c>
      <c r="E663" s="1">
        <f>$AC663+$AF663+IF(HasVirtualClasses,COUNTIF(TblVClassesAtLvlCS,$A663),0)</f>
        <v>0</v>
      </c>
      <c r="K663" s="1">
        <v>6</v>
      </c>
      <c r="L663" s="1">
        <v>6</v>
      </c>
      <c r="V663" s="1">
        <v>0.75</v>
      </c>
      <c r="W663" s="1">
        <v>0.34</v>
      </c>
      <c r="X663" s="1">
        <v>0.5</v>
      </c>
      <c r="Y663" s="1">
        <v>0.5</v>
      </c>
      <c r="Z663" s="1" t="b">
        <f>FALSE</f>
        <v>0</v>
      </c>
      <c r="AA663" s="1" t="str">
        <f t="shared" si="578"/>
        <v/>
      </c>
      <c r="AB663" s="1" t="str">
        <f t="shared" si="579"/>
        <v/>
      </c>
      <c r="AC663" s="1">
        <f t="shared" si="576"/>
        <v>0</v>
      </c>
      <c r="AD663" s="1" t="str">
        <f t="shared" si="580"/>
        <v/>
      </c>
      <c r="AE663" s="1" t="str">
        <f t="shared" si="581"/>
        <v/>
      </c>
      <c r="AF663" s="1">
        <f t="shared" si="577"/>
        <v>0</v>
      </c>
      <c r="AG663" s="1">
        <f t="shared" si="589"/>
        <v>5</v>
      </c>
      <c r="AH663" s="1" t="str">
        <f t="shared" si="588"/>
        <v/>
      </c>
      <c r="AI663" s="1">
        <v>2</v>
      </c>
      <c r="AJ663" s="1">
        <f t="shared" si="564"/>
        <v>0</v>
      </c>
      <c r="AK663" s="1">
        <v>1</v>
      </c>
      <c r="AL663" s="1">
        <v>2</v>
      </c>
      <c r="AM663" s="1">
        <v>1</v>
      </c>
      <c r="AN663" s="1">
        <f>IF(IsLycanthrope,2,0)</f>
        <v>0</v>
      </c>
      <c r="AO663" s="1">
        <v>1</v>
      </c>
      <c r="AP663" s="1">
        <v>1</v>
      </c>
      <c r="AQ663" s="1">
        <v>1</v>
      </c>
      <c r="AR663" s="1">
        <v>1</v>
      </c>
      <c r="AS663" s="1">
        <v>1</v>
      </c>
      <c r="AT663" s="1">
        <v>1</v>
      </c>
      <c r="AU663" s="1">
        <v>1</v>
      </c>
      <c r="AV663" s="1">
        <v>1</v>
      </c>
      <c r="AW663" s="1">
        <v>1</v>
      </c>
      <c r="AX663" s="1">
        <v>1</v>
      </c>
      <c r="AY663" s="1">
        <v>1</v>
      </c>
      <c r="AZ663" s="1">
        <v>1</v>
      </c>
      <c r="BA663" s="1">
        <v>2</v>
      </c>
      <c r="BB663" s="1">
        <v>1</v>
      </c>
      <c r="BC663" s="1">
        <v>2</v>
      </c>
      <c r="BD663" s="1">
        <v>1</v>
      </c>
      <c r="BE663" s="1">
        <v>1</v>
      </c>
      <c r="BF663" s="1">
        <v>2</v>
      </c>
      <c r="BG663" s="1">
        <f t="shared" si="566"/>
        <v>0</v>
      </c>
      <c r="BH663" s="1">
        <f>IF(HROA,1,0)</f>
        <v>0</v>
      </c>
      <c r="BI663" s="1">
        <v>2</v>
      </c>
      <c r="BJ663" s="1">
        <v>1</v>
      </c>
      <c r="BK663" s="1">
        <v>1</v>
      </c>
      <c r="BL663" s="1">
        <v>1</v>
      </c>
      <c r="BM663" s="1">
        <v>1</v>
      </c>
      <c r="BN663" s="1">
        <v>1</v>
      </c>
      <c r="BO663" s="1">
        <v>1</v>
      </c>
      <c r="BP663" s="1">
        <v>1</v>
      </c>
      <c r="BQ663" s="1">
        <f>IF(HRRVL,1,0)</f>
        <v>0</v>
      </c>
      <c r="BR663" s="1">
        <v>1</v>
      </c>
      <c r="BS663" s="1">
        <v>1</v>
      </c>
      <c r="BT663" s="1">
        <f>IF(HRXPH,1,0)</f>
        <v>0</v>
      </c>
      <c r="BU663" s="1">
        <f>IF(HRRVL,1,0)</f>
        <v>0</v>
      </c>
      <c r="BV663" s="1">
        <v>1</v>
      </c>
      <c r="BW663" s="1">
        <v>2</v>
      </c>
      <c r="BX663" s="1">
        <v>1</v>
      </c>
      <c r="BY663" s="1">
        <v>1</v>
      </c>
      <c r="BZ663" s="1">
        <v>1</v>
      </c>
      <c r="CA663" s="1">
        <v>1</v>
      </c>
      <c r="CB663" s="1">
        <v>1</v>
      </c>
      <c r="CC663" s="1">
        <v>1</v>
      </c>
      <c r="CD663" s="1">
        <v>1</v>
      </c>
      <c r="CE663" s="1">
        <v>1</v>
      </c>
      <c r="CF663" s="1">
        <v>2</v>
      </c>
      <c r="CG663" s="1">
        <f t="shared" si="568"/>
        <v>0</v>
      </c>
      <c r="CH663" s="1">
        <v>2</v>
      </c>
      <c r="CI663" s="1">
        <v>1</v>
      </c>
      <c r="CJ663" s="1">
        <v>1</v>
      </c>
      <c r="CK663" s="1">
        <v>1</v>
      </c>
      <c r="CL663" s="1">
        <v>1</v>
      </c>
      <c r="CM663" s="1">
        <v>1</v>
      </c>
      <c r="CN663" s="1">
        <v>1</v>
      </c>
      <c r="CO663" s="1">
        <v>1</v>
      </c>
      <c r="CP663" s="1">
        <v>1</v>
      </c>
      <c r="CQ663" s="1">
        <v>1</v>
      </c>
      <c r="CR663" s="1">
        <v>1</v>
      </c>
      <c r="CS663" s="1">
        <v>1</v>
      </c>
      <c r="CT663" s="1">
        <v>1</v>
      </c>
      <c r="CU663" s="1">
        <v>1</v>
      </c>
      <c r="CV663" s="1">
        <f t="shared" si="569"/>
        <v>0</v>
      </c>
      <c r="CW663" s="1">
        <v>1</v>
      </c>
      <c r="CX663" s="1">
        <v>2</v>
      </c>
      <c r="CY663" s="1">
        <v>2</v>
      </c>
      <c r="CZ663" s="1">
        <f t="shared" si="570"/>
        <v>0</v>
      </c>
      <c r="DA663" s="1">
        <v>1</v>
      </c>
      <c r="DB663" s="1">
        <v>1</v>
      </c>
      <c r="DC663" s="1">
        <v>1</v>
      </c>
      <c r="DD663" s="1">
        <v>2</v>
      </c>
      <c r="DE663" s="1">
        <v>1</v>
      </c>
      <c r="DF663" s="1">
        <v>1</v>
      </c>
      <c r="DG663" s="1">
        <v>2</v>
      </c>
      <c r="DH663" s="1">
        <v>1</v>
      </c>
      <c r="DI663" s="1">
        <f t="shared" si="571"/>
        <v>0</v>
      </c>
      <c r="DJ663" s="1">
        <v>1</v>
      </c>
      <c r="DK663" s="1" t="s">
        <v>1547</v>
      </c>
      <c r="DL663" s="1" t="s">
        <v>170</v>
      </c>
      <c r="DQ663" s="1" t="b">
        <f>OR(SneakAttack&gt;=2,SuddenStrike&gt;=2,SkirmishDamageAmount&gt;=2)</f>
        <v>0</v>
      </c>
      <c r="DR663" s="1" t="b">
        <f>FtUndoResistance</f>
        <v>0</v>
      </c>
      <c r="DS663" s="1" t="b">
        <f>FtImprovedFeint</f>
        <v>0</v>
      </c>
      <c r="DT663" s="1" t="b">
        <f>FtCombatExpertise</f>
        <v>0</v>
      </c>
      <c r="DU663" s="1" t="b">
        <f>Infernal</f>
        <v>0</v>
      </c>
      <c r="DV663" s="1" t="b">
        <f>SkSenseMotiveRanks&gt;=8</f>
        <v>0</v>
      </c>
      <c r="DW663" s="1" t="b">
        <f>SkKnowledgePlanesRanks&gt;=4</f>
        <v>0</v>
      </c>
      <c r="DX663" s="1" t="b">
        <f>SkBluffRanks&gt;=8</f>
        <v>0</v>
      </c>
      <c r="DY663" s="1" t="b">
        <f>AlignmentChaotic</f>
        <v>0</v>
      </c>
      <c r="DZ663" s="1" t="b">
        <f>NOT(HRLivingGreyhawk)</f>
        <v>1</v>
      </c>
      <c r="EA663" s="1" t="b">
        <f>AND(DM663:DZ663)</f>
        <v>0</v>
      </c>
      <c r="EB663" s="11" t="s">
        <v>334</v>
      </c>
      <c r="EC663" s="1" t="str">
        <f>IF(DY663,"","• Chaotic alignment.
")&amp;IF(DX663,"","• Bluff 8 ranks.
")&amp;IF(DW663,"","• Knowledge (the planes) 4 ranks.
")&amp;IF(DV663,"","• Sense Motive 8 ranks.
")&amp;IF(DU663,"","• Know Infernal language.
")&amp;IF(DT663,"","• Combat Expertise feat.
")&amp;IF(DS663,"","• Improved Feint feat.
")&amp;IF(DR663,"","• Undo Resistance feat.
")&amp;IF(DQ663,"","• Sneak Attack +2d6, Sudden Strike +2d6, or Skirmish +2d6.
")&amp;IF(DZ663,"","• Not available in Living Greyhawk.")</f>
        <v xml:space="preserve">• Chaotic alignment.
• Bluff 8 ranks.
• Knowledge (the planes) 4 ranks.
• Sense Motive 8 ranks.
• Know Infernal language.
• Combat Expertise feat.
• Improved Feint feat.
• Undo Resistance feat.
• Sneak Attack +2d6, Sudden Strike +2d6, or Skirmish +2d6.
</v>
      </c>
      <c r="ED663" s="11" t="s">
        <v>335</v>
      </c>
    </row>
    <row r="664" spans="1:134" ht="11.25" customHeight="1" x14ac:dyDescent="0.2">
      <c r="A664" s="1">
        <f t="shared" si="582"/>
        <v>661</v>
      </c>
      <c r="B664" s="1" t="s">
        <v>1548</v>
      </c>
      <c r="C664" s="1" t="s">
        <v>1549</v>
      </c>
      <c r="D664" s="1" t="s">
        <v>1549</v>
      </c>
      <c r="E664" s="1">
        <f t="shared" si="575"/>
        <v>0</v>
      </c>
      <c r="K664" s="1">
        <v>2</v>
      </c>
      <c r="L664" s="1">
        <v>6</v>
      </c>
      <c r="V664" s="1">
        <v>0.75</v>
      </c>
      <c r="W664" s="1">
        <v>0.34</v>
      </c>
      <c r="X664" s="1">
        <v>0.34</v>
      </c>
      <c r="Y664" s="1">
        <v>0.5</v>
      </c>
      <c r="Z664" s="1" t="b">
        <f>FALSE</f>
        <v>0</v>
      </c>
      <c r="AA664" s="1" t="str">
        <f t="shared" si="578"/>
        <v/>
      </c>
      <c r="AB664" s="1" t="str">
        <f t="shared" si="579"/>
        <v/>
      </c>
      <c r="AC664" s="1">
        <f t="shared" si="576"/>
        <v>0</v>
      </c>
      <c r="AD664" s="1" t="str">
        <f t="shared" si="580"/>
        <v/>
      </c>
      <c r="AE664" s="1" t="str">
        <f t="shared" si="581"/>
        <v/>
      </c>
      <c r="AF664" s="1">
        <f t="shared" si="577"/>
        <v>0</v>
      </c>
      <c r="AG664" s="1">
        <f t="shared" si="589"/>
        <v>5</v>
      </c>
      <c r="AH664" s="1" t="str">
        <f t="shared" si="588"/>
        <v/>
      </c>
      <c r="AI664" s="1">
        <v>1</v>
      </c>
      <c r="AJ664" s="1">
        <f t="shared" si="564"/>
        <v>0</v>
      </c>
      <c r="AK664" s="1">
        <v>1</v>
      </c>
      <c r="AL664" s="1">
        <v>1</v>
      </c>
      <c r="AM664" s="1">
        <v>1</v>
      </c>
      <c r="AN664" s="1">
        <f>IF(IsLycanthrope,2,0)</f>
        <v>0</v>
      </c>
      <c r="AO664" s="1">
        <v>2</v>
      </c>
      <c r="AP664" s="1">
        <v>1</v>
      </c>
      <c r="AQ664" s="1">
        <v>1</v>
      </c>
      <c r="AR664" s="1">
        <v>1</v>
      </c>
      <c r="AS664" s="1">
        <v>1</v>
      </c>
      <c r="AT664" s="1">
        <v>1</v>
      </c>
      <c r="AU664" s="1">
        <v>1</v>
      </c>
      <c r="AV664" s="1">
        <v>1</v>
      </c>
      <c r="AW664" s="1">
        <v>1</v>
      </c>
      <c r="AX664" s="1">
        <v>1</v>
      </c>
      <c r="AY664" s="1">
        <v>1</v>
      </c>
      <c r="AZ664" s="1">
        <v>2</v>
      </c>
      <c r="BA664" s="1">
        <v>1</v>
      </c>
      <c r="BB664" s="1">
        <v>1</v>
      </c>
      <c r="BC664" s="1">
        <v>1</v>
      </c>
      <c r="BD664" s="1">
        <v>1</v>
      </c>
      <c r="BE664" s="1">
        <v>1</v>
      </c>
      <c r="BF664" s="1">
        <v>1</v>
      </c>
      <c r="BG664" s="1">
        <f t="shared" si="566"/>
        <v>0</v>
      </c>
      <c r="BH664" s="1">
        <f>IF(HROA,1,0)</f>
        <v>0</v>
      </c>
      <c r="BI664" s="1">
        <v>2</v>
      </c>
      <c r="BJ664" s="1">
        <v>1</v>
      </c>
      <c r="BK664" s="1">
        <v>2</v>
      </c>
      <c r="BL664" s="1">
        <v>1</v>
      </c>
      <c r="BM664" s="1">
        <v>1</v>
      </c>
      <c r="BN664" s="1">
        <v>1</v>
      </c>
      <c r="BO664" s="1">
        <v>1</v>
      </c>
      <c r="BP664" s="1">
        <v>1</v>
      </c>
      <c r="BQ664" s="1">
        <f>IF(HRRVL,1,0)</f>
        <v>0</v>
      </c>
      <c r="BR664" s="1">
        <v>1</v>
      </c>
      <c r="BS664" s="1">
        <v>1</v>
      </c>
      <c r="BT664" s="1">
        <f>IF(HRXPH,1,0)</f>
        <v>0</v>
      </c>
      <c r="BU664" s="1">
        <f>IF(HRRVL,1,0)</f>
        <v>0</v>
      </c>
      <c r="BV664" s="1">
        <v>2</v>
      </c>
      <c r="BW664" s="1">
        <v>2</v>
      </c>
      <c r="BX664" s="1">
        <v>1</v>
      </c>
      <c r="BY664" s="1">
        <v>1</v>
      </c>
      <c r="BZ664" s="1">
        <v>1</v>
      </c>
      <c r="CA664" s="1">
        <v>1</v>
      </c>
      <c r="CB664" s="1">
        <v>1</v>
      </c>
      <c r="CC664" s="1">
        <v>1</v>
      </c>
      <c r="CD664" s="1">
        <v>1</v>
      </c>
      <c r="CE664" s="1">
        <v>1</v>
      </c>
      <c r="CF664" s="1">
        <v>1</v>
      </c>
      <c r="CG664" s="1">
        <f t="shared" si="568"/>
        <v>0</v>
      </c>
      <c r="CH664" s="1">
        <v>1</v>
      </c>
      <c r="CI664" s="1">
        <v>1</v>
      </c>
      <c r="CJ664" s="1">
        <v>1</v>
      </c>
      <c r="CK664" s="1">
        <v>1</v>
      </c>
      <c r="CL664" s="1">
        <v>1</v>
      </c>
      <c r="CM664" s="1">
        <v>1</v>
      </c>
      <c r="CN664" s="1">
        <v>1</v>
      </c>
      <c r="CO664" s="1">
        <v>1</v>
      </c>
      <c r="CP664" s="1">
        <v>1</v>
      </c>
      <c r="CQ664" s="1">
        <v>1</v>
      </c>
      <c r="CR664" s="1">
        <v>1</v>
      </c>
      <c r="CS664" s="1">
        <v>1</v>
      </c>
      <c r="CT664" s="1">
        <v>1</v>
      </c>
      <c r="CU664" s="1">
        <v>1</v>
      </c>
      <c r="CV664" s="1">
        <f t="shared" si="569"/>
        <v>0</v>
      </c>
      <c r="CW664" s="1">
        <v>1</v>
      </c>
      <c r="CX664" s="1">
        <v>1</v>
      </c>
      <c r="CY664" s="1">
        <v>1</v>
      </c>
      <c r="CZ664" s="1">
        <f t="shared" si="570"/>
        <v>0</v>
      </c>
      <c r="DA664" s="1">
        <v>1</v>
      </c>
      <c r="DB664" s="1">
        <v>1</v>
      </c>
      <c r="DC664" s="1">
        <v>2</v>
      </c>
      <c r="DD664" s="1">
        <v>1</v>
      </c>
      <c r="DE664" s="1">
        <v>1</v>
      </c>
      <c r="DF664" s="1">
        <v>1</v>
      </c>
      <c r="DG664" s="1">
        <v>1</v>
      </c>
      <c r="DH664" s="1">
        <v>2</v>
      </c>
      <c r="DI664" s="1">
        <f t="shared" si="571"/>
        <v>0</v>
      </c>
      <c r="DJ664" s="1">
        <v>1</v>
      </c>
      <c r="DK664" s="1" t="s">
        <v>1547</v>
      </c>
      <c r="DL664" s="1" t="s">
        <v>170</v>
      </c>
      <c r="DV664" s="1" t="b">
        <f>Infernal</f>
        <v>0</v>
      </c>
      <c r="DW664" s="1" t="b">
        <f>SkSpellcraftRanks&gt;=6</f>
        <v>0</v>
      </c>
      <c r="DX664" s="1" t="b">
        <f>SkKnowledgePlanesRanks&gt;=12</f>
        <v>0</v>
      </c>
      <c r="DY664" s="1" t="b">
        <f>SkIntimidateRanks&gt;=6</f>
        <v>0</v>
      </c>
      <c r="DZ664" s="1" t="b">
        <f>NOT(HRLivingGreyhawk)</f>
        <v>1</v>
      </c>
      <c r="EA664" s="1" t="b">
        <f>AND(DM664:DZ664)</f>
        <v>0</v>
      </c>
      <c r="EB664" s="11" t="s">
        <v>338</v>
      </c>
      <c r="EC664" s="1" t="str">
        <f>IF(DY664,"","• Intimidate 6 ranks.
")&amp;IF(DX664,"","• Knowledge (the planes) 12 ranks.
")&amp;IF(DW664,"","• Spellcraft 6 ranks.
")&amp;IF(DV664,"","• Know Infernal language.
")&amp;"• Must know Brimstone Blast or Hellrime Blast invocations (not checked).
"&amp;IF(DZ664,"","• Not available in Living Greyhawk.")</f>
        <v xml:space="preserve">• Intimidate 6 ranks.
• Knowledge (the planes) 12 ranks.
• Spellcraft 6 ranks.
• Know Infernal language.
• Must know Brimstone Blast or Hellrime Blast invocations (not checked).
</v>
      </c>
      <c r="ED664" s="11" t="s">
        <v>335</v>
      </c>
    </row>
    <row r="665" spans="1:134" ht="11.25" customHeight="1" x14ac:dyDescent="0.2">
      <c r="A665" s="1">
        <f t="shared" si="582"/>
        <v>662</v>
      </c>
      <c r="B665" s="1" t="s">
        <v>1550</v>
      </c>
      <c r="C665" s="1" t="s">
        <v>1551</v>
      </c>
      <c r="D665" s="1" t="s">
        <v>1551</v>
      </c>
      <c r="E665" s="1">
        <f>$AC665+$AF665+IF(HasVirtualClasses,COUNTIF(TblVClassesAtLvlCS,$A665),0)</f>
        <v>0</v>
      </c>
      <c r="K665" s="1">
        <v>2</v>
      </c>
      <c r="L665" s="1">
        <v>10</v>
      </c>
      <c r="V665" s="1">
        <v>1</v>
      </c>
      <c r="W665" s="1">
        <v>0.34</v>
      </c>
      <c r="X665" s="1">
        <v>0.34</v>
      </c>
      <c r="Y665" s="1">
        <v>0.5</v>
      </c>
      <c r="Z665" s="1" t="b">
        <f>FALSE</f>
        <v>0</v>
      </c>
      <c r="AA665" s="1" t="str">
        <f>IF($AC665=0,"",IF($Z665,"Ex-","")&amp;$B665)</f>
        <v/>
      </c>
      <c r="AB665" s="1" t="str">
        <f>IF($AC665=0,"",IF($Z665,"Ex-","")&amp;$C665)</f>
        <v/>
      </c>
      <c r="AC665" s="1">
        <f>COUNTIF(TblClassesAtLvlCS,$A665)</f>
        <v>0</v>
      </c>
      <c r="AD665" s="1" t="str">
        <f>IF($AF665=0,"",IF($Z665,"Ex-","")&amp;$B665)</f>
        <v/>
      </c>
      <c r="AE665" s="1" t="str">
        <f>IF($AF665=0,"",IF($Z665,"Ex-","")&amp;$C665)</f>
        <v/>
      </c>
      <c r="AF665" s="1">
        <f>IF(HRGestalt,COUNTIF(TblGClassesAtLvlCS,$A665),0)</f>
        <v>0</v>
      </c>
      <c r="AG665" s="1">
        <f t="shared" si="589"/>
        <v>5</v>
      </c>
      <c r="AH665" s="1" t="str">
        <f t="shared" si="588"/>
        <v/>
      </c>
      <c r="AI665" s="1">
        <v>1</v>
      </c>
      <c r="AJ665" s="1">
        <f>IF(HRXPH,1,0)</f>
        <v>0</v>
      </c>
      <c r="AK665" s="1">
        <v>1</v>
      </c>
      <c r="AL665" s="1">
        <v>1</v>
      </c>
      <c r="AM665" s="1">
        <v>1</v>
      </c>
      <c r="AN665" s="1">
        <f>IF(IsLycanthrope,2,0)</f>
        <v>0</v>
      </c>
      <c r="AO665" s="1">
        <v>1</v>
      </c>
      <c r="AP665" s="1">
        <v>1</v>
      </c>
      <c r="AQ665" s="1">
        <v>2</v>
      </c>
      <c r="AR665" s="1">
        <v>2</v>
      </c>
      <c r="AS665" s="1">
        <v>2</v>
      </c>
      <c r="AT665" s="1">
        <v>2</v>
      </c>
      <c r="AU665" s="1">
        <v>2</v>
      </c>
      <c r="AV665" s="1">
        <v>2</v>
      </c>
      <c r="AW665" s="1">
        <v>1</v>
      </c>
      <c r="AX665" s="1">
        <v>1</v>
      </c>
      <c r="AY665" s="1">
        <v>1</v>
      </c>
      <c r="AZ665" s="1">
        <v>1</v>
      </c>
      <c r="BA665" s="1">
        <v>1</v>
      </c>
      <c r="BB665" s="1">
        <v>1</v>
      </c>
      <c r="BC665" s="1">
        <v>1</v>
      </c>
      <c r="BD665" s="1">
        <v>1</v>
      </c>
      <c r="BE665" s="1">
        <v>1</v>
      </c>
      <c r="BF665" s="1">
        <v>1</v>
      </c>
      <c r="BG665" s="1">
        <f>IF(HRRVL,1,0)</f>
        <v>0</v>
      </c>
      <c r="BH665" s="1">
        <f>IF(HROA,1,0)</f>
        <v>0</v>
      </c>
      <c r="BI665" s="1">
        <v>2</v>
      </c>
      <c r="BJ665" s="1">
        <v>1</v>
      </c>
      <c r="BK665" s="1">
        <v>1</v>
      </c>
      <c r="BL665" s="1">
        <v>1</v>
      </c>
      <c r="BM665" s="1">
        <v>1</v>
      </c>
      <c r="BN665" s="1">
        <v>1</v>
      </c>
      <c r="BO665" s="1">
        <v>1</v>
      </c>
      <c r="BP665" s="1">
        <v>1</v>
      </c>
      <c r="BQ665" s="1">
        <f>IF(HRRVL,1,0)</f>
        <v>0</v>
      </c>
      <c r="BR665" s="1">
        <v>1</v>
      </c>
      <c r="BS665" s="1">
        <v>1</v>
      </c>
      <c r="BT665" s="1">
        <f>IF(HRXPH,1,0)</f>
        <v>0</v>
      </c>
      <c r="BU665" s="1">
        <f>IF(HRRVL,1,0)</f>
        <v>0</v>
      </c>
      <c r="BV665" s="1">
        <v>2</v>
      </c>
      <c r="BW665" s="1">
        <v>2</v>
      </c>
      <c r="BX665" s="1">
        <v>1</v>
      </c>
      <c r="BY665" s="1">
        <v>1</v>
      </c>
      <c r="BZ665" s="1">
        <v>1</v>
      </c>
      <c r="CA665" s="1">
        <v>1</v>
      </c>
      <c r="CB665" s="1">
        <v>1</v>
      </c>
      <c r="CC665" s="1">
        <v>1</v>
      </c>
      <c r="CD665" s="1">
        <v>1</v>
      </c>
      <c r="CE665" s="1">
        <v>1</v>
      </c>
      <c r="CF665" s="1">
        <v>2</v>
      </c>
      <c r="CG665" s="1">
        <f>IF(HRToB,1,0)</f>
        <v>0</v>
      </c>
      <c r="CH665" s="1">
        <v>1</v>
      </c>
      <c r="CI665" s="1">
        <v>1</v>
      </c>
      <c r="CJ665" s="1">
        <v>1</v>
      </c>
      <c r="CK665" s="1">
        <v>1</v>
      </c>
      <c r="CL665" s="1">
        <v>1</v>
      </c>
      <c r="CM665" s="1">
        <v>1</v>
      </c>
      <c r="CN665" s="1">
        <v>1</v>
      </c>
      <c r="CO665" s="1">
        <v>1</v>
      </c>
      <c r="CP665" s="1">
        <v>1</v>
      </c>
      <c r="CQ665" s="1">
        <v>1</v>
      </c>
      <c r="CR665" s="1">
        <v>1</v>
      </c>
      <c r="CS665" s="1">
        <v>1</v>
      </c>
      <c r="CT665" s="1">
        <v>1</v>
      </c>
      <c r="CU665" s="1">
        <v>1</v>
      </c>
      <c r="CV665" s="1">
        <f>IF(HRXPH,1,0)</f>
        <v>0</v>
      </c>
      <c r="CW665" s="1">
        <v>1</v>
      </c>
      <c r="CX665" s="1">
        <v>1</v>
      </c>
      <c r="CY665" s="1">
        <v>2</v>
      </c>
      <c r="CZ665" s="1">
        <f>IF(HRCS,1,0)</f>
        <v>0</v>
      </c>
      <c r="DA665" s="1">
        <v>1</v>
      </c>
      <c r="DB665" s="1">
        <v>1</v>
      </c>
      <c r="DC665" s="1">
        <v>1</v>
      </c>
      <c r="DD665" s="1">
        <v>2</v>
      </c>
      <c r="DE665" s="1">
        <v>1</v>
      </c>
      <c r="DF665" s="1">
        <v>1</v>
      </c>
      <c r="DG665" s="1">
        <v>1</v>
      </c>
      <c r="DH665" s="1">
        <v>1</v>
      </c>
      <c r="DI665" s="1">
        <f>IF(HRXPH,1,0)</f>
        <v>0</v>
      </c>
      <c r="DJ665" s="1">
        <v>1</v>
      </c>
      <c r="DK665" s="1" t="s">
        <v>1547</v>
      </c>
      <c r="DL665" s="1" t="s">
        <v>170</v>
      </c>
      <c r="DV665" s="1" t="b">
        <f>FtPowerAttackEquiv</f>
        <v>0</v>
      </c>
      <c r="DW665" s="1" t="b">
        <f>AlignmentGood</f>
        <v>1</v>
      </c>
      <c r="DX665" s="1" t="b">
        <f>BaseAtk&gt;=5</f>
        <v>0</v>
      </c>
      <c r="DY665" s="1" t="b">
        <f>SkKnowledgePlanesRanks&gt;=4</f>
        <v>0</v>
      </c>
      <c r="DZ665" s="1" t="b">
        <f>NOT(HRLivingGreyhawk)</f>
        <v>1</v>
      </c>
      <c r="EA665" s="1" t="b">
        <f>AND(DM665:DZ665)</f>
        <v>0</v>
      </c>
      <c r="EB665" s="11" t="s">
        <v>338</v>
      </c>
      <c r="EC665" s="1" t="str">
        <f>IF(DV665,"","• Power Attack feat.
")&amp;IF(DW665,"","• Any good alignment.
")&amp;IF(DX665,"","• Base Attack Bonus +5.
")&amp;IF(DY665,"","• 4 ranks in Knowledge (the Planes).
")&amp;"• Must have slain an outsider with the Evil subtype (not checked).
"&amp;IF(DZ665,"","• Not available in Living Greyhawk.
")</f>
        <v xml:space="preserve">• Power Attack feat.
• Base Attack Bonus +5.
• 4 ranks in Knowledge (the Planes).
• Must have slain an outsider with the Evil subtype (not checked).
</v>
      </c>
      <c r="ED665" s="11" t="s">
        <v>335</v>
      </c>
    </row>
    <row r="666" spans="1:134" ht="11.25" customHeight="1" x14ac:dyDescent="0.2">
      <c r="A666" s="1">
        <f t="shared" si="582"/>
        <v>663</v>
      </c>
      <c r="B666" s="1" t="s">
        <v>1552</v>
      </c>
      <c r="C666" s="1" t="s">
        <v>1553</v>
      </c>
      <c r="D666" s="1" t="s">
        <v>1553</v>
      </c>
      <c r="E666" s="1">
        <f t="shared" si="575"/>
        <v>0</v>
      </c>
      <c r="G666" s="1">
        <f>MAX(0,SgdLvl-1)</f>
        <v>0</v>
      </c>
      <c r="K666" s="1">
        <v>4</v>
      </c>
      <c r="L666" s="1">
        <v>8</v>
      </c>
      <c r="V666" s="1">
        <v>0.75</v>
      </c>
      <c r="W666" s="1">
        <v>0.5</v>
      </c>
      <c r="X666" s="1">
        <v>0.34</v>
      </c>
      <c r="Y666" s="1">
        <v>0.5</v>
      </c>
      <c r="Z666" s="1" t="b">
        <f>FALSE</f>
        <v>0</v>
      </c>
      <c r="AA666" s="1" t="str">
        <f t="shared" si="578"/>
        <v/>
      </c>
      <c r="AB666" s="1" t="str">
        <f t="shared" si="579"/>
        <v/>
      </c>
      <c r="AC666" s="1">
        <f t="shared" si="576"/>
        <v>0</v>
      </c>
      <c r="AD666" s="1" t="str">
        <f t="shared" si="580"/>
        <v/>
      </c>
      <c r="AE666" s="1" t="str">
        <f t="shared" si="581"/>
        <v/>
      </c>
      <c r="AF666" s="1">
        <f t="shared" si="577"/>
        <v>0</v>
      </c>
      <c r="AG666" s="1">
        <f t="shared" si="589"/>
        <v>5</v>
      </c>
      <c r="AH666" s="1" t="str">
        <f t="shared" si="588"/>
        <v/>
      </c>
      <c r="AI666" s="1">
        <v>1</v>
      </c>
      <c r="AJ666" s="1">
        <f t="shared" si="564"/>
        <v>0</v>
      </c>
      <c r="AK666" s="1">
        <v>1</v>
      </c>
      <c r="AL666" s="1">
        <v>1</v>
      </c>
      <c r="AM666" s="1">
        <v>1</v>
      </c>
      <c r="AN666" s="1">
        <f>IF(IsLycanthrope,2,0)</f>
        <v>0</v>
      </c>
      <c r="AO666" s="1">
        <v>2</v>
      </c>
      <c r="AP666" s="1">
        <v>1</v>
      </c>
      <c r="AQ666" s="1">
        <v>1</v>
      </c>
      <c r="AR666" s="1">
        <v>1</v>
      </c>
      <c r="AS666" s="1">
        <v>1</v>
      </c>
      <c r="AT666" s="1">
        <v>1</v>
      </c>
      <c r="AU666" s="1">
        <v>1</v>
      </c>
      <c r="AV666" s="1">
        <v>1</v>
      </c>
      <c r="AW666" s="1">
        <v>2</v>
      </c>
      <c r="AX666" s="1">
        <v>2</v>
      </c>
      <c r="AY666" s="1">
        <v>1</v>
      </c>
      <c r="AZ666" s="1">
        <v>1</v>
      </c>
      <c r="BA666" s="1">
        <v>1</v>
      </c>
      <c r="BB666" s="1">
        <v>1</v>
      </c>
      <c r="BC666" s="1">
        <v>2</v>
      </c>
      <c r="BD666" s="1">
        <v>1</v>
      </c>
      <c r="BE666" s="1">
        <v>1</v>
      </c>
      <c r="BF666" s="1">
        <v>1</v>
      </c>
      <c r="BG666" s="1">
        <f t="shared" si="566"/>
        <v>0</v>
      </c>
      <c r="BH666" s="1">
        <f>IF(HROA,1,0)</f>
        <v>0</v>
      </c>
      <c r="BI666" s="1">
        <v>2</v>
      </c>
      <c r="BJ666" s="1">
        <v>1</v>
      </c>
      <c r="BK666" s="1">
        <v>1</v>
      </c>
      <c r="BL666" s="1">
        <v>1</v>
      </c>
      <c r="BM666" s="1">
        <v>1</v>
      </c>
      <c r="BN666" s="1">
        <v>1</v>
      </c>
      <c r="BO666" s="1">
        <v>1</v>
      </c>
      <c r="BP666" s="1">
        <v>1</v>
      </c>
      <c r="BQ666" s="1">
        <f>IF(HRRVL,1,0)</f>
        <v>0</v>
      </c>
      <c r="BR666" s="1">
        <v>1</v>
      </c>
      <c r="BS666" s="1">
        <v>1</v>
      </c>
      <c r="BT666" s="1">
        <f>IF(HRXPH,1,0)</f>
        <v>0</v>
      </c>
      <c r="BU666" s="1">
        <f>IF(HRRVL,1,0)</f>
        <v>0</v>
      </c>
      <c r="BV666" s="1">
        <v>2</v>
      </c>
      <c r="BW666" s="1">
        <v>2</v>
      </c>
      <c r="BX666" s="1">
        <v>1</v>
      </c>
      <c r="BY666" s="1">
        <v>1</v>
      </c>
      <c r="BZ666" s="1">
        <v>1</v>
      </c>
      <c r="CA666" s="1">
        <v>1</v>
      </c>
      <c r="CB666" s="1">
        <v>1</v>
      </c>
      <c r="CC666" s="1">
        <v>1</v>
      </c>
      <c r="CD666" s="1">
        <v>1</v>
      </c>
      <c r="CE666" s="1">
        <v>1</v>
      </c>
      <c r="CF666" s="1">
        <v>1</v>
      </c>
      <c r="CG666" s="1">
        <f t="shared" si="568"/>
        <v>0</v>
      </c>
      <c r="CH666" s="1">
        <v>1</v>
      </c>
      <c r="CI666" s="1">
        <v>1</v>
      </c>
      <c r="CJ666" s="1">
        <v>1</v>
      </c>
      <c r="CK666" s="1">
        <v>1</v>
      </c>
      <c r="CL666" s="1">
        <v>1</v>
      </c>
      <c r="CM666" s="1">
        <v>1</v>
      </c>
      <c r="CN666" s="1">
        <v>1</v>
      </c>
      <c r="CO666" s="1">
        <v>1</v>
      </c>
      <c r="CP666" s="1">
        <v>1</v>
      </c>
      <c r="CQ666" s="1">
        <v>1</v>
      </c>
      <c r="CR666" s="1">
        <v>1</v>
      </c>
      <c r="CS666" s="1">
        <v>1</v>
      </c>
      <c r="CT666" s="1">
        <v>1</v>
      </c>
      <c r="CU666" s="1">
        <v>1</v>
      </c>
      <c r="CV666" s="1">
        <f t="shared" si="569"/>
        <v>0</v>
      </c>
      <c r="CW666" s="1">
        <v>1</v>
      </c>
      <c r="CX666" s="1">
        <v>1</v>
      </c>
      <c r="CY666" s="1">
        <v>2</v>
      </c>
      <c r="CZ666" s="1">
        <f t="shared" si="570"/>
        <v>0</v>
      </c>
      <c r="DA666" s="1">
        <v>1</v>
      </c>
      <c r="DB666" s="1">
        <v>1</v>
      </c>
      <c r="DC666" s="1">
        <v>2</v>
      </c>
      <c r="DD666" s="1">
        <v>1</v>
      </c>
      <c r="DE666" s="1">
        <v>1</v>
      </c>
      <c r="DF666" s="1">
        <v>1</v>
      </c>
      <c r="DG666" s="1">
        <v>1</v>
      </c>
      <c r="DH666" s="1">
        <v>1</v>
      </c>
      <c r="DI666" s="1">
        <f t="shared" si="571"/>
        <v>0</v>
      </c>
      <c r="DJ666" s="1">
        <v>1</v>
      </c>
      <c r="DK666" s="1" t="s">
        <v>1547</v>
      </c>
      <c r="DL666" s="1" t="s">
        <v>170</v>
      </c>
      <c r="DS666" s="1" t="b">
        <f ca="1">MaxDivineSpellLevel&gt;=1</f>
        <v>0</v>
      </c>
      <c r="DT666" s="1" t="b">
        <f>FtIronWill</f>
        <v>0</v>
      </c>
      <c r="DU666" s="1" t="b">
        <f>Infernal</f>
        <v>0</v>
      </c>
      <c r="DV666" s="1" t="b">
        <f>SkKnowledgePlanesRanks&gt;=4</f>
        <v>0</v>
      </c>
      <c r="DW666" s="1" t="b">
        <f>SkKnowledgeReligionRanks&gt;=9</f>
        <v>0</v>
      </c>
      <c r="DX666" s="1" t="b">
        <f>SkIntimidateRanks&gt;=4</f>
        <v>0</v>
      </c>
      <c r="DY666" s="1" t="b">
        <f>OR(Alignment="LG",Alignment="LN")</f>
        <v>1</v>
      </c>
      <c r="DZ666" s="1" t="b">
        <f>NOT(HRLivingGreyhawk)</f>
        <v>1</v>
      </c>
      <c r="EA666" s="1" t="b">
        <f ca="1">AND(DM666:DZ666)</f>
        <v>0</v>
      </c>
      <c r="EB666" s="11" t="s">
        <v>334</v>
      </c>
      <c r="EC666" s="1" t="str">
        <f ca="1">IF(DY666,"","• LG or LN alignment.
")&amp;IF(DX666,"","• Intimidate 4 ranks.
")&amp;IF(DW666,"","• Knowledge (religion) 9 ranks.
")&amp;IF(DV666,"","• Knowledge (the places) 4 ranks ranks.
")&amp;IF(DU666,"","• Know Infernal language.
")&amp;IF(DT666,"","• Iron Will feat.
")&amp;IF(DS666,"","• Ability to cast 1st level Divine spells.
")&amp;IF(DZ666,"","• Not available in Living Greyhawk.")</f>
        <v xml:space="preserve">• Intimidate 4 ranks.
• Knowledge (religion) 9 ranks.
• Knowledge (the places) 4 ranks ranks.
• Know Infernal language.
• Iron Will feat.
• Ability to cast 1st level Divine spells.
</v>
      </c>
      <c r="ED666" s="11" t="s">
        <v>335</v>
      </c>
    </row>
    <row r="667" spans="1:134" ht="11.25" customHeight="1" x14ac:dyDescent="0.2">
      <c r="A667" s="1">
        <f t="shared" si="582"/>
        <v>664</v>
      </c>
      <c r="B667" s="1" t="s">
        <v>1554</v>
      </c>
      <c r="E667" s="1">
        <f t="shared" si="575"/>
        <v>0</v>
      </c>
      <c r="F667" s="1">
        <v>1</v>
      </c>
      <c r="Z667" s="1" t="b">
        <f>FALSE</f>
        <v>0</v>
      </c>
      <c r="AA667" s="1" t="str">
        <f t="shared" si="578"/>
        <v/>
      </c>
      <c r="AB667" s="1" t="str">
        <f t="shared" si="579"/>
        <v/>
      </c>
      <c r="AC667" s="1">
        <f t="shared" si="576"/>
        <v>0</v>
      </c>
      <c r="AD667" s="1" t="str">
        <f t="shared" si="580"/>
        <v/>
      </c>
      <c r="AE667" s="1" t="str">
        <f t="shared" si="581"/>
        <v/>
      </c>
      <c r="AF667" s="1">
        <f t="shared" si="577"/>
        <v>0</v>
      </c>
      <c r="AG667" s="1">
        <f t="shared" si="589"/>
        <v>5</v>
      </c>
      <c r="AH667" s="1" t="str">
        <f t="shared" si="588"/>
        <v/>
      </c>
      <c r="AJ667" s="1">
        <f t="shared" si="564"/>
        <v>0</v>
      </c>
      <c r="EB667" s="11"/>
      <c r="ED667" s="11" t="s">
        <v>335</v>
      </c>
    </row>
    <row r="668" spans="1:134" ht="11.25" customHeight="1" x14ac:dyDescent="0.2">
      <c r="A668" s="1">
        <f t="shared" si="582"/>
        <v>665</v>
      </c>
      <c r="B668" s="1" t="s">
        <v>1555</v>
      </c>
      <c r="C668" s="1" t="s">
        <v>1556</v>
      </c>
      <c r="D668" s="1" t="s">
        <v>1556</v>
      </c>
      <c r="E668" s="1">
        <f t="shared" si="575"/>
        <v>0</v>
      </c>
      <c r="K668" s="1">
        <v>2</v>
      </c>
      <c r="L668" s="1">
        <v>10</v>
      </c>
      <c r="V668" s="1">
        <v>1</v>
      </c>
      <c r="W668" s="1">
        <v>0.5</v>
      </c>
      <c r="X668" s="1">
        <v>0.34</v>
      </c>
      <c r="Y668" s="1">
        <v>0.34</v>
      </c>
      <c r="Z668" s="1" t="b">
        <f>FALSE</f>
        <v>0</v>
      </c>
      <c r="AA668" s="1" t="str">
        <f t="shared" si="578"/>
        <v/>
      </c>
      <c r="AB668" s="1" t="str">
        <f t="shared" si="579"/>
        <v/>
      </c>
      <c r="AC668" s="1">
        <f t="shared" si="576"/>
        <v>0</v>
      </c>
      <c r="AD668" s="1" t="str">
        <f t="shared" si="580"/>
        <v/>
      </c>
      <c r="AE668" s="1" t="str">
        <f t="shared" si="581"/>
        <v/>
      </c>
      <c r="AF668" s="1">
        <f t="shared" si="577"/>
        <v>0</v>
      </c>
      <c r="AG668" s="1">
        <f t="shared" si="589"/>
        <v>5</v>
      </c>
      <c r="AH668" s="1" t="str">
        <f t="shared" si="588"/>
        <v/>
      </c>
      <c r="AI668" s="1">
        <v>1</v>
      </c>
      <c r="AJ668" s="1">
        <f t="shared" ref="AJ668:AJ674" si="590">IF(HRXPH,1,0)</f>
        <v>0</v>
      </c>
      <c r="AK668" s="1">
        <v>1</v>
      </c>
      <c r="AL668" s="1">
        <v>1</v>
      </c>
      <c r="AM668" s="1">
        <v>1</v>
      </c>
      <c r="AN668" s="1">
        <f t="shared" ref="AN668:AN674" si="591">IF(IsLycanthrope,2,0)</f>
        <v>0</v>
      </c>
      <c r="AO668" s="1">
        <v>1</v>
      </c>
      <c r="AP668" s="1">
        <v>2</v>
      </c>
      <c r="AQ668" s="1">
        <v>2</v>
      </c>
      <c r="AR668" s="1">
        <v>2</v>
      </c>
      <c r="AS668" s="1">
        <v>2</v>
      </c>
      <c r="AT668" s="1">
        <v>2</v>
      </c>
      <c r="AU668" s="1">
        <v>2</v>
      </c>
      <c r="AV668" s="1">
        <v>2</v>
      </c>
      <c r="AW668" s="1">
        <v>1</v>
      </c>
      <c r="AX668" s="1">
        <v>2</v>
      </c>
      <c r="AY668" s="1">
        <v>1</v>
      </c>
      <c r="AZ668" s="1">
        <v>1</v>
      </c>
      <c r="BA668" s="1">
        <v>1</v>
      </c>
      <c r="BB668" s="1">
        <v>1</v>
      </c>
      <c r="BC668" s="1">
        <v>2</v>
      </c>
      <c r="BD668" s="1">
        <v>1</v>
      </c>
      <c r="BE668" s="1">
        <v>1</v>
      </c>
      <c r="BF668" s="1">
        <v>2</v>
      </c>
      <c r="BG668" s="1">
        <f t="shared" ref="BG668:BG674" si="592">IF(HRRVL,1,0)</f>
        <v>0</v>
      </c>
      <c r="BH668" s="1">
        <f t="shared" ref="BH668:BH674" si="593">IF(HROA,1,0)</f>
        <v>0</v>
      </c>
      <c r="BI668" s="1">
        <v>1</v>
      </c>
      <c r="BJ668" s="1">
        <v>1</v>
      </c>
      <c r="BK668" s="1">
        <v>1</v>
      </c>
      <c r="BL668" s="1">
        <v>1</v>
      </c>
      <c r="BM668" s="1">
        <v>1</v>
      </c>
      <c r="BN668" s="1">
        <v>1</v>
      </c>
      <c r="BO668" s="1">
        <v>1</v>
      </c>
      <c r="BP668" s="1">
        <v>1</v>
      </c>
      <c r="BQ668" s="1">
        <f>IF(HRRVL,1,0)</f>
        <v>0</v>
      </c>
      <c r="BR668" s="1">
        <v>1</v>
      </c>
      <c r="BS668" s="1">
        <v>1</v>
      </c>
      <c r="BT668" s="1">
        <f>IF(HRXPH,1,0)</f>
        <v>0</v>
      </c>
      <c r="BU668" s="1">
        <f t="shared" ref="BU668:BU674" si="594">IF(HRRVL,2,0)</f>
        <v>0</v>
      </c>
      <c r="BV668" s="1">
        <v>2</v>
      </c>
      <c r="BW668" s="1">
        <v>1</v>
      </c>
      <c r="BX668" s="1">
        <v>1</v>
      </c>
      <c r="BY668" s="1">
        <v>1</v>
      </c>
      <c r="BZ668" s="1">
        <v>1</v>
      </c>
      <c r="CA668" s="1">
        <v>1</v>
      </c>
      <c r="CB668" s="1">
        <v>1</v>
      </c>
      <c r="CC668" s="1">
        <v>1</v>
      </c>
      <c r="CD668" s="1">
        <v>1</v>
      </c>
      <c r="CE668" s="1">
        <v>1</v>
      </c>
      <c r="CF668" s="1">
        <v>2</v>
      </c>
      <c r="CG668" s="1">
        <f t="shared" ref="CG668:CG674" si="595">IF(HRToB,1,0)</f>
        <v>0</v>
      </c>
      <c r="CH668" s="1">
        <v>2</v>
      </c>
      <c r="CI668" s="1">
        <v>1</v>
      </c>
      <c r="CJ668" s="1">
        <v>1</v>
      </c>
      <c r="CK668" s="1">
        <v>1</v>
      </c>
      <c r="CL668" s="1">
        <v>1</v>
      </c>
      <c r="CM668" s="1">
        <v>1</v>
      </c>
      <c r="CN668" s="1">
        <v>1</v>
      </c>
      <c r="CO668" s="1">
        <v>1</v>
      </c>
      <c r="CP668" s="1">
        <v>2</v>
      </c>
      <c r="CQ668" s="1">
        <v>2</v>
      </c>
      <c r="CR668" s="1">
        <v>2</v>
      </c>
      <c r="CS668" s="1">
        <v>2</v>
      </c>
      <c r="CT668" s="1">
        <v>2</v>
      </c>
      <c r="CU668" s="1">
        <v>2</v>
      </c>
      <c r="CV668" s="1">
        <f t="shared" ref="CV668:CV674" si="596">IF(HRXPH,1,0)</f>
        <v>0</v>
      </c>
      <c r="CW668" s="1">
        <v>1</v>
      </c>
      <c r="CX668" s="1">
        <v>2</v>
      </c>
      <c r="CY668" s="1">
        <v>1</v>
      </c>
      <c r="CZ668" s="1">
        <f t="shared" ref="CZ668:CZ674" si="597">IF(HRCS,1,0)</f>
        <v>0</v>
      </c>
      <c r="DA668" s="1">
        <v>1</v>
      </c>
      <c r="DB668" s="1">
        <v>1</v>
      </c>
      <c r="DC668" s="1">
        <v>1</v>
      </c>
      <c r="DD668" s="1">
        <v>2</v>
      </c>
      <c r="DE668" s="1">
        <v>1</v>
      </c>
      <c r="DF668" s="1">
        <v>1</v>
      </c>
      <c r="DG668" s="1">
        <v>1</v>
      </c>
      <c r="DH668" s="1">
        <v>1</v>
      </c>
      <c r="DI668" s="1">
        <f t="shared" ref="DI668:DI673" si="598">IF(HRXPH,1,0)</f>
        <v>0</v>
      </c>
      <c r="DJ668" s="1">
        <v>1</v>
      </c>
      <c r="DK668" s="1" t="s">
        <v>1557</v>
      </c>
      <c r="DL668" s="1" t="s">
        <v>101</v>
      </c>
      <c r="DR668" s="1" t="b">
        <f>OR(MonType="Aberration",MonType="Dragon",MonType="Giant",MonType="Humanoid",MonType="Magical Beast",MonType="Monstrous Humanoid")</f>
        <v>1</v>
      </c>
      <c r="DS668" s="1" t="b">
        <f>AlignmentNonGood</f>
        <v>0</v>
      </c>
      <c r="DT668" s="1" t="b">
        <f>BaseAtk&gt;=5</f>
        <v>0</v>
      </c>
      <c r="DU668" s="1" t="b">
        <f>SkKnowledgeReligionRanks&gt;=1</f>
        <v>0</v>
      </c>
      <c r="DV668" s="1" t="b">
        <f>SkSpotRanks&gt;=2</f>
        <v>0</v>
      </c>
      <c r="EA668" s="1" t="b">
        <f>AND(DM668:DZ668)</f>
        <v>0</v>
      </c>
      <c r="EB668" s="11" t="s">
        <v>338</v>
      </c>
      <c r="EC668" s="1" t="str">
        <f>IF(DR668,"","• You must either an aberration, dragon, giant, humanoid, magical beast, or monstrous humanoid.
")&amp;IF(DS668,"","• You must be of any nongood alignment.
")&amp;IF(DT668,"","• Base Attack bonus of +5 or greater.
")&amp;IF(DU668,"","• 1 rank in Knowledge (religion).
")&amp;IF(DV668,"","• 2 rank in Spot.
")&amp;"• You must be accepted as a death's chosen by a sentient undead
  creature with at least as many Hit Dice as you have (not verified)."</f>
        <v>• You must be of any nongood alignment.
• Base Attack bonus of +5 or greater.
• 1 rank in Knowledge (religion).
• 2 rank in Spot.
• You must be accepted as a death's chosen by a sentient undead
  creature with at least as many Hit Dice as you have (not verified).</v>
      </c>
      <c r="ED668" s="11" t="s">
        <v>335</v>
      </c>
    </row>
    <row r="669" spans="1:134" ht="11.25" customHeight="1" x14ac:dyDescent="0.2">
      <c r="A669" s="1">
        <f t="shared" si="582"/>
        <v>666</v>
      </c>
      <c r="B669" s="1" t="s">
        <v>1558</v>
      </c>
      <c r="C669" s="1" t="s">
        <v>1559</v>
      </c>
      <c r="D669" s="1" t="s">
        <v>1559</v>
      </c>
      <c r="E669" s="1">
        <f t="shared" si="575"/>
        <v>0</v>
      </c>
      <c r="K669" s="1">
        <v>4</v>
      </c>
      <c r="L669" s="1">
        <v>6</v>
      </c>
      <c r="V669" s="1">
        <v>0.75</v>
      </c>
      <c r="W669" s="1">
        <v>0.34</v>
      </c>
      <c r="X669" s="1">
        <v>0.34</v>
      </c>
      <c r="Y669" s="1">
        <v>0.5</v>
      </c>
      <c r="Z669" s="1" t="b">
        <f>FALSE</f>
        <v>0</v>
      </c>
      <c r="AA669" s="1" t="str">
        <f t="shared" si="578"/>
        <v/>
      </c>
      <c r="AB669" s="1" t="str">
        <f t="shared" si="579"/>
        <v/>
      </c>
      <c r="AC669" s="1">
        <f t="shared" si="576"/>
        <v>0</v>
      </c>
      <c r="AD669" s="1" t="str">
        <f t="shared" si="580"/>
        <v/>
      </c>
      <c r="AE669" s="1" t="str">
        <f t="shared" si="581"/>
        <v/>
      </c>
      <c r="AF669" s="1">
        <f t="shared" si="577"/>
        <v>0</v>
      </c>
      <c r="AG669" s="1">
        <f t="shared" si="589"/>
        <v>5</v>
      </c>
      <c r="AH669" s="1" t="str">
        <f t="shared" si="588"/>
        <v/>
      </c>
      <c r="AI669" s="1">
        <v>1</v>
      </c>
      <c r="AJ669" s="1">
        <f t="shared" si="590"/>
        <v>0</v>
      </c>
      <c r="AK669" s="1">
        <v>1</v>
      </c>
      <c r="AL669" s="1">
        <v>2</v>
      </c>
      <c r="AM669" s="1">
        <v>1</v>
      </c>
      <c r="AN669" s="1">
        <f t="shared" si="591"/>
        <v>0</v>
      </c>
      <c r="AO669" s="1">
        <v>2</v>
      </c>
      <c r="AP669" s="1">
        <v>2</v>
      </c>
      <c r="AQ669" s="1">
        <v>2</v>
      </c>
      <c r="AR669" s="1">
        <v>2</v>
      </c>
      <c r="AS669" s="1">
        <v>2</v>
      </c>
      <c r="AT669" s="1">
        <v>2</v>
      </c>
      <c r="AU669" s="1">
        <v>2</v>
      </c>
      <c r="AV669" s="1">
        <v>2</v>
      </c>
      <c r="AW669" s="1">
        <v>1</v>
      </c>
      <c r="AX669" s="1">
        <v>2</v>
      </c>
      <c r="AY669" s="1">
        <v>1</v>
      </c>
      <c r="AZ669" s="1">
        <v>1</v>
      </c>
      <c r="BA669" s="1">
        <v>1</v>
      </c>
      <c r="BB669" s="1">
        <v>1</v>
      </c>
      <c r="BC669" s="1">
        <v>1</v>
      </c>
      <c r="BD669" s="1">
        <v>1</v>
      </c>
      <c r="BE669" s="1">
        <v>1</v>
      </c>
      <c r="BF669" s="1">
        <v>1</v>
      </c>
      <c r="BG669" s="1">
        <f t="shared" si="592"/>
        <v>0</v>
      </c>
      <c r="BH669" s="1">
        <f t="shared" si="593"/>
        <v>0</v>
      </c>
      <c r="BI669" s="1">
        <v>2</v>
      </c>
      <c r="BJ669" s="1">
        <v>1</v>
      </c>
      <c r="BK669" s="1">
        <v>1</v>
      </c>
      <c r="BL669" s="1">
        <v>1</v>
      </c>
      <c r="BM669" s="1">
        <v>1</v>
      </c>
      <c r="BN669" s="1">
        <v>1</v>
      </c>
      <c r="BO669" s="1">
        <v>2</v>
      </c>
      <c r="BP669" s="1">
        <v>1</v>
      </c>
      <c r="BQ669" s="1">
        <f>IF(HRRVL,1,0)</f>
        <v>0</v>
      </c>
      <c r="BR669" s="1">
        <v>1</v>
      </c>
      <c r="BS669" s="1">
        <v>1</v>
      </c>
      <c r="BT669" s="1">
        <f>IF(HRXPH,1,0)</f>
        <v>0</v>
      </c>
      <c r="BU669" s="1">
        <f t="shared" si="594"/>
        <v>0</v>
      </c>
      <c r="BV669" s="1">
        <v>2</v>
      </c>
      <c r="BW669" s="1">
        <v>1</v>
      </c>
      <c r="BX669" s="1">
        <v>1</v>
      </c>
      <c r="BY669" s="1">
        <v>1</v>
      </c>
      <c r="BZ669" s="1">
        <v>1</v>
      </c>
      <c r="CA669" s="1">
        <v>1</v>
      </c>
      <c r="CB669" s="1">
        <v>1</v>
      </c>
      <c r="CC669" s="1">
        <v>1</v>
      </c>
      <c r="CD669" s="1">
        <v>1</v>
      </c>
      <c r="CE669" s="1">
        <v>1</v>
      </c>
      <c r="CF669" s="1">
        <v>2</v>
      </c>
      <c r="CG669" s="1">
        <f t="shared" si="595"/>
        <v>0</v>
      </c>
      <c r="CH669" s="1">
        <v>1</v>
      </c>
      <c r="CI669" s="1">
        <v>1</v>
      </c>
      <c r="CJ669" s="1">
        <v>2</v>
      </c>
      <c r="CK669" s="1">
        <v>2</v>
      </c>
      <c r="CL669" s="1">
        <v>2</v>
      </c>
      <c r="CM669" s="1">
        <v>2</v>
      </c>
      <c r="CN669" s="1">
        <v>2</v>
      </c>
      <c r="CO669" s="1">
        <v>2</v>
      </c>
      <c r="CP669" s="1">
        <v>1</v>
      </c>
      <c r="CQ669" s="1">
        <v>1</v>
      </c>
      <c r="CR669" s="1">
        <v>1</v>
      </c>
      <c r="CS669" s="1">
        <v>1</v>
      </c>
      <c r="CT669" s="1">
        <v>1</v>
      </c>
      <c r="CU669" s="1">
        <v>1</v>
      </c>
      <c r="CV669" s="1">
        <f t="shared" si="596"/>
        <v>0</v>
      </c>
      <c r="CW669" s="1">
        <v>1</v>
      </c>
      <c r="CX669" s="1">
        <v>1</v>
      </c>
      <c r="CY669" s="1">
        <v>2</v>
      </c>
      <c r="CZ669" s="1">
        <f t="shared" si="597"/>
        <v>0</v>
      </c>
      <c r="DA669" s="1">
        <v>1</v>
      </c>
      <c r="DB669" s="1">
        <v>2</v>
      </c>
      <c r="DC669" s="1">
        <v>1</v>
      </c>
      <c r="DD669" s="1">
        <v>1</v>
      </c>
      <c r="DE669" s="1">
        <v>1</v>
      </c>
      <c r="DF669" s="1">
        <v>1</v>
      </c>
      <c r="DG669" s="1">
        <v>1</v>
      </c>
      <c r="DH669" s="1">
        <v>1</v>
      </c>
      <c r="DI669" s="1">
        <f t="shared" si="598"/>
        <v>0</v>
      </c>
      <c r="DJ669" s="1">
        <v>1</v>
      </c>
      <c r="DK669" s="1" t="s">
        <v>1557</v>
      </c>
      <c r="DL669" s="1" t="s">
        <v>101</v>
      </c>
      <c r="DR669" s="1" t="b">
        <f>AlignmentNonGood</f>
        <v>0</v>
      </c>
      <c r="DS669" s="1" t="b">
        <f>SkKnowledgeReligionRanks&gt;=4</f>
        <v>0</v>
      </c>
      <c r="DT669" s="1" t="b">
        <f>SkPerformRanks&gt;=8</f>
        <v>0</v>
      </c>
      <c r="DU669" s="1" t="b">
        <f>FtRequiem</f>
        <v>0</v>
      </c>
      <c r="DV669" s="1" t="b">
        <f>BardicMusic</f>
        <v>0</v>
      </c>
      <c r="EA669" s="1" t="b">
        <f t="shared" ref="EA669:EA674" si="599">AND(DM669:DZ669)</f>
        <v>0</v>
      </c>
      <c r="EB669" s="11" t="s">
        <v>334</v>
      </c>
      <c r="EC669" s="1" t="str">
        <f>IF(DR669,"","• You must be of Any Nonood Alignment.
")&amp;IF(DS669,"","• 4 ranks in Knowledge (religion).
")&amp;IF(DT669,"","• 8 ranks in Perform (any).
")&amp;IF(DU669,"","• Requiem feat.
")&amp;IF(DV669,"","• Bardic music class feature.")</f>
        <v>• You must be of Any Nonood Alignment.
• 4 ranks in Knowledge (religion).
• 8 ranks in Perform (any).
• Requiem feat.
• Bardic music class feature.</v>
      </c>
      <c r="ED669" s="11" t="s">
        <v>335</v>
      </c>
    </row>
    <row r="670" spans="1:134" ht="11.25" customHeight="1" x14ac:dyDescent="0.2">
      <c r="A670" s="1">
        <f t="shared" si="582"/>
        <v>667</v>
      </c>
      <c r="B670" s="1" t="s">
        <v>1560</v>
      </c>
      <c r="C670" s="1" t="s">
        <v>1561</v>
      </c>
      <c r="D670" s="1" t="s">
        <v>1561</v>
      </c>
      <c r="E670" s="1">
        <f t="shared" si="575"/>
        <v>0</v>
      </c>
      <c r="G670" s="1">
        <f>(MoRLvl&gt;=2)*(MoRLvl-1)</f>
        <v>0</v>
      </c>
      <c r="K670" s="1">
        <v>4</v>
      </c>
      <c r="L670" s="1">
        <v>8</v>
      </c>
      <c r="M670" s="1">
        <f>MoRLvl</f>
        <v>0</v>
      </c>
      <c r="V670" s="1">
        <v>0.75</v>
      </c>
      <c r="W670" s="1">
        <v>0.5</v>
      </c>
      <c r="X670" s="1">
        <v>0.34</v>
      </c>
      <c r="Y670" s="1">
        <v>0.5</v>
      </c>
      <c r="Z670" s="1" t="b">
        <f>FALSE</f>
        <v>0</v>
      </c>
      <c r="AA670" s="1" t="str">
        <f t="shared" si="578"/>
        <v/>
      </c>
      <c r="AB670" s="1" t="str">
        <f t="shared" si="579"/>
        <v/>
      </c>
      <c r="AC670" s="1">
        <f t="shared" si="576"/>
        <v>0</v>
      </c>
      <c r="AD670" s="1" t="str">
        <f t="shared" si="580"/>
        <v/>
      </c>
      <c r="AE670" s="1" t="str">
        <f t="shared" si="581"/>
        <v/>
      </c>
      <c r="AF670" s="1">
        <f t="shared" si="577"/>
        <v>0</v>
      </c>
      <c r="AG670" s="1">
        <f t="shared" si="589"/>
        <v>5</v>
      </c>
      <c r="AH670" s="1" t="str">
        <f t="shared" si="588"/>
        <v/>
      </c>
      <c r="AI670" s="1">
        <v>1</v>
      </c>
      <c r="AJ670" s="1">
        <f t="shared" si="590"/>
        <v>0</v>
      </c>
      <c r="AK670" s="1">
        <v>1</v>
      </c>
      <c r="AL670" s="1">
        <v>1</v>
      </c>
      <c r="AM670" s="1">
        <v>1</v>
      </c>
      <c r="AN670" s="1">
        <f t="shared" si="591"/>
        <v>0</v>
      </c>
      <c r="AO670" s="1">
        <v>2</v>
      </c>
      <c r="AP670" s="1">
        <v>1</v>
      </c>
      <c r="AQ670" s="1">
        <v>1</v>
      </c>
      <c r="AR670" s="1">
        <v>1</v>
      </c>
      <c r="AS670" s="1">
        <v>1</v>
      </c>
      <c r="AT670" s="1">
        <v>1</v>
      </c>
      <c r="AU670" s="1">
        <v>1</v>
      </c>
      <c r="AV670" s="1">
        <v>1</v>
      </c>
      <c r="AW670" s="1">
        <v>1</v>
      </c>
      <c r="AX670" s="1">
        <v>2</v>
      </c>
      <c r="AY670" s="1">
        <v>1</v>
      </c>
      <c r="AZ670" s="1">
        <v>1</v>
      </c>
      <c r="BA670" s="1">
        <v>1</v>
      </c>
      <c r="BB670" s="1">
        <v>1</v>
      </c>
      <c r="BC670" s="1">
        <v>1</v>
      </c>
      <c r="BD670" s="1">
        <v>1</v>
      </c>
      <c r="BE670" s="1">
        <v>2</v>
      </c>
      <c r="BF670" s="1">
        <v>1</v>
      </c>
      <c r="BG670" s="1">
        <f t="shared" si="592"/>
        <v>0</v>
      </c>
      <c r="BH670" s="1">
        <f t="shared" si="593"/>
        <v>0</v>
      </c>
      <c r="BI670" s="1">
        <v>1</v>
      </c>
      <c r="BJ670" s="1">
        <v>1</v>
      </c>
      <c r="BK670" s="1">
        <v>1</v>
      </c>
      <c r="BL670" s="1">
        <v>1</v>
      </c>
      <c r="BM670" s="1">
        <v>1</v>
      </c>
      <c r="BN670" s="1">
        <v>1</v>
      </c>
      <c r="BO670" s="1">
        <v>1</v>
      </c>
      <c r="BP670" s="1">
        <v>1</v>
      </c>
      <c r="BQ670" s="1">
        <f>IF(HRRVL,2,0)</f>
        <v>0</v>
      </c>
      <c r="BR670" s="1">
        <v>2</v>
      </c>
      <c r="BS670" s="1">
        <v>1</v>
      </c>
      <c r="BT670" s="1">
        <f>IF(HRXPH,1,0)</f>
        <v>0</v>
      </c>
      <c r="BU670" s="1">
        <f t="shared" si="594"/>
        <v>0</v>
      </c>
      <c r="BV670" s="1">
        <v>2</v>
      </c>
      <c r="BW670" s="1">
        <v>1</v>
      </c>
      <c r="BX670" s="1">
        <v>1</v>
      </c>
      <c r="BY670" s="1">
        <v>1</v>
      </c>
      <c r="BZ670" s="1">
        <v>1</v>
      </c>
      <c r="CA670" s="1">
        <v>1</v>
      </c>
      <c r="CB670" s="1">
        <v>1</v>
      </c>
      <c r="CC670" s="1">
        <v>1</v>
      </c>
      <c r="CD670" s="1">
        <v>1</v>
      </c>
      <c r="CE670" s="1">
        <v>1</v>
      </c>
      <c r="CF670" s="1">
        <v>1</v>
      </c>
      <c r="CG670" s="1">
        <f t="shared" si="595"/>
        <v>0</v>
      </c>
      <c r="CH670" s="1">
        <v>1</v>
      </c>
      <c r="CI670" s="1">
        <v>1</v>
      </c>
      <c r="CJ670" s="1">
        <v>1</v>
      </c>
      <c r="CK670" s="1">
        <v>1</v>
      </c>
      <c r="CL670" s="1">
        <v>1</v>
      </c>
      <c r="CM670" s="1">
        <v>1</v>
      </c>
      <c r="CN670" s="1">
        <v>1</v>
      </c>
      <c r="CO670" s="1">
        <v>1</v>
      </c>
      <c r="CP670" s="1">
        <v>2</v>
      </c>
      <c r="CQ670" s="1">
        <v>2</v>
      </c>
      <c r="CR670" s="1">
        <v>2</v>
      </c>
      <c r="CS670" s="1">
        <v>2</v>
      </c>
      <c r="CT670" s="1">
        <v>2</v>
      </c>
      <c r="CU670" s="1">
        <v>2</v>
      </c>
      <c r="CV670" s="1">
        <f t="shared" si="596"/>
        <v>0</v>
      </c>
      <c r="CW670" s="1">
        <v>1</v>
      </c>
      <c r="CX670" s="1">
        <v>1</v>
      </c>
      <c r="CY670" s="1">
        <v>1</v>
      </c>
      <c r="CZ670" s="1">
        <f t="shared" si="597"/>
        <v>0</v>
      </c>
      <c r="DA670" s="1">
        <v>1</v>
      </c>
      <c r="DB670" s="1">
        <v>1</v>
      </c>
      <c r="DC670" s="1">
        <v>2</v>
      </c>
      <c r="DD670" s="1">
        <v>2</v>
      </c>
      <c r="DE670" s="1">
        <v>1</v>
      </c>
      <c r="DF670" s="1">
        <v>1</v>
      </c>
      <c r="DG670" s="1">
        <v>1</v>
      </c>
      <c r="DH670" s="1">
        <v>1</v>
      </c>
      <c r="DI670" s="1">
        <f t="shared" si="598"/>
        <v>0</v>
      </c>
      <c r="DJ670" s="1">
        <v>1</v>
      </c>
      <c r="DK670" s="1" t="s">
        <v>1557</v>
      </c>
      <c r="DL670" s="1" t="s">
        <v>101</v>
      </c>
      <c r="DR670" s="1" t="b">
        <f>AlignmentNonEvil</f>
        <v>1</v>
      </c>
      <c r="DS670" s="1" t="b">
        <f>SkKnowledgeNatureRanks&gt;=8</f>
        <v>0</v>
      </c>
      <c r="DT670" s="1" t="b">
        <f>SkKnowledgeReligionRanks&gt;=5</f>
        <v>0</v>
      </c>
      <c r="EA670" s="1" t="b">
        <f>AND(DM670:DZ670)</f>
        <v>0</v>
      </c>
      <c r="EB670" s="11" t="s">
        <v>338</v>
      </c>
      <c r="EC670" s="1" t="str">
        <f>IF(DR670,"","• You must be of any Nonevil alignment.
")&amp;IF(DS670,"","• 8 ranks in Knowledge (nature).
")&amp;IF(DT670,"","• 5 ranks in Knowledge (religion).
")&amp;"• Able to cast Daylight as a divine spell (not verified)."</f>
        <v>• 8 ranks in Knowledge (nature).
• 5 ranks in Knowledge (religion).
• Able to cast Daylight as a divine spell (not verified).</v>
      </c>
      <c r="ED670" s="11" t="s">
        <v>335</v>
      </c>
    </row>
    <row r="671" spans="1:134" ht="11.25" customHeight="1" x14ac:dyDescent="0.2">
      <c r="A671" s="1">
        <f t="shared" si="582"/>
        <v>668</v>
      </c>
      <c r="B671" s="1" t="s">
        <v>1562</v>
      </c>
      <c r="C671" s="1" t="s">
        <v>1563</v>
      </c>
      <c r="D671" s="1" t="s">
        <v>1563</v>
      </c>
      <c r="E671" s="1">
        <f t="shared" si="575"/>
        <v>0</v>
      </c>
      <c r="G671" s="1">
        <f>(MoSLvl&gt;=2)*(MoSLvl-1)</f>
        <v>0</v>
      </c>
      <c r="K671" s="1">
        <v>2</v>
      </c>
      <c r="L671" s="1">
        <v>8</v>
      </c>
      <c r="M671" s="1">
        <f>MoSLvl</f>
        <v>0</v>
      </c>
      <c r="V671" s="1">
        <v>0.75</v>
      </c>
      <c r="W671" s="1">
        <v>0.34</v>
      </c>
      <c r="X671" s="1">
        <v>0.34</v>
      </c>
      <c r="Y671" s="1">
        <v>0.5</v>
      </c>
      <c r="Z671" s="1" t="b">
        <f>FALSE</f>
        <v>0</v>
      </c>
      <c r="AA671" s="1" t="str">
        <f t="shared" si="578"/>
        <v/>
      </c>
      <c r="AB671" s="1" t="str">
        <f t="shared" si="579"/>
        <v/>
      </c>
      <c r="AC671" s="1">
        <f t="shared" si="576"/>
        <v>0</v>
      </c>
      <c r="AD671" s="1" t="str">
        <f t="shared" si="580"/>
        <v/>
      </c>
      <c r="AE671" s="1" t="str">
        <f t="shared" si="581"/>
        <v/>
      </c>
      <c r="AF671" s="1">
        <f t="shared" si="577"/>
        <v>0</v>
      </c>
      <c r="AG671" s="1">
        <f t="shared" si="589"/>
        <v>5</v>
      </c>
      <c r="AH671" s="1" t="str">
        <f t="shared" si="588"/>
        <v/>
      </c>
      <c r="AI671" s="1">
        <v>1</v>
      </c>
      <c r="AJ671" s="1">
        <f t="shared" si="590"/>
        <v>0</v>
      </c>
      <c r="AK671" s="1">
        <v>1</v>
      </c>
      <c r="AL671" s="1">
        <v>1</v>
      </c>
      <c r="AM671" s="1">
        <v>1</v>
      </c>
      <c r="AN671" s="1">
        <f t="shared" si="591"/>
        <v>0</v>
      </c>
      <c r="AO671" s="1">
        <v>2</v>
      </c>
      <c r="AP671" s="1">
        <v>2</v>
      </c>
      <c r="AQ671" s="1">
        <v>2</v>
      </c>
      <c r="AR671" s="1">
        <v>2</v>
      </c>
      <c r="AS671" s="1">
        <v>2</v>
      </c>
      <c r="AT671" s="1">
        <v>2</v>
      </c>
      <c r="AU671" s="1">
        <v>2</v>
      </c>
      <c r="AV671" s="1">
        <v>2</v>
      </c>
      <c r="AW671" s="1">
        <v>1</v>
      </c>
      <c r="AX671" s="1">
        <v>2</v>
      </c>
      <c r="AY671" s="1">
        <v>1</v>
      </c>
      <c r="AZ671" s="1">
        <v>1</v>
      </c>
      <c r="BA671" s="1">
        <v>1</v>
      </c>
      <c r="BB671" s="1">
        <v>1</v>
      </c>
      <c r="BC671" s="1">
        <v>1</v>
      </c>
      <c r="BD671" s="1">
        <v>1</v>
      </c>
      <c r="BE671" s="1">
        <v>1</v>
      </c>
      <c r="BF671" s="1">
        <v>2</v>
      </c>
      <c r="BG671" s="1">
        <f t="shared" si="592"/>
        <v>0</v>
      </c>
      <c r="BH671" s="1">
        <f t="shared" si="593"/>
        <v>0</v>
      </c>
      <c r="BI671" s="1">
        <v>1</v>
      </c>
      <c r="BJ671" s="1">
        <v>1</v>
      </c>
      <c r="BK671" s="1">
        <v>2</v>
      </c>
      <c r="BL671" s="1">
        <v>1</v>
      </c>
      <c r="BM671" s="1">
        <v>1</v>
      </c>
      <c r="BN671" s="1">
        <v>1</v>
      </c>
      <c r="BO671" s="1">
        <v>1</v>
      </c>
      <c r="BP671" s="1">
        <v>1</v>
      </c>
      <c r="BQ671" s="1">
        <f>IF(HRRVL,1,0)</f>
        <v>0</v>
      </c>
      <c r="BR671" s="1">
        <v>1</v>
      </c>
      <c r="BS671" s="1">
        <v>1</v>
      </c>
      <c r="BT671" s="1">
        <f>IF(HRXPH,1,0)</f>
        <v>0</v>
      </c>
      <c r="BU671" s="1">
        <f t="shared" si="594"/>
        <v>0</v>
      </c>
      <c r="BV671" s="1">
        <v>2</v>
      </c>
      <c r="BW671" s="1">
        <v>1</v>
      </c>
      <c r="BX671" s="1">
        <v>1</v>
      </c>
      <c r="BY671" s="1">
        <v>1</v>
      </c>
      <c r="BZ671" s="1">
        <v>1</v>
      </c>
      <c r="CA671" s="1">
        <v>1</v>
      </c>
      <c r="CB671" s="1">
        <v>1</v>
      </c>
      <c r="CC671" s="1">
        <v>1</v>
      </c>
      <c r="CD671" s="1">
        <v>1</v>
      </c>
      <c r="CE671" s="1">
        <v>1</v>
      </c>
      <c r="CF671" s="1">
        <v>1</v>
      </c>
      <c r="CG671" s="1">
        <f t="shared" si="595"/>
        <v>0</v>
      </c>
      <c r="CH671" s="1">
        <v>1</v>
      </c>
      <c r="CI671" s="1">
        <v>1</v>
      </c>
      <c r="CJ671" s="1">
        <v>1</v>
      </c>
      <c r="CK671" s="1">
        <v>1</v>
      </c>
      <c r="CL671" s="1">
        <v>1</v>
      </c>
      <c r="CM671" s="1">
        <v>1</v>
      </c>
      <c r="CN671" s="1">
        <v>1</v>
      </c>
      <c r="CO671" s="1">
        <v>1</v>
      </c>
      <c r="CP671" s="1">
        <v>2</v>
      </c>
      <c r="CQ671" s="1">
        <v>2</v>
      </c>
      <c r="CR671" s="1">
        <v>2</v>
      </c>
      <c r="CS671" s="1">
        <v>2</v>
      </c>
      <c r="CT671" s="1">
        <v>2</v>
      </c>
      <c r="CU671" s="1">
        <v>2</v>
      </c>
      <c r="CV671" s="1">
        <f t="shared" si="596"/>
        <v>0</v>
      </c>
      <c r="CW671" s="1">
        <v>1</v>
      </c>
      <c r="CX671" s="1">
        <v>1</v>
      </c>
      <c r="CY671" s="1">
        <v>1</v>
      </c>
      <c r="CZ671" s="1">
        <f t="shared" si="597"/>
        <v>0</v>
      </c>
      <c r="DA671" s="1">
        <v>1</v>
      </c>
      <c r="DB671" s="1">
        <v>1</v>
      </c>
      <c r="DC671" s="1">
        <v>2</v>
      </c>
      <c r="DD671" s="1">
        <v>1</v>
      </c>
      <c r="DE671" s="1">
        <v>1</v>
      </c>
      <c r="DF671" s="1">
        <v>1</v>
      </c>
      <c r="DG671" s="1">
        <v>1</v>
      </c>
      <c r="DH671" s="1">
        <v>1</v>
      </c>
      <c r="DI671" s="1">
        <f t="shared" si="598"/>
        <v>0</v>
      </c>
      <c r="DJ671" s="1">
        <v>1</v>
      </c>
      <c r="DK671" s="1" t="s">
        <v>1557</v>
      </c>
      <c r="DL671" s="1" t="s">
        <v>101</v>
      </c>
      <c r="DR671" s="1" t="b">
        <f>AlignmentNonGood</f>
        <v>0</v>
      </c>
      <c r="DS671" s="1" t="b">
        <f>BaseWill&gt;=5</f>
        <v>0</v>
      </c>
      <c r="DT671" s="1" t="b">
        <f>SkConcentrationRanks&gt;=5</f>
        <v>0</v>
      </c>
      <c r="DU671" s="1" t="b">
        <f>SkKnowledgeReligionRanks&gt;=5</f>
        <v>0</v>
      </c>
      <c r="DV671" s="1" t="b">
        <f>SkSpellcraftRanks&gt;=5</f>
        <v>0</v>
      </c>
      <c r="DW671" s="1" t="b">
        <f>FtAugmentSummoning</f>
        <v>0</v>
      </c>
      <c r="DX671" s="1" t="b">
        <f>NOT(ISNA(MATCH("Conjuration",TblSpellFocus,0)))</f>
        <v>0</v>
      </c>
      <c r="DZ671" s="1" t="b">
        <f>AND(TurnLvl&gt;=1,TurnRebuke="Rebuke")</f>
        <v>0</v>
      </c>
      <c r="EA671" s="1" t="b">
        <f>AND(DM671:DZ671)</f>
        <v>0</v>
      </c>
      <c r="EB671" s="11" t="s">
        <v>338</v>
      </c>
      <c r="EC671" s="1" t="str">
        <f>IF(DR671,"","• You must be of Any Nongood Alignment.
")&amp;IF(DS671,"","• Base Will save of +5 or greater.
")&amp;IF(DT671,"","• 5 ranks in Concentration.
")&amp;IF(DU671,"","• 5 ranks in Knowledge (religion).
")&amp;IF(DV671,"","• 5 ranks of Spellcraft.
")&amp;IF(DW671,"","• Augment Summoning feat.
")&amp;IF(DX671,"","• Spell Focus (conjuration) feat.
")&amp;"• Able to cast protection from good as divine spell (not verified).
"&amp;IF(DZ671,"","• Able to rebuke undead.")</f>
        <v>• You must be of Any Nongood Alignment.
• Base Will save of +5 or greater.
• 5 ranks in Concentration.
• 5 ranks in Knowledge (religion).
• 5 ranks of Spellcraft.
• Augment Summoning feat.
• Spell Focus (conjuration) feat.
• Able to cast protection from good as divine spell (not verified).
• Able to rebuke undead.</v>
      </c>
      <c r="ED671" s="11" t="s">
        <v>335</v>
      </c>
    </row>
    <row r="672" spans="1:134" ht="11.25" customHeight="1" x14ac:dyDescent="0.2">
      <c r="A672" s="1">
        <f t="shared" si="582"/>
        <v>669</v>
      </c>
      <c r="B672" s="1" t="s">
        <v>1564</v>
      </c>
      <c r="C672" s="1" t="s">
        <v>298</v>
      </c>
      <c r="D672" s="1" t="s">
        <v>298</v>
      </c>
      <c r="E672" s="1">
        <f t="shared" si="575"/>
        <v>0</v>
      </c>
      <c r="G672" s="1">
        <f>(PMsLvl&gt;=2)*(PMsLvl-1)</f>
        <v>0</v>
      </c>
      <c r="K672" s="1">
        <v>2</v>
      </c>
      <c r="L672" s="1">
        <v>4</v>
      </c>
      <c r="N672" s="1" t="b">
        <v>1</v>
      </c>
      <c r="O672" s="1" t="b">
        <v>1</v>
      </c>
      <c r="V672" s="1">
        <v>0.5</v>
      </c>
      <c r="W672" s="1">
        <v>0.34</v>
      </c>
      <c r="X672" s="1">
        <v>0.34</v>
      </c>
      <c r="Y672" s="1">
        <v>0.5</v>
      </c>
      <c r="Z672" s="1" t="b">
        <f>FALSE</f>
        <v>0</v>
      </c>
      <c r="AA672" s="1" t="str">
        <f t="shared" si="578"/>
        <v/>
      </c>
      <c r="AB672" s="1" t="str">
        <f t="shared" si="579"/>
        <v/>
      </c>
      <c r="AC672" s="1">
        <f t="shared" si="576"/>
        <v>0</v>
      </c>
      <c r="AD672" s="1" t="str">
        <f t="shared" si="580"/>
        <v/>
      </c>
      <c r="AE672" s="1" t="str">
        <f t="shared" si="581"/>
        <v/>
      </c>
      <c r="AF672" s="1">
        <f t="shared" si="577"/>
        <v>0</v>
      </c>
      <c r="AG672" s="1">
        <f t="shared" si="589"/>
        <v>5</v>
      </c>
      <c r="AH672" s="1" t="str">
        <f t="shared" si="588"/>
        <v/>
      </c>
      <c r="AI672" s="1">
        <v>1</v>
      </c>
      <c r="AJ672" s="1">
        <f t="shared" si="590"/>
        <v>0</v>
      </c>
      <c r="AK672" s="1">
        <v>1</v>
      </c>
      <c r="AL672" s="1">
        <v>1</v>
      </c>
      <c r="AM672" s="1">
        <v>1</v>
      </c>
      <c r="AN672" s="1">
        <f t="shared" si="591"/>
        <v>0</v>
      </c>
      <c r="AO672" s="1">
        <v>2</v>
      </c>
      <c r="AP672" s="1">
        <v>2</v>
      </c>
      <c r="AQ672" s="1">
        <v>2</v>
      </c>
      <c r="AR672" s="1">
        <v>2</v>
      </c>
      <c r="AS672" s="1">
        <v>2</v>
      </c>
      <c r="AT672" s="1">
        <v>2</v>
      </c>
      <c r="AU672" s="1">
        <v>2</v>
      </c>
      <c r="AV672" s="1">
        <v>2</v>
      </c>
      <c r="AW672" s="1">
        <v>1</v>
      </c>
      <c r="AX672" s="1">
        <v>2</v>
      </c>
      <c r="AY672" s="1">
        <v>1</v>
      </c>
      <c r="AZ672" s="1">
        <v>1</v>
      </c>
      <c r="BA672" s="1">
        <v>1</v>
      </c>
      <c r="BB672" s="1">
        <v>1</v>
      </c>
      <c r="BC672" s="1">
        <v>1</v>
      </c>
      <c r="BD672" s="1">
        <v>1</v>
      </c>
      <c r="BE672" s="1">
        <v>1</v>
      </c>
      <c r="BF672" s="1">
        <v>2</v>
      </c>
      <c r="BG672" s="1">
        <f t="shared" si="592"/>
        <v>0</v>
      </c>
      <c r="BH672" s="1">
        <f t="shared" si="593"/>
        <v>0</v>
      </c>
      <c r="BI672" s="1">
        <v>1</v>
      </c>
      <c r="BJ672" s="1">
        <v>1</v>
      </c>
      <c r="BK672" s="1">
        <v>2</v>
      </c>
      <c r="BL672" s="1">
        <v>2</v>
      </c>
      <c r="BM672" s="1">
        <v>2</v>
      </c>
      <c r="BN672" s="1">
        <v>2</v>
      </c>
      <c r="BO672" s="1">
        <v>2</v>
      </c>
      <c r="BP672" s="1">
        <f>1+NOT(HRLivingGreyhawk)</f>
        <v>2</v>
      </c>
      <c r="BQ672" s="1">
        <f>IF(HRRVL,2,0)</f>
        <v>0</v>
      </c>
      <c r="BR672" s="1">
        <v>2</v>
      </c>
      <c r="BS672" s="1">
        <v>2</v>
      </c>
      <c r="BT672" s="1">
        <f>IF(HRXPH,2,0)</f>
        <v>0</v>
      </c>
      <c r="BU672" s="1">
        <f t="shared" si="594"/>
        <v>0</v>
      </c>
      <c r="BV672" s="1">
        <v>2</v>
      </c>
      <c r="BW672" s="1">
        <v>2</v>
      </c>
      <c r="BX672" s="1">
        <v>2</v>
      </c>
      <c r="BY672" s="1">
        <v>2</v>
      </c>
      <c r="BZ672" s="1">
        <v>2</v>
      </c>
      <c r="CA672" s="1">
        <v>2</v>
      </c>
      <c r="CB672" s="1">
        <v>2</v>
      </c>
      <c r="CC672" s="1">
        <v>2</v>
      </c>
      <c r="CD672" s="1">
        <v>2</v>
      </c>
      <c r="CE672" s="1">
        <v>2</v>
      </c>
      <c r="CF672" s="1">
        <v>2</v>
      </c>
      <c r="CG672" s="1">
        <f t="shared" si="595"/>
        <v>0</v>
      </c>
      <c r="CH672" s="1">
        <v>2</v>
      </c>
      <c r="CI672" s="1">
        <v>1</v>
      </c>
      <c r="CJ672" s="1">
        <v>1</v>
      </c>
      <c r="CK672" s="1">
        <v>1</v>
      </c>
      <c r="CL672" s="1">
        <v>1</v>
      </c>
      <c r="CM672" s="1">
        <v>1</v>
      </c>
      <c r="CN672" s="1">
        <v>1</v>
      </c>
      <c r="CO672" s="1">
        <v>1</v>
      </c>
      <c r="CP672" s="1">
        <v>2</v>
      </c>
      <c r="CQ672" s="1">
        <v>2</v>
      </c>
      <c r="CR672" s="1">
        <v>2</v>
      </c>
      <c r="CS672" s="1">
        <v>2</v>
      </c>
      <c r="CT672" s="1">
        <v>2</v>
      </c>
      <c r="CU672" s="1">
        <v>2</v>
      </c>
      <c r="CV672" s="1">
        <f t="shared" si="596"/>
        <v>0</v>
      </c>
      <c r="CW672" s="1">
        <v>1</v>
      </c>
      <c r="CX672" s="1">
        <v>1</v>
      </c>
      <c r="CY672" s="1">
        <v>1</v>
      </c>
      <c r="CZ672" s="1">
        <f t="shared" si="597"/>
        <v>0</v>
      </c>
      <c r="DA672" s="1">
        <v>1</v>
      </c>
      <c r="DB672" s="1">
        <v>1</v>
      </c>
      <c r="DC672" s="1">
        <v>2</v>
      </c>
      <c r="DD672" s="1">
        <v>1</v>
      </c>
      <c r="DE672" s="1">
        <v>1</v>
      </c>
      <c r="DF672" s="1">
        <v>1</v>
      </c>
      <c r="DG672" s="1">
        <v>1</v>
      </c>
      <c r="DH672" s="1">
        <v>1</v>
      </c>
      <c r="DI672" s="1">
        <f t="shared" si="598"/>
        <v>0</v>
      </c>
      <c r="DJ672" s="1">
        <v>1</v>
      </c>
      <c r="DK672" s="1" t="s">
        <v>1557</v>
      </c>
      <c r="DL672" s="1" t="s">
        <v>101</v>
      </c>
      <c r="DR672" s="1" t="b">
        <f>AlignmentNonGood</f>
        <v>0</v>
      </c>
      <c r="DS672" s="1" t="b">
        <f>SkKnowledgeReligionRanks&gt;=8</f>
        <v>0</v>
      </c>
      <c r="DT672" s="1" t="b">
        <f>NOT(ISNA(MATCH("Knowledge (religion)",TblSkillFocus,0)))</f>
        <v>0</v>
      </c>
      <c r="EA672" s="1" t="b">
        <f t="shared" si="599"/>
        <v>0</v>
      </c>
      <c r="EB672" s="11" t="s">
        <v>338</v>
      </c>
      <c r="EC672" s="1" t="str">
        <f>IF(DR672,"","• You must be of Any Nongood Alignment.
")&amp;IF(DS672,"","• 8 ranks in Knowledge (religion).
")&amp;IF(DT672,"","• Skill Focus (Knowledge (religion)) feat.
")&amp;"• Able to cast command undead and vampiric touch as arcane
  spells (not verified).
"&amp;"• Must spend three or more days locked in a tomb with an animate
  undead (not verified)."</f>
        <v>• You must be of Any Nongood Alignment.
• 8 ranks in Knowledge (religion).
• Skill Focus (Knowledge (religion)) feat.
• Able to cast command undead and vampiric touch as arcane
  spells (not verified).
• Must spend three or more days locked in a tomb with an animate
  undead (not verified).</v>
      </c>
      <c r="ED672" s="11" t="s">
        <v>335</v>
      </c>
    </row>
    <row r="673" spans="1:134" ht="11.25" customHeight="1" x14ac:dyDescent="0.2">
      <c r="A673" s="1">
        <f t="shared" si="582"/>
        <v>670</v>
      </c>
      <c r="B673" s="1" t="s">
        <v>1565</v>
      </c>
      <c r="C673" s="1" t="s">
        <v>1566</v>
      </c>
      <c r="D673" s="1" t="s">
        <v>1566</v>
      </c>
      <c r="E673" s="1">
        <f t="shared" si="575"/>
        <v>0</v>
      </c>
      <c r="G673" s="1">
        <f>(SPfLvl&gt;=2)*(SPfLvl-1)</f>
        <v>0</v>
      </c>
      <c r="K673" s="1">
        <v>2</v>
      </c>
      <c r="L673" s="1">
        <v>8</v>
      </c>
      <c r="M673" s="1">
        <f>SPfLvl</f>
        <v>0</v>
      </c>
      <c r="V673" s="1">
        <v>0.75</v>
      </c>
      <c r="W673" s="1">
        <v>0.5</v>
      </c>
      <c r="X673" s="1">
        <v>0.34</v>
      </c>
      <c r="Y673" s="1">
        <v>0.5</v>
      </c>
      <c r="Z673" s="1" t="b">
        <f>FALSE</f>
        <v>0</v>
      </c>
      <c r="AA673" s="1" t="str">
        <f t="shared" si="578"/>
        <v/>
      </c>
      <c r="AB673" s="1" t="str">
        <f t="shared" si="579"/>
        <v/>
      </c>
      <c r="AC673" s="1">
        <f t="shared" si="576"/>
        <v>0</v>
      </c>
      <c r="AD673" s="1" t="str">
        <f t="shared" si="580"/>
        <v/>
      </c>
      <c r="AE673" s="1" t="str">
        <f t="shared" si="581"/>
        <v/>
      </c>
      <c r="AF673" s="1">
        <f t="shared" si="577"/>
        <v>0</v>
      </c>
      <c r="AG673" s="1">
        <f t="shared" si="589"/>
        <v>5</v>
      </c>
      <c r="AH673" s="1" t="str">
        <f t="shared" si="588"/>
        <v/>
      </c>
      <c r="AI673" s="1">
        <v>1</v>
      </c>
      <c r="AJ673" s="1">
        <f t="shared" si="590"/>
        <v>0</v>
      </c>
      <c r="AK673" s="1">
        <v>1</v>
      </c>
      <c r="AL673" s="1">
        <v>1</v>
      </c>
      <c r="AM673" s="1">
        <v>1</v>
      </c>
      <c r="AN673" s="1">
        <f t="shared" si="591"/>
        <v>0</v>
      </c>
      <c r="AO673" s="1">
        <v>2</v>
      </c>
      <c r="AP673" s="1">
        <v>1</v>
      </c>
      <c r="AQ673" s="1">
        <v>1</v>
      </c>
      <c r="AR673" s="1">
        <v>1</v>
      </c>
      <c r="AS673" s="1">
        <v>1</v>
      </c>
      <c r="AT673" s="1">
        <v>1</v>
      </c>
      <c r="AU673" s="1">
        <v>1</v>
      </c>
      <c r="AV673" s="1">
        <v>1</v>
      </c>
      <c r="AW673" s="1">
        <v>1</v>
      </c>
      <c r="AX673" s="1">
        <v>2</v>
      </c>
      <c r="AY673" s="1">
        <v>1</v>
      </c>
      <c r="AZ673" s="1">
        <v>1</v>
      </c>
      <c r="BA673" s="1">
        <v>1</v>
      </c>
      <c r="BB673" s="1">
        <v>1</v>
      </c>
      <c r="BC673" s="1">
        <v>1</v>
      </c>
      <c r="BD673" s="1">
        <v>1</v>
      </c>
      <c r="BE673" s="1">
        <v>2</v>
      </c>
      <c r="BF673" s="1">
        <v>1</v>
      </c>
      <c r="BG673" s="1">
        <f t="shared" si="592"/>
        <v>0</v>
      </c>
      <c r="BH673" s="1">
        <f t="shared" si="593"/>
        <v>0</v>
      </c>
      <c r="BI673" s="1">
        <v>1</v>
      </c>
      <c r="BJ673" s="1">
        <v>1</v>
      </c>
      <c r="BK673" s="1">
        <v>1</v>
      </c>
      <c r="BL673" s="1">
        <v>1</v>
      </c>
      <c r="BM673" s="1">
        <v>1</v>
      </c>
      <c r="BN673" s="1">
        <v>1</v>
      </c>
      <c r="BO673" s="1">
        <v>1</v>
      </c>
      <c r="BP673" s="1">
        <v>1</v>
      </c>
      <c r="BQ673" s="1">
        <f>IF(HRRVL,1,0)</f>
        <v>0</v>
      </c>
      <c r="BR673" s="1">
        <v>1</v>
      </c>
      <c r="BS673" s="1">
        <v>1</v>
      </c>
      <c r="BT673" s="1">
        <f>IF(HRXPH,1,0)</f>
        <v>0</v>
      </c>
      <c r="BU673" s="1">
        <f t="shared" si="594"/>
        <v>0</v>
      </c>
      <c r="BV673" s="1">
        <v>2</v>
      </c>
      <c r="BW673" s="1">
        <v>1</v>
      </c>
      <c r="BX673" s="1">
        <v>1</v>
      </c>
      <c r="BY673" s="1">
        <v>1</v>
      </c>
      <c r="BZ673" s="1">
        <v>1</v>
      </c>
      <c r="CA673" s="1">
        <v>1</v>
      </c>
      <c r="CB673" s="1">
        <v>1</v>
      </c>
      <c r="CC673" s="1">
        <v>1</v>
      </c>
      <c r="CD673" s="1">
        <v>1</v>
      </c>
      <c r="CE673" s="1">
        <v>1</v>
      </c>
      <c r="CF673" s="1">
        <v>1</v>
      </c>
      <c r="CG673" s="1">
        <f t="shared" si="595"/>
        <v>0</v>
      </c>
      <c r="CH673" s="1">
        <v>1</v>
      </c>
      <c r="CI673" s="1">
        <v>1</v>
      </c>
      <c r="CJ673" s="1">
        <v>1</v>
      </c>
      <c r="CK673" s="1">
        <v>1</v>
      </c>
      <c r="CL673" s="1">
        <v>1</v>
      </c>
      <c r="CM673" s="1">
        <v>1</v>
      </c>
      <c r="CN673" s="1">
        <v>1</v>
      </c>
      <c r="CO673" s="1">
        <v>1</v>
      </c>
      <c r="CP673" s="1">
        <v>2</v>
      </c>
      <c r="CQ673" s="1">
        <v>2</v>
      </c>
      <c r="CR673" s="1">
        <v>2</v>
      </c>
      <c r="CS673" s="1">
        <v>2</v>
      </c>
      <c r="CT673" s="1">
        <v>2</v>
      </c>
      <c r="CU673" s="1">
        <v>2</v>
      </c>
      <c r="CV673" s="1">
        <f t="shared" si="596"/>
        <v>0</v>
      </c>
      <c r="CW673" s="1">
        <v>1</v>
      </c>
      <c r="CX673" s="1">
        <v>2</v>
      </c>
      <c r="CY673" s="1">
        <v>1</v>
      </c>
      <c r="CZ673" s="1">
        <f t="shared" si="597"/>
        <v>0</v>
      </c>
      <c r="DA673" s="1">
        <v>1</v>
      </c>
      <c r="DB673" s="1">
        <v>1</v>
      </c>
      <c r="DC673" s="1">
        <v>2</v>
      </c>
      <c r="DD673" s="1">
        <v>1</v>
      </c>
      <c r="DE673" s="1">
        <v>1</v>
      </c>
      <c r="DF673" s="1">
        <v>1</v>
      </c>
      <c r="DG673" s="1">
        <v>1</v>
      </c>
      <c r="DH673" s="1">
        <v>1</v>
      </c>
      <c r="DI673" s="1">
        <f t="shared" si="598"/>
        <v>0</v>
      </c>
      <c r="DJ673" s="1">
        <v>1</v>
      </c>
      <c r="DK673" s="1" t="s">
        <v>1557</v>
      </c>
      <c r="DL673" s="1" t="s">
        <v>101</v>
      </c>
      <c r="DR673" s="1" t="b">
        <f>AlignmentGood</f>
        <v>1</v>
      </c>
      <c r="DS673" s="1" t="b">
        <f>BaseWill&gt;=5</f>
        <v>0</v>
      </c>
      <c r="DT673" s="1" t="b">
        <f>SkKnowledgeReligionRanks&gt;=8</f>
        <v>0</v>
      </c>
      <c r="DU673" s="1" t="b">
        <f>FtExtraTurning1</f>
        <v>0</v>
      </c>
      <c r="DV673" s="1" t="b">
        <f ca="1">MaxDivineSpellLevel&gt;=2</f>
        <v>0</v>
      </c>
      <c r="DW673" s="1" t="b">
        <f>AND(TurnLvl&gt;=1,TurnRebuke="True")</f>
        <v>0</v>
      </c>
      <c r="EA673" s="1" t="b">
        <f ca="1">AND(DM673:DZ673)</f>
        <v>0</v>
      </c>
      <c r="EB673" s="11" t="s">
        <v>334</v>
      </c>
      <c r="EC673" s="1" t="str">
        <f ca="1">IF(DR673,"","• You must be of Any Good Alignment.
")&amp;IF(DS673,"","• Base Will save of +5 or greater.
")&amp;IF(DT673,"","• 8 ranks in Knowledge (religion).
")&amp;IF(DU673,"","• Extra Turning feat.
")&amp;IF(DV673,"","• Able to cast 2nd-level divine spells.
")&amp;IF(DW673,"","• Able to turn undead.")</f>
        <v>• Base Will save of +5 or greater.
• 8 ranks in Knowledge (religion).
• Extra Turning feat.
• Able to cast 2nd-level divine spells.
• Able to turn undead.</v>
      </c>
      <c r="ED673" s="11" t="s">
        <v>335</v>
      </c>
    </row>
    <row r="674" spans="1:134" ht="11.25" customHeight="1" x14ac:dyDescent="0.2">
      <c r="A674" s="1">
        <f t="shared" si="582"/>
        <v>671</v>
      </c>
      <c r="B674" s="1" t="s">
        <v>1567</v>
      </c>
      <c r="C674" s="1" t="s">
        <v>1568</v>
      </c>
      <c r="D674" s="1" t="s">
        <v>1568</v>
      </c>
      <c r="E674" s="1">
        <f t="shared" si="575"/>
        <v>0</v>
      </c>
      <c r="G674" s="1">
        <f>IF(TNcLvl&gt;=7,TNcLvl-2,IF(TNcLvl&gt;=2,TNcLvl-1,TNcLvl))</f>
        <v>0</v>
      </c>
      <c r="H674" s="1">
        <f>IF(TNcLvl&gt;=6,TNcLvl-2,IF(TNcLvl&gt;=1,TNcLvl-1,0))</f>
        <v>0</v>
      </c>
      <c r="K674" s="1">
        <v>2</v>
      </c>
      <c r="L674" s="1">
        <v>6</v>
      </c>
      <c r="M674" s="1">
        <f>TNcLvl</f>
        <v>0</v>
      </c>
      <c r="V674" s="1">
        <v>0.5</v>
      </c>
      <c r="W674" s="1">
        <v>0.34</v>
      </c>
      <c r="X674" s="1">
        <v>0.34</v>
      </c>
      <c r="Y674" s="1">
        <v>0.5</v>
      </c>
      <c r="Z674" s="1" t="b">
        <f>FALSE</f>
        <v>0</v>
      </c>
      <c r="AA674" s="1" t="str">
        <f t="shared" si="578"/>
        <v/>
      </c>
      <c r="AB674" s="1" t="str">
        <f t="shared" si="579"/>
        <v/>
      </c>
      <c r="AC674" s="1">
        <f t="shared" si="576"/>
        <v>0</v>
      </c>
      <c r="AD674" s="1" t="str">
        <f t="shared" si="580"/>
        <v/>
      </c>
      <c r="AE674" s="1" t="str">
        <f t="shared" si="581"/>
        <v/>
      </c>
      <c r="AF674" s="1">
        <f t="shared" si="577"/>
        <v>0</v>
      </c>
      <c r="AG674" s="1">
        <f t="shared" si="589"/>
        <v>5</v>
      </c>
      <c r="AH674" s="1" t="str">
        <f t="shared" si="588"/>
        <v/>
      </c>
      <c r="AI674" s="1">
        <v>1</v>
      </c>
      <c r="AJ674" s="1">
        <f t="shared" si="590"/>
        <v>0</v>
      </c>
      <c r="AK674" s="1">
        <v>1</v>
      </c>
      <c r="AL674" s="1">
        <v>1</v>
      </c>
      <c r="AM674" s="1">
        <v>1</v>
      </c>
      <c r="AN674" s="1">
        <f t="shared" si="591"/>
        <v>0</v>
      </c>
      <c r="AO674" s="1">
        <v>2</v>
      </c>
      <c r="AP674" s="1">
        <v>2</v>
      </c>
      <c r="AQ674" s="1">
        <v>2</v>
      </c>
      <c r="AR674" s="1">
        <v>2</v>
      </c>
      <c r="AS674" s="1">
        <v>2</v>
      </c>
      <c r="AT674" s="1">
        <v>2</v>
      </c>
      <c r="AU674" s="1">
        <v>2</v>
      </c>
      <c r="AV674" s="1">
        <v>2</v>
      </c>
      <c r="AW674" s="1">
        <v>1</v>
      </c>
      <c r="AX674" s="1">
        <v>1</v>
      </c>
      <c r="AY674" s="1">
        <v>1</v>
      </c>
      <c r="AZ674" s="1">
        <v>1</v>
      </c>
      <c r="BA674" s="1">
        <v>1</v>
      </c>
      <c r="BB674" s="1">
        <v>1</v>
      </c>
      <c r="BC674" s="1">
        <v>1</v>
      </c>
      <c r="BD674" s="1">
        <v>1</v>
      </c>
      <c r="BE674" s="1">
        <v>2</v>
      </c>
      <c r="BF674" s="1">
        <v>1</v>
      </c>
      <c r="BG674" s="1">
        <f t="shared" si="592"/>
        <v>0</v>
      </c>
      <c r="BH674" s="1">
        <f t="shared" si="593"/>
        <v>0</v>
      </c>
      <c r="BI674" s="1">
        <v>1</v>
      </c>
      <c r="BJ674" s="1">
        <v>1</v>
      </c>
      <c r="BK674" s="1">
        <v>2</v>
      </c>
      <c r="BL674" s="1">
        <v>1</v>
      </c>
      <c r="BM674" s="1">
        <v>1</v>
      </c>
      <c r="BN674" s="1">
        <v>1</v>
      </c>
      <c r="BO674" s="1">
        <v>1</v>
      </c>
      <c r="BP674" s="1">
        <v>1</v>
      </c>
      <c r="BQ674" s="1">
        <f>IF(HRRVL,1,0)</f>
        <v>0</v>
      </c>
      <c r="BR674" s="1">
        <v>1</v>
      </c>
      <c r="BS674" s="1">
        <v>1</v>
      </c>
      <c r="BT674" s="1">
        <f>IF(HRXPH,1,0)</f>
        <v>0</v>
      </c>
      <c r="BU674" s="1">
        <f t="shared" si="594"/>
        <v>0</v>
      </c>
      <c r="BV674" s="1">
        <v>2</v>
      </c>
      <c r="BW674" s="1">
        <v>1</v>
      </c>
      <c r="BX674" s="1">
        <v>1</v>
      </c>
      <c r="BY674" s="1">
        <v>1</v>
      </c>
      <c r="BZ674" s="1">
        <v>1</v>
      </c>
      <c r="CA674" s="1">
        <v>1</v>
      </c>
      <c r="CB674" s="1">
        <v>1</v>
      </c>
      <c r="CC674" s="1">
        <v>1</v>
      </c>
      <c r="CD674" s="1">
        <v>1</v>
      </c>
      <c r="CE674" s="1">
        <v>1</v>
      </c>
      <c r="CF674" s="1">
        <v>1</v>
      </c>
      <c r="CG674" s="1">
        <f t="shared" si="595"/>
        <v>0</v>
      </c>
      <c r="CH674" s="1">
        <v>1</v>
      </c>
      <c r="CI674" s="1">
        <v>1</v>
      </c>
      <c r="CJ674" s="1">
        <v>1</v>
      </c>
      <c r="CK674" s="1">
        <v>1</v>
      </c>
      <c r="CL674" s="1">
        <v>1</v>
      </c>
      <c r="CM674" s="1">
        <v>1</v>
      </c>
      <c r="CN674" s="1">
        <v>1</v>
      </c>
      <c r="CO674" s="1">
        <v>1</v>
      </c>
      <c r="CP674" s="1">
        <v>2</v>
      </c>
      <c r="CQ674" s="1">
        <v>2</v>
      </c>
      <c r="CR674" s="1">
        <v>2</v>
      </c>
      <c r="CS674" s="1">
        <v>2</v>
      </c>
      <c r="CT674" s="1">
        <v>2</v>
      </c>
      <c r="CU674" s="1">
        <v>2</v>
      </c>
      <c r="CV674" s="1">
        <f t="shared" si="596"/>
        <v>0</v>
      </c>
      <c r="CW674" s="1">
        <v>1</v>
      </c>
      <c r="CX674" s="1">
        <v>2</v>
      </c>
      <c r="CY674" s="1">
        <v>1</v>
      </c>
      <c r="CZ674" s="1">
        <f t="shared" si="597"/>
        <v>0</v>
      </c>
      <c r="DA674" s="1">
        <v>1</v>
      </c>
      <c r="DB674" s="1">
        <v>1</v>
      </c>
      <c r="DC674" s="1">
        <v>2</v>
      </c>
      <c r="DD674" s="1">
        <v>1</v>
      </c>
      <c r="DE674" s="1">
        <v>1</v>
      </c>
      <c r="DF674" s="1">
        <v>1</v>
      </c>
      <c r="DG674" s="1">
        <v>1</v>
      </c>
      <c r="DH674" s="1">
        <v>1</v>
      </c>
      <c r="DJ674" s="1">
        <v>1</v>
      </c>
      <c r="DK674" s="1" t="s">
        <v>1557</v>
      </c>
      <c r="DL674" s="1" t="s">
        <v>101</v>
      </c>
      <c r="DR674" s="1" t="b">
        <f>AlignmentNonGood</f>
        <v>0</v>
      </c>
      <c r="DS674" s="1" t="b">
        <f>SkKnowledgeArcanaRanks&gt;=8</f>
        <v>0</v>
      </c>
      <c r="DT674" s="1" t="b">
        <f>SkKnowledgeReligionRanks&gt;=8</f>
        <v>0</v>
      </c>
      <c r="DU674" s="1" t="b">
        <f>NOT(ISNA(MATCH("Necromancy",TblSpellFocus,0)))</f>
        <v>0</v>
      </c>
      <c r="DW674" s="1" t="b">
        <f>AND(TurnLvl&gt;=1,TurnRebuke="Rebuke")</f>
        <v>0</v>
      </c>
      <c r="DX674" s="1" t="b">
        <f>NOT(ISNA(MATCH("Death",Domains,0)))</f>
        <v>0</v>
      </c>
      <c r="EA674" s="1" t="b">
        <f t="shared" si="599"/>
        <v>0</v>
      </c>
      <c r="EB674" s="11" t="s">
        <v>338</v>
      </c>
      <c r="EC674" s="1" t="str">
        <f>IF(DR674,"","• You must be of Any Nongood Alignment.
")&amp;IF(DS674,"","• 8 ranks in Knowledge (arcana).
")&amp;IF(DT674,"","• 8 ranks in Knowledge (religion).
")&amp;IF(DU674,"","• Spell Focus (necromancy) feat.
")&amp;IF(DV674,"","• Able to cast summon undead II as a divine spell and command
  undead as an arcane spell (not verified).
")&amp;IF(DW674,"","• Ability to rebuke undead.
")&amp;IF(DX674,"","• Access to the Death domain.")</f>
        <v>• You must be of Any Nongood Alignment.
• 8 ranks in Knowledge (arcana).
• 8 ranks in Knowledge (religion).
• Spell Focus (necromancy) feat.
• Able to cast summon undead II as a divine spell and command
  undead as an arcane spell (not verified).
• Ability to rebuke undead.
• Access to the Death domain.</v>
      </c>
      <c r="ED674" s="11" t="s">
        <v>335</v>
      </c>
    </row>
    <row r="675" spans="1:134" ht="11.25" customHeight="1" x14ac:dyDescent="0.2">
      <c r="A675" s="1">
        <f t="shared" si="582"/>
        <v>672</v>
      </c>
      <c r="B675" s="1" t="s">
        <v>1569</v>
      </c>
      <c r="E675" s="1">
        <f t="shared" si="575"/>
        <v>0</v>
      </c>
      <c r="F675" s="1">
        <v>1</v>
      </c>
      <c r="Z675" s="1" t="b">
        <f>FALSE</f>
        <v>0</v>
      </c>
      <c r="AA675" s="1" t="str">
        <f t="shared" si="578"/>
        <v/>
      </c>
      <c r="AB675" s="1" t="str">
        <f t="shared" si="579"/>
        <v/>
      </c>
      <c r="AC675" s="1">
        <f t="shared" si="576"/>
        <v>0</v>
      </c>
      <c r="AD675" s="1" t="str">
        <f t="shared" si="580"/>
        <v/>
      </c>
      <c r="AE675" s="1" t="str">
        <f t="shared" si="581"/>
        <v/>
      </c>
      <c r="AF675" s="1">
        <f t="shared" si="577"/>
        <v>0</v>
      </c>
      <c r="AG675" s="1">
        <f t="shared" si="589"/>
        <v>5</v>
      </c>
      <c r="AH675" s="1" t="str">
        <f t="shared" si="588"/>
        <v/>
      </c>
      <c r="DI675" s="1">
        <f>IF(HRXPH,1,0)</f>
        <v>0</v>
      </c>
      <c r="EB675" s="11"/>
      <c r="ED675" s="11" t="s">
        <v>335</v>
      </c>
    </row>
    <row r="676" spans="1:134" ht="11.25" customHeight="1" x14ac:dyDescent="0.2">
      <c r="A676" s="1">
        <f t="shared" si="582"/>
        <v>673</v>
      </c>
      <c r="B676" s="1" t="s">
        <v>1570</v>
      </c>
      <c r="C676" s="1" t="s">
        <v>1571</v>
      </c>
      <c r="D676" s="1" t="s">
        <v>1571</v>
      </c>
      <c r="E676" s="1">
        <f t="shared" si="575"/>
        <v>0</v>
      </c>
      <c r="K676" s="1">
        <v>4</v>
      </c>
      <c r="L676" s="1">
        <v>12</v>
      </c>
      <c r="V676" s="1">
        <v>0.5</v>
      </c>
      <c r="W676" s="1">
        <v>0.34</v>
      </c>
      <c r="X676" s="1">
        <v>0.34</v>
      </c>
      <c r="Y676" s="1">
        <v>0.5</v>
      </c>
      <c r="Z676" s="1" t="b">
        <f>FALSE</f>
        <v>0</v>
      </c>
      <c r="AA676" s="1" t="str">
        <f t="shared" si="578"/>
        <v/>
      </c>
      <c r="AB676" s="1" t="str">
        <f t="shared" si="579"/>
        <v/>
      </c>
      <c r="AC676" s="1">
        <f t="shared" si="576"/>
        <v>0</v>
      </c>
      <c r="AD676" s="1" t="str">
        <f t="shared" si="580"/>
        <v/>
      </c>
      <c r="AE676" s="1" t="str">
        <f t="shared" si="581"/>
        <v/>
      </c>
      <c r="AF676" s="1">
        <f t="shared" si="577"/>
        <v>0</v>
      </c>
      <c r="AG676" s="1">
        <f t="shared" si="589"/>
        <v>5</v>
      </c>
      <c r="AH676" s="1" t="str">
        <f t="shared" si="588"/>
        <v/>
      </c>
      <c r="AI676" s="1">
        <v>1</v>
      </c>
      <c r="AJ676" s="1">
        <f>IF(HRXPH,1,0)</f>
        <v>0</v>
      </c>
      <c r="AK676" s="1">
        <v>1</v>
      </c>
      <c r="AL676" s="1">
        <v>1</v>
      </c>
      <c r="AM676" s="1">
        <v>1</v>
      </c>
      <c r="AN676" s="1">
        <f>IF(IsLycanthrope,2,0)</f>
        <v>0</v>
      </c>
      <c r="AO676" s="1">
        <v>1</v>
      </c>
      <c r="AP676" s="1">
        <v>1</v>
      </c>
      <c r="AQ676" s="1">
        <v>1</v>
      </c>
      <c r="AR676" s="1">
        <v>1</v>
      </c>
      <c r="AS676" s="1">
        <v>1</v>
      </c>
      <c r="AT676" s="1">
        <v>1</v>
      </c>
      <c r="AU676" s="1">
        <v>1</v>
      </c>
      <c r="AV676" s="1">
        <v>1</v>
      </c>
      <c r="AW676" s="1">
        <v>1</v>
      </c>
      <c r="AX676" s="1">
        <v>1</v>
      </c>
      <c r="AY676" s="1">
        <v>1</v>
      </c>
      <c r="AZ676" s="1">
        <v>1</v>
      </c>
      <c r="BA676" s="1">
        <v>1</v>
      </c>
      <c r="BB676" s="1">
        <v>1</v>
      </c>
      <c r="BC676" s="1">
        <v>1</v>
      </c>
      <c r="BD676" s="1">
        <v>1</v>
      </c>
      <c r="BE676" s="1">
        <v>1</v>
      </c>
      <c r="BF676" s="1">
        <v>2</v>
      </c>
      <c r="BG676" s="1">
        <f>IF(HRRVL,1,0)</f>
        <v>0</v>
      </c>
      <c r="BH676" s="1">
        <f>IF(HROA,1,0)</f>
        <v>0</v>
      </c>
      <c r="BI676" s="1">
        <v>1</v>
      </c>
      <c r="BJ676" s="1">
        <v>1</v>
      </c>
      <c r="BK676" s="1">
        <v>1</v>
      </c>
      <c r="BL676" s="1">
        <v>1</v>
      </c>
      <c r="BM676" s="1">
        <v>1</v>
      </c>
      <c r="BN676" s="1">
        <v>1</v>
      </c>
      <c r="BO676" s="1">
        <v>1</v>
      </c>
      <c r="BP676" s="1">
        <v>1</v>
      </c>
      <c r="BQ676" s="1">
        <f>IF(HRRVL,1,0)</f>
        <v>0</v>
      </c>
      <c r="BR676" s="1">
        <v>1</v>
      </c>
      <c r="BS676" s="1">
        <v>1</v>
      </c>
      <c r="BT676" s="1">
        <f>IF(HRXPH,1,0)</f>
        <v>0</v>
      </c>
      <c r="BU676" s="1">
        <f>IF(HRRVL,1,0)</f>
        <v>0</v>
      </c>
      <c r="BV676" s="1">
        <v>1</v>
      </c>
      <c r="BW676" s="1">
        <v>1</v>
      </c>
      <c r="BX676" s="1">
        <v>1</v>
      </c>
      <c r="BY676" s="1">
        <v>1</v>
      </c>
      <c r="BZ676" s="1">
        <v>1</v>
      </c>
      <c r="CA676" s="1">
        <v>1</v>
      </c>
      <c r="CB676" s="1">
        <v>1</v>
      </c>
      <c r="CC676" s="1">
        <v>1</v>
      </c>
      <c r="CD676" s="1">
        <v>1</v>
      </c>
      <c r="CE676" s="1">
        <v>1</v>
      </c>
      <c r="CF676" s="1">
        <v>2</v>
      </c>
      <c r="CG676" s="1">
        <f>IF(HRToB,1,0)</f>
        <v>0</v>
      </c>
      <c r="CH676" s="1">
        <v>1</v>
      </c>
      <c r="CI676" s="1">
        <v>1</v>
      </c>
      <c r="CJ676" s="1">
        <v>1</v>
      </c>
      <c r="CK676" s="1">
        <v>1</v>
      </c>
      <c r="CL676" s="1">
        <v>1</v>
      </c>
      <c r="CM676" s="1">
        <v>1</v>
      </c>
      <c r="CN676" s="1">
        <v>1</v>
      </c>
      <c r="CO676" s="1">
        <v>1</v>
      </c>
      <c r="CP676" s="1">
        <v>1</v>
      </c>
      <c r="CQ676" s="1">
        <v>1</v>
      </c>
      <c r="CR676" s="1">
        <v>1</v>
      </c>
      <c r="CS676" s="1">
        <v>1</v>
      </c>
      <c r="CT676" s="1">
        <v>1</v>
      </c>
      <c r="CU676" s="1">
        <v>1</v>
      </c>
      <c r="CV676" s="1">
        <f>IF(HRXPH,1,0)</f>
        <v>0</v>
      </c>
      <c r="CW676" s="1">
        <v>1</v>
      </c>
      <c r="CX676" s="1">
        <v>2</v>
      </c>
      <c r="CY676" s="1">
        <v>1</v>
      </c>
      <c r="CZ676" s="1">
        <f>IF(HRCS,1,0)</f>
        <v>0</v>
      </c>
      <c r="DA676" s="1">
        <v>1</v>
      </c>
      <c r="DB676" s="1">
        <v>1</v>
      </c>
      <c r="DC676" s="1">
        <v>1</v>
      </c>
      <c r="DD676" s="1">
        <v>2</v>
      </c>
      <c r="DE676" s="1">
        <v>1</v>
      </c>
      <c r="DF676" s="1">
        <v>1</v>
      </c>
      <c r="DG676" s="1">
        <v>1</v>
      </c>
      <c r="DH676" s="1">
        <v>1</v>
      </c>
      <c r="DI676" s="1">
        <f>IF(HRXPH,1,0)</f>
        <v>0</v>
      </c>
      <c r="DJ676" s="1">
        <v>1</v>
      </c>
      <c r="DK676" s="1" t="s">
        <v>1557</v>
      </c>
      <c r="DL676" s="1" t="s">
        <v>101</v>
      </c>
      <c r="DR676" s="1" t="b">
        <f>MonType="Undead"</f>
        <v>0</v>
      </c>
      <c r="DS676" s="1" t="b">
        <f>IncorporealSubtype</f>
        <v>0</v>
      </c>
      <c r="DT676" s="1" t="b">
        <f>BaseAtk&gt;=3</f>
        <v>0</v>
      </c>
      <c r="DU676" s="1" t="b">
        <f>BaseWill&gt;=5</f>
        <v>0</v>
      </c>
      <c r="EA676" s="1" t="b">
        <f>AND(DM676:DZ676)</f>
        <v>0</v>
      </c>
      <c r="EB676" s="11" t="s">
        <v>334</v>
      </c>
      <c r="EC676" s="1" t="str">
        <f>IF(DR676,"","• You must be Undead.
")&amp;IF(DS676,"","• You must be Incorporeal.
")&amp;IF(DT676,"","• Base attack bonus +3 or greater.
")&amp;IF(DU676,"","• Base Will save bonus +5 or greater.")</f>
        <v>• You must be Undead.
• You must be Incorporeal.
• Base attack bonus +3 or greater.
• Base Will save bonus +5 or greater.</v>
      </c>
      <c r="ED676" s="11" t="s">
        <v>335</v>
      </c>
    </row>
    <row r="677" spans="1:134" ht="11.25" customHeight="1" x14ac:dyDescent="0.2">
      <c r="A677" s="1">
        <f t="shared" si="582"/>
        <v>674</v>
      </c>
      <c r="B677" s="1" t="s">
        <v>1572</v>
      </c>
      <c r="C677" s="1" t="s">
        <v>1573</v>
      </c>
      <c r="D677" s="1" t="s">
        <v>1573</v>
      </c>
      <c r="E677" s="1">
        <f t="shared" si="575"/>
        <v>0</v>
      </c>
      <c r="K677" s="1">
        <v>4</v>
      </c>
      <c r="L677" s="1">
        <v>12</v>
      </c>
      <c r="V677" s="1">
        <v>0.75</v>
      </c>
      <c r="W677" s="1">
        <v>0.34</v>
      </c>
      <c r="X677" s="1">
        <v>0.34</v>
      </c>
      <c r="Y677" s="1">
        <v>0.5</v>
      </c>
      <c r="Z677" s="1" t="b">
        <f>FALSE</f>
        <v>0</v>
      </c>
      <c r="AA677" s="1" t="str">
        <f t="shared" si="578"/>
        <v/>
      </c>
      <c r="AB677" s="1" t="str">
        <f t="shared" si="579"/>
        <v/>
      </c>
      <c r="AC677" s="1">
        <f t="shared" si="576"/>
        <v>0</v>
      </c>
      <c r="AD677" s="1" t="str">
        <f t="shared" si="580"/>
        <v/>
      </c>
      <c r="AE677" s="1" t="str">
        <f t="shared" si="581"/>
        <v/>
      </c>
      <c r="AF677" s="1">
        <f t="shared" si="577"/>
        <v>0</v>
      </c>
      <c r="AG677" s="1">
        <f t="shared" si="589"/>
        <v>5</v>
      </c>
      <c r="AH677" s="1" t="str">
        <f t="shared" si="588"/>
        <v/>
      </c>
      <c r="AI677" s="1">
        <v>1</v>
      </c>
      <c r="AJ677" s="1">
        <f>IF(HRXPH,1,0)</f>
        <v>0</v>
      </c>
      <c r="AK677" s="1">
        <v>1</v>
      </c>
      <c r="AL677" s="1">
        <v>1</v>
      </c>
      <c r="AM677" s="1">
        <v>2</v>
      </c>
      <c r="AN677" s="1">
        <f>IF(IsLycanthrope,2,0)</f>
        <v>0</v>
      </c>
      <c r="AO677" s="1">
        <v>1</v>
      </c>
      <c r="AP677" s="1">
        <v>1</v>
      </c>
      <c r="AQ677" s="1">
        <v>1</v>
      </c>
      <c r="AR677" s="1">
        <v>1</v>
      </c>
      <c r="AS677" s="1">
        <v>1</v>
      </c>
      <c r="AT677" s="1">
        <v>1</v>
      </c>
      <c r="AU677" s="1">
        <v>1</v>
      </c>
      <c r="AV677" s="1">
        <v>1</v>
      </c>
      <c r="AW677" s="1">
        <v>1</v>
      </c>
      <c r="AX677" s="1">
        <v>1</v>
      </c>
      <c r="AY677" s="1">
        <v>1</v>
      </c>
      <c r="AZ677" s="1">
        <v>1</v>
      </c>
      <c r="BA677" s="1">
        <v>2</v>
      </c>
      <c r="BB677" s="1">
        <v>1</v>
      </c>
      <c r="BC677" s="1">
        <v>1</v>
      </c>
      <c r="BD677" s="1">
        <v>1</v>
      </c>
      <c r="BE677" s="1">
        <v>1</v>
      </c>
      <c r="BF677" s="1">
        <v>2</v>
      </c>
      <c r="BG677" s="1">
        <f>IF(HRRVL,1,0)</f>
        <v>0</v>
      </c>
      <c r="BH677" s="1">
        <f>IF(HROA,1,0)</f>
        <v>0</v>
      </c>
      <c r="BI677" s="1">
        <v>1</v>
      </c>
      <c r="BJ677" s="1">
        <v>2</v>
      </c>
      <c r="BK677" s="1">
        <v>1</v>
      </c>
      <c r="BL677" s="1">
        <v>1</v>
      </c>
      <c r="BM677" s="1">
        <v>1</v>
      </c>
      <c r="BN677" s="1">
        <v>1</v>
      </c>
      <c r="BO677" s="1">
        <v>1</v>
      </c>
      <c r="BP677" s="1">
        <v>1</v>
      </c>
      <c r="BQ677" s="1">
        <f>IF(HRRVL,1,0)</f>
        <v>0</v>
      </c>
      <c r="BR677" s="1">
        <v>1</v>
      </c>
      <c r="BS677" s="1">
        <v>1</v>
      </c>
      <c r="BT677" s="1">
        <f>IF(HRXPH,1,0)</f>
        <v>0</v>
      </c>
      <c r="BU677" s="1">
        <f>IF(HRRVL,1,0)</f>
        <v>0</v>
      </c>
      <c r="BV677" s="1">
        <v>1</v>
      </c>
      <c r="BW677" s="1">
        <v>1</v>
      </c>
      <c r="BX677" s="1">
        <v>1</v>
      </c>
      <c r="BY677" s="1">
        <v>1</v>
      </c>
      <c r="BZ677" s="1">
        <v>1</v>
      </c>
      <c r="CA677" s="1">
        <v>1</v>
      </c>
      <c r="CB677" s="1">
        <v>1</v>
      </c>
      <c r="CC677" s="1">
        <v>1</v>
      </c>
      <c r="CD677" s="1">
        <v>1</v>
      </c>
      <c r="CE677" s="1">
        <v>1</v>
      </c>
      <c r="CF677" s="1">
        <v>2</v>
      </c>
      <c r="CG677" s="1">
        <f>IF(HRToB,1,0)</f>
        <v>0</v>
      </c>
      <c r="CH677" s="1">
        <v>2</v>
      </c>
      <c r="CI677" s="1">
        <v>1</v>
      </c>
      <c r="CJ677" s="1">
        <v>1</v>
      </c>
      <c r="CK677" s="1">
        <v>1</v>
      </c>
      <c r="CL677" s="1">
        <v>1</v>
      </c>
      <c r="CM677" s="1">
        <v>1</v>
      </c>
      <c r="CN677" s="1">
        <v>1</v>
      </c>
      <c r="CO677" s="1">
        <v>1</v>
      </c>
      <c r="CP677" s="1">
        <v>1</v>
      </c>
      <c r="CQ677" s="1">
        <v>1</v>
      </c>
      <c r="CR677" s="1">
        <v>1</v>
      </c>
      <c r="CS677" s="1">
        <v>1</v>
      </c>
      <c r="CT677" s="1">
        <v>1</v>
      </c>
      <c r="CU677" s="1">
        <v>1</v>
      </c>
      <c r="CV677" s="1">
        <f>IF(HRXPH,1,0)</f>
        <v>0</v>
      </c>
      <c r="CW677" s="1">
        <v>1</v>
      </c>
      <c r="CX677" s="1">
        <v>2</v>
      </c>
      <c r="CY677" s="1">
        <v>1</v>
      </c>
      <c r="CZ677" s="1">
        <f>IF(HRCS,1,0)</f>
        <v>0</v>
      </c>
      <c r="DA677" s="1">
        <v>1</v>
      </c>
      <c r="DB677" s="1">
        <v>1</v>
      </c>
      <c r="DC677" s="1">
        <v>1</v>
      </c>
      <c r="DD677" s="1">
        <v>2</v>
      </c>
      <c r="DE677" s="1">
        <v>1</v>
      </c>
      <c r="DF677" s="1">
        <v>1</v>
      </c>
      <c r="DG677" s="1">
        <v>1</v>
      </c>
      <c r="DH677" s="1">
        <v>1</v>
      </c>
      <c r="DI677" s="1">
        <f>IF(HRXPH,1,0)</f>
        <v>0</v>
      </c>
      <c r="DJ677" s="1">
        <v>1</v>
      </c>
      <c r="DK677" s="1" t="s">
        <v>1557</v>
      </c>
      <c r="DL677" s="1" t="s">
        <v>101</v>
      </c>
      <c r="DR677" s="1" t="b">
        <f>MonType="Undead"</f>
        <v>0</v>
      </c>
      <c r="DS677" s="1" t="b">
        <f>SkHideRanks&gt;=8</f>
        <v>0</v>
      </c>
      <c r="DT677" s="1" t="b">
        <f>OR(SkMoveSilentlyRanks&gt;=8,IncorporealSubtype)</f>
        <v>0</v>
      </c>
      <c r="EA677" s="1" t="b">
        <f>AND(DM677:DZ677)</f>
        <v>0</v>
      </c>
      <c r="EB677" s="11" t="s">
        <v>334</v>
      </c>
      <c r="EC677" s="1" t="str">
        <f>IF(DR677,"","• You must be Undead.
")&amp;IF(DS677,"","• 8 ranks in Hide.
")&amp;IF(DT677,"","• 8 ranks in Move Silently or be Incorporeal.")</f>
        <v>• You must be Undead.
• 8 ranks in Hide.
• 8 ranks in Move Silently or be Incorporeal.</v>
      </c>
      <c r="ED677" s="11" t="s">
        <v>335</v>
      </c>
    </row>
    <row r="678" spans="1:134" ht="11.25" customHeight="1" x14ac:dyDescent="0.2">
      <c r="A678" s="1">
        <f t="shared" si="582"/>
        <v>675</v>
      </c>
      <c r="B678" s="1" t="s">
        <v>1574</v>
      </c>
      <c r="C678" s="1" t="s">
        <v>1575</v>
      </c>
      <c r="D678" s="1" t="s">
        <v>1575</v>
      </c>
      <c r="E678" s="1">
        <f t="shared" si="575"/>
        <v>0</v>
      </c>
      <c r="G678" s="1">
        <f>INT((MVpLvl+1)/2)</f>
        <v>0</v>
      </c>
      <c r="K678" s="1">
        <v>4</v>
      </c>
      <c r="L678" s="1">
        <v>12</v>
      </c>
      <c r="V678" s="1">
        <v>0.5</v>
      </c>
      <c r="W678" s="1">
        <v>0.5</v>
      </c>
      <c r="X678" s="1">
        <v>0.34</v>
      </c>
      <c r="Y678" s="1">
        <v>0.5</v>
      </c>
      <c r="Z678" s="1" t="b">
        <f>FALSE</f>
        <v>0</v>
      </c>
      <c r="AA678" s="1" t="str">
        <f t="shared" si="578"/>
        <v/>
      </c>
      <c r="AB678" s="1" t="str">
        <f t="shared" si="579"/>
        <v/>
      </c>
      <c r="AC678" s="1">
        <f t="shared" si="576"/>
        <v>0</v>
      </c>
      <c r="AD678" s="1" t="str">
        <f t="shared" si="580"/>
        <v/>
      </c>
      <c r="AE678" s="1" t="str">
        <f t="shared" si="581"/>
        <v/>
      </c>
      <c r="AF678" s="1">
        <f t="shared" si="577"/>
        <v>0</v>
      </c>
      <c r="AG678" s="1">
        <f t="shared" si="589"/>
        <v>5</v>
      </c>
      <c r="AH678" s="1" t="str">
        <f t="shared" si="588"/>
        <v/>
      </c>
      <c r="AI678" s="1">
        <v>1</v>
      </c>
      <c r="AJ678" s="1">
        <f>IF(HRXPH,1,0)</f>
        <v>0</v>
      </c>
      <c r="AK678" s="1">
        <v>1</v>
      </c>
      <c r="AL678" s="1">
        <v>2</v>
      </c>
      <c r="AM678" s="1">
        <v>2</v>
      </c>
      <c r="AN678" s="1">
        <f>IF(IsLycanthrope,2,0)</f>
        <v>0</v>
      </c>
      <c r="AO678" s="1">
        <v>2</v>
      </c>
      <c r="AP678" s="1">
        <v>1</v>
      </c>
      <c r="AQ678" s="1">
        <v>1</v>
      </c>
      <c r="AR678" s="1">
        <v>1</v>
      </c>
      <c r="AS678" s="1">
        <v>1</v>
      </c>
      <c r="AT678" s="1">
        <v>1</v>
      </c>
      <c r="AU678" s="1">
        <v>1</v>
      </c>
      <c r="AV678" s="1">
        <v>1</v>
      </c>
      <c r="AW678" s="1">
        <v>1</v>
      </c>
      <c r="AX678" s="1">
        <v>2</v>
      </c>
      <c r="AY678" s="1">
        <v>1</v>
      </c>
      <c r="AZ678" s="1">
        <v>1</v>
      </c>
      <c r="BA678" s="1">
        <v>1</v>
      </c>
      <c r="BB678" s="1">
        <v>1</v>
      </c>
      <c r="BC678" s="1">
        <v>1</v>
      </c>
      <c r="BD678" s="1">
        <v>1</v>
      </c>
      <c r="BE678" s="1">
        <v>1</v>
      </c>
      <c r="BF678" s="1">
        <v>2</v>
      </c>
      <c r="BG678" s="1">
        <f>IF(HRRVL,1,0)</f>
        <v>0</v>
      </c>
      <c r="BH678" s="1">
        <f>IF(HROA,1,0)</f>
        <v>0</v>
      </c>
      <c r="BI678" s="1">
        <v>2</v>
      </c>
      <c r="BJ678" s="1">
        <v>1</v>
      </c>
      <c r="BK678" s="1">
        <v>1</v>
      </c>
      <c r="BL678" s="1">
        <v>1</v>
      </c>
      <c r="BM678" s="1">
        <v>1</v>
      </c>
      <c r="BN678" s="1">
        <v>1</v>
      </c>
      <c r="BO678" s="1">
        <v>1</v>
      </c>
      <c r="BP678" s="1">
        <v>1</v>
      </c>
      <c r="BQ678" s="1">
        <f>IF(HRRVL,1,0)</f>
        <v>0</v>
      </c>
      <c r="BR678" s="1">
        <v>1</v>
      </c>
      <c r="BS678" s="1">
        <v>1</v>
      </c>
      <c r="BT678" s="1">
        <f>IF(HRXPH,1,0)</f>
        <v>0</v>
      </c>
      <c r="BU678" s="1">
        <f>IF(HRRVL,1,0)</f>
        <v>0</v>
      </c>
      <c r="BV678" s="1">
        <v>1</v>
      </c>
      <c r="BW678" s="1">
        <v>1</v>
      </c>
      <c r="BX678" s="1">
        <v>1</v>
      </c>
      <c r="BY678" s="1">
        <v>1</v>
      </c>
      <c r="BZ678" s="1">
        <v>1</v>
      </c>
      <c r="CA678" s="1">
        <v>1</v>
      </c>
      <c r="CB678" s="1">
        <v>1</v>
      </c>
      <c r="CC678" s="1">
        <v>1</v>
      </c>
      <c r="CD678" s="1">
        <v>1</v>
      </c>
      <c r="CE678" s="1">
        <v>1</v>
      </c>
      <c r="CF678" s="1">
        <v>2</v>
      </c>
      <c r="CG678" s="1">
        <f>IF(HRToB,1,0)</f>
        <v>0</v>
      </c>
      <c r="CH678" s="1">
        <v>2</v>
      </c>
      <c r="CI678" s="1">
        <v>1</v>
      </c>
      <c r="CJ678" s="1">
        <v>1</v>
      </c>
      <c r="CK678" s="1">
        <v>1</v>
      </c>
      <c r="CL678" s="1">
        <v>1</v>
      </c>
      <c r="CM678" s="1">
        <v>1</v>
      </c>
      <c r="CN678" s="1">
        <v>1</v>
      </c>
      <c r="CO678" s="1">
        <v>1</v>
      </c>
      <c r="CP678" s="1">
        <v>1</v>
      </c>
      <c r="CQ678" s="1">
        <v>1</v>
      </c>
      <c r="CR678" s="1">
        <v>1</v>
      </c>
      <c r="CS678" s="1">
        <v>1</v>
      </c>
      <c r="CT678" s="1">
        <v>1</v>
      </c>
      <c r="CU678" s="1">
        <v>1</v>
      </c>
      <c r="CV678" s="1">
        <f>IF(HRXPH,1,0)</f>
        <v>0</v>
      </c>
      <c r="CW678" s="1">
        <v>1</v>
      </c>
      <c r="CX678" s="1">
        <v>2</v>
      </c>
      <c r="CY678" s="1">
        <v>2</v>
      </c>
      <c r="CZ678" s="1">
        <f>IF(HRCS,1,0)</f>
        <v>0</v>
      </c>
      <c r="DA678" s="1">
        <v>1</v>
      </c>
      <c r="DB678" s="1">
        <v>1</v>
      </c>
      <c r="DC678" s="1">
        <v>1</v>
      </c>
      <c r="DD678" s="1">
        <v>2</v>
      </c>
      <c r="DE678" s="1">
        <v>1</v>
      </c>
      <c r="DF678" s="1">
        <v>1</v>
      </c>
      <c r="DG678" s="1">
        <v>1</v>
      </c>
      <c r="DH678" s="1">
        <v>1</v>
      </c>
      <c r="DI678" s="1">
        <f>IF(HRXPH,1,0)</f>
        <v>0</v>
      </c>
      <c r="DJ678" s="1">
        <v>1</v>
      </c>
      <c r="DK678" s="1" t="s">
        <v>1557</v>
      </c>
      <c r="DL678" s="1" t="s">
        <v>101</v>
      </c>
      <c r="DR678" s="1" t="b">
        <f>VampireSelected</f>
        <v>0</v>
      </c>
      <c r="EA678" s="1" t="b">
        <f>AND(DM678:DZ678)</f>
        <v>0</v>
      </c>
      <c r="EB678" s="11" t="s">
        <v>338</v>
      </c>
      <c r="EC678" s="1" t="str">
        <f>IF(DR678,"","• You must be a Vampire.
")&amp;"• You must control at least two vampires or vampire spawn that you
  have created by means of your create spawn ability (not verified)."</f>
        <v>• You must be a Vampire.
• You must control at least two vampires or vampire spawn that you
  have created by means of your create spawn ability (not verified).</v>
      </c>
      <c r="ED678" s="11" t="s">
        <v>335</v>
      </c>
    </row>
    <row r="679" spans="1:134" ht="11.25" customHeight="1" x14ac:dyDescent="0.2">
      <c r="A679" s="1">
        <f t="shared" si="582"/>
        <v>676</v>
      </c>
      <c r="B679" s="1" t="s">
        <v>1576</v>
      </c>
      <c r="C679" s="1" t="s">
        <v>1577</v>
      </c>
      <c r="D679" s="1" t="s">
        <v>1577</v>
      </c>
      <c r="E679" s="1">
        <f t="shared" si="575"/>
        <v>0</v>
      </c>
      <c r="K679" s="1">
        <v>4</v>
      </c>
      <c r="L679" s="1">
        <v>12</v>
      </c>
      <c r="N679" s="1" t="b">
        <v>1</v>
      </c>
      <c r="O679" s="1" t="b">
        <v>1</v>
      </c>
      <c r="P679" s="1" t="b">
        <v>1</v>
      </c>
      <c r="S679" s="1" t="b">
        <v>1</v>
      </c>
      <c r="T679" s="1" t="b">
        <v>1</v>
      </c>
      <c r="V679" s="1">
        <v>1</v>
      </c>
      <c r="W679" s="1">
        <v>0.5</v>
      </c>
      <c r="X679" s="1">
        <v>0.34</v>
      </c>
      <c r="Y679" s="1">
        <v>0.34</v>
      </c>
      <c r="Z679" s="1" t="b">
        <f>FALSE</f>
        <v>0</v>
      </c>
      <c r="AA679" s="1" t="str">
        <f t="shared" si="578"/>
        <v/>
      </c>
      <c r="AB679" s="1" t="str">
        <f t="shared" si="579"/>
        <v/>
      </c>
      <c r="AC679" s="1">
        <f t="shared" si="576"/>
        <v>0</v>
      </c>
      <c r="AD679" s="1" t="str">
        <f t="shared" si="580"/>
        <v/>
      </c>
      <c r="AE679" s="1" t="str">
        <f t="shared" si="581"/>
        <v/>
      </c>
      <c r="AF679" s="1">
        <f t="shared" si="577"/>
        <v>0</v>
      </c>
      <c r="AG679" s="1">
        <f t="shared" si="589"/>
        <v>5</v>
      </c>
      <c r="AH679" s="1" t="str">
        <f t="shared" si="588"/>
        <v/>
      </c>
      <c r="AI679" s="1">
        <v>1</v>
      </c>
      <c r="AJ679" s="1">
        <f>IF(HRXPH,1,0)</f>
        <v>0</v>
      </c>
      <c r="AK679" s="1">
        <v>1</v>
      </c>
      <c r="AL679" s="1">
        <v>1</v>
      </c>
      <c r="AM679" s="1">
        <v>1</v>
      </c>
      <c r="AN679" s="1">
        <f>IF(IsLycanthrope,2,0)</f>
        <v>0</v>
      </c>
      <c r="AO679" s="1">
        <v>1</v>
      </c>
      <c r="AP679" s="1">
        <v>1</v>
      </c>
      <c r="AQ679" s="1">
        <v>1</v>
      </c>
      <c r="AR679" s="1">
        <v>1</v>
      </c>
      <c r="AS679" s="1">
        <v>1</v>
      </c>
      <c r="AT679" s="1">
        <v>1</v>
      </c>
      <c r="AU679" s="1">
        <v>1</v>
      </c>
      <c r="AV679" s="1">
        <v>1</v>
      </c>
      <c r="AW679" s="1">
        <v>1</v>
      </c>
      <c r="AX679" s="1">
        <v>1</v>
      </c>
      <c r="AY679" s="1">
        <v>1</v>
      </c>
      <c r="AZ679" s="1">
        <v>1</v>
      </c>
      <c r="BA679" s="1">
        <v>1</v>
      </c>
      <c r="BB679" s="1">
        <v>1</v>
      </c>
      <c r="BC679" s="1">
        <v>1</v>
      </c>
      <c r="BD679" s="1">
        <v>1</v>
      </c>
      <c r="BE679" s="1">
        <v>1</v>
      </c>
      <c r="BF679" s="1">
        <v>2</v>
      </c>
      <c r="BG679" s="1">
        <f>IF(HRRVL,1,0)</f>
        <v>0</v>
      </c>
      <c r="BH679" s="1">
        <f>IF(HROA,1,0)</f>
        <v>0</v>
      </c>
      <c r="BI679" s="1">
        <v>1</v>
      </c>
      <c r="BJ679" s="1">
        <v>1</v>
      </c>
      <c r="BK679" s="1">
        <v>1</v>
      </c>
      <c r="BL679" s="1">
        <v>1</v>
      </c>
      <c r="BM679" s="1">
        <v>1</v>
      </c>
      <c r="BN679" s="1">
        <v>1</v>
      </c>
      <c r="BO679" s="1">
        <v>1</v>
      </c>
      <c r="BP679" s="1">
        <v>1</v>
      </c>
      <c r="BQ679" s="1">
        <f>IF(HRRVL,1,0)</f>
        <v>0</v>
      </c>
      <c r="BR679" s="1">
        <v>1</v>
      </c>
      <c r="BS679" s="1">
        <v>1</v>
      </c>
      <c r="BT679" s="1">
        <f>IF(HRXPH,1,0)</f>
        <v>0</v>
      </c>
      <c r="BU679" s="1">
        <f>IF(HRRVL,2,0)</f>
        <v>0</v>
      </c>
      <c r="BV679" s="1">
        <v>2</v>
      </c>
      <c r="BW679" s="1">
        <v>1</v>
      </c>
      <c r="BX679" s="1">
        <v>1</v>
      </c>
      <c r="BY679" s="1">
        <v>1</v>
      </c>
      <c r="BZ679" s="1">
        <v>1</v>
      </c>
      <c r="CA679" s="1">
        <v>1</v>
      </c>
      <c r="CB679" s="1">
        <v>1</v>
      </c>
      <c r="CC679" s="1">
        <v>1</v>
      </c>
      <c r="CD679" s="1">
        <v>1</v>
      </c>
      <c r="CE679" s="1">
        <v>1</v>
      </c>
      <c r="CF679" s="1">
        <v>2</v>
      </c>
      <c r="CG679" s="1">
        <f>IF(HRToB,1,0)</f>
        <v>0</v>
      </c>
      <c r="CH679" s="1">
        <v>2</v>
      </c>
      <c r="CI679" s="1">
        <v>1</v>
      </c>
      <c r="CJ679" s="1">
        <v>1</v>
      </c>
      <c r="CK679" s="1">
        <v>1</v>
      </c>
      <c r="CL679" s="1">
        <v>1</v>
      </c>
      <c r="CM679" s="1">
        <v>1</v>
      </c>
      <c r="CN679" s="1">
        <v>1</v>
      </c>
      <c r="CO679" s="1">
        <v>1</v>
      </c>
      <c r="CP679" s="1">
        <v>1</v>
      </c>
      <c r="CQ679" s="1">
        <v>1</v>
      </c>
      <c r="CR679" s="1">
        <v>1</v>
      </c>
      <c r="CS679" s="1">
        <v>1</v>
      </c>
      <c r="CT679" s="1">
        <v>1</v>
      </c>
      <c r="CU679" s="1">
        <v>1</v>
      </c>
      <c r="CV679" s="1">
        <f>IF(HRXPH,1,0)</f>
        <v>0</v>
      </c>
      <c r="CW679" s="1">
        <v>1</v>
      </c>
      <c r="CX679" s="1">
        <v>2</v>
      </c>
      <c r="CY679" s="1">
        <v>2</v>
      </c>
      <c r="CZ679" s="1">
        <f>IF(HRCS,1,0)</f>
        <v>0</v>
      </c>
      <c r="DA679" s="1">
        <v>1</v>
      </c>
      <c r="DB679" s="1">
        <v>1</v>
      </c>
      <c r="DC679" s="1">
        <v>1</v>
      </c>
      <c r="DD679" s="1">
        <v>2</v>
      </c>
      <c r="DE679" s="1">
        <v>1</v>
      </c>
      <c r="DF679" s="1">
        <v>1</v>
      </c>
      <c r="DG679" s="1">
        <v>1</v>
      </c>
      <c r="DH679" s="1">
        <v>1</v>
      </c>
      <c r="DI679" s="1">
        <f>IF(HRXPH,1,0)</f>
        <v>0</v>
      </c>
      <c r="DJ679" s="1">
        <v>1</v>
      </c>
      <c r="DK679" s="1" t="s">
        <v>1557</v>
      </c>
      <c r="DL679" s="1" t="s">
        <v>101</v>
      </c>
      <c r="DR679" s="1" t="b">
        <f>MonType="Undead"</f>
        <v>0</v>
      </c>
      <c r="DS679" s="1" t="b">
        <f>AlignmentNonChaotic</f>
        <v>1</v>
      </c>
      <c r="DT679" s="1" t="b">
        <f>BaseAtk&gt;=3</f>
        <v>0</v>
      </c>
      <c r="DU679" s="1" t="b">
        <f>BaseWill&gt;=5</f>
        <v>0</v>
      </c>
      <c r="DV679" s="1" t="b">
        <f>FtToughnessEquiv</f>
        <v>0</v>
      </c>
      <c r="EA679" s="1" t="b">
        <f>AND(DM679:DZ679)</f>
        <v>0</v>
      </c>
      <c r="EB679" s="11" t="s">
        <v>338</v>
      </c>
      <c r="EC679" s="1" t="str">
        <f>IF(DR679,"","• You must be Undead.
")&amp;IF(DS679,"","• You must be of any nonchaotic alignment.
")&amp;IF(DT679,"","• Base attack bonus of +3 or greater.
")&amp;IF(DU679,"","• Base Will save of +5 or greater.
")&amp;IF(DV679,"","• Toughness feat.
")&amp;"• You must dedicate yourself to the protection of a tomb, graveyard,
  or similar resting place of the dead (not verified)."</f>
        <v>• You must be Undead.
• Base attack bonus of +3 or greater.
• Base Will save of +5 or greater.
• Toughness feat.
• You must dedicate yourself to the protection of a tomb, graveyard,
  or similar resting place of the dead (not verified).</v>
      </c>
      <c r="ED679" s="11" t="s">
        <v>335</v>
      </c>
    </row>
    <row r="680" spans="1:134" ht="11.25" customHeight="1" x14ac:dyDescent="0.2">
      <c r="A680" s="1">
        <f t="shared" si="582"/>
        <v>677</v>
      </c>
      <c r="B680" s="1" t="s">
        <v>1578</v>
      </c>
      <c r="E680" s="1">
        <f t="shared" si="575"/>
        <v>0</v>
      </c>
      <c r="F680" s="1">
        <v>1</v>
      </c>
      <c r="Z680" s="1" t="b">
        <f>FALSE</f>
        <v>0</v>
      </c>
      <c r="AA680" s="1" t="str">
        <f t="shared" si="578"/>
        <v/>
      </c>
      <c r="AB680" s="1" t="str">
        <f t="shared" si="579"/>
        <v/>
      </c>
      <c r="AC680" s="1">
        <f t="shared" si="576"/>
        <v>0</v>
      </c>
      <c r="AD680" s="1" t="str">
        <f t="shared" si="580"/>
        <v/>
      </c>
      <c r="AE680" s="1" t="str">
        <f t="shared" si="581"/>
        <v/>
      </c>
      <c r="AF680" s="1">
        <f t="shared" si="577"/>
        <v>0</v>
      </c>
      <c r="AG680" s="1">
        <f t="shared" si="589"/>
        <v>5</v>
      </c>
      <c r="AH680" s="1" t="str">
        <f t="shared" si="588"/>
        <v/>
      </c>
      <c r="EB680" s="11"/>
      <c r="ED680" s="11" t="s">
        <v>335</v>
      </c>
    </row>
    <row r="681" spans="1:134" ht="11.25" customHeight="1" x14ac:dyDescent="0.2">
      <c r="A681" s="1">
        <f t="shared" si="582"/>
        <v>678</v>
      </c>
      <c r="B681" s="1" t="s">
        <v>1579</v>
      </c>
      <c r="C681" s="1" t="s">
        <v>1580</v>
      </c>
      <c r="D681" s="1" t="s">
        <v>1580</v>
      </c>
      <c r="E681" s="1">
        <f t="shared" si="575"/>
        <v>0</v>
      </c>
      <c r="G681" s="1">
        <f>IF(AblLvl&gt;=1,AblLvl-(INT((AblLvl+4)/5)),0)</f>
        <v>0</v>
      </c>
      <c r="K681" s="1">
        <v>4</v>
      </c>
      <c r="L681" s="1">
        <v>8</v>
      </c>
      <c r="V681" s="1">
        <v>0.75</v>
      </c>
      <c r="W681" s="1">
        <v>0.34</v>
      </c>
      <c r="X681" s="1">
        <v>0.34</v>
      </c>
      <c r="Y681" s="1">
        <v>0.5</v>
      </c>
      <c r="Z681" s="1" t="b">
        <f>FALSE</f>
        <v>0</v>
      </c>
      <c r="AA681" s="1" t="str">
        <f t="shared" si="578"/>
        <v/>
      </c>
      <c r="AB681" s="1" t="str">
        <f t="shared" si="579"/>
        <v/>
      </c>
      <c r="AC681" s="1">
        <f t="shared" si="576"/>
        <v>0</v>
      </c>
      <c r="AD681" s="1" t="str">
        <f t="shared" si="580"/>
        <v/>
      </c>
      <c r="AE681" s="1" t="str">
        <f t="shared" si="581"/>
        <v/>
      </c>
      <c r="AF681" s="1">
        <f t="shared" si="577"/>
        <v>0</v>
      </c>
      <c r="AG681" s="1">
        <f t="shared" si="589"/>
        <v>5</v>
      </c>
      <c r="AH681" s="1" t="str">
        <f t="shared" si="588"/>
        <v/>
      </c>
      <c r="AI681" s="1">
        <v>1</v>
      </c>
      <c r="AJ681" s="1">
        <f t="shared" ref="AJ681:AJ686" si="600">IF(HRXPH,1,0)</f>
        <v>0</v>
      </c>
      <c r="AK681" s="1">
        <v>1</v>
      </c>
      <c r="AL681" s="1">
        <v>1</v>
      </c>
      <c r="AM681" s="1">
        <v>1</v>
      </c>
      <c r="AN681" s="1">
        <f t="shared" ref="AN681:AN686" si="601">IF(IsLycanthrope,2,0)</f>
        <v>0</v>
      </c>
      <c r="AO681" s="1">
        <v>2</v>
      </c>
      <c r="AP681" s="1">
        <v>1</v>
      </c>
      <c r="AQ681" s="1">
        <v>1</v>
      </c>
      <c r="AR681" s="1">
        <v>1</v>
      </c>
      <c r="AS681" s="1">
        <v>1</v>
      </c>
      <c r="AT681" s="1">
        <v>1</v>
      </c>
      <c r="AU681" s="1">
        <v>1</v>
      </c>
      <c r="AV681" s="1">
        <v>1</v>
      </c>
      <c r="AW681" s="1">
        <v>1</v>
      </c>
      <c r="AX681" s="1">
        <v>1</v>
      </c>
      <c r="AY681" s="1">
        <v>1</v>
      </c>
      <c r="AZ681" s="1">
        <v>1</v>
      </c>
      <c r="BA681" s="1">
        <v>2</v>
      </c>
      <c r="BB681" s="1">
        <v>1</v>
      </c>
      <c r="BC681" s="1">
        <v>2</v>
      </c>
      <c r="BD681" s="1">
        <v>1</v>
      </c>
      <c r="BE681" s="1">
        <v>2</v>
      </c>
      <c r="BF681" s="1">
        <v>1</v>
      </c>
      <c r="BG681" s="1">
        <f t="shared" ref="BG681:BG686" si="602">IF(HRRVL,1,0)</f>
        <v>0</v>
      </c>
      <c r="BH681" s="1">
        <f t="shared" ref="BH681:BH686" si="603">IF(HROA,1,0)</f>
        <v>0</v>
      </c>
      <c r="BI681" s="1">
        <v>2</v>
      </c>
      <c r="BJ681" s="1">
        <v>1</v>
      </c>
      <c r="BK681" s="1">
        <v>2</v>
      </c>
      <c r="BL681" s="1">
        <v>1</v>
      </c>
      <c r="BM681" s="1">
        <v>2</v>
      </c>
      <c r="BN681" s="1">
        <v>1</v>
      </c>
      <c r="BO681" s="1">
        <v>1</v>
      </c>
      <c r="BP681" s="1">
        <v>1</v>
      </c>
      <c r="BQ681" s="1">
        <f>IF(HRRVL,2,0)</f>
        <v>0</v>
      </c>
      <c r="BR681" s="1">
        <v>2</v>
      </c>
      <c r="BS681" s="1">
        <v>1</v>
      </c>
      <c r="BT681" s="1">
        <f>IF(HRXPH,1,0)</f>
        <v>0</v>
      </c>
      <c r="BU681" s="1">
        <f>IF(HRRVL,1,0)</f>
        <v>0</v>
      </c>
      <c r="BV681" s="1">
        <v>1</v>
      </c>
      <c r="BW681" s="1">
        <v>2</v>
      </c>
      <c r="BX681" s="1">
        <v>1</v>
      </c>
      <c r="BY681" s="1">
        <v>1</v>
      </c>
      <c r="BZ681" s="1">
        <v>1</v>
      </c>
      <c r="CA681" s="1">
        <v>1</v>
      </c>
      <c r="CB681" s="1">
        <v>1</v>
      </c>
      <c r="CC681" s="1">
        <v>1</v>
      </c>
      <c r="CD681" s="1">
        <v>1</v>
      </c>
      <c r="CE681" s="1">
        <v>1</v>
      </c>
      <c r="CF681" s="1">
        <v>2</v>
      </c>
      <c r="CG681" s="1">
        <f t="shared" ref="CG681:CG686" si="604">IF(HRToB,1,0)</f>
        <v>0</v>
      </c>
      <c r="CH681" s="1">
        <v>1</v>
      </c>
      <c r="CI681" s="1">
        <v>1</v>
      </c>
      <c r="CJ681" s="1">
        <v>1</v>
      </c>
      <c r="CK681" s="1">
        <v>1</v>
      </c>
      <c r="CL681" s="1">
        <v>1</v>
      </c>
      <c r="CM681" s="1">
        <v>1</v>
      </c>
      <c r="CN681" s="1">
        <v>1</v>
      </c>
      <c r="CO681" s="1">
        <v>1</v>
      </c>
      <c r="CP681" s="1">
        <v>1</v>
      </c>
      <c r="CQ681" s="1">
        <v>1</v>
      </c>
      <c r="CR681" s="1">
        <v>1</v>
      </c>
      <c r="CS681" s="1">
        <v>1</v>
      </c>
      <c r="CT681" s="1">
        <v>1</v>
      </c>
      <c r="CU681" s="1">
        <v>1</v>
      </c>
      <c r="CV681" s="1">
        <f>IF(HRXPH,1,0)</f>
        <v>0</v>
      </c>
      <c r="CW681" s="1">
        <v>1</v>
      </c>
      <c r="CX681" s="1">
        <v>1</v>
      </c>
      <c r="CY681" s="1">
        <v>2</v>
      </c>
      <c r="CZ681" s="1">
        <f t="shared" ref="CZ681:CZ686" si="605">IF(HRCS,1,0)</f>
        <v>0</v>
      </c>
      <c r="DA681" s="1">
        <v>1</v>
      </c>
      <c r="DB681" s="1">
        <v>1</v>
      </c>
      <c r="DC681" s="1">
        <v>1</v>
      </c>
      <c r="DD681" s="1">
        <v>2</v>
      </c>
      <c r="DE681" s="1">
        <v>2</v>
      </c>
      <c r="DF681" s="1">
        <v>1</v>
      </c>
      <c r="DG681" s="1">
        <v>1</v>
      </c>
      <c r="DH681" s="1">
        <v>1</v>
      </c>
      <c r="DI681" s="1">
        <f t="shared" ref="DI681:DI686" si="606">IF(HRXPH,1,0)</f>
        <v>0</v>
      </c>
      <c r="DJ681" s="1">
        <v>1</v>
      </c>
      <c r="DK681" s="1" t="s">
        <v>1581</v>
      </c>
      <c r="DL681" s="1" t="s">
        <v>101</v>
      </c>
      <c r="DR681" s="1" t="b">
        <f>NOT(TypeInfo="Aberration")</f>
        <v>1</v>
      </c>
      <c r="DS681" s="1" t="b">
        <f>AlignmentNonChaotic</f>
        <v>1</v>
      </c>
      <c r="DT681" s="1" t="b">
        <f>SkKnowledgeDungeoneeringRanks&gt;=4</f>
        <v>0</v>
      </c>
      <c r="DU681" s="1" t="b">
        <f>SkKnowledgeNatureRanks&gt;=9</f>
        <v>0</v>
      </c>
      <c r="DV681" s="1" t="b">
        <f>OR(FreeTrack,FtTrack)</f>
        <v>0</v>
      </c>
      <c r="DW681" s="1" t="b">
        <f>WildLevel&gt;=1</f>
        <v>0</v>
      </c>
      <c r="EA681" s="1" t="b">
        <f t="shared" ref="EA681:EA686" si="607">AND(DM681:DZ681)</f>
        <v>0</v>
      </c>
      <c r="EB681" s="11" t="s">
        <v>334</v>
      </c>
      <c r="EC681" s="1" t="str">
        <f>IF(DR681,"","• Must not be an aberration.
")&amp;IF(DS681,"","• Any nonchaotic alignment.
")&amp;IF(DT681,"","• 4 ranks in Knowledge (dungeoneering).
")&amp;IF(DU681,"","• 9 ranks in Knowledge (nature).
")&amp;IF(DV681,"","• Track feat.
")&amp;IF(DW681,"","• Wild empathy class feature.")</f>
        <v>• 4 ranks in Knowledge (dungeoneering).
• 9 ranks in Knowledge (nature).
• Track feat.
• Wild empathy class feature.</v>
      </c>
      <c r="ED681" s="11" t="s">
        <v>335</v>
      </c>
    </row>
    <row r="682" spans="1:134" ht="11.25" customHeight="1" x14ac:dyDescent="0.2">
      <c r="A682" s="1">
        <f t="shared" si="582"/>
        <v>679</v>
      </c>
      <c r="B682" s="1" t="s">
        <v>1582</v>
      </c>
      <c r="C682" s="1" t="s">
        <v>1583</v>
      </c>
      <c r="D682" s="1" t="s">
        <v>1583</v>
      </c>
      <c r="E682" s="1">
        <f t="shared" si="575"/>
        <v>0</v>
      </c>
      <c r="K682" s="1">
        <v>6</v>
      </c>
      <c r="L682" s="1">
        <v>6</v>
      </c>
      <c r="N682" s="1" t="b">
        <v>1</v>
      </c>
      <c r="T682" s="1" t="b">
        <v>1</v>
      </c>
      <c r="V682" s="1">
        <v>0.75</v>
      </c>
      <c r="W682" s="1">
        <v>0.5</v>
      </c>
      <c r="X682" s="1">
        <v>0.34</v>
      </c>
      <c r="Y682" s="1">
        <v>0.34</v>
      </c>
      <c r="Z682" s="1" t="b">
        <f>FALSE</f>
        <v>0</v>
      </c>
      <c r="AA682" s="1" t="str">
        <f t="shared" si="578"/>
        <v/>
      </c>
      <c r="AB682" s="1" t="str">
        <f t="shared" si="579"/>
        <v/>
      </c>
      <c r="AC682" s="1">
        <f t="shared" si="576"/>
        <v>0</v>
      </c>
      <c r="AD682" s="1" t="str">
        <f t="shared" si="580"/>
        <v/>
      </c>
      <c r="AE682" s="1" t="str">
        <f t="shared" si="581"/>
        <v/>
      </c>
      <c r="AF682" s="1">
        <f t="shared" si="577"/>
        <v>0</v>
      </c>
      <c r="AG682" s="1">
        <f t="shared" si="589"/>
        <v>5</v>
      </c>
      <c r="AH682" s="1" t="str">
        <f t="shared" si="588"/>
        <v/>
      </c>
      <c r="AI682" s="1">
        <v>1</v>
      </c>
      <c r="AJ682" s="1">
        <f t="shared" si="600"/>
        <v>0</v>
      </c>
      <c r="AK682" s="1">
        <v>2</v>
      </c>
      <c r="AL682" s="1">
        <v>2</v>
      </c>
      <c r="AM682" s="1">
        <v>2</v>
      </c>
      <c r="AN682" s="1">
        <f t="shared" si="601"/>
        <v>0</v>
      </c>
      <c r="AO682" s="1">
        <v>1</v>
      </c>
      <c r="AP682" s="1">
        <v>2</v>
      </c>
      <c r="AQ682" s="1">
        <v>2</v>
      </c>
      <c r="AR682" s="1">
        <v>2</v>
      </c>
      <c r="AS682" s="1">
        <v>2</v>
      </c>
      <c r="AT682" s="1">
        <v>2</v>
      </c>
      <c r="AU682" s="1">
        <v>2</v>
      </c>
      <c r="AV682" s="1">
        <v>2</v>
      </c>
      <c r="AW682" s="1">
        <v>1</v>
      </c>
      <c r="AX682" s="1">
        <v>2</v>
      </c>
      <c r="AY682" s="1">
        <v>1</v>
      </c>
      <c r="AZ682" s="1">
        <v>1</v>
      </c>
      <c r="BA682" s="1">
        <v>2</v>
      </c>
      <c r="BB682" s="1">
        <v>1</v>
      </c>
      <c r="BC682" s="1">
        <v>2</v>
      </c>
      <c r="BD682" s="1">
        <v>1</v>
      </c>
      <c r="BE682" s="1">
        <v>2</v>
      </c>
      <c r="BF682" s="1">
        <v>2</v>
      </c>
      <c r="BG682" s="1">
        <f t="shared" si="602"/>
        <v>0</v>
      </c>
      <c r="BH682" s="1">
        <f t="shared" si="603"/>
        <v>0</v>
      </c>
      <c r="BI682" s="1">
        <v>2</v>
      </c>
      <c r="BJ682" s="1">
        <v>2</v>
      </c>
      <c r="BK682" s="1">
        <v>1</v>
      </c>
      <c r="BL682" s="1">
        <v>2</v>
      </c>
      <c r="BM682" s="1">
        <v>2</v>
      </c>
      <c r="BN682" s="1">
        <v>2</v>
      </c>
      <c r="BO682" s="1">
        <v>1</v>
      </c>
      <c r="BP682" s="1">
        <f>1+NOT(HRLivingGreyhawk)</f>
        <v>2</v>
      </c>
      <c r="BQ682" s="1">
        <f>IF(HRRVL,2,0)</f>
        <v>0</v>
      </c>
      <c r="BR682" s="1">
        <v>2</v>
      </c>
      <c r="BS682" s="1">
        <v>1</v>
      </c>
      <c r="BT682" s="1">
        <f>IF(HRXPH,1,0)</f>
        <v>0</v>
      </c>
      <c r="BU682" s="1">
        <f>IF(HRRVL,1,0)</f>
        <v>0</v>
      </c>
      <c r="BV682" s="1">
        <v>1</v>
      </c>
      <c r="BW682" s="1">
        <v>1</v>
      </c>
      <c r="BX682" s="1">
        <v>1</v>
      </c>
      <c r="BY682" s="1">
        <v>1</v>
      </c>
      <c r="BZ682" s="1">
        <v>1</v>
      </c>
      <c r="CA682" s="1">
        <v>1</v>
      </c>
      <c r="CB682" s="1">
        <v>1</v>
      </c>
      <c r="CC682" s="1">
        <v>1</v>
      </c>
      <c r="CD682" s="1">
        <v>1</v>
      </c>
      <c r="CE682" s="1">
        <v>1</v>
      </c>
      <c r="CF682" s="1">
        <v>2</v>
      </c>
      <c r="CG682" s="1">
        <f t="shared" si="604"/>
        <v>0</v>
      </c>
      <c r="CH682" s="1">
        <v>2</v>
      </c>
      <c r="CI682" s="1">
        <v>1</v>
      </c>
      <c r="CJ682" s="1">
        <v>1</v>
      </c>
      <c r="CK682" s="1">
        <v>1</v>
      </c>
      <c r="CL682" s="1">
        <v>1</v>
      </c>
      <c r="CM682" s="1">
        <v>1</v>
      </c>
      <c r="CN682" s="1">
        <v>1</v>
      </c>
      <c r="CO682" s="1">
        <v>1</v>
      </c>
      <c r="CP682" s="1">
        <v>1</v>
      </c>
      <c r="CQ682" s="1">
        <v>1</v>
      </c>
      <c r="CR682" s="1">
        <v>1</v>
      </c>
      <c r="CS682" s="1">
        <v>1</v>
      </c>
      <c r="CT682" s="1">
        <v>1</v>
      </c>
      <c r="CU682" s="1">
        <v>1</v>
      </c>
      <c r="CV682" s="1">
        <f>IF(HRXPH,1,0)</f>
        <v>0</v>
      </c>
      <c r="CW682" s="1">
        <v>1</v>
      </c>
      <c r="CX682" s="1">
        <v>2</v>
      </c>
      <c r="CY682" s="1">
        <v>2</v>
      </c>
      <c r="CZ682" s="1">
        <f t="shared" si="605"/>
        <v>0</v>
      </c>
      <c r="DA682" s="1">
        <v>1</v>
      </c>
      <c r="DB682" s="1">
        <v>2</v>
      </c>
      <c r="DC682" s="1">
        <v>1</v>
      </c>
      <c r="DD682" s="1">
        <v>2</v>
      </c>
      <c r="DE682" s="1">
        <v>2</v>
      </c>
      <c r="DF682" s="1">
        <v>2</v>
      </c>
      <c r="DG682" s="1">
        <v>2</v>
      </c>
      <c r="DH682" s="1">
        <v>1</v>
      </c>
      <c r="DI682" s="1">
        <f t="shared" si="606"/>
        <v>0</v>
      </c>
      <c r="DJ682" s="1">
        <v>1</v>
      </c>
      <c r="DK682" s="1" t="s">
        <v>1581</v>
      </c>
      <c r="DL682" s="1" t="s">
        <v>101</v>
      </c>
      <c r="DR682" s="1" t="b">
        <f>SkKnowledgeDungeoneeringRanks&gt;=5</f>
        <v>0</v>
      </c>
      <c r="DS682" s="1" t="b">
        <f>SkSearchRanks&gt;=5</f>
        <v>0</v>
      </c>
      <c r="DT682" s="1" t="b">
        <f>SkSurvivalRanks&gt;=7</f>
        <v>0</v>
      </c>
      <c r="DU682" s="1" t="b">
        <f>FtAlertness</f>
        <v>0</v>
      </c>
      <c r="DV682" s="1" t="b">
        <f>OR(FreeTrack,FtTrack)</f>
        <v>0</v>
      </c>
      <c r="DW682" s="1" t="b">
        <f>Darkvision&lt;&gt;0</f>
        <v>0</v>
      </c>
      <c r="EA682" s="1" t="b">
        <f t="shared" si="607"/>
        <v>0</v>
      </c>
      <c r="EB682" s="11" t="s">
        <v>338</v>
      </c>
      <c r="EC682" s="1" t="str">
        <f>IF(DR682,"","• 5 ranks in Knowledge (dungeoneering).
")&amp;IF(DS682,"","• 5 ranks in Search.
")&amp;IF(DT682,"","• 7 ranks in Survival.
")&amp;IF(DU682,"","• Alertness feat.
")&amp;IF(DV682,"","• Track Feat.
")&amp;IF(DW682,"","• Darkvision as a racial trait or class feature.
")&amp;"• Must successfully petition to join the Darkrunner Guild (not verified)"</f>
        <v>• 5 ranks in Knowledge (dungeoneering).
• 5 ranks in Search.
• 7 ranks in Survival.
• Alertness feat.
• Track Feat.
• Darkvision as a racial trait or class feature.
• Must successfully petition to join the Darkrunner Guild (not verified)</v>
      </c>
      <c r="ED682" s="11" t="s">
        <v>335</v>
      </c>
    </row>
    <row r="683" spans="1:134" ht="11.25" customHeight="1" x14ac:dyDescent="0.2">
      <c r="A683" s="1">
        <f t="shared" si="582"/>
        <v>680</v>
      </c>
      <c r="B683" s="1" t="s">
        <v>1584</v>
      </c>
      <c r="C683" s="1" t="s">
        <v>246</v>
      </c>
      <c r="D683" s="1" t="s">
        <v>246</v>
      </c>
      <c r="E683" s="1">
        <f t="shared" si="575"/>
        <v>0</v>
      </c>
      <c r="G683" s="1">
        <f>(FlwLvl&gt;=2)*(FlwLvl-1)</f>
        <v>0</v>
      </c>
      <c r="K683" s="1">
        <v>4</v>
      </c>
      <c r="L683" s="1">
        <v>6</v>
      </c>
      <c r="V683" s="1">
        <v>0.5</v>
      </c>
      <c r="W683" s="1">
        <v>0.5</v>
      </c>
      <c r="X683" s="1">
        <v>0.34</v>
      </c>
      <c r="Y683" s="1">
        <v>0.34</v>
      </c>
      <c r="Z683" s="1" t="b">
        <f>FALSE</f>
        <v>0</v>
      </c>
      <c r="AA683" s="1" t="str">
        <f t="shared" si="578"/>
        <v/>
      </c>
      <c r="AB683" s="1" t="str">
        <f t="shared" si="579"/>
        <v/>
      </c>
      <c r="AC683" s="1">
        <f t="shared" si="576"/>
        <v>0</v>
      </c>
      <c r="AD683" s="1" t="str">
        <f t="shared" si="580"/>
        <v/>
      </c>
      <c r="AE683" s="1" t="str">
        <f t="shared" si="581"/>
        <v/>
      </c>
      <c r="AF683" s="1">
        <f t="shared" si="577"/>
        <v>0</v>
      </c>
      <c r="AG683" s="1">
        <f t="shared" si="589"/>
        <v>5</v>
      </c>
      <c r="AH683" s="1" t="str">
        <f t="shared" si="588"/>
        <v/>
      </c>
      <c r="AI683" s="1">
        <v>1</v>
      </c>
      <c r="AJ683" s="1">
        <f t="shared" si="600"/>
        <v>0</v>
      </c>
      <c r="AK683" s="1">
        <v>1</v>
      </c>
      <c r="AL683" s="1">
        <v>1</v>
      </c>
      <c r="AM683" s="1">
        <v>1</v>
      </c>
      <c r="AN683" s="1">
        <f t="shared" si="601"/>
        <v>0</v>
      </c>
      <c r="AO683" s="1">
        <v>2</v>
      </c>
      <c r="AP683" s="1">
        <v>2</v>
      </c>
      <c r="AQ683" s="1">
        <v>2</v>
      </c>
      <c r="AR683" s="1">
        <v>2</v>
      </c>
      <c r="AS683" s="1">
        <v>2</v>
      </c>
      <c r="AT683" s="1">
        <v>2</v>
      </c>
      <c r="AU683" s="1">
        <v>2</v>
      </c>
      <c r="AV683" s="1">
        <v>2</v>
      </c>
      <c r="AW683" s="1">
        <v>2</v>
      </c>
      <c r="AX683" s="1">
        <v>1</v>
      </c>
      <c r="AY683" s="1">
        <v>1</v>
      </c>
      <c r="AZ683" s="1">
        <v>1</v>
      </c>
      <c r="BA683" s="1">
        <v>1</v>
      </c>
      <c r="BB683" s="1">
        <v>1</v>
      </c>
      <c r="BC683" s="1">
        <v>1</v>
      </c>
      <c r="BD683" s="1">
        <v>1</v>
      </c>
      <c r="BE683" s="1">
        <v>2</v>
      </c>
      <c r="BF683" s="1">
        <v>1</v>
      </c>
      <c r="BG683" s="1">
        <f t="shared" si="602"/>
        <v>0</v>
      </c>
      <c r="BH683" s="1">
        <f t="shared" si="603"/>
        <v>0</v>
      </c>
      <c r="BI683" s="1">
        <v>1</v>
      </c>
      <c r="BJ683" s="1">
        <v>1</v>
      </c>
      <c r="BK683" s="1">
        <v>2</v>
      </c>
      <c r="BL683" s="1">
        <v>2</v>
      </c>
      <c r="BM683" s="1">
        <v>2</v>
      </c>
      <c r="BN683" s="1">
        <v>2</v>
      </c>
      <c r="BO683" s="1">
        <v>2</v>
      </c>
      <c r="BP683" s="1">
        <f>1+NOT(HRLivingGreyhawk)</f>
        <v>2</v>
      </c>
      <c r="BQ683" s="1">
        <f>IF(HRRVL,2,0)</f>
        <v>0</v>
      </c>
      <c r="BR683" s="1">
        <v>2</v>
      </c>
      <c r="BS683" s="1">
        <v>2</v>
      </c>
      <c r="BT683" s="1">
        <f>IF(HRXPH,2,0)</f>
        <v>0</v>
      </c>
      <c r="BU683" s="1">
        <f>IF(HRRVL,2,0)</f>
        <v>0</v>
      </c>
      <c r="BV683" s="1">
        <v>2</v>
      </c>
      <c r="BW683" s="1">
        <v>2</v>
      </c>
      <c r="BX683" s="1">
        <v>2</v>
      </c>
      <c r="BY683" s="1">
        <v>2</v>
      </c>
      <c r="BZ683" s="1">
        <v>2</v>
      </c>
      <c r="CA683" s="1">
        <v>2</v>
      </c>
      <c r="CB683" s="1">
        <v>2</v>
      </c>
      <c r="CC683" s="1">
        <v>2</v>
      </c>
      <c r="CD683" s="1">
        <v>2</v>
      </c>
      <c r="CE683" s="1">
        <v>2</v>
      </c>
      <c r="CF683" s="1">
        <v>1</v>
      </c>
      <c r="CG683" s="1">
        <f t="shared" si="604"/>
        <v>0</v>
      </c>
      <c r="CH683" s="1">
        <v>1</v>
      </c>
      <c r="CI683" s="1">
        <v>1</v>
      </c>
      <c r="CJ683" s="1">
        <v>1</v>
      </c>
      <c r="CK683" s="1">
        <v>1</v>
      </c>
      <c r="CL683" s="1">
        <v>1</v>
      </c>
      <c r="CM683" s="1">
        <v>1</v>
      </c>
      <c r="CN683" s="1">
        <v>1</v>
      </c>
      <c r="CO683" s="1">
        <v>1</v>
      </c>
      <c r="CP683" s="1">
        <v>1</v>
      </c>
      <c r="CQ683" s="1">
        <v>1</v>
      </c>
      <c r="CR683" s="1">
        <v>1</v>
      </c>
      <c r="CS683" s="1">
        <v>1</v>
      </c>
      <c r="CT683" s="1">
        <v>1</v>
      </c>
      <c r="CU683" s="1">
        <v>1</v>
      </c>
      <c r="CV683" s="1">
        <f>IF(HRXPH,1,0)</f>
        <v>0</v>
      </c>
      <c r="CW683" s="1">
        <v>1</v>
      </c>
      <c r="CX683" s="1">
        <v>2</v>
      </c>
      <c r="CY683" s="1">
        <v>1</v>
      </c>
      <c r="CZ683" s="1">
        <f t="shared" si="605"/>
        <v>0</v>
      </c>
      <c r="DA683" s="1">
        <v>1</v>
      </c>
      <c r="DB683" s="1">
        <v>2</v>
      </c>
      <c r="DC683" s="1">
        <v>2</v>
      </c>
      <c r="DD683" s="1">
        <v>1</v>
      </c>
      <c r="DE683" s="1">
        <v>1</v>
      </c>
      <c r="DF683" s="1">
        <v>1</v>
      </c>
      <c r="DG683" s="1">
        <v>1</v>
      </c>
      <c r="DH683" s="1">
        <v>2</v>
      </c>
      <c r="DI683" s="1">
        <f t="shared" si="606"/>
        <v>0</v>
      </c>
      <c r="DJ683" s="1">
        <v>1</v>
      </c>
      <c r="DK683" s="1" t="s">
        <v>1581</v>
      </c>
      <c r="DL683" s="1" t="s">
        <v>101</v>
      </c>
      <c r="DR683" s="1" t="b">
        <f>AlignmentNonLawful</f>
        <v>0</v>
      </c>
      <c r="DS683" s="1" t="b">
        <f>SkHealRanks&gt;=4</f>
        <v>0</v>
      </c>
      <c r="DT683" s="1" t="b">
        <f>SkKnowledgeArcanaRanks&gt;=8</f>
        <v>0</v>
      </c>
      <c r="DU683" s="1" t="b">
        <f>FtGraftFlesh</f>
        <v>0</v>
      </c>
      <c r="DV683" s="1" t="b">
        <f>FamiliarChoiceLevel&gt;=1</f>
        <v>1</v>
      </c>
      <c r="EA683" s="1" t="b">
        <f t="shared" si="607"/>
        <v>0</v>
      </c>
      <c r="EB683" s="11" t="s">
        <v>334</v>
      </c>
      <c r="EC683" s="1" t="str">
        <f>IF(DR683,"","• Must be of any nonlawful alignment.
")&amp;IF(DS683,"","• 4 ranks in Heal.
")&amp;IF(DT683,"","• 8 ranks in Knowledge (arcana).
")&amp;IF(DU683,"","• Graft Flesh Feat.
")&amp;IF(DV683,"","• Summon familiar class feature.")</f>
        <v xml:space="preserve">• Must be of any nonlawful alignment.
• 4 ranks in Heal.
• 8 ranks in Knowledge (arcana).
• Graft Flesh Feat.
</v>
      </c>
      <c r="ED683" s="11" t="s">
        <v>335</v>
      </c>
    </row>
    <row r="684" spans="1:134" ht="11.25" customHeight="1" x14ac:dyDescent="0.2">
      <c r="A684" s="1">
        <f t="shared" si="582"/>
        <v>681</v>
      </c>
      <c r="B684" s="1" t="s">
        <v>1585</v>
      </c>
      <c r="C684" s="1" t="s">
        <v>1586</v>
      </c>
      <c r="D684" s="1" t="s">
        <v>1586</v>
      </c>
      <c r="E684" s="1">
        <f t="shared" si="575"/>
        <v>0</v>
      </c>
      <c r="G684" s="1">
        <f>KoCSLvl</f>
        <v>0</v>
      </c>
      <c r="K684" s="1">
        <v>6</v>
      </c>
      <c r="L684" s="1">
        <v>6</v>
      </c>
      <c r="V684" s="1">
        <v>0.5</v>
      </c>
      <c r="W684" s="1">
        <v>0.34</v>
      </c>
      <c r="X684" s="1">
        <v>0.34</v>
      </c>
      <c r="Y684" s="1">
        <v>0.5</v>
      </c>
      <c r="Z684" s="1" t="b">
        <f>FALSE</f>
        <v>0</v>
      </c>
      <c r="AA684" s="1" t="str">
        <f t="shared" si="578"/>
        <v/>
      </c>
      <c r="AB684" s="1" t="str">
        <f t="shared" si="579"/>
        <v/>
      </c>
      <c r="AC684" s="1">
        <f t="shared" si="576"/>
        <v>0</v>
      </c>
      <c r="AD684" s="1" t="str">
        <f t="shared" si="580"/>
        <v/>
      </c>
      <c r="AE684" s="1" t="str">
        <f t="shared" si="581"/>
        <v/>
      </c>
      <c r="AF684" s="1">
        <f t="shared" si="577"/>
        <v>0</v>
      </c>
      <c r="AG684" s="1">
        <f t="shared" si="589"/>
        <v>5</v>
      </c>
      <c r="AH684" s="1" t="str">
        <f t="shared" si="588"/>
        <v/>
      </c>
      <c r="AI684" s="1">
        <v>1</v>
      </c>
      <c r="AJ684" s="1">
        <f t="shared" si="600"/>
        <v>0</v>
      </c>
      <c r="AK684" s="1">
        <v>1</v>
      </c>
      <c r="AL684" s="1">
        <v>2</v>
      </c>
      <c r="AM684" s="1">
        <v>1</v>
      </c>
      <c r="AN684" s="1">
        <f t="shared" si="601"/>
        <v>0</v>
      </c>
      <c r="AO684" s="1">
        <v>2</v>
      </c>
      <c r="AP684" s="1">
        <v>1</v>
      </c>
      <c r="AQ684" s="1">
        <v>1</v>
      </c>
      <c r="AR684" s="1">
        <v>1</v>
      </c>
      <c r="AS684" s="1">
        <v>1</v>
      </c>
      <c r="AT684" s="1">
        <v>1</v>
      </c>
      <c r="AU684" s="1">
        <v>1</v>
      </c>
      <c r="AV684" s="1">
        <v>1</v>
      </c>
      <c r="AW684" s="1">
        <v>2</v>
      </c>
      <c r="AX684" s="1">
        <v>1</v>
      </c>
      <c r="AY684" s="1">
        <v>1</v>
      </c>
      <c r="AZ684" s="1">
        <v>2</v>
      </c>
      <c r="BA684" s="1">
        <v>1</v>
      </c>
      <c r="BB684" s="1">
        <v>2</v>
      </c>
      <c r="BC684" s="1">
        <v>2</v>
      </c>
      <c r="BD684" s="1">
        <v>1</v>
      </c>
      <c r="BE684" s="1">
        <v>1</v>
      </c>
      <c r="BF684" s="1">
        <v>2</v>
      </c>
      <c r="BG684" s="1">
        <f t="shared" si="602"/>
        <v>0</v>
      </c>
      <c r="BH684" s="1">
        <f t="shared" si="603"/>
        <v>0</v>
      </c>
      <c r="BI684" s="1">
        <v>2</v>
      </c>
      <c r="BJ684" s="1">
        <v>1</v>
      </c>
      <c r="BK684" s="1">
        <v>2</v>
      </c>
      <c r="BL684" s="1">
        <v>1</v>
      </c>
      <c r="BM684" s="1">
        <v>2</v>
      </c>
      <c r="BN684" s="1">
        <v>1</v>
      </c>
      <c r="BO684" s="1">
        <v>2</v>
      </c>
      <c r="BP684" s="1">
        <f>1+NOT(HRLivingGreyhawk)</f>
        <v>2</v>
      </c>
      <c r="BQ684" s="1">
        <f>IF(HRRVL,1,0)</f>
        <v>0</v>
      </c>
      <c r="BR684" s="1">
        <v>1</v>
      </c>
      <c r="BS684" s="1">
        <v>1</v>
      </c>
      <c r="BT684" s="1">
        <f>IF(HRXPH,1,0)</f>
        <v>0</v>
      </c>
      <c r="BU684" s="1">
        <f>IF(HRRVL,2,0)</f>
        <v>0</v>
      </c>
      <c r="BV684" s="1">
        <v>2</v>
      </c>
      <c r="BW684" s="1">
        <v>2</v>
      </c>
      <c r="BX684" s="1">
        <v>1</v>
      </c>
      <c r="BY684" s="1">
        <v>1</v>
      </c>
      <c r="BZ684" s="1">
        <v>1</v>
      </c>
      <c r="CA684" s="1">
        <v>1</v>
      </c>
      <c r="CB684" s="1">
        <v>1</v>
      </c>
      <c r="CC684" s="1">
        <v>1</v>
      </c>
      <c r="CD684" s="1">
        <v>1</v>
      </c>
      <c r="CE684" s="1">
        <v>1</v>
      </c>
      <c r="CF684" s="1">
        <v>2</v>
      </c>
      <c r="CG684" s="1">
        <f t="shared" si="604"/>
        <v>0</v>
      </c>
      <c r="CH684" s="1">
        <v>2</v>
      </c>
      <c r="CI684" s="1">
        <v>1</v>
      </c>
      <c r="CJ684" s="1">
        <v>1</v>
      </c>
      <c r="CK684" s="1">
        <v>1</v>
      </c>
      <c r="CL684" s="1">
        <v>1</v>
      </c>
      <c r="CM684" s="1">
        <v>1</v>
      </c>
      <c r="CN684" s="1">
        <v>1</v>
      </c>
      <c r="CO684" s="1">
        <v>1</v>
      </c>
      <c r="CP684" s="1">
        <v>1</v>
      </c>
      <c r="CQ684" s="1">
        <v>1</v>
      </c>
      <c r="CR684" s="1">
        <v>1</v>
      </c>
      <c r="CS684" s="1">
        <v>1</v>
      </c>
      <c r="CT684" s="1">
        <v>1</v>
      </c>
      <c r="CU684" s="1">
        <v>1</v>
      </c>
      <c r="CV684" s="1">
        <f>IF(HRXPH,1,0)</f>
        <v>0</v>
      </c>
      <c r="CW684" s="1">
        <v>1</v>
      </c>
      <c r="CX684" s="1">
        <v>2</v>
      </c>
      <c r="CY684" s="1">
        <v>2</v>
      </c>
      <c r="CZ684" s="1">
        <f t="shared" si="605"/>
        <v>0</v>
      </c>
      <c r="DA684" s="1">
        <v>1</v>
      </c>
      <c r="DB684" s="1">
        <v>1</v>
      </c>
      <c r="DC684" s="1">
        <v>2</v>
      </c>
      <c r="DD684" s="1">
        <v>2</v>
      </c>
      <c r="DE684" s="1">
        <v>1</v>
      </c>
      <c r="DF684" s="1">
        <v>1</v>
      </c>
      <c r="DG684" s="1">
        <v>1</v>
      </c>
      <c r="DH684" s="1">
        <v>2</v>
      </c>
      <c r="DI684" s="1">
        <f t="shared" si="606"/>
        <v>0</v>
      </c>
      <c r="DJ684" s="1">
        <v>1</v>
      </c>
      <c r="DK684" s="1" t="s">
        <v>1581</v>
      </c>
      <c r="DL684" s="1" t="s">
        <v>101</v>
      </c>
      <c r="DR684" s="1" t="b">
        <f>NOT(TypeInfo="Aberration")</f>
        <v>1</v>
      </c>
      <c r="DS684" s="1" t="b">
        <f>SkGatherInformationRanks&gt;=5</f>
        <v>0</v>
      </c>
      <c r="DT684" s="1" t="b">
        <f>SkKnowledgeArcanaRanks&gt;=8</f>
        <v>0</v>
      </c>
      <c r="DU684" s="1" t="b">
        <f>SkKnowledgeDungeoneeringRanks&gt;=8</f>
        <v>0</v>
      </c>
      <c r="DV684" s="1" t="b">
        <f>SkSenseMotiveRanks&gt;=5</f>
        <v>0</v>
      </c>
      <c r="DW684" s="1" t="b">
        <f>FtAberrationBanemagic</f>
        <v>0</v>
      </c>
      <c r="DX684" s="1" t="b">
        <f>FtCraftWonderousItem</f>
        <v>0</v>
      </c>
      <c r="EA684" s="1" t="b">
        <f t="shared" si="607"/>
        <v>0</v>
      </c>
      <c r="EB684" s="11" t="s">
        <v>338</v>
      </c>
      <c r="EC684" s="1" t="str">
        <f>IF(DR684,"","• Must not be an Aberration.
")&amp;IF(DS684,"","• 5 ranks in Gather Information.
")&amp;IF(DT684,"","• 8 ranks in Knowledge (arcana).
")&amp;IF(DU684,"","• 8 ranks in Knowledge (dungeoneering).
")&amp;IF(DV684,"","• 5 ranks in Sense Motive.
")&amp;IF(DW684,"","• Aberration Banemagic Feat.
")&amp;IF(DX684,"","• Craft Wondrous Items Feat
")&amp;"• Must create a cerulean sign without aid (not verified)."</f>
        <v>• 5 ranks in Gather Information.
• 8 ranks in Knowledge (arcana).
• 8 ranks in Knowledge (dungeoneering).
• 5 ranks in Sense Motive.
• Aberration Banemagic Feat.
• Craft Wondrous Items Feat
• Must create a cerulean sign without aid (not verified).</v>
      </c>
      <c r="ED684" s="11" t="s">
        <v>335</v>
      </c>
    </row>
    <row r="685" spans="1:134" ht="11.25" customHeight="1" x14ac:dyDescent="0.2">
      <c r="A685" s="1">
        <f t="shared" si="582"/>
        <v>682</v>
      </c>
      <c r="B685" s="1" t="s">
        <v>1587</v>
      </c>
      <c r="C685" s="1" t="s">
        <v>1588</v>
      </c>
      <c r="D685" s="1" t="s">
        <v>1588</v>
      </c>
      <c r="E685" s="1">
        <f t="shared" si="575"/>
        <v>0</v>
      </c>
      <c r="K685" s="1">
        <v>4</v>
      </c>
      <c r="L685" s="1">
        <v>8</v>
      </c>
      <c r="V685" s="1">
        <v>1</v>
      </c>
      <c r="W685" s="1">
        <v>0.5</v>
      </c>
      <c r="X685" s="1">
        <v>0.34</v>
      </c>
      <c r="Y685" s="1">
        <v>0.5</v>
      </c>
      <c r="Z685" s="1" t="b">
        <f>FALSE</f>
        <v>0</v>
      </c>
      <c r="AA685" s="1" t="str">
        <f t="shared" si="578"/>
        <v/>
      </c>
      <c r="AB685" s="1" t="str">
        <f t="shared" si="579"/>
        <v/>
      </c>
      <c r="AC685" s="1">
        <f t="shared" si="576"/>
        <v>0</v>
      </c>
      <c r="AD685" s="1" t="str">
        <f t="shared" si="580"/>
        <v/>
      </c>
      <c r="AE685" s="1" t="str">
        <f t="shared" si="581"/>
        <v/>
      </c>
      <c r="AF685" s="1">
        <f t="shared" si="577"/>
        <v>0</v>
      </c>
      <c r="AG685" s="1">
        <f t="shared" si="589"/>
        <v>5</v>
      </c>
      <c r="AH685" s="1" t="str">
        <f t="shared" si="588"/>
        <v/>
      </c>
      <c r="AI685" s="1">
        <v>1</v>
      </c>
      <c r="AJ685" s="1">
        <f t="shared" si="600"/>
        <v>0</v>
      </c>
      <c r="AK685" s="1">
        <v>1</v>
      </c>
      <c r="AL685" s="1">
        <v>1</v>
      </c>
      <c r="AM685" s="1">
        <v>1</v>
      </c>
      <c r="AN685" s="1">
        <f t="shared" si="601"/>
        <v>0</v>
      </c>
      <c r="AO685" s="1">
        <v>2</v>
      </c>
      <c r="AP685" s="1">
        <v>1</v>
      </c>
      <c r="AQ685" s="1">
        <v>1</v>
      </c>
      <c r="AR685" s="1">
        <v>1</v>
      </c>
      <c r="AS685" s="1">
        <v>1</v>
      </c>
      <c r="AT685" s="1">
        <v>1</v>
      </c>
      <c r="AU685" s="1">
        <v>1</v>
      </c>
      <c r="AV685" s="1">
        <v>1</v>
      </c>
      <c r="AW685" s="1">
        <v>1</v>
      </c>
      <c r="AX685" s="1">
        <v>1</v>
      </c>
      <c r="AY685" s="1">
        <v>1</v>
      </c>
      <c r="AZ685" s="1">
        <v>2</v>
      </c>
      <c r="BA685" s="1">
        <v>1</v>
      </c>
      <c r="BB685" s="1">
        <v>1</v>
      </c>
      <c r="BC685" s="1">
        <v>2</v>
      </c>
      <c r="BD685" s="1">
        <v>1</v>
      </c>
      <c r="BE685" s="1">
        <v>1</v>
      </c>
      <c r="BF685" s="1">
        <v>1</v>
      </c>
      <c r="BG685" s="1">
        <f t="shared" si="602"/>
        <v>0</v>
      </c>
      <c r="BH685" s="1">
        <f t="shared" si="603"/>
        <v>0</v>
      </c>
      <c r="BI685" s="1">
        <v>2</v>
      </c>
      <c r="BJ685" s="1">
        <v>1</v>
      </c>
      <c r="BK685" s="1">
        <v>2</v>
      </c>
      <c r="BL685" s="1">
        <v>1</v>
      </c>
      <c r="BM685" s="1">
        <v>2</v>
      </c>
      <c r="BN685" s="1">
        <v>1</v>
      </c>
      <c r="BO685" s="1">
        <v>1</v>
      </c>
      <c r="BP685" s="1">
        <v>1</v>
      </c>
      <c r="BQ685" s="1">
        <f>IF(HRRVL,1,0)</f>
        <v>0</v>
      </c>
      <c r="BR685" s="1">
        <v>1</v>
      </c>
      <c r="BS685" s="1">
        <v>1</v>
      </c>
      <c r="BT685" s="1">
        <v>2</v>
      </c>
      <c r="BU685" s="1">
        <f>IF(HRRVL,1,0)</f>
        <v>0</v>
      </c>
      <c r="BV685" s="1">
        <v>1</v>
      </c>
      <c r="BW685" s="1">
        <v>1</v>
      </c>
      <c r="BX685" s="1">
        <v>1</v>
      </c>
      <c r="BY685" s="1">
        <v>1</v>
      </c>
      <c r="BZ685" s="1">
        <v>1</v>
      </c>
      <c r="CA685" s="1">
        <v>1</v>
      </c>
      <c r="CB685" s="1">
        <v>1</v>
      </c>
      <c r="CC685" s="1">
        <v>1</v>
      </c>
      <c r="CD685" s="1">
        <v>1</v>
      </c>
      <c r="CE685" s="1">
        <v>1</v>
      </c>
      <c r="CF685" s="1">
        <v>2</v>
      </c>
      <c r="CG685" s="1">
        <f t="shared" si="604"/>
        <v>0</v>
      </c>
      <c r="CH685" s="1">
        <v>1</v>
      </c>
      <c r="CI685" s="1">
        <v>1</v>
      </c>
      <c r="CJ685" s="1">
        <v>1</v>
      </c>
      <c r="CK685" s="1">
        <v>1</v>
      </c>
      <c r="CL685" s="1">
        <v>1</v>
      </c>
      <c r="CM685" s="1">
        <v>1</v>
      </c>
      <c r="CN685" s="1">
        <v>1</v>
      </c>
      <c r="CO685" s="1">
        <v>1</v>
      </c>
      <c r="CP685" s="1">
        <v>1</v>
      </c>
      <c r="CQ685" s="1">
        <v>1</v>
      </c>
      <c r="CR685" s="1">
        <v>1</v>
      </c>
      <c r="CS685" s="1">
        <v>1</v>
      </c>
      <c r="CT685" s="1">
        <v>1</v>
      </c>
      <c r="CU685" s="1">
        <v>1</v>
      </c>
      <c r="CV685" s="1">
        <v>2</v>
      </c>
      <c r="CW685" s="1">
        <v>1</v>
      </c>
      <c r="CX685" s="1">
        <v>2</v>
      </c>
      <c r="CY685" s="1">
        <v>2</v>
      </c>
      <c r="CZ685" s="1">
        <f t="shared" si="605"/>
        <v>0</v>
      </c>
      <c r="DA685" s="1">
        <v>1</v>
      </c>
      <c r="DB685" s="1">
        <v>1</v>
      </c>
      <c r="DC685" s="1">
        <v>1</v>
      </c>
      <c r="DD685" s="1">
        <v>2</v>
      </c>
      <c r="DE685" s="1">
        <v>1</v>
      </c>
      <c r="DF685" s="1">
        <v>1</v>
      </c>
      <c r="DG685" s="1">
        <v>1</v>
      </c>
      <c r="DH685" s="1">
        <v>1</v>
      </c>
      <c r="DI685" s="1">
        <f t="shared" si="606"/>
        <v>0</v>
      </c>
      <c r="DJ685" s="1">
        <v>1</v>
      </c>
      <c r="DK685" s="1" t="s">
        <v>1581</v>
      </c>
      <c r="DL685" s="1" t="s">
        <v>101</v>
      </c>
      <c r="DR685" s="1" t="b">
        <f>AlignmentNonEvil</f>
        <v>1</v>
      </c>
      <c r="DS685" s="1" t="b">
        <f>BaseAtk&gt;=4</f>
        <v>0</v>
      </c>
      <c r="DT685" s="1" t="b">
        <f>SkKnowledgeDungeoneeringRanks&gt;=2</f>
        <v>0</v>
      </c>
      <c r="DU685" s="1" t="b">
        <f>SkKnowledgePsionicsRanks&gt;=2</f>
        <v>0</v>
      </c>
      <c r="DV685" s="1" t="b">
        <f>SkSenseMotiveRanks&gt;=2</f>
        <v>0</v>
      </c>
      <c r="DW685" s="1" t="b">
        <f>FtIronWill</f>
        <v>0</v>
      </c>
      <c r="DX685" s="1" t="b">
        <f>MartialProf</f>
        <v>1</v>
      </c>
      <c r="DY685" s="1" t="b">
        <f>PowerPointReserve&gt;=1</f>
        <v>0</v>
      </c>
      <c r="EA685" s="1" t="b">
        <f t="shared" si="607"/>
        <v>0</v>
      </c>
      <c r="EB685" s="11" t="s">
        <v>334</v>
      </c>
      <c r="EC685" s="1" t="str">
        <f>IF(DR685,"","• Must be of any nonevil alignment.
")&amp;IF(DS685,"","• Base Attack Bonus of +4 or greater.
")&amp;IF(DT685,"","• 2 ranks in Knowledge (dungeoneering).
")&amp;IF(DU685,"","• 2 ranks in Knowledge (psionics).
")&amp;IF(DV685,"","• 2 ranks in Sense Motive.
")&amp;IF(DW685,"","• Iron Will Feat.
")&amp;IF(DX685,"","• Proficient with all martial weapons.
")&amp;IF(DY685,"","• Must have a power point reserve of at least 1 power point.")</f>
        <v>• Base Attack Bonus of +4 or greater.
• 2 ranks in Knowledge (dungeoneering).
• 2 ranks in Knowledge (psionics).
• 2 ranks in Sense Motive.
• Iron Will Feat.
• Must have a power point reserve of at least 1 power point.</v>
      </c>
      <c r="ED685" s="11" t="s">
        <v>335</v>
      </c>
    </row>
    <row r="686" spans="1:134" ht="11.25" customHeight="1" x14ac:dyDescent="0.2">
      <c r="A686" s="1">
        <f t="shared" si="582"/>
        <v>683</v>
      </c>
      <c r="B686" s="1" t="s">
        <v>1589</v>
      </c>
      <c r="C686" s="1" t="s">
        <v>1590</v>
      </c>
      <c r="D686" s="1" t="s">
        <v>1590</v>
      </c>
      <c r="E686" s="1">
        <f t="shared" si="575"/>
        <v>0</v>
      </c>
      <c r="G686" s="1">
        <f>IF(TzGLvl&gt;=3,TzGLvl-2,IF(TzGLvl&gt;=2,TzGLvl-1,0))</f>
        <v>0</v>
      </c>
      <c r="K686" s="1">
        <v>2</v>
      </c>
      <c r="L686" s="1">
        <v>8</v>
      </c>
      <c r="V686" s="1">
        <v>1</v>
      </c>
      <c r="W686" s="1">
        <v>0.5</v>
      </c>
      <c r="X686" s="1">
        <v>0.34</v>
      </c>
      <c r="Y686" s="1">
        <v>0.5</v>
      </c>
      <c r="Z686" s="1" t="b">
        <f>FALSE</f>
        <v>0</v>
      </c>
      <c r="AA686" s="1" t="str">
        <f t="shared" si="578"/>
        <v/>
      </c>
      <c r="AB686" s="1" t="str">
        <f t="shared" si="579"/>
        <v/>
      </c>
      <c r="AC686" s="1">
        <f t="shared" si="576"/>
        <v>0</v>
      </c>
      <c r="AD686" s="1" t="str">
        <f t="shared" si="580"/>
        <v/>
      </c>
      <c r="AE686" s="1" t="str">
        <f t="shared" si="581"/>
        <v/>
      </c>
      <c r="AF686" s="1">
        <f t="shared" si="577"/>
        <v>0</v>
      </c>
      <c r="AG686" s="1">
        <f t="shared" si="589"/>
        <v>5</v>
      </c>
      <c r="AH686" s="1" t="str">
        <f t="shared" si="588"/>
        <v/>
      </c>
      <c r="AI686" s="1">
        <v>1</v>
      </c>
      <c r="AJ686" s="1">
        <f t="shared" si="600"/>
        <v>0</v>
      </c>
      <c r="AK686" s="1">
        <v>1</v>
      </c>
      <c r="AL686" s="1">
        <v>1</v>
      </c>
      <c r="AM686" s="1">
        <v>2</v>
      </c>
      <c r="AN686" s="1">
        <f t="shared" si="601"/>
        <v>0</v>
      </c>
      <c r="AO686" s="1">
        <v>2</v>
      </c>
      <c r="AP686" s="1">
        <v>2</v>
      </c>
      <c r="AQ686" s="1">
        <v>2</v>
      </c>
      <c r="AR686" s="1">
        <v>2</v>
      </c>
      <c r="AS686" s="1">
        <v>2</v>
      </c>
      <c r="AT686" s="1">
        <v>2</v>
      </c>
      <c r="AU686" s="1">
        <v>2</v>
      </c>
      <c r="AV686" s="1">
        <v>2</v>
      </c>
      <c r="AW686" s="1">
        <v>1</v>
      </c>
      <c r="AX686" s="1">
        <v>1</v>
      </c>
      <c r="AY686" s="1">
        <v>1</v>
      </c>
      <c r="AZ686" s="1">
        <v>1</v>
      </c>
      <c r="BA686" s="1">
        <v>1</v>
      </c>
      <c r="BB686" s="1">
        <v>1</v>
      </c>
      <c r="BC686" s="1">
        <v>1</v>
      </c>
      <c r="BD686" s="1">
        <v>1</v>
      </c>
      <c r="BE686" s="1">
        <v>1</v>
      </c>
      <c r="BF686" s="1">
        <v>1</v>
      </c>
      <c r="BG686" s="1">
        <f t="shared" si="602"/>
        <v>0</v>
      </c>
      <c r="BH686" s="1">
        <f t="shared" si="603"/>
        <v>0</v>
      </c>
      <c r="BI686" s="1">
        <v>2</v>
      </c>
      <c r="BJ686" s="1">
        <v>2</v>
      </c>
      <c r="BK686" s="1">
        <v>1</v>
      </c>
      <c r="BL686" s="1">
        <v>1</v>
      </c>
      <c r="BM686" s="1">
        <v>2</v>
      </c>
      <c r="BN686" s="1">
        <v>1</v>
      </c>
      <c r="BO686" s="1">
        <v>1</v>
      </c>
      <c r="BP686" s="1">
        <v>1</v>
      </c>
      <c r="BQ686" s="1">
        <f>IF(HRRVL,1,0)</f>
        <v>0</v>
      </c>
      <c r="BR686" s="1">
        <v>1</v>
      </c>
      <c r="BS686" s="1">
        <v>1</v>
      </c>
      <c r="BT686" s="1">
        <f>IF(HRXPH,1,0)</f>
        <v>0</v>
      </c>
      <c r="BU686" s="1">
        <f>IF(HRRVL,2,0)</f>
        <v>0</v>
      </c>
      <c r="BV686" s="1">
        <v>2</v>
      </c>
      <c r="BW686" s="1">
        <v>1</v>
      </c>
      <c r="BX686" s="1">
        <v>1</v>
      </c>
      <c r="BY686" s="1">
        <v>1</v>
      </c>
      <c r="BZ686" s="1">
        <v>1</v>
      </c>
      <c r="CA686" s="1">
        <v>1</v>
      </c>
      <c r="CB686" s="1">
        <v>1</v>
      </c>
      <c r="CC686" s="1">
        <v>1</v>
      </c>
      <c r="CD686" s="1">
        <v>1</v>
      </c>
      <c r="CE686" s="1">
        <v>1</v>
      </c>
      <c r="CF686" s="1">
        <v>1</v>
      </c>
      <c r="CG686" s="1">
        <f t="shared" si="604"/>
        <v>0</v>
      </c>
      <c r="CH686" s="1">
        <v>1</v>
      </c>
      <c r="CI686" s="1">
        <v>1</v>
      </c>
      <c r="CJ686" s="1">
        <v>1</v>
      </c>
      <c r="CK686" s="1">
        <v>1</v>
      </c>
      <c r="CL686" s="1">
        <v>1</v>
      </c>
      <c r="CM686" s="1">
        <v>1</v>
      </c>
      <c r="CN686" s="1">
        <v>1</v>
      </c>
      <c r="CO686" s="1">
        <v>1</v>
      </c>
      <c r="CP686" s="1">
        <v>2</v>
      </c>
      <c r="CQ686" s="1">
        <v>2</v>
      </c>
      <c r="CR686" s="1">
        <v>2</v>
      </c>
      <c r="CS686" s="1">
        <v>2</v>
      </c>
      <c r="CT686" s="1">
        <v>2</v>
      </c>
      <c r="CU686" s="1">
        <v>2</v>
      </c>
      <c r="CV686" s="1">
        <f>IF(HRXPH,1,0)</f>
        <v>0</v>
      </c>
      <c r="CW686" s="1">
        <v>1</v>
      </c>
      <c r="CX686" s="1">
        <v>1</v>
      </c>
      <c r="CY686" s="1">
        <v>2</v>
      </c>
      <c r="CZ686" s="1">
        <f t="shared" si="605"/>
        <v>0</v>
      </c>
      <c r="DA686" s="1">
        <v>1</v>
      </c>
      <c r="DB686" s="1">
        <v>1</v>
      </c>
      <c r="DC686" s="1">
        <v>1</v>
      </c>
      <c r="DD686" s="1">
        <v>2</v>
      </c>
      <c r="DE686" s="1">
        <v>1</v>
      </c>
      <c r="DF686" s="1">
        <v>1</v>
      </c>
      <c r="DG686" s="1">
        <v>1</v>
      </c>
      <c r="DH686" s="1">
        <v>1</v>
      </c>
      <c r="DI686" s="1">
        <f t="shared" si="606"/>
        <v>0</v>
      </c>
      <c r="DJ686" s="1">
        <v>1</v>
      </c>
      <c r="DK686" s="1" t="s">
        <v>1581</v>
      </c>
      <c r="DL686" s="1" t="s">
        <v>101</v>
      </c>
      <c r="DR686" s="1" t="b">
        <f>AlignmentGood</f>
        <v>1</v>
      </c>
      <c r="DS686" s="1" t="b">
        <f>BaseAtk&gt;=5</f>
        <v>0</v>
      </c>
      <c r="DT686" s="1" t="b">
        <f>OR(BaseWill&gt;=3,DivineGrace)</f>
        <v>0</v>
      </c>
      <c r="DU686" s="1" t="b">
        <f>SkKnowledgeDungeoneeringRanks&gt;=4</f>
        <v>0</v>
      </c>
      <c r="DV686" s="1" t="b">
        <f>SkSenseMotiveRanks&gt;=4</f>
        <v>0</v>
      </c>
      <c r="DW686" s="1" t="b">
        <f>SkSpotRanks&gt;=2</f>
        <v>0</v>
      </c>
      <c r="DX686" s="1" t="b">
        <f>FtQuickRecovery</f>
        <v>0</v>
      </c>
      <c r="EA686" s="1" t="b">
        <f t="shared" si="607"/>
        <v>0</v>
      </c>
      <c r="EB686" s="11" t="s">
        <v>338</v>
      </c>
      <c r="EC686" s="1" t="str">
        <f>IF(DR686,"","• Must be of any Good alignment.
")&amp;IF(DS686,"","• Base Attack Bonus of +5 or greater.
")&amp;IF(DT686,"","• +3 Base Will Save OR divine grace as a class feature.
")&amp;IF(DU686,"","• 4 ranks in Knowledge (dungeoneering).
")&amp;IF(DV686,"","• 4 ranks in Sense Motive.
")&amp;IF(DW686,"","• 2 ranks in Spot.
")&amp;IF(DX686,"","• Quick Recovery Feat.
")&amp;"• Must be sponsored by an existing member and approved by a
  High Sunwarden of the order (not verified)."</f>
        <v>• Base Attack Bonus of +5 or greater.
• +3 Base Will Save OR divine grace as a class feature.
• 4 ranks in Knowledge (dungeoneering).
• 4 ranks in Sense Motive.
• 2 ranks in Spot.
• Quick Recovery Feat.
• Must be sponsored by an existing member and approved by a
  High Sunwarden of the order (not verified).</v>
      </c>
      <c r="ED686" s="11" t="s">
        <v>335</v>
      </c>
    </row>
    <row r="687" spans="1:134" ht="11.25" customHeight="1" x14ac:dyDescent="0.2">
      <c r="A687" s="1">
        <f t="shared" si="582"/>
        <v>684</v>
      </c>
      <c r="B687" s="1" t="s">
        <v>1591</v>
      </c>
      <c r="E687" s="1">
        <f t="shared" si="575"/>
        <v>0</v>
      </c>
      <c r="F687" s="1">
        <v>1</v>
      </c>
      <c r="Z687" s="1" t="b">
        <f>FALSE</f>
        <v>0</v>
      </c>
      <c r="AA687" s="1" t="str">
        <f t="shared" si="578"/>
        <v/>
      </c>
      <c r="AB687" s="1" t="str">
        <f t="shared" si="579"/>
        <v/>
      </c>
      <c r="AC687" s="1">
        <f t="shared" si="576"/>
        <v>0</v>
      </c>
      <c r="AD687" s="1" t="str">
        <f t="shared" si="580"/>
        <v/>
      </c>
      <c r="AE687" s="1" t="str">
        <f t="shared" si="581"/>
        <v/>
      </c>
      <c r="AF687" s="1">
        <f t="shared" si="577"/>
        <v>0</v>
      </c>
      <c r="AG687" s="1">
        <f t="shared" si="589"/>
        <v>5</v>
      </c>
      <c r="AH687" s="1" t="str">
        <f t="shared" si="588"/>
        <v/>
      </c>
      <c r="EB687" s="11"/>
      <c r="ED687" s="11" t="s">
        <v>335</v>
      </c>
    </row>
    <row r="688" spans="1:134" ht="11.25" customHeight="1" x14ac:dyDescent="0.2">
      <c r="A688" s="1">
        <f t="shared" si="582"/>
        <v>685</v>
      </c>
      <c r="B688" s="1" t="s">
        <v>1592</v>
      </c>
      <c r="C688" s="1" t="s">
        <v>1593</v>
      </c>
      <c r="D688" s="1" t="s">
        <v>1593</v>
      </c>
      <c r="E688" s="1">
        <f t="shared" si="575"/>
        <v>0</v>
      </c>
      <c r="K688" s="1">
        <v>6</v>
      </c>
      <c r="L688" s="1">
        <v>6</v>
      </c>
      <c r="N688" s="1" t="b">
        <v>1</v>
      </c>
      <c r="O688" s="1" t="b">
        <v>1</v>
      </c>
      <c r="P688" s="1" t="b">
        <v>1</v>
      </c>
      <c r="Q688" s="1" t="b">
        <v>1</v>
      </c>
      <c r="R688" s="1" t="b">
        <v>1</v>
      </c>
      <c r="S688" s="1" t="b">
        <v>1</v>
      </c>
      <c r="T688" s="1" t="b">
        <v>1</v>
      </c>
      <c r="V688" s="1">
        <v>0.75</v>
      </c>
      <c r="W688" s="1">
        <v>0.5</v>
      </c>
      <c r="X688" s="1">
        <v>0.5</v>
      </c>
      <c r="Y688" s="1">
        <v>0.34</v>
      </c>
      <c r="Z688" s="1" t="b">
        <f>FALSE</f>
        <v>0</v>
      </c>
      <c r="AA688" s="1" t="str">
        <f t="shared" si="578"/>
        <v/>
      </c>
      <c r="AB688" s="1" t="str">
        <f t="shared" si="579"/>
        <v/>
      </c>
      <c r="AC688" s="1">
        <f t="shared" si="576"/>
        <v>0</v>
      </c>
      <c r="AD688" s="1" t="str">
        <f t="shared" si="580"/>
        <v/>
      </c>
      <c r="AE688" s="1" t="str">
        <f t="shared" si="581"/>
        <v/>
      </c>
      <c r="AF688" s="1">
        <f t="shared" si="577"/>
        <v>0</v>
      </c>
      <c r="AG688" s="1">
        <f t="shared" si="589"/>
        <v>5</v>
      </c>
      <c r="AH688" s="1" t="str">
        <f t="shared" si="588"/>
        <v/>
      </c>
      <c r="AI688" s="1">
        <v>1</v>
      </c>
      <c r="AJ688" s="1">
        <f t="shared" ref="AJ688:AJ704" si="608">IF(HRXPH,1,0)</f>
        <v>0</v>
      </c>
      <c r="AK688" s="1">
        <v>2</v>
      </c>
      <c r="AL688" s="1">
        <v>2</v>
      </c>
      <c r="AM688" s="1">
        <v>2</v>
      </c>
      <c r="AN688" s="1">
        <f t="shared" ref="AN688:AN704" si="609">IF(IsLycanthrope,2,0)</f>
        <v>0</v>
      </c>
      <c r="AO688" s="1">
        <v>1</v>
      </c>
      <c r="AP688" s="1">
        <v>2</v>
      </c>
      <c r="AQ688" s="1">
        <v>2</v>
      </c>
      <c r="AR688" s="1">
        <v>2</v>
      </c>
      <c r="AS688" s="1">
        <v>2</v>
      </c>
      <c r="AT688" s="1">
        <v>2</v>
      </c>
      <c r="AU688" s="1">
        <v>2</v>
      </c>
      <c r="AV688" s="1">
        <v>2</v>
      </c>
      <c r="AW688" s="1">
        <v>1</v>
      </c>
      <c r="AX688" s="1">
        <v>1</v>
      </c>
      <c r="AY688" s="1">
        <v>2</v>
      </c>
      <c r="AZ688" s="1">
        <v>2</v>
      </c>
      <c r="BA688" s="1">
        <v>2</v>
      </c>
      <c r="BB688" s="1">
        <v>1</v>
      </c>
      <c r="BC688" s="1">
        <v>2</v>
      </c>
      <c r="BD688" s="1">
        <v>1</v>
      </c>
      <c r="BE688" s="1">
        <v>2</v>
      </c>
      <c r="BF688" s="1">
        <v>2</v>
      </c>
      <c r="BG688" s="1">
        <f t="shared" ref="BG688:BG704" si="610">IF(HRRVL,1,0)</f>
        <v>0</v>
      </c>
      <c r="BH688" s="1">
        <f t="shared" ref="BH688:BH704" si="611">IF(HROA,1,0)</f>
        <v>0</v>
      </c>
      <c r="BI688" s="1">
        <v>2</v>
      </c>
      <c r="BJ688" s="1">
        <v>2</v>
      </c>
      <c r="BK688" s="1">
        <v>1</v>
      </c>
      <c r="BL688" s="1">
        <v>1</v>
      </c>
      <c r="BM688" s="1">
        <v>1</v>
      </c>
      <c r="BN688" s="1">
        <v>1</v>
      </c>
      <c r="BO688" s="1">
        <v>1</v>
      </c>
      <c r="BP688" s="1">
        <v>1</v>
      </c>
      <c r="BQ688" s="1">
        <f>IF(HRRVL,2,0)</f>
        <v>0</v>
      </c>
      <c r="BR688" s="1">
        <v>2</v>
      </c>
      <c r="BS688" s="1">
        <v>1</v>
      </c>
      <c r="BT688" s="1">
        <f>IF(HRXPH,1,0)</f>
        <v>0</v>
      </c>
      <c r="BU688" s="1">
        <f>IF(HRRVL,1,0)</f>
        <v>0</v>
      </c>
      <c r="BV688" s="1">
        <v>1</v>
      </c>
      <c r="BW688" s="1">
        <v>1</v>
      </c>
      <c r="BX688" s="1">
        <v>1</v>
      </c>
      <c r="BY688" s="1">
        <v>1</v>
      </c>
      <c r="BZ688" s="1">
        <v>1</v>
      </c>
      <c r="CA688" s="1">
        <v>1</v>
      </c>
      <c r="CB688" s="1">
        <v>1</v>
      </c>
      <c r="CC688" s="1">
        <v>1</v>
      </c>
      <c r="CD688" s="1">
        <v>1</v>
      </c>
      <c r="CE688" s="1">
        <v>1</v>
      </c>
      <c r="CF688" s="1">
        <v>2</v>
      </c>
      <c r="CG688" s="1">
        <f t="shared" ref="CG688:CG704" si="612">IF(HRToB,1,0)</f>
        <v>0</v>
      </c>
      <c r="CH688" s="1">
        <v>2</v>
      </c>
      <c r="CI688" s="1">
        <v>1</v>
      </c>
      <c r="CJ688" s="1">
        <v>1</v>
      </c>
      <c r="CK688" s="1">
        <v>1</v>
      </c>
      <c r="CL688" s="1">
        <v>1</v>
      </c>
      <c r="CM688" s="1">
        <v>1</v>
      </c>
      <c r="CN688" s="1">
        <v>1</v>
      </c>
      <c r="CO688" s="1">
        <v>1</v>
      </c>
      <c r="CP688" s="1">
        <v>2</v>
      </c>
      <c r="CQ688" s="1">
        <v>2</v>
      </c>
      <c r="CR688" s="1">
        <v>2</v>
      </c>
      <c r="CS688" s="1">
        <v>2</v>
      </c>
      <c r="CT688" s="1">
        <v>2</v>
      </c>
      <c r="CU688" s="1">
        <v>2</v>
      </c>
      <c r="CV688" s="1">
        <f t="shared" ref="CV688:CV704" si="613">IF(HRXPH,1,0)</f>
        <v>0</v>
      </c>
      <c r="CW688" s="1">
        <v>2</v>
      </c>
      <c r="CX688" s="1">
        <v>2</v>
      </c>
      <c r="CY688" s="1">
        <v>2</v>
      </c>
      <c r="CZ688" s="1">
        <f t="shared" ref="CZ688:CZ704" si="614">IF(HRCS,1,0)</f>
        <v>0</v>
      </c>
      <c r="DA688" s="1">
        <v>2</v>
      </c>
      <c r="DB688" s="1">
        <v>1</v>
      </c>
      <c r="DC688" s="1">
        <v>1</v>
      </c>
      <c r="DD688" s="1">
        <v>2</v>
      </c>
      <c r="DE688" s="1">
        <v>1</v>
      </c>
      <c r="DF688" s="1">
        <v>2</v>
      </c>
      <c r="DG688" s="1">
        <v>2</v>
      </c>
      <c r="DH688" s="1">
        <v>1</v>
      </c>
      <c r="DI688" s="1">
        <f t="shared" ref="DI688:DI704" si="615">IF(HRXPH,1,0)</f>
        <v>0</v>
      </c>
      <c r="DJ688" s="1">
        <v>2</v>
      </c>
      <c r="DK688" s="1" t="s">
        <v>1594</v>
      </c>
      <c r="DL688" s="1" t="s">
        <v>101</v>
      </c>
      <c r="DR688" s="1" t="b">
        <f>AlignmentEvil</f>
        <v>0</v>
      </c>
      <c r="DS688" s="1" t="b">
        <f>BaseFort&gt;=5</f>
        <v>0</v>
      </c>
      <c r="DT688" s="1" t="b">
        <f>SkHealRanks&gt;=3</f>
        <v>0</v>
      </c>
      <c r="DU688" s="1" t="b">
        <f>SkHideRanks&gt;=6</f>
        <v>0</v>
      </c>
      <c r="DV688" s="1" t="b">
        <f>SkKnowledgeNatureRanks&gt;=2</f>
        <v>0</v>
      </c>
      <c r="DW688" s="1" t="b">
        <f>SkMoveSilentlyRanks&gt;=6</f>
        <v>0</v>
      </c>
      <c r="DX688" s="1" t="b">
        <f>FtGreatFortitude</f>
        <v>0</v>
      </c>
      <c r="DY688" s="1" t="b">
        <f>FtPoisonImmunity</f>
        <v>0</v>
      </c>
      <c r="DZ688" s="1" t="b">
        <f>FtToughnessEquiv</f>
        <v>0</v>
      </c>
      <c r="EA688" s="1" t="b">
        <f>AND(DM688:DZ688)</f>
        <v>0</v>
      </c>
      <c r="EB688" s="11" t="s">
        <v>338</v>
      </c>
      <c r="EC688" s="1" t="str">
        <f>IF(DR688,"","• You must be of any evil alignment.
")&amp;IF(DS688,"","• Base Fortitude save of at least +5.
")&amp;IF(DT688,"","• 3 ranks in Heal.
")&amp;IF(DU688,"","• 6 ranks in Hide.
")&amp;IF(DV688,"","• 2 ranks in Knowledge (nature).
")&amp;IF(DW688,"","• 6 ranks in Move Silently.
")&amp;IF(DX688,"","• Great Fortitude Feat.
")&amp;IF(DY688,"","• Poison Immunity Feat.
")&amp;IF(DZ688,"","• Toughness Feat.
")&amp;"• Must have fallen victim to the ravages of a disease and must have taken damage from a poison. (not verified)"</f>
        <v>• You must be of any evil alignment.
• Base Fortitude save of at least +5.
• 3 ranks in Heal.
• 6 ranks in Hide.
• 2 ranks in Knowledge (nature).
• 6 ranks in Move Silently.
• Great Fortitude Feat.
• Poison Immunity Feat.
• Toughness Feat.
• Must have fallen victim to the ravages of a disease and must have taken damage from a poison. (not verified)</v>
      </c>
      <c r="ED688" s="11" t="s">
        <v>335</v>
      </c>
    </row>
    <row r="689" spans="1:134" ht="11.25" customHeight="1" x14ac:dyDescent="0.2">
      <c r="A689" s="1">
        <f t="shared" si="582"/>
        <v>686</v>
      </c>
      <c r="B689" s="1" t="s">
        <v>1595</v>
      </c>
      <c r="C689" s="1" t="s">
        <v>1596</v>
      </c>
      <c r="D689" s="1" t="s">
        <v>1596</v>
      </c>
      <c r="E689" s="1">
        <f t="shared" si="575"/>
        <v>0</v>
      </c>
      <c r="K689" s="1">
        <v>4</v>
      </c>
      <c r="L689" s="1">
        <v>4</v>
      </c>
      <c r="V689" s="1">
        <v>0.5</v>
      </c>
      <c r="W689" s="1">
        <v>0.34</v>
      </c>
      <c r="X689" s="1">
        <v>0.34</v>
      </c>
      <c r="Y689" s="1">
        <v>0.5</v>
      </c>
      <c r="Z689" s="1" t="b">
        <f>FALSE</f>
        <v>0</v>
      </c>
      <c r="AA689" s="1" t="str">
        <f t="shared" si="578"/>
        <v/>
      </c>
      <c r="AB689" s="1" t="str">
        <f t="shared" si="579"/>
        <v/>
      </c>
      <c r="AC689" s="1">
        <f t="shared" si="576"/>
        <v>0</v>
      </c>
      <c r="AD689" s="1" t="str">
        <f t="shared" si="580"/>
        <v/>
      </c>
      <c r="AE689" s="1" t="str">
        <f t="shared" si="581"/>
        <v/>
      </c>
      <c r="AF689" s="1">
        <f t="shared" si="577"/>
        <v>0</v>
      </c>
      <c r="AG689" s="1">
        <f t="shared" si="589"/>
        <v>5</v>
      </c>
      <c r="AH689" s="1" t="str">
        <f t="shared" si="588"/>
        <v/>
      </c>
      <c r="AI689" s="1">
        <v>1</v>
      </c>
      <c r="AJ689" s="1">
        <f t="shared" si="608"/>
        <v>0</v>
      </c>
      <c r="AK689" s="1">
        <v>1</v>
      </c>
      <c r="AL689" s="1">
        <v>2</v>
      </c>
      <c r="AM689" s="1">
        <v>1</v>
      </c>
      <c r="AN689" s="1">
        <f t="shared" si="609"/>
        <v>0</v>
      </c>
      <c r="AO689" s="1">
        <v>2</v>
      </c>
      <c r="AP689" s="1">
        <v>1</v>
      </c>
      <c r="AQ689" s="1">
        <v>1</v>
      </c>
      <c r="AR689" s="1">
        <v>1</v>
      </c>
      <c r="AS689" s="1">
        <v>1</v>
      </c>
      <c r="AT689" s="1">
        <v>1</v>
      </c>
      <c r="AU689" s="1">
        <v>1</v>
      </c>
      <c r="AV689" s="1">
        <v>1</v>
      </c>
      <c r="AW689" s="1">
        <v>2</v>
      </c>
      <c r="AX689" s="1">
        <v>1</v>
      </c>
      <c r="AY689" s="1">
        <v>1</v>
      </c>
      <c r="AZ689" s="1">
        <v>1</v>
      </c>
      <c r="BA689" s="1">
        <v>1</v>
      </c>
      <c r="BB689" s="1">
        <v>1</v>
      </c>
      <c r="BC689" s="1">
        <v>1</v>
      </c>
      <c r="BD689" s="1">
        <v>1</v>
      </c>
      <c r="BE689" s="1">
        <v>1</v>
      </c>
      <c r="BF689" s="1">
        <v>1</v>
      </c>
      <c r="BG689" s="1">
        <f t="shared" si="610"/>
        <v>0</v>
      </c>
      <c r="BH689" s="1">
        <f t="shared" si="611"/>
        <v>0</v>
      </c>
      <c r="BI689" s="1">
        <v>1</v>
      </c>
      <c r="BJ689" s="1">
        <v>1</v>
      </c>
      <c r="BK689" s="1">
        <v>2</v>
      </c>
      <c r="BL689" s="1">
        <v>1</v>
      </c>
      <c r="BM689" s="1">
        <v>1</v>
      </c>
      <c r="BN689" s="1">
        <v>1</v>
      </c>
      <c r="BO689" s="1">
        <v>1</v>
      </c>
      <c r="BP689" s="1">
        <v>1</v>
      </c>
      <c r="BQ689" s="1">
        <f>IF(HRRVL,1,0)</f>
        <v>0</v>
      </c>
      <c r="BR689" s="1">
        <v>1</v>
      </c>
      <c r="BS689" s="1">
        <v>1</v>
      </c>
      <c r="BT689" s="1">
        <f>IF(HRXPH,1,0)</f>
        <v>0</v>
      </c>
      <c r="BU689" s="1">
        <f>IF(HRRVL,2,0)</f>
        <v>0</v>
      </c>
      <c r="BV689" s="1">
        <v>2</v>
      </c>
      <c r="BW689" s="1">
        <v>2</v>
      </c>
      <c r="BX689" s="1">
        <v>1</v>
      </c>
      <c r="BY689" s="1">
        <v>1</v>
      </c>
      <c r="BZ689" s="1">
        <v>1</v>
      </c>
      <c r="CA689" s="1">
        <v>1</v>
      </c>
      <c r="CB689" s="1">
        <v>1</v>
      </c>
      <c r="CC689" s="1">
        <v>1</v>
      </c>
      <c r="CD689" s="1">
        <v>1</v>
      </c>
      <c r="CE689" s="1">
        <v>1</v>
      </c>
      <c r="CF689" s="1">
        <v>1</v>
      </c>
      <c r="CG689" s="1">
        <f t="shared" si="612"/>
        <v>0</v>
      </c>
      <c r="CH689" s="1">
        <v>1</v>
      </c>
      <c r="CI689" s="1">
        <v>1</v>
      </c>
      <c r="CJ689" s="1">
        <v>1</v>
      </c>
      <c r="CK689" s="1">
        <v>1</v>
      </c>
      <c r="CL689" s="1">
        <v>1</v>
      </c>
      <c r="CM689" s="1">
        <v>1</v>
      </c>
      <c r="CN689" s="1">
        <v>1</v>
      </c>
      <c r="CO689" s="1">
        <v>1</v>
      </c>
      <c r="CP689" s="1">
        <v>1</v>
      </c>
      <c r="CQ689" s="1">
        <v>1</v>
      </c>
      <c r="CR689" s="1">
        <v>1</v>
      </c>
      <c r="CS689" s="1">
        <v>1</v>
      </c>
      <c r="CT689" s="1">
        <v>1</v>
      </c>
      <c r="CU689" s="1">
        <v>1</v>
      </c>
      <c r="CV689" s="1">
        <f t="shared" si="613"/>
        <v>0</v>
      </c>
      <c r="CW689" s="1">
        <v>2</v>
      </c>
      <c r="CX689" s="1">
        <v>1</v>
      </c>
      <c r="CY689" s="1">
        <v>2</v>
      </c>
      <c r="CZ689" s="1">
        <f t="shared" si="614"/>
        <v>0</v>
      </c>
      <c r="DA689" s="1">
        <v>1</v>
      </c>
      <c r="DB689" s="1">
        <v>1</v>
      </c>
      <c r="DC689" s="1">
        <v>2</v>
      </c>
      <c r="DD689" s="1">
        <v>1</v>
      </c>
      <c r="DE689" s="1">
        <v>1</v>
      </c>
      <c r="DF689" s="1">
        <v>1</v>
      </c>
      <c r="DG689" s="1">
        <v>1</v>
      </c>
      <c r="DH689" s="1">
        <v>1</v>
      </c>
      <c r="DI689" s="1">
        <f t="shared" si="615"/>
        <v>0</v>
      </c>
      <c r="DJ689" s="1">
        <v>1</v>
      </c>
      <c r="DK689" s="1" t="s">
        <v>1594</v>
      </c>
      <c r="DL689" s="1" t="s">
        <v>101</v>
      </c>
      <c r="DR689" s="1" t="b">
        <f>AND(AlignmentChaotic,AlignmentEvil)</f>
        <v>0</v>
      </c>
      <c r="DS689" s="1" t="b">
        <f>SkKnowledgeArcanaRanks&gt;=4</f>
        <v>0</v>
      </c>
      <c r="DT689" s="1" t="b">
        <f>SkKnowledgePlanesRanks&gt;=8</f>
        <v>0</v>
      </c>
      <c r="DU689" s="1" t="b">
        <f>FtEvilBrand</f>
        <v>0</v>
      </c>
      <c r="DV689" s="1" t="b">
        <f>FtSacrificialMastery</f>
        <v>0</v>
      </c>
      <c r="DW689" s="1" t="b">
        <f>NOT(ISNA(MATCH("Evil",TblSpellFocus,0)))</f>
        <v>0</v>
      </c>
      <c r="EA689" s="1" t="b">
        <f t="shared" ref="EA689:EA702" si="616">AND(DM689:DZ689)</f>
        <v>0</v>
      </c>
      <c r="EB689" s="11" t="s">
        <v>338</v>
      </c>
      <c r="EC689" s="1" t="str">
        <f>IF(DR689,"","• You must be of Chaotic Evil alignment.
")&amp;IF(DS689,"","• 4 ranks in Knowledge (arcana).
")&amp;IF(DT689,"","• 8 ranks in Knowledge (the Planes).
")&amp;IF(DU689,"","• Evil Brand feat.
")&amp;IF(DV689,"","• Sacrificial Mastery feat.
")&amp;IF(DW689,"","• Malign Spell Focus feat.
")&amp;IF(DX689,"","• Must be able to cast at least six arcane spells of the Conjuration school, one of which must be at least 3rd level. (not verified).")</f>
        <v>• You must be of Chaotic Evil alignment.
• 4 ranks in Knowledge (arcana).
• 8 ranks in Knowledge (the Planes).
• Evil Brand feat.
• Sacrificial Mastery feat.
• Malign Spell Focus feat.
• Must be able to cast at least six arcane spells of the Conjuration school, one of which must be at least 3rd level. (not verified).</v>
      </c>
      <c r="ED689" s="11" t="s">
        <v>335</v>
      </c>
    </row>
    <row r="690" spans="1:134" ht="11.25" customHeight="1" x14ac:dyDescent="0.2">
      <c r="A690" s="1">
        <f t="shared" si="582"/>
        <v>687</v>
      </c>
      <c r="B690" s="1" t="s">
        <v>1597</v>
      </c>
      <c r="C690" s="1" t="s">
        <v>1598</v>
      </c>
      <c r="D690" s="1" t="s">
        <v>1598</v>
      </c>
      <c r="E690" s="1">
        <f t="shared" si="575"/>
        <v>0</v>
      </c>
      <c r="G690" s="1">
        <f>DiaLvl</f>
        <v>0</v>
      </c>
      <c r="K690" s="1">
        <v>2</v>
      </c>
      <c r="L690" s="1">
        <v>4</v>
      </c>
      <c r="V690" s="1">
        <v>0.5</v>
      </c>
      <c r="W690" s="1">
        <v>0.34</v>
      </c>
      <c r="X690" s="1">
        <v>0.34</v>
      </c>
      <c r="Y690" s="1">
        <v>0.5</v>
      </c>
      <c r="Z690" s="1" t="b">
        <f>FALSE</f>
        <v>0</v>
      </c>
      <c r="AA690" s="1" t="str">
        <f t="shared" si="578"/>
        <v/>
      </c>
      <c r="AB690" s="1" t="str">
        <f t="shared" si="579"/>
        <v/>
      </c>
      <c r="AC690" s="1">
        <f t="shared" si="576"/>
        <v>0</v>
      </c>
      <c r="AD690" s="1" t="str">
        <f t="shared" si="580"/>
        <v/>
      </c>
      <c r="AE690" s="1" t="str">
        <f t="shared" si="581"/>
        <v/>
      </c>
      <c r="AF690" s="1">
        <f t="shared" si="577"/>
        <v>0</v>
      </c>
      <c r="AG690" s="1">
        <f t="shared" si="589"/>
        <v>5</v>
      </c>
      <c r="AH690" s="1" t="str">
        <f t="shared" si="588"/>
        <v/>
      </c>
      <c r="AI690" s="1">
        <v>1</v>
      </c>
      <c r="AJ690" s="1">
        <f t="shared" si="608"/>
        <v>0</v>
      </c>
      <c r="AK690" s="1">
        <v>1</v>
      </c>
      <c r="AL690" s="1">
        <v>2</v>
      </c>
      <c r="AM690" s="1">
        <v>1</v>
      </c>
      <c r="AN690" s="1">
        <f t="shared" si="609"/>
        <v>0</v>
      </c>
      <c r="AO690" s="1">
        <v>2</v>
      </c>
      <c r="AP690" s="1">
        <v>1</v>
      </c>
      <c r="AQ690" s="1">
        <v>1</v>
      </c>
      <c r="AR690" s="1">
        <v>1</v>
      </c>
      <c r="AS690" s="1">
        <v>1</v>
      </c>
      <c r="AT690" s="1">
        <v>1</v>
      </c>
      <c r="AU690" s="1">
        <v>1</v>
      </c>
      <c r="AV690" s="1">
        <v>1</v>
      </c>
      <c r="AW690" s="1">
        <v>1</v>
      </c>
      <c r="AX690" s="1">
        <v>2</v>
      </c>
      <c r="AY690" s="1">
        <v>1</v>
      </c>
      <c r="AZ690" s="1">
        <v>1</v>
      </c>
      <c r="BA690" s="1">
        <v>1</v>
      </c>
      <c r="BB690" s="1">
        <v>1</v>
      </c>
      <c r="BC690" s="1">
        <v>1</v>
      </c>
      <c r="BD690" s="1">
        <v>1</v>
      </c>
      <c r="BE690" s="1">
        <v>1</v>
      </c>
      <c r="BF690" s="1">
        <v>1</v>
      </c>
      <c r="BG690" s="1">
        <f t="shared" si="610"/>
        <v>0</v>
      </c>
      <c r="BH690" s="1">
        <f t="shared" si="611"/>
        <v>0</v>
      </c>
      <c r="BI690" s="1">
        <v>2</v>
      </c>
      <c r="BJ690" s="1">
        <v>1</v>
      </c>
      <c r="BK690" s="1">
        <v>2</v>
      </c>
      <c r="BL690" s="1">
        <v>1</v>
      </c>
      <c r="BM690" s="1">
        <v>1</v>
      </c>
      <c r="BN690" s="1">
        <v>1</v>
      </c>
      <c r="BO690" s="1">
        <v>1</v>
      </c>
      <c r="BP690" s="1">
        <v>1</v>
      </c>
      <c r="BQ690" s="1">
        <f>IF(HRRVL,1,0)</f>
        <v>0</v>
      </c>
      <c r="BR690" s="1">
        <v>1</v>
      </c>
      <c r="BS690" s="1">
        <v>1</v>
      </c>
      <c r="BT690" s="1">
        <f>IF(HRXPH,1,0)</f>
        <v>0</v>
      </c>
      <c r="BU690" s="1">
        <f>IF(HRRVL,1,0)</f>
        <v>0</v>
      </c>
      <c r="BV690" s="1">
        <v>1</v>
      </c>
      <c r="BW690" s="1">
        <v>2</v>
      </c>
      <c r="BX690" s="1">
        <v>1</v>
      </c>
      <c r="BY690" s="1">
        <v>1</v>
      </c>
      <c r="BZ690" s="1">
        <v>1</v>
      </c>
      <c r="CA690" s="1">
        <v>1</v>
      </c>
      <c r="CB690" s="1">
        <v>1</v>
      </c>
      <c r="CC690" s="1">
        <v>1</v>
      </c>
      <c r="CD690" s="1">
        <v>1</v>
      </c>
      <c r="CE690" s="1">
        <v>1</v>
      </c>
      <c r="CF690" s="1">
        <v>1</v>
      </c>
      <c r="CG690" s="1">
        <f t="shared" si="612"/>
        <v>0</v>
      </c>
      <c r="CH690" s="1">
        <v>1</v>
      </c>
      <c r="CI690" s="1">
        <v>1</v>
      </c>
      <c r="CJ690" s="1">
        <v>1</v>
      </c>
      <c r="CK690" s="1">
        <v>1</v>
      </c>
      <c r="CL690" s="1">
        <v>1</v>
      </c>
      <c r="CM690" s="1">
        <v>1</v>
      </c>
      <c r="CN690" s="1">
        <v>1</v>
      </c>
      <c r="CO690" s="1">
        <v>1</v>
      </c>
      <c r="CP690" s="1">
        <v>1</v>
      </c>
      <c r="CQ690" s="1">
        <v>1</v>
      </c>
      <c r="CR690" s="1">
        <v>1</v>
      </c>
      <c r="CS690" s="1">
        <v>1</v>
      </c>
      <c r="CT690" s="1">
        <v>1</v>
      </c>
      <c r="CU690" s="1">
        <v>1</v>
      </c>
      <c r="CV690" s="1">
        <f t="shared" si="613"/>
        <v>0</v>
      </c>
      <c r="CW690" s="1">
        <v>1</v>
      </c>
      <c r="CX690" s="1">
        <v>1</v>
      </c>
      <c r="CY690" s="1">
        <v>1</v>
      </c>
      <c r="CZ690" s="1">
        <f t="shared" si="614"/>
        <v>0</v>
      </c>
      <c r="DA690" s="1">
        <v>1</v>
      </c>
      <c r="DB690" s="1">
        <v>1</v>
      </c>
      <c r="DC690" s="1">
        <v>2</v>
      </c>
      <c r="DD690" s="1">
        <v>2</v>
      </c>
      <c r="DE690" s="1">
        <v>1</v>
      </c>
      <c r="DF690" s="1">
        <v>1</v>
      </c>
      <c r="DG690" s="1">
        <v>1</v>
      </c>
      <c r="DH690" s="1">
        <v>1</v>
      </c>
      <c r="DI690" s="1">
        <f t="shared" si="615"/>
        <v>0</v>
      </c>
      <c r="DJ690" s="1">
        <v>1</v>
      </c>
      <c r="DK690" s="1" t="s">
        <v>1594</v>
      </c>
      <c r="DL690" s="1" t="s">
        <v>101</v>
      </c>
      <c r="DR690" s="1" t="b">
        <f>AND(AlignmentLawful,AlignmentEvil)</f>
        <v>0</v>
      </c>
      <c r="DS690" s="1" t="b">
        <f>BaseWill&gt;=5</f>
        <v>0</v>
      </c>
      <c r="DT690" s="1" t="b">
        <f>SkBluffRanks&gt;=3</f>
        <v>0</v>
      </c>
      <c r="DU690" s="1" t="b">
        <f>SkIntimidateRanks&gt;=3</f>
        <v>0</v>
      </c>
      <c r="DV690" s="1" t="b">
        <f>SkKnowledgePlanesRanks&gt;=8</f>
        <v>0</v>
      </c>
      <c r="DW690" s="1" t="b">
        <f>FtEvilBrand</f>
        <v>0</v>
      </c>
      <c r="DX690" s="1" t="b">
        <f>FtCorruptSpell</f>
        <v>0</v>
      </c>
      <c r="EA690" s="1" t="b">
        <f>AND(DM690:DZ690)</f>
        <v>0</v>
      </c>
      <c r="EB690" s="11" t="s">
        <v>338</v>
      </c>
      <c r="EC690" s="1" t="str">
        <f>IF(DR690,"","• You must be of Lawful Evil alignment.
")&amp;IF(DS690,"","• Base Will save bonus +5.
")&amp;IF(DT690,"","• 3 ranks in Bluff.
")&amp;IF(DU690,"","• 3 ranks in Intimidate.
")&amp;IF(DV690,"","• 8 ranks in Knowledge (the Planes).
")&amp;IF(DW690,"","• Evil Brand feat.
")&amp;IF(DX690,"","• Corrupt Spell feat.
")&amp;IF(DY690,"","• Must be able to cast Shriveling (not verified).
")&amp;IF(DZ690,"","• Must off your soul - but not necessarily your loyalty - to the forces of hell in exchange for power. When you die (permanently) your soul becomes the possession of a powerful devil. The devil uses the soul as it sees fit.(not verified).")</f>
        <v>• You must be of Lawful Evil alignment.
• Base Will save bonus +5.
• 3 ranks in Bluff.
• 3 ranks in Intimidate.
• 8 ranks in Knowledge (the Planes).
• Evil Brand feat.
• Corrupt Spell feat.
• Must be able to cast Shriveling (not verified).
• Must off your soul - but not necessarily your loyalty - to the forces of hell in exchange for power. When you die (permanently) your soul becomes the possession of a powerful devil. The devil uses the soul as it sees fit.(not verified).</v>
      </c>
      <c r="ED690" s="11" t="s">
        <v>335</v>
      </c>
    </row>
    <row r="691" spans="1:134" ht="11.25" customHeight="1" x14ac:dyDescent="0.2">
      <c r="A691" s="1">
        <f t="shared" si="582"/>
        <v>688</v>
      </c>
      <c r="B691" s="1" t="s">
        <v>1599</v>
      </c>
      <c r="C691" s="1" t="s">
        <v>1600</v>
      </c>
      <c r="D691" s="1" t="s">
        <v>1600</v>
      </c>
      <c r="E691" s="1">
        <f t="shared" si="575"/>
        <v>0</v>
      </c>
      <c r="G691" s="1">
        <f>(DoALvl&gt;0)*INT((DoALvl+1)/2)+(DoALvl=10)</f>
        <v>0</v>
      </c>
      <c r="K691" s="1">
        <v>4</v>
      </c>
      <c r="L691" s="1">
        <v>6</v>
      </c>
      <c r="V691" s="1">
        <v>0.75</v>
      </c>
      <c r="W691" s="1">
        <v>0.34</v>
      </c>
      <c r="X691" s="1">
        <v>0.34</v>
      </c>
      <c r="Y691" s="1">
        <v>0.5</v>
      </c>
      <c r="Z691" s="1" t="b">
        <f>FALSE</f>
        <v>0</v>
      </c>
      <c r="AA691" s="1" t="str">
        <f t="shared" si="578"/>
        <v/>
      </c>
      <c r="AB691" s="1" t="str">
        <f t="shared" si="579"/>
        <v/>
      </c>
      <c r="AC691" s="1">
        <f t="shared" si="576"/>
        <v>0</v>
      </c>
      <c r="AD691" s="1" t="str">
        <f t="shared" si="580"/>
        <v/>
      </c>
      <c r="AE691" s="1" t="str">
        <f t="shared" si="581"/>
        <v/>
      </c>
      <c r="AF691" s="1">
        <f t="shared" si="577"/>
        <v>0</v>
      </c>
      <c r="AG691" s="1">
        <f t="shared" si="589"/>
        <v>5</v>
      </c>
      <c r="AH691" s="1" t="str">
        <f t="shared" si="588"/>
        <v/>
      </c>
      <c r="AI691" s="1">
        <v>1</v>
      </c>
      <c r="AJ691" s="1">
        <f t="shared" si="608"/>
        <v>0</v>
      </c>
      <c r="AK691" s="1">
        <v>1</v>
      </c>
      <c r="AL691" s="1">
        <v>2</v>
      </c>
      <c r="AM691" s="1">
        <v>1</v>
      </c>
      <c r="AN691" s="1">
        <f t="shared" si="609"/>
        <v>0</v>
      </c>
      <c r="AO691" s="1">
        <v>2</v>
      </c>
      <c r="AP691" s="1">
        <v>1</v>
      </c>
      <c r="AQ691" s="1">
        <v>1</v>
      </c>
      <c r="AR691" s="1">
        <v>1</v>
      </c>
      <c r="AS691" s="1">
        <v>1</v>
      </c>
      <c r="AT691" s="1">
        <v>1</v>
      </c>
      <c r="AU691" s="1">
        <v>1</v>
      </c>
      <c r="AV691" s="1">
        <v>1</v>
      </c>
      <c r="AW691" s="1">
        <v>2</v>
      </c>
      <c r="AX691" s="1">
        <v>2</v>
      </c>
      <c r="AY691" s="1">
        <v>1</v>
      </c>
      <c r="AZ691" s="1">
        <v>1</v>
      </c>
      <c r="BA691" s="1">
        <v>1</v>
      </c>
      <c r="BB691" s="1">
        <v>1</v>
      </c>
      <c r="BC691" s="1">
        <v>2</v>
      </c>
      <c r="BD691" s="1">
        <v>1</v>
      </c>
      <c r="BE691" s="1">
        <v>1</v>
      </c>
      <c r="BF691" s="1">
        <v>2</v>
      </c>
      <c r="BG691" s="1">
        <f t="shared" si="610"/>
        <v>0</v>
      </c>
      <c r="BH691" s="1">
        <f t="shared" si="611"/>
        <v>0</v>
      </c>
      <c r="BI691" s="1">
        <v>2</v>
      </c>
      <c r="BJ691" s="1">
        <v>1</v>
      </c>
      <c r="BK691" s="1">
        <v>2</v>
      </c>
      <c r="BL691" s="1">
        <v>2</v>
      </c>
      <c r="BM691" s="1">
        <v>2</v>
      </c>
      <c r="BN691" s="1">
        <v>2</v>
      </c>
      <c r="BO691" s="1">
        <v>2</v>
      </c>
      <c r="BP691" s="1">
        <f>1+NOT(HRLivingGreyhawk)</f>
        <v>2</v>
      </c>
      <c r="BQ691" s="1">
        <f>IF(HRRVL,2,0)</f>
        <v>0</v>
      </c>
      <c r="BR691" s="1">
        <v>2</v>
      </c>
      <c r="BS691" s="1">
        <v>2</v>
      </c>
      <c r="BT691" s="1">
        <f>IF(HRXPH,2,0)</f>
        <v>0</v>
      </c>
      <c r="BU691" s="1">
        <f>IF(HRRVL,2,0)</f>
        <v>0</v>
      </c>
      <c r="BV691" s="1">
        <v>2</v>
      </c>
      <c r="BW691" s="1">
        <v>2</v>
      </c>
      <c r="BX691" s="1">
        <v>2</v>
      </c>
      <c r="BY691" s="1">
        <v>2</v>
      </c>
      <c r="BZ691" s="1">
        <v>2</v>
      </c>
      <c r="CA691" s="1">
        <v>2</v>
      </c>
      <c r="CB691" s="1">
        <v>2</v>
      </c>
      <c r="CC691" s="1">
        <v>2</v>
      </c>
      <c r="CD691" s="1">
        <v>2</v>
      </c>
      <c r="CE691" s="1">
        <v>2</v>
      </c>
      <c r="CF691" s="1">
        <v>2</v>
      </c>
      <c r="CG691" s="1">
        <f t="shared" si="612"/>
        <v>0</v>
      </c>
      <c r="CH691" s="1">
        <v>1</v>
      </c>
      <c r="CI691" s="1">
        <v>1</v>
      </c>
      <c r="CJ691" s="1">
        <v>1</v>
      </c>
      <c r="CK691" s="1">
        <v>1</v>
      </c>
      <c r="CL691" s="1">
        <v>1</v>
      </c>
      <c r="CM691" s="1">
        <v>1</v>
      </c>
      <c r="CN691" s="1">
        <v>1</v>
      </c>
      <c r="CO691" s="1">
        <v>1</v>
      </c>
      <c r="CP691" s="1">
        <v>1</v>
      </c>
      <c r="CQ691" s="1">
        <v>1</v>
      </c>
      <c r="CR691" s="1">
        <v>1</v>
      </c>
      <c r="CS691" s="1">
        <v>1</v>
      </c>
      <c r="CT691" s="1">
        <v>1</v>
      </c>
      <c r="CU691" s="1">
        <v>1</v>
      </c>
      <c r="CV691" s="1">
        <f t="shared" si="613"/>
        <v>0</v>
      </c>
      <c r="CW691" s="1">
        <v>1</v>
      </c>
      <c r="CX691" s="1">
        <v>2</v>
      </c>
      <c r="CY691" s="1">
        <v>2</v>
      </c>
      <c r="CZ691" s="1">
        <f t="shared" si="614"/>
        <v>0</v>
      </c>
      <c r="DA691" s="1">
        <v>1</v>
      </c>
      <c r="DB691" s="1">
        <v>1</v>
      </c>
      <c r="DC691" s="1">
        <v>2</v>
      </c>
      <c r="DD691" s="1">
        <v>2</v>
      </c>
      <c r="DE691" s="1">
        <v>1</v>
      </c>
      <c r="DF691" s="1">
        <v>1</v>
      </c>
      <c r="DG691" s="1">
        <v>1</v>
      </c>
      <c r="DH691" s="1">
        <v>1</v>
      </c>
      <c r="DI691" s="1">
        <f t="shared" si="615"/>
        <v>0</v>
      </c>
      <c r="DJ691" s="1">
        <v>1</v>
      </c>
      <c r="DK691" s="1" t="s">
        <v>1594</v>
      </c>
      <c r="DL691" s="1" t="s">
        <v>101</v>
      </c>
      <c r="DR691" s="1" t="b">
        <f>AND(AlignmentNonChaotic,AlignmentEvil)</f>
        <v>0</v>
      </c>
      <c r="DS691" s="1" t="b">
        <f>SkBluffRanks&gt;=4</f>
        <v>0</v>
      </c>
      <c r="DT691" s="1" t="b">
        <f>SkDiplomacyRanks&gt;=5</f>
        <v>0</v>
      </c>
      <c r="DU691" s="1" t="b">
        <f>SkSenseMotiveRanks&gt;=4</f>
        <v>0</v>
      </c>
      <c r="DV691" s="1" t="b">
        <f>FtDiscipleOfDarkness</f>
        <v>0</v>
      </c>
      <c r="DW691" s="1" t="b">
        <f>FtEvilBrand</f>
        <v>0</v>
      </c>
      <c r="DX691" s="1" t="b">
        <f>FtLeadership</f>
        <v>0</v>
      </c>
      <c r="EA691" s="1" t="b">
        <f t="shared" si="616"/>
        <v>0</v>
      </c>
      <c r="EB691" s="11" t="s">
        <v>338</v>
      </c>
      <c r="EC691" s="1" t="str">
        <f>IF(DR691,"","• You must be of Lawful Evil or Neutral Evil alignment.
")&amp;IF(DS691,"","• 4 ranks in Bluff.
")&amp;IF(DT691,"","• 5 ranks in Diplomacy.
")&amp;IF(DU691,"","• 4 ranks in Sense Motive.
")&amp;IF(DV691,"","• Disciple of Darkness feat.
")&amp;IF(DW691,"","• Evil Brand feat.
")&amp;IF(DX691,"","• Leadership feat.
")&amp;IF(DY691,"","• The sect of Asmodeus initiates its disciples in a horrific rite that involves the sacrifice of an intelligent being. The sacrifice must be of someone with royal blood or of similar political signifigance (not verified).")</f>
        <v>• You must be of Lawful Evil or Neutral Evil alignment.
• 4 ranks in Bluff.
• 5 ranks in Diplomacy.
• 4 ranks in Sense Motive.
• Disciple of Darkness feat.
• Evil Brand feat.
• Leadership feat.
• The sect of Asmodeus initiates its disciples in a horrific rite that involves the sacrifice of an intelligent being. The sacrifice must be of someone with royal blood or of similar political signifigance (not verified).</v>
      </c>
      <c r="ED691" s="11" t="s">
        <v>335</v>
      </c>
    </row>
    <row r="692" spans="1:134" ht="11.25" customHeight="1" x14ac:dyDescent="0.2">
      <c r="A692" s="1">
        <f t="shared" si="582"/>
        <v>689</v>
      </c>
      <c r="B692" s="1" t="s">
        <v>1601</v>
      </c>
      <c r="C692" s="1" t="s">
        <v>215</v>
      </c>
      <c r="D692" s="1" t="s">
        <v>215</v>
      </c>
      <c r="E692" s="1">
        <f t="shared" si="575"/>
        <v>0</v>
      </c>
      <c r="K692" s="1">
        <v>6</v>
      </c>
      <c r="L692" s="1">
        <v>6</v>
      </c>
      <c r="N692" s="1" t="b">
        <v>1</v>
      </c>
      <c r="S692" s="1" t="b">
        <v>1</v>
      </c>
      <c r="T692" s="1" t="b">
        <v>1</v>
      </c>
      <c r="V692" s="1">
        <v>0.75</v>
      </c>
      <c r="W692" s="1">
        <v>0.34</v>
      </c>
      <c r="X692" s="1">
        <v>0.5</v>
      </c>
      <c r="Y692" s="1">
        <v>0.5</v>
      </c>
      <c r="Z692" s="1" t="b">
        <f>FALSE</f>
        <v>0</v>
      </c>
      <c r="AA692" s="1" t="str">
        <f t="shared" si="578"/>
        <v/>
      </c>
      <c r="AB692" s="1" t="str">
        <f t="shared" si="579"/>
        <v/>
      </c>
      <c r="AC692" s="1">
        <f t="shared" si="576"/>
        <v>0</v>
      </c>
      <c r="AD692" s="1" t="str">
        <f t="shared" si="580"/>
        <v/>
      </c>
      <c r="AE692" s="1" t="str">
        <f t="shared" si="581"/>
        <v/>
      </c>
      <c r="AF692" s="1">
        <f t="shared" si="577"/>
        <v>0</v>
      </c>
      <c r="AG692" s="1">
        <f t="shared" si="589"/>
        <v>5</v>
      </c>
      <c r="AH692" s="1" t="str">
        <f t="shared" si="588"/>
        <v/>
      </c>
      <c r="AI692" s="1">
        <v>2</v>
      </c>
      <c r="AJ692" s="1">
        <f t="shared" si="608"/>
        <v>0</v>
      </c>
      <c r="AK692" s="1">
        <v>2</v>
      </c>
      <c r="AL692" s="1">
        <v>1</v>
      </c>
      <c r="AM692" s="1">
        <v>2</v>
      </c>
      <c r="AN692" s="1">
        <f t="shared" si="609"/>
        <v>0</v>
      </c>
      <c r="AO692" s="1">
        <v>1</v>
      </c>
      <c r="AP692" s="1">
        <v>1</v>
      </c>
      <c r="AQ692" s="1">
        <v>1</v>
      </c>
      <c r="AR692" s="1">
        <v>1</v>
      </c>
      <c r="AS692" s="1">
        <v>1</v>
      </c>
      <c r="AT692" s="1">
        <v>1</v>
      </c>
      <c r="AU692" s="1">
        <v>1</v>
      </c>
      <c r="AV692" s="1">
        <v>1</v>
      </c>
      <c r="AW692" s="1">
        <v>2</v>
      </c>
      <c r="AX692" s="1">
        <v>2</v>
      </c>
      <c r="AY692" s="1">
        <v>2</v>
      </c>
      <c r="AZ692" s="1">
        <v>2</v>
      </c>
      <c r="BA692" s="1">
        <v>2</v>
      </c>
      <c r="BB692" s="1">
        <v>1</v>
      </c>
      <c r="BC692" s="1">
        <v>2</v>
      </c>
      <c r="BD692" s="1">
        <v>1</v>
      </c>
      <c r="BE692" s="1">
        <v>1</v>
      </c>
      <c r="BF692" s="1">
        <v>2</v>
      </c>
      <c r="BG692" s="1">
        <f t="shared" si="610"/>
        <v>0</v>
      </c>
      <c r="BH692" s="1">
        <f t="shared" si="611"/>
        <v>0</v>
      </c>
      <c r="BI692" s="1">
        <v>2</v>
      </c>
      <c r="BJ692" s="1">
        <v>2</v>
      </c>
      <c r="BK692" s="1">
        <v>1</v>
      </c>
      <c r="BL692" s="1">
        <v>1</v>
      </c>
      <c r="BM692" s="1">
        <v>1</v>
      </c>
      <c r="BN692" s="1">
        <v>1</v>
      </c>
      <c r="BO692" s="1">
        <v>1</v>
      </c>
      <c r="BP692" s="1">
        <v>1</v>
      </c>
      <c r="BQ692" s="1">
        <f>IF(HRRVL,1,0)</f>
        <v>0</v>
      </c>
      <c r="BR692" s="1">
        <v>1</v>
      </c>
      <c r="BS692" s="1">
        <v>1</v>
      </c>
      <c r="BT692" s="1">
        <f>IF(HRXPH,1,0)</f>
        <v>0</v>
      </c>
      <c r="BU692" s="1">
        <f>IF(HRRVL,2,0)</f>
        <v>0</v>
      </c>
      <c r="BV692" s="1">
        <v>2</v>
      </c>
      <c r="BW692" s="1">
        <v>1</v>
      </c>
      <c r="BX692" s="1">
        <v>1</v>
      </c>
      <c r="BY692" s="1">
        <v>1</v>
      </c>
      <c r="BZ692" s="1">
        <v>1</v>
      </c>
      <c r="CA692" s="1">
        <v>1</v>
      </c>
      <c r="CB692" s="1">
        <v>1</v>
      </c>
      <c r="CC692" s="1">
        <v>1</v>
      </c>
      <c r="CD692" s="1">
        <v>1</v>
      </c>
      <c r="CE692" s="1">
        <v>1</v>
      </c>
      <c r="CF692" s="1">
        <v>2</v>
      </c>
      <c r="CG692" s="1">
        <f t="shared" si="612"/>
        <v>0</v>
      </c>
      <c r="CH692" s="1">
        <v>2</v>
      </c>
      <c r="CI692" s="1">
        <v>2</v>
      </c>
      <c r="CJ692" s="1">
        <v>1</v>
      </c>
      <c r="CK692" s="1">
        <v>1</v>
      </c>
      <c r="CL692" s="1">
        <v>1</v>
      </c>
      <c r="CM692" s="1">
        <v>1</v>
      </c>
      <c r="CN692" s="1">
        <v>1</v>
      </c>
      <c r="CO692" s="1">
        <v>1</v>
      </c>
      <c r="CP692" s="1">
        <v>2</v>
      </c>
      <c r="CQ692" s="1">
        <v>2</v>
      </c>
      <c r="CR692" s="1">
        <v>2</v>
      </c>
      <c r="CS692" s="1">
        <v>2</v>
      </c>
      <c r="CT692" s="1">
        <v>2</v>
      </c>
      <c r="CU692" s="1">
        <v>2</v>
      </c>
      <c r="CV692" s="1">
        <f t="shared" si="613"/>
        <v>0</v>
      </c>
      <c r="CW692" s="1">
        <v>2</v>
      </c>
      <c r="CX692" s="1">
        <v>2</v>
      </c>
      <c r="CY692" s="1">
        <v>2</v>
      </c>
      <c r="CZ692" s="1">
        <f t="shared" si="614"/>
        <v>0</v>
      </c>
      <c r="DA692" s="1">
        <v>2</v>
      </c>
      <c r="DB692" s="1">
        <v>1</v>
      </c>
      <c r="DC692" s="1">
        <v>1</v>
      </c>
      <c r="DD692" s="1">
        <v>2</v>
      </c>
      <c r="DE692" s="1">
        <v>1</v>
      </c>
      <c r="DF692" s="1">
        <v>1</v>
      </c>
      <c r="DG692" s="1">
        <v>1</v>
      </c>
      <c r="DH692" s="1">
        <v>2</v>
      </c>
      <c r="DI692" s="1">
        <f t="shared" si="615"/>
        <v>0</v>
      </c>
      <c r="DJ692" s="1">
        <v>1</v>
      </c>
      <c r="DK692" s="1" t="s">
        <v>1594</v>
      </c>
      <c r="DL692" s="1" t="s">
        <v>101</v>
      </c>
      <c r="DR692" s="1" t="b">
        <f>AlignmentEvil</f>
        <v>0</v>
      </c>
      <c r="DS692" s="1" t="b">
        <f>SkBluffRanks&gt;=10</f>
        <v>0</v>
      </c>
      <c r="DT692" s="1" t="b">
        <f>SkDiplomacyRanks&gt;=4</f>
        <v>0</v>
      </c>
      <c r="DU692" s="1" t="b">
        <f>SkGatherInformationRanks&gt;=4</f>
        <v>0</v>
      </c>
      <c r="DV692" s="1" t="b">
        <f>FtDiscipleOfDarkness</f>
        <v>0</v>
      </c>
      <c r="EA692" s="1" t="b">
        <f t="shared" si="616"/>
        <v>0</v>
      </c>
      <c r="EB692" s="11" t="s">
        <v>338</v>
      </c>
      <c r="EC692" s="1" t="str">
        <f>IF(DR692,"","• You must be of Any Evil alignment.
")&amp;IF(DS692,"","• 10 ranks in Bluff.
")&amp;IF(DT692,"","• 4 ranks in Diplomacy.
")&amp;IF(DU692,"","• 4 ranks in Gather Information.
")&amp;IF(DV692,"","• Disciple of Darkness feat.
")&amp;IF(DW692,"","• The sect of Baalzebul initiates new disciples in a terrible rite that involves the sacrifice of an intelligent being. The ritual must take place in the home of the victim (not verified).")</f>
        <v>• You must be of Any Evil alignment.
• 10 ranks in Bluff.
• 4 ranks in Diplomacy.
• 4 ranks in Gather Information.
• Disciple of Darkness feat.
• The sect of Baalzebul initiates new disciples in a terrible rite that involves the sacrifice of an intelligent being. The ritual must take place in the home of the victim (not verified).</v>
      </c>
      <c r="ED692" s="11" t="s">
        <v>335</v>
      </c>
    </row>
    <row r="693" spans="1:134" ht="11.25" customHeight="1" x14ac:dyDescent="0.2">
      <c r="A693" s="1">
        <f t="shared" si="582"/>
        <v>690</v>
      </c>
      <c r="B693" s="1" t="s">
        <v>1602</v>
      </c>
      <c r="C693" s="1" t="s">
        <v>1603</v>
      </c>
      <c r="D693" s="1" t="s">
        <v>1603</v>
      </c>
      <c r="E693" s="1">
        <f t="shared" si="575"/>
        <v>0</v>
      </c>
      <c r="K693" s="1">
        <v>4</v>
      </c>
      <c r="L693" s="1">
        <v>10</v>
      </c>
      <c r="N693" s="1" t="b">
        <v>1</v>
      </c>
      <c r="O693" s="1" t="b">
        <v>1</v>
      </c>
      <c r="P693" s="1" t="b">
        <v>1</v>
      </c>
      <c r="Q693" s="1" t="b">
        <v>1</v>
      </c>
      <c r="R693" s="1" t="b">
        <v>1</v>
      </c>
      <c r="S693" s="1" t="b">
        <v>1</v>
      </c>
      <c r="T693" s="1" t="b">
        <v>1</v>
      </c>
      <c r="V693" s="1">
        <v>1</v>
      </c>
      <c r="W693" s="1">
        <v>0.5</v>
      </c>
      <c r="X693" s="1">
        <v>0.5</v>
      </c>
      <c r="Y693" s="1">
        <v>0.5</v>
      </c>
      <c r="Z693" s="1" t="b">
        <f>FALSE</f>
        <v>0</v>
      </c>
      <c r="AA693" s="1" t="str">
        <f t="shared" si="578"/>
        <v/>
      </c>
      <c r="AB693" s="1" t="str">
        <f t="shared" si="579"/>
        <v/>
      </c>
      <c r="AC693" s="1">
        <f t="shared" si="576"/>
        <v>0</v>
      </c>
      <c r="AD693" s="1" t="str">
        <f t="shared" si="580"/>
        <v/>
      </c>
      <c r="AE693" s="1" t="str">
        <f t="shared" si="581"/>
        <v/>
      </c>
      <c r="AF693" s="1">
        <f t="shared" si="577"/>
        <v>0</v>
      </c>
      <c r="AG693" s="1">
        <f t="shared" si="589"/>
        <v>5</v>
      </c>
      <c r="AH693" s="1" t="str">
        <f t="shared" si="588"/>
        <v/>
      </c>
      <c r="AI693" s="1">
        <v>1</v>
      </c>
      <c r="AJ693" s="1">
        <f t="shared" si="608"/>
        <v>0</v>
      </c>
      <c r="AK693" s="1">
        <v>2</v>
      </c>
      <c r="AL693" s="1">
        <v>1</v>
      </c>
      <c r="AM693" s="1">
        <v>2</v>
      </c>
      <c r="AN693" s="1">
        <f t="shared" si="609"/>
        <v>0</v>
      </c>
      <c r="AO693" s="1">
        <v>1</v>
      </c>
      <c r="AP693" s="1">
        <v>1</v>
      </c>
      <c r="AQ693" s="1">
        <v>1</v>
      </c>
      <c r="AR693" s="1">
        <v>1</v>
      </c>
      <c r="AS693" s="1">
        <v>1</v>
      </c>
      <c r="AT693" s="1">
        <v>1</v>
      </c>
      <c r="AU693" s="1">
        <v>1</v>
      </c>
      <c r="AV693" s="1">
        <v>1</v>
      </c>
      <c r="AW693" s="1">
        <v>1</v>
      </c>
      <c r="AX693" s="1">
        <v>1</v>
      </c>
      <c r="AY693" s="1">
        <v>2</v>
      </c>
      <c r="AZ693" s="1">
        <v>2</v>
      </c>
      <c r="BA693" s="1">
        <v>2</v>
      </c>
      <c r="BB693" s="1">
        <v>1</v>
      </c>
      <c r="BC693" s="1">
        <v>1</v>
      </c>
      <c r="BD693" s="1">
        <v>1</v>
      </c>
      <c r="BE693" s="1">
        <v>1</v>
      </c>
      <c r="BF693" s="1">
        <v>2</v>
      </c>
      <c r="BG693" s="1">
        <f t="shared" si="610"/>
        <v>0</v>
      </c>
      <c r="BH693" s="1">
        <f t="shared" si="611"/>
        <v>0</v>
      </c>
      <c r="BI693" s="1">
        <v>2</v>
      </c>
      <c r="BJ693" s="1">
        <v>2</v>
      </c>
      <c r="BK693" s="1">
        <v>1</v>
      </c>
      <c r="BL693" s="1">
        <v>1</v>
      </c>
      <c r="BM693" s="1">
        <v>1</v>
      </c>
      <c r="BN693" s="1">
        <v>1</v>
      </c>
      <c r="BO693" s="1">
        <v>1</v>
      </c>
      <c r="BP693" s="1">
        <v>1</v>
      </c>
      <c r="BQ693" s="1">
        <f>IF(HRRVL,1,0)</f>
        <v>0</v>
      </c>
      <c r="BR693" s="1">
        <v>1</v>
      </c>
      <c r="BS693" s="1">
        <v>1</v>
      </c>
      <c r="BT693" s="1">
        <f>IF(HRXPH,1,0)</f>
        <v>0</v>
      </c>
      <c r="BU693" s="1">
        <f>IF(HRRVL,2,0)</f>
        <v>0</v>
      </c>
      <c r="BV693" s="1">
        <v>2</v>
      </c>
      <c r="BW693" s="1">
        <v>1</v>
      </c>
      <c r="BX693" s="1">
        <v>1</v>
      </c>
      <c r="BY693" s="1">
        <v>1</v>
      </c>
      <c r="BZ693" s="1">
        <v>1</v>
      </c>
      <c r="CA693" s="1">
        <v>1</v>
      </c>
      <c r="CB693" s="1">
        <v>1</v>
      </c>
      <c r="CC693" s="1">
        <v>1</v>
      </c>
      <c r="CD693" s="1">
        <v>1</v>
      </c>
      <c r="CE693" s="1">
        <v>1</v>
      </c>
      <c r="CF693" s="1">
        <v>2</v>
      </c>
      <c r="CG693" s="1">
        <f t="shared" si="612"/>
        <v>0</v>
      </c>
      <c r="CH693" s="1">
        <v>2</v>
      </c>
      <c r="CI693" s="1">
        <v>1</v>
      </c>
      <c r="CJ693" s="1">
        <v>1</v>
      </c>
      <c r="CK693" s="1">
        <v>1</v>
      </c>
      <c r="CL693" s="1">
        <v>1</v>
      </c>
      <c r="CM693" s="1">
        <v>1</v>
      </c>
      <c r="CN693" s="1">
        <v>1</v>
      </c>
      <c r="CO693" s="1">
        <v>1</v>
      </c>
      <c r="CP693" s="1">
        <v>2</v>
      </c>
      <c r="CQ693" s="1">
        <v>2</v>
      </c>
      <c r="CR693" s="1">
        <v>2</v>
      </c>
      <c r="CS693" s="1">
        <v>2</v>
      </c>
      <c r="CT693" s="1">
        <v>2</v>
      </c>
      <c r="CU693" s="1">
        <v>2</v>
      </c>
      <c r="CV693" s="1">
        <f t="shared" si="613"/>
        <v>0</v>
      </c>
      <c r="CW693" s="1">
        <v>2</v>
      </c>
      <c r="CX693" s="1">
        <v>2</v>
      </c>
      <c r="CY693" s="1">
        <v>1</v>
      </c>
      <c r="CZ693" s="1">
        <f t="shared" si="614"/>
        <v>0</v>
      </c>
      <c r="DA693" s="1">
        <v>1</v>
      </c>
      <c r="DB693" s="1">
        <v>1</v>
      </c>
      <c r="DC693" s="1">
        <v>1</v>
      </c>
      <c r="DD693" s="1">
        <v>2</v>
      </c>
      <c r="DE693" s="1">
        <v>1</v>
      </c>
      <c r="DF693" s="1">
        <v>1</v>
      </c>
      <c r="DG693" s="1">
        <v>1</v>
      </c>
      <c r="DH693" s="1">
        <v>1</v>
      </c>
      <c r="DI693" s="1">
        <f t="shared" si="615"/>
        <v>0</v>
      </c>
      <c r="DJ693" s="1">
        <v>1</v>
      </c>
      <c r="DK693" s="1" t="s">
        <v>1594</v>
      </c>
      <c r="DL693" s="1" t="s">
        <v>101</v>
      </c>
      <c r="DR693" s="1" t="b">
        <f>AlignmentEvil</f>
        <v>0</v>
      </c>
      <c r="DS693" s="1" t="b">
        <f>BaseAtk&gt;=6</f>
        <v>0</v>
      </c>
      <c r="DT693" s="1" t="b">
        <f>FtDiscipleOfDarkness</f>
        <v>0</v>
      </c>
      <c r="DU693" s="1" t="b">
        <f>OR(FreeCombatExpertise,FtCombatExpertise)</f>
        <v>0</v>
      </c>
      <c r="DV693" s="1" t="b">
        <f>FtPowerAttackEquiv</f>
        <v>0</v>
      </c>
      <c r="EA693" s="1" t="b">
        <f>AND(DM693:DZ693)</f>
        <v>0</v>
      </c>
      <c r="EB693" s="11" t="s">
        <v>338</v>
      </c>
      <c r="EC693" s="1" t="str">
        <f>IF(DR693,"","• You must be of Any Evil alignment.
")&amp;IF(DS693,"","• Base attack bonus of +6 or greater.
")&amp;IF(DT693,"","• Disciple of Darkness feat.
")&amp;IF(DU693,"","• Combat Expertise feat.
")&amp;IF(DV693,"","• Power Attack feat.
")&amp;IF(DW693,"","• Dispater's sect initiates new disciples in a terrible ritual that involves
  the sacrifice of an intelligent being atop an alter made of iron."&amp;" The
  ritual must take place in the presence of an erinyes, who reports back
  to Dispater afterward (not verified).")</f>
        <v>• You must be of Any Evil alignment.
• Base attack bonus of +6 or greater.
• Disciple of Darkness feat.
• Combat Expertise feat.
• Power Attack feat.
• Dispater's sect initiates new disciples in a terrible ritual that involves
  the sacrifice of an intelligent being atop an alter made of iron. The
  ritual must take place in the presence of an erinyes, who reports back
  to Dispater afterward (not verified).</v>
      </c>
      <c r="ED693" s="11" t="s">
        <v>335</v>
      </c>
    </row>
    <row r="694" spans="1:134" ht="11.25" customHeight="1" x14ac:dyDescent="0.2">
      <c r="A694" s="1">
        <f t="shared" si="582"/>
        <v>691</v>
      </c>
      <c r="B694" s="1" t="s">
        <v>1604</v>
      </c>
      <c r="C694" s="1" t="s">
        <v>1605</v>
      </c>
      <c r="D694" s="1" t="s">
        <v>1605</v>
      </c>
      <c r="E694" s="1">
        <f t="shared" si="575"/>
        <v>0</v>
      </c>
      <c r="K694" s="1">
        <v>4</v>
      </c>
      <c r="L694" s="1">
        <v>6</v>
      </c>
      <c r="S694" s="1" t="b">
        <v>1</v>
      </c>
      <c r="T694" s="1" t="b">
        <v>1</v>
      </c>
      <c r="V694" s="1">
        <v>0.75</v>
      </c>
      <c r="W694" s="1">
        <v>0.34</v>
      </c>
      <c r="X694" s="1">
        <v>0.5</v>
      </c>
      <c r="Y694" s="1">
        <v>0.5</v>
      </c>
      <c r="Z694" s="1" t="b">
        <f>FALSE</f>
        <v>0</v>
      </c>
      <c r="AA694" s="1" t="str">
        <f t="shared" si="578"/>
        <v/>
      </c>
      <c r="AB694" s="1" t="str">
        <f t="shared" si="579"/>
        <v/>
      </c>
      <c r="AC694" s="1">
        <f t="shared" si="576"/>
        <v>0</v>
      </c>
      <c r="AD694" s="1" t="str">
        <f t="shared" si="580"/>
        <v/>
      </c>
      <c r="AE694" s="1" t="str">
        <f t="shared" si="581"/>
        <v/>
      </c>
      <c r="AF694" s="1">
        <f t="shared" si="577"/>
        <v>0</v>
      </c>
      <c r="AG694" s="1">
        <f t="shared" si="589"/>
        <v>5</v>
      </c>
      <c r="AH694" s="1" t="str">
        <f t="shared" si="588"/>
        <v/>
      </c>
      <c r="AI694" s="1">
        <v>2</v>
      </c>
      <c r="AJ694" s="1">
        <f t="shared" si="608"/>
        <v>0</v>
      </c>
      <c r="AK694" s="1">
        <v>2</v>
      </c>
      <c r="AL694" s="1">
        <v>1</v>
      </c>
      <c r="AM694" s="1">
        <v>1</v>
      </c>
      <c r="AN694" s="1">
        <f t="shared" si="609"/>
        <v>0</v>
      </c>
      <c r="AO694" s="1">
        <v>1</v>
      </c>
      <c r="AP694" s="1">
        <v>1</v>
      </c>
      <c r="AQ694" s="1">
        <v>1</v>
      </c>
      <c r="AR694" s="1">
        <v>1</v>
      </c>
      <c r="AS694" s="1">
        <v>1</v>
      </c>
      <c r="AT694" s="1">
        <v>1</v>
      </c>
      <c r="AU694" s="1">
        <v>1</v>
      </c>
      <c r="AV694" s="1">
        <v>1</v>
      </c>
      <c r="AW694" s="1">
        <v>1</v>
      </c>
      <c r="AX694" s="1">
        <v>1</v>
      </c>
      <c r="AY694" s="1">
        <v>2</v>
      </c>
      <c r="AZ694" s="1">
        <v>2</v>
      </c>
      <c r="BA694" s="1">
        <v>2</v>
      </c>
      <c r="BB694" s="1">
        <v>2</v>
      </c>
      <c r="BC694" s="1">
        <v>1</v>
      </c>
      <c r="BD694" s="1">
        <v>1</v>
      </c>
      <c r="BE694" s="1">
        <v>1</v>
      </c>
      <c r="BF694" s="1">
        <v>2</v>
      </c>
      <c r="BG694" s="1">
        <f t="shared" si="610"/>
        <v>0</v>
      </c>
      <c r="BH694" s="1">
        <f t="shared" si="611"/>
        <v>0</v>
      </c>
      <c r="BI694" s="1">
        <v>2</v>
      </c>
      <c r="BJ694" s="1">
        <v>1</v>
      </c>
      <c r="BK694" s="1">
        <v>2</v>
      </c>
      <c r="BL694" s="1">
        <v>2</v>
      </c>
      <c r="BM694" s="1">
        <v>2</v>
      </c>
      <c r="BN694" s="1">
        <v>2</v>
      </c>
      <c r="BO694" s="1">
        <v>2</v>
      </c>
      <c r="BP694" s="1">
        <f>1+NOT(HRLivingGreyhawk)</f>
        <v>2</v>
      </c>
      <c r="BQ694" s="1">
        <f>IF(HRRVL,2,0)</f>
        <v>0</v>
      </c>
      <c r="BR694" s="1">
        <v>2</v>
      </c>
      <c r="BS694" s="1">
        <v>2</v>
      </c>
      <c r="BT694" s="1">
        <f>IF(HRXPH,2,0)</f>
        <v>0</v>
      </c>
      <c r="BU694" s="1">
        <f>IF(HRRVL,2,0)</f>
        <v>0</v>
      </c>
      <c r="BV694" s="1">
        <v>2</v>
      </c>
      <c r="BW694" s="1">
        <v>2</v>
      </c>
      <c r="BX694" s="1">
        <v>2</v>
      </c>
      <c r="BY694" s="1">
        <v>2</v>
      </c>
      <c r="BZ694" s="1">
        <v>2</v>
      </c>
      <c r="CA694" s="1">
        <v>2</v>
      </c>
      <c r="CB694" s="1">
        <v>2</v>
      </c>
      <c r="CC694" s="1">
        <v>2</v>
      </c>
      <c r="CD694" s="1">
        <v>2</v>
      </c>
      <c r="CE694" s="1">
        <v>2</v>
      </c>
      <c r="CF694" s="1">
        <v>2</v>
      </c>
      <c r="CG694" s="1">
        <f t="shared" si="612"/>
        <v>0</v>
      </c>
      <c r="CH694" s="1">
        <v>2</v>
      </c>
      <c r="CI694" s="1">
        <v>2</v>
      </c>
      <c r="CJ694" s="1">
        <v>1</v>
      </c>
      <c r="CK694" s="1">
        <v>1</v>
      </c>
      <c r="CL694" s="1">
        <v>1</v>
      </c>
      <c r="CM694" s="1">
        <v>1</v>
      </c>
      <c r="CN694" s="1">
        <v>1</v>
      </c>
      <c r="CO694" s="1">
        <v>1</v>
      </c>
      <c r="CP694" s="1">
        <v>2</v>
      </c>
      <c r="CQ694" s="1">
        <v>2</v>
      </c>
      <c r="CR694" s="1">
        <v>2</v>
      </c>
      <c r="CS694" s="1">
        <v>2</v>
      </c>
      <c r="CT694" s="1">
        <v>2</v>
      </c>
      <c r="CU694" s="1">
        <v>2</v>
      </c>
      <c r="CV694" s="1">
        <f t="shared" si="613"/>
        <v>0</v>
      </c>
      <c r="CW694" s="1">
        <v>1</v>
      </c>
      <c r="CX694" s="1">
        <v>2</v>
      </c>
      <c r="CY694" s="1">
        <v>1</v>
      </c>
      <c r="CZ694" s="1">
        <f t="shared" si="614"/>
        <v>0</v>
      </c>
      <c r="DA694" s="1">
        <v>2</v>
      </c>
      <c r="DB694" s="1">
        <v>1</v>
      </c>
      <c r="DC694" s="1">
        <v>1</v>
      </c>
      <c r="DD694" s="1">
        <v>2</v>
      </c>
      <c r="DE694" s="1">
        <v>1</v>
      </c>
      <c r="DF694" s="1">
        <v>1</v>
      </c>
      <c r="DG694" s="1">
        <v>1</v>
      </c>
      <c r="DH694" s="1">
        <v>1</v>
      </c>
      <c r="DI694" s="1">
        <f t="shared" si="615"/>
        <v>0</v>
      </c>
      <c r="DJ694" s="1">
        <v>1</v>
      </c>
      <c r="DK694" s="1" t="s">
        <v>1594</v>
      </c>
      <c r="DL694" s="1" t="s">
        <v>101</v>
      </c>
      <c r="DR694" s="1" t="b">
        <f>AlignmentEvil</f>
        <v>0</v>
      </c>
      <c r="DS694" s="1" t="b">
        <f>BaseAtk&gt;=4</f>
        <v>0</v>
      </c>
      <c r="DT694" s="1" t="b">
        <f>SkAppraiseRanks&gt;=6</f>
        <v>0</v>
      </c>
      <c r="DU694" s="1" t="b">
        <f>SkOpenLockRanks&gt;=4</f>
        <v>0</v>
      </c>
      <c r="DV694" s="1" t="b">
        <f>SkSleightOfHandRanks&gt;=4</f>
        <v>0</v>
      </c>
      <c r="DW694" s="1" t="b">
        <f>FtDiscipleOfDarkness</f>
        <v>0</v>
      </c>
      <c r="EA694" s="1" t="b">
        <f t="shared" si="616"/>
        <v>0</v>
      </c>
      <c r="EB694" s="11" t="s">
        <v>338</v>
      </c>
      <c r="EC694" s="1" t="str">
        <f>IF(DR694,"","• You must be of Any Evil alignment.
")&amp;IF(DS694,"","• Base attack bonus of +4 or greater.
")&amp;IF(DT694,"","• 6 ranks in Appraise.
")&amp;IF(DU694,"","• 4 ranks in Open Lock.
")&amp;IF(DV694,"","• 4 ranks in Sleight of Hand.
")&amp;IF(DW694,"","• Disciple of Darkness feat.
")&amp;IF(DX694,"","• You must go through a disgusting and humiliating sexual ritual and betray your closest friend to an evil end before you can properly serve your new master (not verified).")</f>
        <v>• You must be of Any Evil alignment.
• Base attack bonus of +4 or greater.
• 6 ranks in Appraise.
• 4 ranks in Open Lock.
• 4 ranks in Sleight of Hand.
• Disciple of Darkness feat.
• You must go through a disgusting and humiliating sexual ritual and betray your closest friend to an evil end before you can properly serve your new master (not verified).</v>
      </c>
      <c r="ED694" s="11" t="s">
        <v>335</v>
      </c>
    </row>
    <row r="695" spans="1:134" ht="11.25" customHeight="1" x14ac:dyDescent="0.2">
      <c r="A695" s="1">
        <f t="shared" si="582"/>
        <v>692</v>
      </c>
      <c r="B695" s="1" t="s">
        <v>1606</v>
      </c>
      <c r="C695" s="1" t="s">
        <v>1607</v>
      </c>
      <c r="D695" s="1" t="s">
        <v>1607</v>
      </c>
      <c r="E695" s="1">
        <f t="shared" si="575"/>
        <v>0</v>
      </c>
      <c r="K695" s="1">
        <v>4</v>
      </c>
      <c r="L695" s="1">
        <v>8</v>
      </c>
      <c r="N695" s="1" t="b">
        <v>1</v>
      </c>
      <c r="O695" s="1" t="b">
        <v>1</v>
      </c>
      <c r="P695" s="1" t="b">
        <v>1</v>
      </c>
      <c r="Q695" s="1" t="b">
        <v>1</v>
      </c>
      <c r="R695" s="1" t="b">
        <v>1</v>
      </c>
      <c r="S695" s="1" t="b">
        <v>1</v>
      </c>
      <c r="T695" s="1" t="b">
        <v>1</v>
      </c>
      <c r="V695" s="1">
        <v>1</v>
      </c>
      <c r="W695" s="1">
        <v>0.5</v>
      </c>
      <c r="X695" s="1">
        <v>0.5</v>
      </c>
      <c r="Y695" s="1">
        <v>0.5</v>
      </c>
      <c r="Z695" s="1" t="b">
        <f>FALSE</f>
        <v>0</v>
      </c>
      <c r="AA695" s="1" t="str">
        <f t="shared" si="578"/>
        <v/>
      </c>
      <c r="AB695" s="1" t="str">
        <f t="shared" si="579"/>
        <v/>
      </c>
      <c r="AC695" s="1">
        <f t="shared" si="576"/>
        <v>0</v>
      </c>
      <c r="AD695" s="1" t="str">
        <f t="shared" si="580"/>
        <v/>
      </c>
      <c r="AE695" s="1" t="str">
        <f t="shared" si="581"/>
        <v/>
      </c>
      <c r="AF695" s="1">
        <f t="shared" si="577"/>
        <v>0</v>
      </c>
      <c r="AG695" s="1">
        <f t="shared" si="589"/>
        <v>5</v>
      </c>
      <c r="AH695" s="1" t="str">
        <f t="shared" si="588"/>
        <v/>
      </c>
      <c r="AI695" s="1">
        <v>1</v>
      </c>
      <c r="AJ695" s="1">
        <f t="shared" si="608"/>
        <v>0</v>
      </c>
      <c r="AK695" s="1">
        <v>2</v>
      </c>
      <c r="AL695" s="1">
        <v>1</v>
      </c>
      <c r="AM695" s="1">
        <v>2</v>
      </c>
      <c r="AN695" s="1">
        <f t="shared" si="609"/>
        <v>0</v>
      </c>
      <c r="AO695" s="1">
        <v>1</v>
      </c>
      <c r="AP695" s="1">
        <v>1</v>
      </c>
      <c r="AQ695" s="1">
        <v>1</v>
      </c>
      <c r="AR695" s="1">
        <v>1</v>
      </c>
      <c r="AS695" s="1">
        <v>1</v>
      </c>
      <c r="AT695" s="1">
        <v>1</v>
      </c>
      <c r="AU695" s="1">
        <v>1</v>
      </c>
      <c r="AV695" s="1">
        <v>1</v>
      </c>
      <c r="AW695" s="1">
        <v>1</v>
      </c>
      <c r="AX695" s="1">
        <v>1</v>
      </c>
      <c r="AY695" s="1">
        <v>2</v>
      </c>
      <c r="AZ695" s="1">
        <v>2</v>
      </c>
      <c r="BA695" s="1">
        <v>2</v>
      </c>
      <c r="BB695" s="1">
        <v>1</v>
      </c>
      <c r="BC695" s="1">
        <v>1</v>
      </c>
      <c r="BD695" s="1">
        <v>1</v>
      </c>
      <c r="BE695" s="1">
        <v>1</v>
      </c>
      <c r="BF695" s="1">
        <v>2</v>
      </c>
      <c r="BG695" s="1">
        <f t="shared" si="610"/>
        <v>0</v>
      </c>
      <c r="BH695" s="1">
        <f t="shared" si="611"/>
        <v>0</v>
      </c>
      <c r="BI695" s="1">
        <v>2</v>
      </c>
      <c r="BJ695" s="1">
        <v>2</v>
      </c>
      <c r="BK695" s="1">
        <v>1</v>
      </c>
      <c r="BL695" s="1">
        <v>1</v>
      </c>
      <c r="BM695" s="1">
        <v>1</v>
      </c>
      <c r="BN695" s="1">
        <v>1</v>
      </c>
      <c r="BO695" s="1">
        <v>1</v>
      </c>
      <c r="BP695" s="1">
        <v>1</v>
      </c>
      <c r="BQ695" s="1">
        <f>IF(HRRVL,1,0)</f>
        <v>0</v>
      </c>
      <c r="BR695" s="1">
        <v>1</v>
      </c>
      <c r="BS695" s="1">
        <v>1</v>
      </c>
      <c r="BT695" s="1">
        <f>IF(HRXPH,1,0)</f>
        <v>0</v>
      </c>
      <c r="BU695" s="1">
        <f>IF(HRRVL,2,0)</f>
        <v>0</v>
      </c>
      <c r="BV695" s="1">
        <v>2</v>
      </c>
      <c r="BW695" s="1">
        <v>1</v>
      </c>
      <c r="BX695" s="1">
        <v>1</v>
      </c>
      <c r="BY695" s="1">
        <v>1</v>
      </c>
      <c r="BZ695" s="1">
        <v>1</v>
      </c>
      <c r="CA695" s="1">
        <v>1</v>
      </c>
      <c r="CB695" s="1">
        <v>1</v>
      </c>
      <c r="CC695" s="1">
        <v>1</v>
      </c>
      <c r="CD695" s="1">
        <v>1</v>
      </c>
      <c r="CE695" s="1">
        <v>1</v>
      </c>
      <c r="CF695" s="1">
        <v>2</v>
      </c>
      <c r="CG695" s="1">
        <f t="shared" si="612"/>
        <v>0</v>
      </c>
      <c r="CH695" s="1">
        <v>2</v>
      </c>
      <c r="CI695" s="1">
        <v>1</v>
      </c>
      <c r="CJ695" s="1">
        <v>1</v>
      </c>
      <c r="CK695" s="1">
        <v>1</v>
      </c>
      <c r="CL695" s="1">
        <v>1</v>
      </c>
      <c r="CM695" s="1">
        <v>1</v>
      </c>
      <c r="CN695" s="1">
        <v>1</v>
      </c>
      <c r="CO695" s="1">
        <v>1</v>
      </c>
      <c r="CP695" s="1">
        <v>2</v>
      </c>
      <c r="CQ695" s="1">
        <v>2</v>
      </c>
      <c r="CR695" s="1">
        <v>2</v>
      </c>
      <c r="CS695" s="1">
        <v>2</v>
      </c>
      <c r="CT695" s="1">
        <v>2</v>
      </c>
      <c r="CU695" s="1">
        <v>2</v>
      </c>
      <c r="CV695" s="1">
        <f t="shared" si="613"/>
        <v>0</v>
      </c>
      <c r="CW695" s="1">
        <v>2</v>
      </c>
      <c r="CX695" s="1">
        <v>2</v>
      </c>
      <c r="CY695" s="1">
        <v>1</v>
      </c>
      <c r="CZ695" s="1">
        <f t="shared" si="614"/>
        <v>0</v>
      </c>
      <c r="DA695" s="1">
        <v>1</v>
      </c>
      <c r="DB695" s="1">
        <v>1</v>
      </c>
      <c r="DC695" s="1">
        <v>1</v>
      </c>
      <c r="DD695" s="1">
        <v>2</v>
      </c>
      <c r="DE695" s="1">
        <v>1</v>
      </c>
      <c r="DF695" s="1">
        <v>1</v>
      </c>
      <c r="DG695" s="1">
        <v>1</v>
      </c>
      <c r="DH695" s="1">
        <v>1</v>
      </c>
      <c r="DI695" s="1">
        <f t="shared" si="615"/>
        <v>0</v>
      </c>
      <c r="DJ695" s="1">
        <v>1</v>
      </c>
      <c r="DK695" s="1" t="s">
        <v>1594</v>
      </c>
      <c r="DL695" s="1" t="s">
        <v>101</v>
      </c>
      <c r="DR695" s="1" t="b">
        <f>AlignmentEvil</f>
        <v>0</v>
      </c>
      <c r="DS695" s="1" t="b">
        <f>BaseAtk&gt;=6</f>
        <v>0</v>
      </c>
      <c r="DT695" s="1" t="b">
        <f>FtDiscipleOfDarkness</f>
        <v>0</v>
      </c>
      <c r="DU695" s="1" t="b">
        <f>FtEvilBrand</f>
        <v>0</v>
      </c>
      <c r="EA695" s="1" t="b">
        <f t="shared" si="616"/>
        <v>0</v>
      </c>
      <c r="EB695" s="11" t="s">
        <v>338</v>
      </c>
      <c r="EC695" s="1" t="str">
        <f>IF(DR695,"","• You must be of Any Evil alignment.
")&amp;IF(DS695,"","• Base attack bonus of +6 or greater.
")&amp;IF(DT695,"","• Disciple of Darkness feat.
")&amp;IF(DU695,"","• Evil Brand feat.
")&amp;IF(DV695,"","• The sect of Mephistopheles welcomes new disciples with a terrible ritual that invovles the sacrifice of an intelligent being in magical fire (not verified).")</f>
        <v>• You must be of Any Evil alignment.
• Base attack bonus of +6 or greater.
• Disciple of Darkness feat.
• Evil Brand feat.
• The sect of Mephistopheles welcomes new disciples with a terrible ritual that invovles the sacrifice of an intelligent being in magical fire (not verified).</v>
      </c>
      <c r="ED695" s="11" t="s">
        <v>335</v>
      </c>
    </row>
    <row r="696" spans="1:134" ht="11.25" customHeight="1" x14ac:dyDescent="0.2">
      <c r="A696" s="1">
        <f t="shared" si="582"/>
        <v>693</v>
      </c>
      <c r="B696" s="1" t="s">
        <v>1608</v>
      </c>
      <c r="C696" s="1" t="s">
        <v>1609</v>
      </c>
      <c r="D696" s="1" t="s">
        <v>1609</v>
      </c>
      <c r="E696" s="1">
        <f t="shared" si="575"/>
        <v>0</v>
      </c>
      <c r="K696" s="1">
        <v>4</v>
      </c>
      <c r="L696" s="1">
        <v>12</v>
      </c>
      <c r="V696" s="1">
        <v>0.75</v>
      </c>
      <c r="W696" s="1">
        <v>0.5</v>
      </c>
      <c r="X696" s="1">
        <v>0.5</v>
      </c>
      <c r="Y696" s="1">
        <v>0.5</v>
      </c>
      <c r="Z696" s="1" t="b">
        <f>FALSE</f>
        <v>0</v>
      </c>
      <c r="AA696" s="1" t="str">
        <f t="shared" si="578"/>
        <v/>
      </c>
      <c r="AB696" s="1" t="str">
        <f t="shared" si="579"/>
        <v/>
      </c>
      <c r="AC696" s="1">
        <f t="shared" si="576"/>
        <v>0</v>
      </c>
      <c r="AD696" s="1" t="str">
        <f t="shared" si="580"/>
        <v/>
      </c>
      <c r="AE696" s="1" t="str">
        <f t="shared" si="581"/>
        <v/>
      </c>
      <c r="AF696" s="1">
        <f t="shared" si="577"/>
        <v>0</v>
      </c>
      <c r="AG696" s="1">
        <f t="shared" si="589"/>
        <v>5</v>
      </c>
      <c r="AH696" s="1" t="str">
        <f t="shared" si="588"/>
        <v/>
      </c>
      <c r="AI696" s="1">
        <v>1</v>
      </c>
      <c r="AJ696" s="1">
        <f t="shared" si="608"/>
        <v>0</v>
      </c>
      <c r="AK696" s="1">
        <v>1</v>
      </c>
      <c r="AL696" s="1">
        <v>2</v>
      </c>
      <c r="AM696" s="1">
        <v>1</v>
      </c>
      <c r="AN696" s="1">
        <f t="shared" si="609"/>
        <v>0</v>
      </c>
      <c r="AO696" s="1">
        <v>1</v>
      </c>
      <c r="AP696" s="1">
        <v>1</v>
      </c>
      <c r="AQ696" s="1">
        <v>1</v>
      </c>
      <c r="AR696" s="1">
        <v>1</v>
      </c>
      <c r="AS696" s="1">
        <v>1</v>
      </c>
      <c r="AT696" s="1">
        <v>1</v>
      </c>
      <c r="AU696" s="1">
        <v>1</v>
      </c>
      <c r="AV696" s="1">
        <v>1</v>
      </c>
      <c r="AW696" s="1">
        <v>1</v>
      </c>
      <c r="AX696" s="1">
        <v>1</v>
      </c>
      <c r="AY696" s="1">
        <v>1</v>
      </c>
      <c r="AZ696" s="1">
        <v>1</v>
      </c>
      <c r="BA696" s="1">
        <v>1</v>
      </c>
      <c r="BB696" s="1">
        <v>1</v>
      </c>
      <c r="BC696" s="1">
        <v>1</v>
      </c>
      <c r="BD696" s="1">
        <v>1</v>
      </c>
      <c r="BE696" s="1">
        <v>1</v>
      </c>
      <c r="BF696" s="1">
        <v>2</v>
      </c>
      <c r="BG696" s="1">
        <f t="shared" si="610"/>
        <v>0</v>
      </c>
      <c r="BH696" s="1">
        <f t="shared" si="611"/>
        <v>0</v>
      </c>
      <c r="BI696" s="1">
        <v>1</v>
      </c>
      <c r="BJ696" s="1">
        <v>1</v>
      </c>
      <c r="BK696" s="1">
        <v>2</v>
      </c>
      <c r="BL696" s="1">
        <v>1</v>
      </c>
      <c r="BM696" s="1">
        <v>1</v>
      </c>
      <c r="BN696" s="1">
        <v>1</v>
      </c>
      <c r="BO696" s="1">
        <v>1</v>
      </c>
      <c r="BP696" s="1">
        <v>1</v>
      </c>
      <c r="BQ696" s="1">
        <f>IF(HRRVL,1,0)</f>
        <v>0</v>
      </c>
      <c r="BR696" s="1">
        <v>1</v>
      </c>
      <c r="BS696" s="1">
        <v>1</v>
      </c>
      <c r="BT696" s="1">
        <f>IF(HRXPH,1,0)</f>
        <v>0</v>
      </c>
      <c r="BU696" s="1">
        <f>IF(HRRVL,1,0)</f>
        <v>0</v>
      </c>
      <c r="BV696" s="1">
        <v>1</v>
      </c>
      <c r="BW696" s="1">
        <v>1</v>
      </c>
      <c r="BX696" s="1">
        <v>1</v>
      </c>
      <c r="BY696" s="1">
        <v>1</v>
      </c>
      <c r="BZ696" s="1">
        <v>1</v>
      </c>
      <c r="CA696" s="1">
        <v>1</v>
      </c>
      <c r="CB696" s="1">
        <v>1</v>
      </c>
      <c r="CC696" s="1">
        <v>1</v>
      </c>
      <c r="CD696" s="1">
        <v>1</v>
      </c>
      <c r="CE696" s="1">
        <v>1</v>
      </c>
      <c r="CF696" s="1">
        <v>2</v>
      </c>
      <c r="CG696" s="1">
        <f t="shared" si="612"/>
        <v>0</v>
      </c>
      <c r="CH696" s="1">
        <v>2</v>
      </c>
      <c r="CI696" s="1">
        <v>1</v>
      </c>
      <c r="CJ696" s="1">
        <v>1</v>
      </c>
      <c r="CK696" s="1">
        <v>1</v>
      </c>
      <c r="CL696" s="1">
        <v>1</v>
      </c>
      <c r="CM696" s="1">
        <v>1</v>
      </c>
      <c r="CN696" s="1">
        <v>1</v>
      </c>
      <c r="CO696" s="1">
        <v>1</v>
      </c>
      <c r="CP696" s="1">
        <v>2</v>
      </c>
      <c r="CQ696" s="1">
        <v>2</v>
      </c>
      <c r="CR696" s="1">
        <v>2</v>
      </c>
      <c r="CS696" s="1">
        <v>2</v>
      </c>
      <c r="CT696" s="1">
        <v>2</v>
      </c>
      <c r="CU696" s="1">
        <v>2</v>
      </c>
      <c r="CV696" s="1">
        <f t="shared" si="613"/>
        <v>0</v>
      </c>
      <c r="CW696" s="1">
        <v>1</v>
      </c>
      <c r="CX696" s="1">
        <v>2</v>
      </c>
      <c r="CY696" s="1">
        <v>2</v>
      </c>
      <c r="CZ696" s="1">
        <f t="shared" si="614"/>
        <v>0</v>
      </c>
      <c r="DA696" s="1">
        <v>1</v>
      </c>
      <c r="DB696" s="1">
        <v>1</v>
      </c>
      <c r="DC696" s="1">
        <v>2</v>
      </c>
      <c r="DD696" s="1">
        <v>2</v>
      </c>
      <c r="DE696" s="1">
        <v>1</v>
      </c>
      <c r="DF696" s="1">
        <v>1</v>
      </c>
      <c r="DG696" s="1">
        <v>1</v>
      </c>
      <c r="DH696" s="1">
        <v>1</v>
      </c>
      <c r="DI696" s="1">
        <f t="shared" si="615"/>
        <v>0</v>
      </c>
      <c r="DJ696" s="1">
        <v>1</v>
      </c>
      <c r="DK696" s="1" t="s">
        <v>1594</v>
      </c>
      <c r="DL696" s="1" t="s">
        <v>101</v>
      </c>
      <c r="DR696" s="1" t="b">
        <f>AlignmentEvil</f>
        <v>0</v>
      </c>
      <c r="DS696" s="1" t="b">
        <f>SkKnowledgeArcanaRanks&gt;=6</f>
        <v>0</v>
      </c>
      <c r="DT696" s="1" t="b">
        <f>SkSpellcraftRanks&gt;=6</f>
        <v>0</v>
      </c>
      <c r="DU696" s="1" t="b">
        <f>VampireSelected</f>
        <v>0</v>
      </c>
      <c r="EA696" s="1" t="b">
        <f t="shared" si="616"/>
        <v>0</v>
      </c>
      <c r="EB696" s="11" t="s">
        <v>334</v>
      </c>
      <c r="EC696" s="1" t="str">
        <f>IF(DR696,"","• You must be of Any Evil alignment.
")&amp;IF(DS696,"","• 6 ranks in Knowledge (arcana).
")&amp;IF(DT696,"","• 6 ranks in Spellcraft.
")&amp;IF(DU696,"","• Must be a vampire.")</f>
        <v>• You must be of Any Evil alignment.
• 6 ranks in Knowledge (arcana).
• 6 ranks in Spellcraft.
• Must be a vampire.</v>
      </c>
      <c r="ED696" s="11" t="s">
        <v>335</v>
      </c>
    </row>
    <row r="697" spans="1:134" ht="11.25" customHeight="1" x14ac:dyDescent="0.2">
      <c r="A697" s="1">
        <f t="shared" si="582"/>
        <v>694</v>
      </c>
      <c r="B697" s="1" t="s">
        <v>1610</v>
      </c>
      <c r="C697" s="1" t="s">
        <v>1611</v>
      </c>
      <c r="D697" s="1" t="s">
        <v>1611</v>
      </c>
      <c r="E697" s="1">
        <f t="shared" si="575"/>
        <v>0</v>
      </c>
      <c r="K697" s="1">
        <v>4</v>
      </c>
      <c r="L697" s="1">
        <v>10</v>
      </c>
      <c r="V697" s="1">
        <v>1</v>
      </c>
      <c r="W697" s="1">
        <v>0.5</v>
      </c>
      <c r="X697" s="1">
        <v>0.34</v>
      </c>
      <c r="Y697" s="1">
        <v>0.34</v>
      </c>
      <c r="Z697" s="1" t="b">
        <f>FALSE</f>
        <v>0</v>
      </c>
      <c r="AA697" s="1" t="str">
        <f t="shared" si="578"/>
        <v/>
      </c>
      <c r="AB697" s="1" t="str">
        <f t="shared" si="579"/>
        <v/>
      </c>
      <c r="AC697" s="1">
        <f t="shared" si="576"/>
        <v>0</v>
      </c>
      <c r="AD697" s="1" t="str">
        <f t="shared" si="580"/>
        <v/>
      </c>
      <c r="AE697" s="1" t="str">
        <f t="shared" si="581"/>
        <v/>
      </c>
      <c r="AF697" s="1">
        <f t="shared" si="577"/>
        <v>0</v>
      </c>
      <c r="AG697" s="1">
        <f t="shared" si="589"/>
        <v>5</v>
      </c>
      <c r="AH697" s="1" t="str">
        <f t="shared" si="588"/>
        <v/>
      </c>
      <c r="AI697" s="1">
        <v>1</v>
      </c>
      <c r="AJ697" s="1">
        <f t="shared" si="608"/>
        <v>0</v>
      </c>
      <c r="AK697" s="1">
        <v>1</v>
      </c>
      <c r="AL697" s="1">
        <v>2</v>
      </c>
      <c r="AM697" s="1">
        <v>2</v>
      </c>
      <c r="AN697" s="1">
        <f t="shared" si="609"/>
        <v>0</v>
      </c>
      <c r="AO697" s="1">
        <v>2</v>
      </c>
      <c r="AP697" s="1">
        <v>1</v>
      </c>
      <c r="AQ697" s="1">
        <v>1</v>
      </c>
      <c r="AR697" s="1">
        <v>1</v>
      </c>
      <c r="AS697" s="1">
        <v>1</v>
      </c>
      <c r="AT697" s="1">
        <v>1</v>
      </c>
      <c r="AU697" s="1">
        <v>1</v>
      </c>
      <c r="AV697" s="1">
        <v>1</v>
      </c>
      <c r="AW697" s="1">
        <v>1</v>
      </c>
      <c r="AX697" s="1">
        <v>1</v>
      </c>
      <c r="AY697" s="1">
        <v>1</v>
      </c>
      <c r="AZ697" s="1">
        <v>2</v>
      </c>
      <c r="BA697" s="1">
        <v>1</v>
      </c>
      <c r="BB697" s="1">
        <v>1</v>
      </c>
      <c r="BC697" s="1">
        <v>1</v>
      </c>
      <c r="BD697" s="1">
        <v>1</v>
      </c>
      <c r="BE697" s="1">
        <v>1</v>
      </c>
      <c r="BF697" s="1">
        <v>2</v>
      </c>
      <c r="BG697" s="1">
        <f t="shared" si="610"/>
        <v>0</v>
      </c>
      <c r="BH697" s="1">
        <f t="shared" si="611"/>
        <v>0</v>
      </c>
      <c r="BI697" s="1">
        <v>1</v>
      </c>
      <c r="BJ697" s="1">
        <v>2</v>
      </c>
      <c r="BK697" s="1">
        <v>2</v>
      </c>
      <c r="BL697" s="1">
        <v>1</v>
      </c>
      <c r="BM697" s="1">
        <v>1</v>
      </c>
      <c r="BN697" s="1">
        <v>1</v>
      </c>
      <c r="BO697" s="1">
        <v>1</v>
      </c>
      <c r="BP697" s="1">
        <v>1</v>
      </c>
      <c r="BQ697" s="1">
        <f>IF(HRRVL,1,0)</f>
        <v>0</v>
      </c>
      <c r="BR697" s="1">
        <v>1</v>
      </c>
      <c r="BS697" s="1">
        <v>1</v>
      </c>
      <c r="BT697" s="1">
        <f>IF(HRXPH,1,0)</f>
        <v>0</v>
      </c>
      <c r="BU697" s="1">
        <f>IF(HRRVL,2,0)</f>
        <v>0</v>
      </c>
      <c r="BV697" s="1">
        <v>2</v>
      </c>
      <c r="BW697" s="1">
        <v>2</v>
      </c>
      <c r="BX697" s="1">
        <v>1</v>
      </c>
      <c r="BY697" s="1">
        <v>1</v>
      </c>
      <c r="BZ697" s="1">
        <v>1</v>
      </c>
      <c r="CA697" s="1">
        <v>1</v>
      </c>
      <c r="CB697" s="1">
        <v>1</v>
      </c>
      <c r="CC697" s="1">
        <v>1</v>
      </c>
      <c r="CD697" s="1">
        <v>1</v>
      </c>
      <c r="CE697" s="1">
        <v>1</v>
      </c>
      <c r="CF697" s="1">
        <v>2</v>
      </c>
      <c r="CG697" s="1">
        <f t="shared" si="612"/>
        <v>0</v>
      </c>
      <c r="CH697" s="1">
        <v>2</v>
      </c>
      <c r="CI697" s="1">
        <v>1</v>
      </c>
      <c r="CJ697" s="1">
        <v>1</v>
      </c>
      <c r="CK697" s="1">
        <v>1</v>
      </c>
      <c r="CL697" s="1">
        <v>1</v>
      </c>
      <c r="CM697" s="1">
        <v>1</v>
      </c>
      <c r="CN697" s="1">
        <v>1</v>
      </c>
      <c r="CO697" s="1">
        <v>1</v>
      </c>
      <c r="CP697" s="1">
        <v>1</v>
      </c>
      <c r="CQ697" s="1">
        <v>1</v>
      </c>
      <c r="CR697" s="1">
        <v>1</v>
      </c>
      <c r="CS697" s="1">
        <v>1</v>
      </c>
      <c r="CT697" s="1">
        <v>1</v>
      </c>
      <c r="CU697" s="1">
        <v>1</v>
      </c>
      <c r="CV697" s="1">
        <f t="shared" si="613"/>
        <v>0</v>
      </c>
      <c r="CW697" s="1">
        <v>1</v>
      </c>
      <c r="CX697" s="1">
        <v>2</v>
      </c>
      <c r="CY697" s="1">
        <v>2</v>
      </c>
      <c r="CZ697" s="1">
        <f t="shared" si="614"/>
        <v>0</v>
      </c>
      <c r="DA697" s="1">
        <v>1</v>
      </c>
      <c r="DB697" s="1">
        <v>1</v>
      </c>
      <c r="DC697" s="1">
        <v>1</v>
      </c>
      <c r="DD697" s="1">
        <v>2</v>
      </c>
      <c r="DE697" s="1">
        <v>2</v>
      </c>
      <c r="DF697" s="1">
        <v>1</v>
      </c>
      <c r="DG697" s="1">
        <v>1</v>
      </c>
      <c r="DH697" s="1">
        <v>1</v>
      </c>
      <c r="DI697" s="1">
        <f t="shared" si="615"/>
        <v>0</v>
      </c>
      <c r="DJ697" s="1">
        <v>1</v>
      </c>
      <c r="DK697" s="1" t="s">
        <v>1594</v>
      </c>
      <c r="DL697" s="1" t="s">
        <v>101</v>
      </c>
      <c r="DR697" s="1" t="b">
        <f>RaceType="Outsider"</f>
        <v>0</v>
      </c>
      <c r="DS697" s="1" t="b">
        <f>AlignmentEvil</f>
        <v>0</v>
      </c>
      <c r="DT697" s="1" t="b">
        <f>BaseAtk&gt;=5</f>
        <v>0</v>
      </c>
      <c r="DU697" s="1" t="b">
        <f>SkMoveSilentlyRanks&gt;=3</f>
        <v>0</v>
      </c>
      <c r="DV697" s="1" t="b">
        <f>SkSurvivalRanks&gt;=5</f>
        <v>0</v>
      </c>
      <c r="DW697" s="1" t="b">
        <f>NOT(ISNA(MATCH("Common",TblLangKnown,0)))</f>
        <v>1</v>
      </c>
      <c r="DX697" s="1" t="b">
        <f>OR(FreeAlertness,FtAlertness)</f>
        <v>0</v>
      </c>
      <c r="DY697" s="1" t="b">
        <f>FtMortalbane</f>
        <v>0</v>
      </c>
      <c r="DZ697" s="1" t="b">
        <f>OR(FreeTrack,FtTrack)</f>
        <v>0</v>
      </c>
      <c r="EA697" s="1" t="b">
        <f>AND(DM697:DZ697)</f>
        <v>0</v>
      </c>
      <c r="EB697" s="11" t="s">
        <v>334</v>
      </c>
      <c r="EC697" s="1" t="str">
        <f>IF(DR697,"","• Must be an Outsider.
")&amp;IF(DS697,"","• You must be of Any Evil alignment.
")&amp;IF(DT697,"","• Base attack bonus of +5 or greater.
")&amp;IF(DU697,"","• 3 ranks in Move Silently.
")&amp;IF(DV697,"","• 5 ranks in Survival.
")&amp;IF(DW697,"","• Speak Language (Common).
")&amp;IF(DX697,"","• Alertness feat.
")&amp;IF(DY697,"","• Mortalbane feat.
")&amp;IF(DZ697,"","• Track feat.")</f>
        <v>• Must be an Outsider.
• You must be of Any Evil alignment.
• Base attack bonus of +5 or greater.
• 3 ranks in Move Silently.
• 5 ranks in Survival.
• Alertness feat.
• Mortalbane feat.
• Track feat.</v>
      </c>
      <c r="ED697" s="11" t="s">
        <v>335</v>
      </c>
    </row>
    <row r="698" spans="1:134" ht="11.25" customHeight="1" x14ac:dyDescent="0.2">
      <c r="A698" s="1">
        <f t="shared" si="582"/>
        <v>695</v>
      </c>
      <c r="B698" s="1" t="s">
        <v>1612</v>
      </c>
      <c r="C698" s="1" t="s">
        <v>1613</v>
      </c>
      <c r="D698" s="1" t="s">
        <v>1613</v>
      </c>
      <c r="E698" s="1">
        <f t="shared" si="575"/>
        <v>0</v>
      </c>
      <c r="K698" s="1">
        <v>4</v>
      </c>
      <c r="L698" s="1">
        <v>8</v>
      </c>
      <c r="V698" s="1">
        <v>1</v>
      </c>
      <c r="W698" s="1">
        <v>0.5</v>
      </c>
      <c r="X698" s="1">
        <v>0.5</v>
      </c>
      <c r="Y698" s="1">
        <v>0.5</v>
      </c>
      <c r="Z698" s="1" t="b">
        <f>FALSE</f>
        <v>0</v>
      </c>
      <c r="AA698" s="1" t="str">
        <f t="shared" si="578"/>
        <v/>
      </c>
      <c r="AB698" s="1" t="str">
        <f t="shared" si="579"/>
        <v/>
      </c>
      <c r="AC698" s="1">
        <f t="shared" si="576"/>
        <v>0</v>
      </c>
      <c r="AD698" s="1" t="str">
        <f t="shared" si="580"/>
        <v/>
      </c>
      <c r="AE698" s="1" t="str">
        <f t="shared" si="581"/>
        <v/>
      </c>
      <c r="AF698" s="1">
        <f t="shared" si="577"/>
        <v>0</v>
      </c>
      <c r="AG698" s="1">
        <f t="shared" si="589"/>
        <v>5</v>
      </c>
      <c r="AH698" s="1" t="str">
        <f t="shared" si="588"/>
        <v/>
      </c>
      <c r="AI698" s="1">
        <v>1</v>
      </c>
      <c r="AJ698" s="1">
        <f t="shared" si="608"/>
        <v>0</v>
      </c>
      <c r="AK698" s="1">
        <v>1</v>
      </c>
      <c r="AL698" s="1">
        <v>1</v>
      </c>
      <c r="AM698" s="1">
        <v>2</v>
      </c>
      <c r="AN698" s="1">
        <f t="shared" si="609"/>
        <v>0</v>
      </c>
      <c r="AO698" s="1">
        <v>2</v>
      </c>
      <c r="AP698" s="1">
        <v>1</v>
      </c>
      <c r="AQ698" s="1">
        <v>1</v>
      </c>
      <c r="AR698" s="1">
        <v>1</v>
      </c>
      <c r="AS698" s="1">
        <v>1</v>
      </c>
      <c r="AT698" s="1">
        <v>1</v>
      </c>
      <c r="AU698" s="1">
        <v>1</v>
      </c>
      <c r="AV698" s="1">
        <v>1</v>
      </c>
      <c r="AW698" s="1">
        <v>1</v>
      </c>
      <c r="AX698" s="1">
        <v>1</v>
      </c>
      <c r="AY698" s="1">
        <v>1</v>
      </c>
      <c r="AZ698" s="1">
        <v>1</v>
      </c>
      <c r="BA698" s="1">
        <v>1</v>
      </c>
      <c r="BB698" s="1">
        <v>1</v>
      </c>
      <c r="BC698" s="1">
        <v>1</v>
      </c>
      <c r="BD698" s="1">
        <v>1</v>
      </c>
      <c r="BE698" s="1">
        <v>1</v>
      </c>
      <c r="BF698" s="1">
        <v>2</v>
      </c>
      <c r="BG698" s="1">
        <f t="shared" si="610"/>
        <v>0</v>
      </c>
      <c r="BH698" s="1">
        <f t="shared" si="611"/>
        <v>0</v>
      </c>
      <c r="BI698" s="1">
        <v>2</v>
      </c>
      <c r="BJ698" s="1">
        <v>2</v>
      </c>
      <c r="BK698" s="1">
        <v>1</v>
      </c>
      <c r="BL698" s="1">
        <v>1</v>
      </c>
      <c r="BM698" s="1">
        <v>1</v>
      </c>
      <c r="BN698" s="1">
        <v>1</v>
      </c>
      <c r="BO698" s="1">
        <v>1</v>
      </c>
      <c r="BP698" s="1">
        <v>1</v>
      </c>
      <c r="BQ698" s="1">
        <f>IF(HRRVL,1,0)</f>
        <v>0</v>
      </c>
      <c r="BR698" s="1">
        <v>1</v>
      </c>
      <c r="BS698" s="1">
        <v>1</v>
      </c>
      <c r="BT698" s="1">
        <f>IF(HRXPH,1,0)</f>
        <v>0</v>
      </c>
      <c r="BU698" s="1">
        <f>IF(HRRVL,1,0)</f>
        <v>0</v>
      </c>
      <c r="BV698" s="1">
        <v>1</v>
      </c>
      <c r="BW698" s="1">
        <v>1</v>
      </c>
      <c r="BX698" s="1">
        <v>1</v>
      </c>
      <c r="BY698" s="1">
        <v>1</v>
      </c>
      <c r="BZ698" s="1">
        <v>1</v>
      </c>
      <c r="CA698" s="1">
        <v>1</v>
      </c>
      <c r="CB698" s="1">
        <v>1</v>
      </c>
      <c r="CC698" s="1">
        <v>1</v>
      </c>
      <c r="CD698" s="1">
        <v>1</v>
      </c>
      <c r="CE698" s="1">
        <v>1</v>
      </c>
      <c r="CF698" s="1">
        <v>2</v>
      </c>
      <c r="CG698" s="1">
        <f t="shared" si="612"/>
        <v>0</v>
      </c>
      <c r="CH698" s="1">
        <v>2</v>
      </c>
      <c r="CI698" s="1">
        <v>1</v>
      </c>
      <c r="CJ698" s="1">
        <v>1</v>
      </c>
      <c r="CK698" s="1">
        <v>1</v>
      </c>
      <c r="CL698" s="1">
        <v>1</v>
      </c>
      <c r="CM698" s="1">
        <v>1</v>
      </c>
      <c r="CN698" s="1">
        <v>1</v>
      </c>
      <c r="CO698" s="1">
        <v>1</v>
      </c>
      <c r="CP698" s="1">
        <v>2</v>
      </c>
      <c r="CQ698" s="1">
        <v>2</v>
      </c>
      <c r="CR698" s="1">
        <v>2</v>
      </c>
      <c r="CS698" s="1">
        <v>2</v>
      </c>
      <c r="CT698" s="1">
        <v>2</v>
      </c>
      <c r="CU698" s="1">
        <v>2</v>
      </c>
      <c r="CV698" s="1">
        <f t="shared" si="613"/>
        <v>0</v>
      </c>
      <c r="CW698" s="1">
        <v>1</v>
      </c>
      <c r="CX698" s="1">
        <v>2</v>
      </c>
      <c r="CY698" s="1">
        <v>1</v>
      </c>
      <c r="CZ698" s="1">
        <f t="shared" si="614"/>
        <v>0</v>
      </c>
      <c r="DA698" s="1">
        <v>1</v>
      </c>
      <c r="DB698" s="1">
        <v>1</v>
      </c>
      <c r="DC698" s="1">
        <v>2</v>
      </c>
      <c r="DD698" s="1">
        <v>2</v>
      </c>
      <c r="DE698" s="1">
        <v>1</v>
      </c>
      <c r="DF698" s="1">
        <v>2</v>
      </c>
      <c r="DG698" s="1">
        <v>1</v>
      </c>
      <c r="DH698" s="1">
        <v>1</v>
      </c>
      <c r="DI698" s="1">
        <f t="shared" si="615"/>
        <v>0</v>
      </c>
      <c r="DJ698" s="1">
        <v>2</v>
      </c>
      <c r="DK698" s="1" t="s">
        <v>1594</v>
      </c>
      <c r="DL698" s="1" t="s">
        <v>101</v>
      </c>
      <c r="DS698" s="1" t="b">
        <f>AlignmentEvil</f>
        <v>0</v>
      </c>
      <c r="DT698" s="1" t="b">
        <f>BaseAtk&gt;=5</f>
        <v>0</v>
      </c>
      <c r="DU698" s="1" t="b">
        <f>SkKnowledgeArcanaRanks&gt;=2</f>
        <v>0</v>
      </c>
      <c r="DV698" s="1" t="b">
        <f>OR(FreeAlertness,FtAlertness)</f>
        <v>0</v>
      </c>
      <c r="EA698" s="1" t="b">
        <f>AND(DM698:DZ698)</f>
        <v>0</v>
      </c>
      <c r="EB698" s="11" t="s">
        <v>338</v>
      </c>
      <c r="EC698" s="1" t="str">
        <f>IF(DR698,"","• Must be a living nonhumanoid (not verified)
")&amp;IF(DS698,"","• You must be of Any Evil alignment.
")&amp;IF(DT698,"","• Base attack bonus of +5 or greater.
")&amp;IF(DU698,"","• 2 ranks in Knowledge (arcana).
")&amp;IF(DV698,"","• Alertness feat.
")&amp;IF(DW698,"","• Weapon Focus feat (claw or other natural weapon) (not verified).
")&amp;IF(DX698,"","• Special (not verified).")</f>
        <v>• Must be a living nonhumanoid (not verified)
• You must be of Any Evil alignment.
• Base attack bonus of +5 or greater.
• 2 ranks in Knowledge (arcana).
• Alertness feat.
• Weapon Focus feat (claw or other natural weapon) (not verified).
• Special (not verified).</v>
      </c>
      <c r="ED698" s="11" t="s">
        <v>335</v>
      </c>
    </row>
    <row r="699" spans="1:134" ht="11.25" customHeight="1" x14ac:dyDescent="0.2">
      <c r="A699" s="1">
        <f t="shared" si="582"/>
        <v>696</v>
      </c>
      <c r="B699" s="1" t="s">
        <v>1614</v>
      </c>
      <c r="C699" s="1" t="s">
        <v>1615</v>
      </c>
      <c r="D699" s="1" t="s">
        <v>1615</v>
      </c>
      <c r="E699" s="1">
        <f t="shared" si="575"/>
        <v>0</v>
      </c>
      <c r="G699" s="1">
        <f>ToDBonus1*(ToDLvl&gt;=1)+ToDBonus2*(ToDLvl&gt;=4)+ToDBonus3*(ToDLvl&gt;=7)+ToDBonus4*(ToDLvl&gt;=10)</f>
        <v>0</v>
      </c>
      <c r="K699" s="1">
        <v>4</v>
      </c>
      <c r="L699" s="1">
        <v>8</v>
      </c>
      <c r="N699" s="1" t="b">
        <v>1</v>
      </c>
      <c r="O699" s="1" t="b">
        <v>1</v>
      </c>
      <c r="P699" s="1" t="b">
        <v>1</v>
      </c>
      <c r="Q699" s="1" t="b">
        <v>1</v>
      </c>
      <c r="R699" s="1" t="b">
        <v>1</v>
      </c>
      <c r="S699" s="1" t="b">
        <v>1</v>
      </c>
      <c r="T699" s="1" t="b">
        <v>1</v>
      </c>
      <c r="V699" s="1">
        <v>1</v>
      </c>
      <c r="W699" s="1">
        <v>0.5</v>
      </c>
      <c r="X699" s="1">
        <v>0.34</v>
      </c>
      <c r="Y699" s="1">
        <v>0.34</v>
      </c>
      <c r="Z699" s="1" t="b">
        <f>FALSE</f>
        <v>0</v>
      </c>
      <c r="AA699" s="1" t="str">
        <f t="shared" si="578"/>
        <v/>
      </c>
      <c r="AB699" s="1" t="str">
        <f t="shared" si="579"/>
        <v/>
      </c>
      <c r="AC699" s="1">
        <f t="shared" si="576"/>
        <v>0</v>
      </c>
      <c r="AD699" s="1" t="str">
        <f t="shared" si="580"/>
        <v/>
      </c>
      <c r="AE699" s="1" t="str">
        <f t="shared" si="581"/>
        <v/>
      </c>
      <c r="AF699" s="1">
        <f t="shared" si="577"/>
        <v>0</v>
      </c>
      <c r="AG699" s="1">
        <f t="shared" si="589"/>
        <v>5</v>
      </c>
      <c r="AH699" s="1" t="str">
        <f t="shared" si="588"/>
        <v/>
      </c>
      <c r="AI699" s="1">
        <v>1</v>
      </c>
      <c r="AJ699" s="1">
        <f t="shared" si="608"/>
        <v>0</v>
      </c>
      <c r="AK699" s="1">
        <v>1</v>
      </c>
      <c r="AL699" s="1">
        <v>2</v>
      </c>
      <c r="AM699" s="1">
        <v>2</v>
      </c>
      <c r="AN699" s="1">
        <f t="shared" si="609"/>
        <v>0</v>
      </c>
      <c r="AO699" s="1">
        <v>2</v>
      </c>
      <c r="AP699" s="1">
        <v>1</v>
      </c>
      <c r="AQ699" s="1">
        <v>1</v>
      </c>
      <c r="AR699" s="1">
        <v>1</v>
      </c>
      <c r="AS699" s="1">
        <v>1</v>
      </c>
      <c r="AT699" s="1">
        <v>1</v>
      </c>
      <c r="AU699" s="1">
        <v>1</v>
      </c>
      <c r="AV699" s="1">
        <v>1</v>
      </c>
      <c r="AW699" s="1">
        <v>1</v>
      </c>
      <c r="AX699" s="1">
        <v>1</v>
      </c>
      <c r="AY699" s="1">
        <v>1</v>
      </c>
      <c r="AZ699" s="1">
        <v>1</v>
      </c>
      <c r="BA699" s="1">
        <v>1</v>
      </c>
      <c r="BB699" s="1">
        <v>1</v>
      </c>
      <c r="BC699" s="1">
        <v>1</v>
      </c>
      <c r="BD699" s="1">
        <v>1</v>
      </c>
      <c r="BE699" s="1">
        <v>1</v>
      </c>
      <c r="BF699" s="1">
        <v>1</v>
      </c>
      <c r="BG699" s="1">
        <f t="shared" si="610"/>
        <v>0</v>
      </c>
      <c r="BH699" s="1">
        <f t="shared" si="611"/>
        <v>0</v>
      </c>
      <c r="BI699" s="1">
        <v>2</v>
      </c>
      <c r="BJ699" s="1">
        <v>2</v>
      </c>
      <c r="BK699" s="1">
        <v>2</v>
      </c>
      <c r="BL699" s="1">
        <v>2</v>
      </c>
      <c r="BM699" s="1">
        <v>2</v>
      </c>
      <c r="BN699" s="1">
        <v>2</v>
      </c>
      <c r="BO699" s="1">
        <v>2</v>
      </c>
      <c r="BP699" s="1">
        <f>1+NOT(HRLivingGreyhawk)</f>
        <v>2</v>
      </c>
      <c r="BQ699" s="1">
        <f>IF(HRRVL,2,0)</f>
        <v>0</v>
      </c>
      <c r="BR699" s="1">
        <v>2</v>
      </c>
      <c r="BS699" s="1">
        <v>2</v>
      </c>
      <c r="BT699" s="1">
        <f>IF(HRXPH,2,0)</f>
        <v>0</v>
      </c>
      <c r="BU699" s="1">
        <f>IF(HRRVL,2,0)</f>
        <v>0</v>
      </c>
      <c r="BV699" s="1">
        <v>2</v>
      </c>
      <c r="BW699" s="1">
        <v>2</v>
      </c>
      <c r="BX699" s="1">
        <v>2</v>
      </c>
      <c r="BY699" s="1">
        <v>2</v>
      </c>
      <c r="BZ699" s="1">
        <v>2</v>
      </c>
      <c r="CA699" s="1">
        <v>2</v>
      </c>
      <c r="CB699" s="1">
        <v>2</v>
      </c>
      <c r="CC699" s="1">
        <v>2</v>
      </c>
      <c r="CD699" s="1">
        <v>2</v>
      </c>
      <c r="CE699" s="1">
        <v>2</v>
      </c>
      <c r="CF699" s="1">
        <v>1</v>
      </c>
      <c r="CG699" s="1">
        <f t="shared" si="612"/>
        <v>0</v>
      </c>
      <c r="CH699" s="1">
        <v>2</v>
      </c>
      <c r="CI699" s="1">
        <v>1</v>
      </c>
      <c r="CJ699" s="1">
        <v>1</v>
      </c>
      <c r="CK699" s="1">
        <v>1</v>
      </c>
      <c r="CL699" s="1">
        <v>1</v>
      </c>
      <c r="CM699" s="1">
        <v>1</v>
      </c>
      <c r="CN699" s="1">
        <v>1</v>
      </c>
      <c r="CO699" s="1">
        <v>1</v>
      </c>
      <c r="CP699" s="1">
        <v>2</v>
      </c>
      <c r="CQ699" s="1">
        <v>2</v>
      </c>
      <c r="CR699" s="1">
        <v>2</v>
      </c>
      <c r="CS699" s="1">
        <v>2</v>
      </c>
      <c r="CT699" s="1">
        <v>2</v>
      </c>
      <c r="CU699" s="1">
        <v>2</v>
      </c>
      <c r="CV699" s="1">
        <f t="shared" si="613"/>
        <v>0</v>
      </c>
      <c r="CW699" s="1">
        <v>1</v>
      </c>
      <c r="CX699" s="1">
        <v>2</v>
      </c>
      <c r="CY699" s="1">
        <v>2</v>
      </c>
      <c r="CZ699" s="1">
        <f t="shared" si="614"/>
        <v>0</v>
      </c>
      <c r="DA699" s="1">
        <v>1</v>
      </c>
      <c r="DB699" s="1">
        <v>1</v>
      </c>
      <c r="DC699" s="1">
        <v>1</v>
      </c>
      <c r="DD699" s="1">
        <v>2</v>
      </c>
      <c r="DE699" s="1">
        <v>1</v>
      </c>
      <c r="DF699" s="1">
        <v>2</v>
      </c>
      <c r="DG699" s="1">
        <v>1</v>
      </c>
      <c r="DH699" s="1">
        <v>1</v>
      </c>
      <c r="DI699" s="1">
        <f t="shared" si="615"/>
        <v>0</v>
      </c>
      <c r="DJ699" s="1">
        <v>2</v>
      </c>
      <c r="DK699" s="1" t="s">
        <v>1594</v>
      </c>
      <c r="DL699" s="1" t="s">
        <v>101</v>
      </c>
      <c r="DR699" s="1" t="b">
        <f>AND(AlignmentChaotic,AlignmentEvil)</f>
        <v>0</v>
      </c>
      <c r="DS699" s="1" t="b">
        <f>BaseAtk&gt;=5</f>
        <v>0</v>
      </c>
      <c r="DT699" s="1" t="b">
        <f>SkKnowledgeArcanaRanks&gt;=2</f>
        <v>0</v>
      </c>
      <c r="DU699" s="1" t="b">
        <f>SkKnowledgeReligionRanks&gt;=2</f>
        <v>0</v>
      </c>
      <c r="DV699" s="1" t="b">
        <f>COUNTIF(TblSkKnowRanks,"&gt;=2")&gt;=3</f>
        <v>0</v>
      </c>
      <c r="DW699" s="1" t="b">
        <f>FtWillingDeformity</f>
        <v>0</v>
      </c>
      <c r="DX699" s="1" t="b">
        <f>FtThrallToDemon</f>
        <v>0</v>
      </c>
      <c r="DY699" s="1" t="b">
        <f ca="1">OR(MaxArcaneSpellLevel&gt;=1,MaxDivineSpellLevel&gt;=1,(SneakAttack+SuddenStrike+PsionicSneakAttack)&gt;=1)</f>
        <v>0</v>
      </c>
      <c r="EA699" s="1" t="b">
        <f ca="1">AND(DM699:DZ699)</f>
        <v>0</v>
      </c>
      <c r="EB699" s="11" t="s">
        <v>338</v>
      </c>
      <c r="EC699" s="1" t="str">
        <f ca="1">IF(DR699,"","• Must be of Chaotic Evil Alignment.
")&amp;IF(DS699,"","• Base attack bonus of +5 or greater.
")&amp;IF(DT699,"","• 2 ranks in Knowledge (arcana).
")&amp;IF(DU699,"","• 2 ranks in Knowledge (religion)..
")&amp;IF(DV699,"","• 2 ranks in Knowledge (any other).
")&amp;IF(DW699,"","• Willing Deformity feat.
")&amp;IF(DX699,"","• Thrall to Demon feat.
")&amp;IF(DY699,"","• A thrall of Demogorgon is initiated in a horrific rite that involves the sacrifice of an intelligent being dedicated to Demogorgon.  This ceremony must take place on unhallowed ground, at night, in the presence of a demon (not verified).")</f>
        <v>• Must be of Chaotic Evil Alignment.
• Base attack bonus of +5 or greater.
• 2 ranks in Knowledge (arcana).
• 2 ranks in Knowledge (religion)..
• 2 ranks in Knowledge (any other).
• Willing Deformity feat.
• Thrall to Demon feat.
• A thrall of Demogorgon is initiated in a horrific rite that involves the sacrifice of an intelligent being dedicated to Demogorgon.  This ceremony must take place on unhallowed ground, at night, in the presence of a demon (not verified).</v>
      </c>
      <c r="ED699" s="11" t="s">
        <v>335</v>
      </c>
    </row>
    <row r="700" spans="1:134" ht="11.25" customHeight="1" x14ac:dyDescent="0.2">
      <c r="A700" s="1">
        <f t="shared" si="582"/>
        <v>697</v>
      </c>
      <c r="B700" s="1" t="s">
        <v>1616</v>
      </c>
      <c r="C700" s="1" t="s">
        <v>1617</v>
      </c>
      <c r="D700" s="1" t="s">
        <v>1617</v>
      </c>
      <c r="E700" s="1">
        <f t="shared" si="575"/>
        <v>0</v>
      </c>
      <c r="G700" s="1">
        <f>(ToGLvl&gt;0)*INT((ToGLvl+1)/2)+(ToGLvl=10)</f>
        <v>0</v>
      </c>
      <c r="K700" s="1">
        <v>4</v>
      </c>
      <c r="L700" s="1">
        <v>6</v>
      </c>
      <c r="V700" s="1">
        <v>0.5</v>
      </c>
      <c r="W700" s="1">
        <v>0.34</v>
      </c>
      <c r="X700" s="1">
        <v>0.34</v>
      </c>
      <c r="Y700" s="1">
        <v>0.5</v>
      </c>
      <c r="Z700" s="1" t="b">
        <f>FALSE</f>
        <v>0</v>
      </c>
      <c r="AA700" s="1" t="str">
        <f t="shared" si="578"/>
        <v/>
      </c>
      <c r="AB700" s="1" t="str">
        <f t="shared" si="579"/>
        <v/>
      </c>
      <c r="AC700" s="1">
        <f t="shared" si="576"/>
        <v>0</v>
      </c>
      <c r="AD700" s="1" t="str">
        <f t="shared" si="580"/>
        <v/>
      </c>
      <c r="AE700" s="1" t="str">
        <f t="shared" si="581"/>
        <v/>
      </c>
      <c r="AF700" s="1">
        <f t="shared" si="577"/>
        <v>0</v>
      </c>
      <c r="AG700" s="1">
        <f t="shared" si="589"/>
        <v>5</v>
      </c>
      <c r="AH700" s="1" t="str">
        <f t="shared" si="588"/>
        <v/>
      </c>
      <c r="AI700" s="1">
        <v>1</v>
      </c>
      <c r="AJ700" s="1">
        <f t="shared" si="608"/>
        <v>0</v>
      </c>
      <c r="AK700" s="1">
        <v>1</v>
      </c>
      <c r="AL700" s="1">
        <v>2</v>
      </c>
      <c r="AM700" s="1">
        <v>1</v>
      </c>
      <c r="AN700" s="1">
        <f t="shared" si="609"/>
        <v>0</v>
      </c>
      <c r="AO700" s="1">
        <v>2</v>
      </c>
      <c r="AP700" s="1">
        <v>1</v>
      </c>
      <c r="AQ700" s="1">
        <v>1</v>
      </c>
      <c r="AR700" s="1">
        <v>1</v>
      </c>
      <c r="AS700" s="1">
        <v>1</v>
      </c>
      <c r="AT700" s="1">
        <v>1</v>
      </c>
      <c r="AU700" s="1">
        <v>1</v>
      </c>
      <c r="AV700" s="1">
        <v>1</v>
      </c>
      <c r="AW700" s="1">
        <v>1</v>
      </c>
      <c r="AX700" s="1">
        <v>2</v>
      </c>
      <c r="AY700" s="1">
        <v>1</v>
      </c>
      <c r="AZ700" s="1">
        <v>1</v>
      </c>
      <c r="BA700" s="1">
        <v>1</v>
      </c>
      <c r="BB700" s="1">
        <v>1</v>
      </c>
      <c r="BC700" s="1">
        <v>2</v>
      </c>
      <c r="BD700" s="1">
        <v>1</v>
      </c>
      <c r="BE700" s="1">
        <v>1</v>
      </c>
      <c r="BF700" s="1">
        <v>2</v>
      </c>
      <c r="BG700" s="1">
        <f t="shared" si="610"/>
        <v>0</v>
      </c>
      <c r="BH700" s="1">
        <f t="shared" si="611"/>
        <v>0</v>
      </c>
      <c r="BI700" s="1">
        <v>1</v>
      </c>
      <c r="BJ700" s="1">
        <v>1</v>
      </c>
      <c r="BK700" s="1">
        <v>2</v>
      </c>
      <c r="BL700" s="1">
        <v>2</v>
      </c>
      <c r="BM700" s="1">
        <v>2</v>
      </c>
      <c r="BN700" s="1">
        <v>2</v>
      </c>
      <c r="BO700" s="1">
        <v>2</v>
      </c>
      <c r="BP700" s="1">
        <f>1+NOT(HRLivingGreyhawk)</f>
        <v>2</v>
      </c>
      <c r="BQ700" s="1">
        <f>IF(HRRVL,2,0)</f>
        <v>0</v>
      </c>
      <c r="BR700" s="1">
        <v>2</v>
      </c>
      <c r="BS700" s="1">
        <v>2</v>
      </c>
      <c r="BT700" s="1">
        <f>IF(HRXPH,2,0)</f>
        <v>0</v>
      </c>
      <c r="BU700" s="1">
        <f>IF(HRRVL,2,0)</f>
        <v>0</v>
      </c>
      <c r="BV700" s="1">
        <v>2</v>
      </c>
      <c r="BW700" s="1">
        <v>2</v>
      </c>
      <c r="BX700" s="1">
        <v>2</v>
      </c>
      <c r="BY700" s="1">
        <v>2</v>
      </c>
      <c r="BZ700" s="1">
        <v>2</v>
      </c>
      <c r="CA700" s="1">
        <v>2</v>
      </c>
      <c r="CB700" s="1">
        <v>2</v>
      </c>
      <c r="CC700" s="1">
        <v>2</v>
      </c>
      <c r="CD700" s="1">
        <v>2</v>
      </c>
      <c r="CE700" s="1">
        <v>2</v>
      </c>
      <c r="CF700" s="1">
        <v>2</v>
      </c>
      <c r="CG700" s="1">
        <f t="shared" si="612"/>
        <v>0</v>
      </c>
      <c r="CH700" s="1">
        <v>2</v>
      </c>
      <c r="CI700" s="1">
        <v>2</v>
      </c>
      <c r="CJ700" s="1">
        <v>2</v>
      </c>
      <c r="CK700" s="1">
        <v>2</v>
      </c>
      <c r="CL700" s="1">
        <v>2</v>
      </c>
      <c r="CM700" s="1">
        <v>2</v>
      </c>
      <c r="CN700" s="1">
        <v>2</v>
      </c>
      <c r="CO700" s="1">
        <v>2</v>
      </c>
      <c r="CP700" s="1">
        <v>1</v>
      </c>
      <c r="CQ700" s="1">
        <v>1</v>
      </c>
      <c r="CR700" s="1">
        <v>1</v>
      </c>
      <c r="CS700" s="1">
        <v>1</v>
      </c>
      <c r="CT700" s="1">
        <v>1</v>
      </c>
      <c r="CU700" s="1">
        <v>1</v>
      </c>
      <c r="CV700" s="1">
        <f t="shared" si="613"/>
        <v>0</v>
      </c>
      <c r="CW700" s="1">
        <v>1</v>
      </c>
      <c r="CX700" s="1">
        <v>2</v>
      </c>
      <c r="CY700" s="1">
        <v>2</v>
      </c>
      <c r="CZ700" s="1">
        <f t="shared" si="614"/>
        <v>0</v>
      </c>
      <c r="DA700" s="1">
        <v>2</v>
      </c>
      <c r="DB700" s="1">
        <v>1</v>
      </c>
      <c r="DC700" s="1">
        <v>2</v>
      </c>
      <c r="DD700" s="1">
        <v>2</v>
      </c>
      <c r="DE700" s="1">
        <v>1</v>
      </c>
      <c r="DF700" s="1">
        <v>1</v>
      </c>
      <c r="DG700" s="1">
        <v>1</v>
      </c>
      <c r="DH700" s="1">
        <v>2</v>
      </c>
      <c r="DI700" s="1">
        <f t="shared" si="615"/>
        <v>0</v>
      </c>
      <c r="DJ700" s="1">
        <v>1</v>
      </c>
      <c r="DK700" s="1" t="s">
        <v>1594</v>
      </c>
      <c r="DL700" s="1" t="s">
        <v>101</v>
      </c>
      <c r="DR700" s="1" t="b">
        <f>AlignmentEvil</f>
        <v>0</v>
      </c>
      <c r="DS700" s="1" t="b">
        <f>SkKnowledgeArcanaRanks&gt;=5</f>
        <v>0</v>
      </c>
      <c r="DT700" s="1" t="b">
        <f>SkBluffRanks&gt;=2</f>
        <v>0</v>
      </c>
      <c r="DU700" s="1" t="b">
        <f>SkDiplomacyRanks&gt;=2</f>
        <v>0</v>
      </c>
      <c r="DV700" s="1" t="b">
        <f>FtThrallToDemon</f>
        <v>0</v>
      </c>
      <c r="DW700" s="1" t="b">
        <f>FtViolateSpell</f>
        <v>0</v>
      </c>
      <c r="DX700" s="1" t="b">
        <f ca="1">OR(MaxArcaneSpellLevel&gt;=1,MaxDivineSpellLevel&gt;=1)</f>
        <v>0</v>
      </c>
      <c r="EA700" s="1" t="b">
        <f ca="1">AND(DM700:DZ700)</f>
        <v>0</v>
      </c>
      <c r="EB700" s="11" t="s">
        <v>338</v>
      </c>
      <c r="EC700" s="1" t="str">
        <f ca="1">IF(DR700,"","• Must be of Any Evil Alignment.
")&amp;IF(DS700,"","• 5 ranks in Knowledge (arcana).
")&amp;IF(DT700,"","• 2 ranks in Bluff.
")&amp;IF(DU700,"","• 2 ranks in Diplomacy.
")&amp;IF(DV700,"","• Thrall to Demon feat.
")&amp;IF(DW700,"","• Violate Spell feat.
")&amp;IF(DX700,"","• Must be able to cast 3rd-level spells with the evil descriptor.
")&amp;IF(DY700,"","• Graz'zt's followers initiate new thralls in a horrific rite that involves the sacrifice of an intelligent being.  This rite must be performed within an area of magical darkness under the influence of a desecrate or unhallow spell (not verified).")</f>
        <v>• Must be of Any Evil Alignment.
• 5 ranks in Knowledge (arcana).
• 2 ranks in Bluff.
• 2 ranks in Diplomacy.
• Thrall to Demon feat.
• Violate Spell feat.
• Must be able to cast 3rd-level spells with the evil descriptor.
• Graz'zt's followers initiate new thralls in a horrific rite that involves the sacrifice of an intelligent being.  This rite must be performed within an area of magical darkness under the influence of a desecrate or unhallow spell (not verified).</v>
      </c>
      <c r="ED700" s="11" t="s">
        <v>335</v>
      </c>
    </row>
    <row r="701" spans="1:134" ht="11.25" customHeight="1" x14ac:dyDescent="0.2">
      <c r="A701" s="1">
        <f t="shared" si="582"/>
        <v>698</v>
      </c>
      <c r="B701" s="1" t="s">
        <v>1618</v>
      </c>
      <c r="C701" s="1" t="s">
        <v>1619</v>
      </c>
      <c r="D701" s="1" t="s">
        <v>1619</v>
      </c>
      <c r="E701" s="1">
        <f t="shared" si="575"/>
        <v>0</v>
      </c>
      <c r="K701" s="1">
        <v>2</v>
      </c>
      <c r="L701" s="1">
        <v>10</v>
      </c>
      <c r="N701" s="1" t="b">
        <v>1</v>
      </c>
      <c r="O701" s="1" t="b">
        <v>1</v>
      </c>
      <c r="P701" s="1" t="b">
        <v>1</v>
      </c>
      <c r="Q701" s="1" t="b">
        <v>1</v>
      </c>
      <c r="R701" s="1" t="b">
        <v>1</v>
      </c>
      <c r="S701" s="1" t="b">
        <v>1</v>
      </c>
      <c r="T701" s="1" t="b">
        <v>1</v>
      </c>
      <c r="V701" s="1">
        <v>1</v>
      </c>
      <c r="W701" s="1">
        <v>0.5</v>
      </c>
      <c r="X701" s="1">
        <v>0.5</v>
      </c>
      <c r="Y701" s="1">
        <v>0.5</v>
      </c>
      <c r="Z701" s="1" t="b">
        <f>FALSE</f>
        <v>0</v>
      </c>
      <c r="AA701" s="1" t="str">
        <f t="shared" si="578"/>
        <v/>
      </c>
      <c r="AB701" s="1" t="str">
        <f t="shared" si="579"/>
        <v/>
      </c>
      <c r="AC701" s="1">
        <f t="shared" si="576"/>
        <v>0</v>
      </c>
      <c r="AD701" s="1" t="str">
        <f t="shared" si="580"/>
        <v/>
      </c>
      <c r="AE701" s="1" t="str">
        <f t="shared" si="581"/>
        <v/>
      </c>
      <c r="AF701" s="1">
        <f t="shared" si="577"/>
        <v>0</v>
      </c>
      <c r="AG701" s="1">
        <f t="shared" si="589"/>
        <v>5</v>
      </c>
      <c r="AH701" s="1" t="str">
        <f t="shared" si="588"/>
        <v/>
      </c>
      <c r="AI701" s="1">
        <v>1</v>
      </c>
      <c r="AJ701" s="1">
        <f t="shared" si="608"/>
        <v>0</v>
      </c>
      <c r="AK701" s="1">
        <v>1</v>
      </c>
      <c r="AL701" s="1">
        <v>1</v>
      </c>
      <c r="AM701" s="1">
        <v>2</v>
      </c>
      <c r="AN701" s="1">
        <f t="shared" si="609"/>
        <v>0</v>
      </c>
      <c r="AO701" s="1">
        <v>1</v>
      </c>
      <c r="AP701" s="1">
        <v>1</v>
      </c>
      <c r="AQ701" s="1">
        <v>1</v>
      </c>
      <c r="AR701" s="1">
        <v>1</v>
      </c>
      <c r="AS701" s="1">
        <v>1</v>
      </c>
      <c r="AT701" s="1">
        <v>1</v>
      </c>
      <c r="AU701" s="1">
        <v>1</v>
      </c>
      <c r="AV701" s="1">
        <v>1</v>
      </c>
      <c r="AW701" s="1">
        <v>1</v>
      </c>
      <c r="AX701" s="1">
        <v>1</v>
      </c>
      <c r="AY701" s="1">
        <v>1</v>
      </c>
      <c r="AZ701" s="1">
        <v>2</v>
      </c>
      <c r="BA701" s="1">
        <v>2</v>
      </c>
      <c r="BB701" s="1">
        <v>1</v>
      </c>
      <c r="BC701" s="1">
        <v>1</v>
      </c>
      <c r="BD701" s="1">
        <v>1</v>
      </c>
      <c r="BE701" s="1">
        <v>1</v>
      </c>
      <c r="BF701" s="1">
        <v>1</v>
      </c>
      <c r="BG701" s="1">
        <f t="shared" si="610"/>
        <v>0</v>
      </c>
      <c r="BH701" s="1">
        <f t="shared" si="611"/>
        <v>0</v>
      </c>
      <c r="BI701" s="1">
        <v>2</v>
      </c>
      <c r="BJ701" s="1">
        <v>2</v>
      </c>
      <c r="BK701" s="1">
        <v>1</v>
      </c>
      <c r="BL701" s="1">
        <v>1</v>
      </c>
      <c r="BM701" s="1">
        <v>1</v>
      </c>
      <c r="BN701" s="1">
        <v>1</v>
      </c>
      <c r="BO701" s="1">
        <v>1</v>
      </c>
      <c r="BP701" s="1">
        <v>1</v>
      </c>
      <c r="BQ701" s="1">
        <f>IF(HRRVL,1,0)</f>
        <v>0</v>
      </c>
      <c r="BR701" s="1">
        <v>1</v>
      </c>
      <c r="BS701" s="1">
        <v>1</v>
      </c>
      <c r="BT701" s="1">
        <f>IF(HRXPH,1,0)</f>
        <v>0</v>
      </c>
      <c r="BU701" s="1">
        <f>IF(HRRVL,2,0)</f>
        <v>0</v>
      </c>
      <c r="BV701" s="1">
        <v>2</v>
      </c>
      <c r="BW701" s="1">
        <v>1</v>
      </c>
      <c r="BX701" s="1">
        <v>1</v>
      </c>
      <c r="BY701" s="1">
        <v>1</v>
      </c>
      <c r="BZ701" s="1">
        <v>1</v>
      </c>
      <c r="CA701" s="1">
        <v>1</v>
      </c>
      <c r="CB701" s="1">
        <v>1</v>
      </c>
      <c r="CC701" s="1">
        <v>1</v>
      </c>
      <c r="CD701" s="1">
        <v>1</v>
      </c>
      <c r="CE701" s="1">
        <v>1</v>
      </c>
      <c r="CF701" s="1">
        <v>2</v>
      </c>
      <c r="CG701" s="1">
        <f t="shared" si="612"/>
        <v>0</v>
      </c>
      <c r="CH701" s="1">
        <v>2</v>
      </c>
      <c r="CI701" s="1">
        <v>1</v>
      </c>
      <c r="CJ701" s="1">
        <v>1</v>
      </c>
      <c r="CK701" s="1">
        <v>1</v>
      </c>
      <c r="CL701" s="1">
        <v>1</v>
      </c>
      <c r="CM701" s="1">
        <v>1</v>
      </c>
      <c r="CN701" s="1">
        <v>1</v>
      </c>
      <c r="CO701" s="1">
        <v>1</v>
      </c>
      <c r="CP701" s="1">
        <v>1</v>
      </c>
      <c r="CQ701" s="1">
        <v>1</v>
      </c>
      <c r="CR701" s="1">
        <v>1</v>
      </c>
      <c r="CS701" s="1">
        <v>1</v>
      </c>
      <c r="CT701" s="1">
        <v>1</v>
      </c>
      <c r="CU701" s="1">
        <v>1</v>
      </c>
      <c r="CV701" s="1">
        <f t="shared" si="613"/>
        <v>0</v>
      </c>
      <c r="CW701" s="1">
        <v>1</v>
      </c>
      <c r="CX701" s="1">
        <v>1</v>
      </c>
      <c r="CY701" s="1">
        <v>1</v>
      </c>
      <c r="CZ701" s="1">
        <f t="shared" si="614"/>
        <v>0</v>
      </c>
      <c r="DA701" s="1">
        <v>1</v>
      </c>
      <c r="DB701" s="1">
        <v>1</v>
      </c>
      <c r="DC701" s="1">
        <v>1</v>
      </c>
      <c r="DD701" s="1">
        <v>2</v>
      </c>
      <c r="DE701" s="1">
        <v>1</v>
      </c>
      <c r="DF701" s="1">
        <v>1</v>
      </c>
      <c r="DG701" s="1">
        <v>1</v>
      </c>
      <c r="DH701" s="1">
        <v>1</v>
      </c>
      <c r="DI701" s="1">
        <f t="shared" si="615"/>
        <v>0</v>
      </c>
      <c r="DJ701" s="1">
        <v>1</v>
      </c>
      <c r="DK701" s="1" t="s">
        <v>1594</v>
      </c>
      <c r="DL701" s="1" t="s">
        <v>101</v>
      </c>
      <c r="DR701" s="1" t="b">
        <f>AlignmentEvil</f>
        <v>0</v>
      </c>
      <c r="DS701" s="1" t="b">
        <f>BaseFort&gt;=6</f>
        <v>0</v>
      </c>
      <c r="DT701" s="1" t="b">
        <f>SkEscapeArtistRanks&gt;=5</f>
        <v>0</v>
      </c>
      <c r="DU701" s="1" t="b">
        <f>FtThrallToDemon</f>
        <v>0</v>
      </c>
      <c r="DV701" s="1" t="b">
        <f>FtWillingDeformity</f>
        <v>0</v>
      </c>
      <c r="EA701" s="1" t="b">
        <f>AND(DM701:DZ701)</f>
        <v>0</v>
      </c>
      <c r="EB701" s="11" t="s">
        <v>338</v>
      </c>
      <c r="EC701" s="1" t="str">
        <f>IF(DR701,"","• Must be of Any Evil Alignment.
")&amp;IF(DS701,"","• Base Fortitude save bonus +6 or greater.
")&amp;IF(DT701,"","• 5 ranks in Escape Artist.
")&amp;IF(DU701,"","• Thrall to Demon feat.
")&amp;IF(DV701,"","• Willing Deformity feat.
")&amp;"• Must have been polymorphed or experienced some sort of shapechanging experience (not verified).
"&amp;"• The thrall of Juiblex is initiated by sacrificing an intelligent being. At least 3 oozes, slimes or puddings must be present for the ritual. The victim of the sacrificial ritual must be dissolved in acid (not verified)."</f>
        <v>• Must be of Any Evil Alignment.
• Base Fortitude save bonus +6 or greater.
• 5 ranks in Escape Artist.
• Thrall to Demon feat.
• Willing Deformity feat.
• Must have been polymorphed or experienced some sort of shapechanging experience (not verified).
• The thrall of Juiblex is initiated by sacrificing an intelligent being. At least 3 oozes, slimes or puddings must be present for the ritual. The victim of the sacrificial ritual must be dissolved in acid (not verified).</v>
      </c>
      <c r="ED701" s="11" t="s">
        <v>335</v>
      </c>
    </row>
    <row r="702" spans="1:134" ht="11.25" customHeight="1" x14ac:dyDescent="0.2">
      <c r="A702" s="1">
        <f t="shared" si="582"/>
        <v>699</v>
      </c>
      <c r="B702" s="1" t="s">
        <v>1620</v>
      </c>
      <c r="C702" s="1" t="s">
        <v>1621</v>
      </c>
      <c r="D702" s="1" t="s">
        <v>1621</v>
      </c>
      <c r="E702" s="1">
        <f t="shared" si="575"/>
        <v>0</v>
      </c>
      <c r="G702" s="1">
        <f>ToOBonus1*(ToOLvl&gt;=1)+ToOBonus2*(ToOLvl&gt;=4)+ToOBonus3*(ToOLvl&gt;=7)+ToOBonus4*(ToOLvl&gt;=10)</f>
        <v>0</v>
      </c>
      <c r="K702" s="1">
        <v>2</v>
      </c>
      <c r="L702" s="1">
        <v>8</v>
      </c>
      <c r="N702" s="1" t="b">
        <v>1</v>
      </c>
      <c r="O702" s="1" t="b">
        <v>1</v>
      </c>
      <c r="P702" s="1" t="b">
        <v>1</v>
      </c>
      <c r="Q702" s="1" t="b">
        <v>1</v>
      </c>
      <c r="R702" s="1" t="b">
        <v>1</v>
      </c>
      <c r="S702" s="1" t="b">
        <v>1</v>
      </c>
      <c r="T702" s="1" t="b">
        <v>1</v>
      </c>
      <c r="V702" s="1">
        <v>1</v>
      </c>
      <c r="W702" s="1">
        <v>0.5</v>
      </c>
      <c r="X702" s="1">
        <v>0.34</v>
      </c>
      <c r="Y702" s="1">
        <v>0.5</v>
      </c>
      <c r="Z702" s="1" t="b">
        <f>FALSE</f>
        <v>0</v>
      </c>
      <c r="AA702" s="1" t="str">
        <f t="shared" si="578"/>
        <v/>
      </c>
      <c r="AB702" s="1" t="str">
        <f t="shared" si="579"/>
        <v/>
      </c>
      <c r="AC702" s="1">
        <f t="shared" si="576"/>
        <v>0</v>
      </c>
      <c r="AD702" s="1" t="str">
        <f t="shared" si="580"/>
        <v/>
      </c>
      <c r="AE702" s="1" t="str">
        <f t="shared" si="581"/>
        <v/>
      </c>
      <c r="AF702" s="1">
        <f t="shared" si="577"/>
        <v>0</v>
      </c>
      <c r="AG702" s="1">
        <f t="shared" si="589"/>
        <v>5</v>
      </c>
      <c r="AH702" s="1" t="str">
        <f t="shared" si="588"/>
        <v/>
      </c>
      <c r="AI702" s="1">
        <v>1</v>
      </c>
      <c r="AJ702" s="1">
        <f t="shared" si="608"/>
        <v>0</v>
      </c>
      <c r="AK702" s="1">
        <v>1</v>
      </c>
      <c r="AL702" s="1">
        <v>2</v>
      </c>
      <c r="AM702" s="1">
        <v>1</v>
      </c>
      <c r="AN702" s="1">
        <f t="shared" si="609"/>
        <v>0</v>
      </c>
      <c r="AO702" s="1">
        <v>2</v>
      </c>
      <c r="AP702" s="1">
        <v>2</v>
      </c>
      <c r="AQ702" s="1">
        <v>2</v>
      </c>
      <c r="AR702" s="1">
        <v>2</v>
      </c>
      <c r="AS702" s="1">
        <v>2</v>
      </c>
      <c r="AT702" s="1">
        <v>2</v>
      </c>
      <c r="AU702" s="1">
        <v>2</v>
      </c>
      <c r="AV702" s="1">
        <v>2</v>
      </c>
      <c r="AW702" s="1">
        <v>1</v>
      </c>
      <c r="AX702" s="1">
        <v>1</v>
      </c>
      <c r="AY702" s="1">
        <v>1</v>
      </c>
      <c r="AZ702" s="1">
        <v>1</v>
      </c>
      <c r="BA702" s="1">
        <v>1</v>
      </c>
      <c r="BB702" s="1">
        <v>1</v>
      </c>
      <c r="BC702" s="1">
        <v>1</v>
      </c>
      <c r="BD702" s="1">
        <v>1</v>
      </c>
      <c r="BE702" s="1">
        <v>1</v>
      </c>
      <c r="BF702" s="1">
        <v>2</v>
      </c>
      <c r="BG702" s="1">
        <f t="shared" si="610"/>
        <v>0</v>
      </c>
      <c r="BH702" s="1">
        <f t="shared" si="611"/>
        <v>0</v>
      </c>
      <c r="BI702" s="1">
        <v>2</v>
      </c>
      <c r="BJ702" s="1">
        <v>1</v>
      </c>
      <c r="BK702" s="1">
        <v>2</v>
      </c>
      <c r="BL702" s="1">
        <v>2</v>
      </c>
      <c r="BM702" s="1">
        <v>2</v>
      </c>
      <c r="BN702" s="1">
        <v>2</v>
      </c>
      <c r="BO702" s="1">
        <v>2</v>
      </c>
      <c r="BP702" s="1">
        <f>1+NOT(HRLivingGreyhawk)</f>
        <v>2</v>
      </c>
      <c r="BQ702" s="1">
        <f>IF(HRRVL,2,0)</f>
        <v>0</v>
      </c>
      <c r="BR702" s="1">
        <v>2</v>
      </c>
      <c r="BS702" s="1">
        <v>2</v>
      </c>
      <c r="BT702" s="1">
        <f>IF(HRXPH,2,0)</f>
        <v>0</v>
      </c>
      <c r="BU702" s="1">
        <f>IF(HRRVL,2,0)</f>
        <v>0</v>
      </c>
      <c r="BV702" s="1">
        <v>2</v>
      </c>
      <c r="BW702" s="1">
        <v>2</v>
      </c>
      <c r="BX702" s="1">
        <v>2</v>
      </c>
      <c r="BY702" s="1">
        <v>2</v>
      </c>
      <c r="BZ702" s="1">
        <v>2</v>
      </c>
      <c r="CA702" s="1">
        <v>2</v>
      </c>
      <c r="CB702" s="1">
        <v>2</v>
      </c>
      <c r="CC702" s="1">
        <v>2</v>
      </c>
      <c r="CD702" s="1">
        <v>2</v>
      </c>
      <c r="CE702" s="1">
        <v>2</v>
      </c>
      <c r="CF702" s="1">
        <v>1</v>
      </c>
      <c r="CG702" s="1">
        <f t="shared" si="612"/>
        <v>0</v>
      </c>
      <c r="CH702" s="1">
        <v>2</v>
      </c>
      <c r="CI702" s="1">
        <v>1</v>
      </c>
      <c r="CJ702" s="1">
        <v>1</v>
      </c>
      <c r="CK702" s="1">
        <v>1</v>
      </c>
      <c r="CL702" s="1">
        <v>1</v>
      </c>
      <c r="CM702" s="1">
        <v>1</v>
      </c>
      <c r="CN702" s="1">
        <v>1</v>
      </c>
      <c r="CO702" s="1">
        <v>1</v>
      </c>
      <c r="CP702" s="1">
        <v>2</v>
      </c>
      <c r="CQ702" s="1">
        <v>2</v>
      </c>
      <c r="CR702" s="1">
        <v>2</v>
      </c>
      <c r="CS702" s="1">
        <v>2</v>
      </c>
      <c r="CT702" s="1">
        <v>2</v>
      </c>
      <c r="CU702" s="1">
        <v>2</v>
      </c>
      <c r="CV702" s="1">
        <f t="shared" si="613"/>
        <v>0</v>
      </c>
      <c r="CW702" s="1">
        <v>1</v>
      </c>
      <c r="CX702" s="1">
        <v>1</v>
      </c>
      <c r="CY702" s="1">
        <v>1</v>
      </c>
      <c r="CZ702" s="1">
        <f t="shared" si="614"/>
        <v>0</v>
      </c>
      <c r="DA702" s="1">
        <v>1</v>
      </c>
      <c r="DB702" s="1">
        <v>1</v>
      </c>
      <c r="DC702" s="1">
        <v>1</v>
      </c>
      <c r="DD702" s="1">
        <v>2</v>
      </c>
      <c r="DE702" s="1">
        <v>1</v>
      </c>
      <c r="DF702" s="1">
        <v>1</v>
      </c>
      <c r="DG702" s="1">
        <v>1</v>
      </c>
      <c r="DH702" s="1">
        <v>1</v>
      </c>
      <c r="DI702" s="1">
        <f t="shared" si="615"/>
        <v>0</v>
      </c>
      <c r="DJ702" s="1">
        <v>1</v>
      </c>
      <c r="DK702" s="1" t="s">
        <v>1594</v>
      </c>
      <c r="DL702" s="1" t="s">
        <v>101</v>
      </c>
      <c r="DR702" s="1" t="b">
        <f>AlignmentEvil</f>
        <v>0</v>
      </c>
      <c r="DS702" s="1" t="b">
        <f>BaseAtk&gt;=4</f>
        <v>0</v>
      </c>
      <c r="DT702" s="1" t="b">
        <f>SkKnowledgeArcanaRanks&gt;=2</f>
        <v>0</v>
      </c>
      <c r="DU702" s="1" t="b">
        <f>SkKnowledgeReligionRanks&gt;=2</f>
        <v>0</v>
      </c>
      <c r="DV702" s="1" t="b">
        <f>FtLichLoved</f>
        <v>0</v>
      </c>
      <c r="DW702" s="1" t="b">
        <f>FtThrallToDemon</f>
        <v>0</v>
      </c>
      <c r="EA702" s="1" t="b">
        <f t="shared" si="616"/>
        <v>0</v>
      </c>
      <c r="EB702" s="11" t="s">
        <v>338</v>
      </c>
      <c r="EC702" s="1" t="str">
        <f>IF(DR702,"","• Must be of Any Evil Alignment.
")&amp;IF(DS702,"","• Base attack bonus of +4 or greater.
")&amp;IF(DT702,"","• 2 ranks in Knowledge (arcana).
")&amp;IF(DU702,"","• 2 ranks in Knowledge (religion).
")&amp;IF(DV702,"","• Lichloved feat.
")&amp;IF(DW702,"","• Thrall to Demon feat.
")&amp;IF(DX702,"","• Must be able to cast a spell of the Necromancy school (not verified).
")&amp;IF(DY702,"","• The sacrifice of an intelligent being is the centerpiece of the Initiation ritual that takes place in complete darkness atop an alter made of at least 30 skulls (not verified).")</f>
        <v>• Must be of Any Evil Alignment.
• Base attack bonus of +4 or greater.
• 2 ranks in Knowledge (arcana).
• 2 ranks in Knowledge (religion).
• Lichloved feat.
• Thrall to Demon feat.
• Must be able to cast a spell of the Necromancy school (not verified).
• The sacrifice of an intelligent being is the centerpiece of the Initiation ritual that takes place in complete darkness atop an alter made of at least 30 skulls (not verified).</v>
      </c>
      <c r="ED702" s="11" t="s">
        <v>335</v>
      </c>
    </row>
    <row r="703" spans="1:134" ht="11.25" customHeight="1" x14ac:dyDescent="0.2">
      <c r="A703" s="1">
        <f t="shared" si="582"/>
        <v>700</v>
      </c>
      <c r="B703" s="1" t="s">
        <v>1622</v>
      </c>
      <c r="C703" s="1" t="s">
        <v>1623</v>
      </c>
      <c r="D703" s="1" t="s">
        <v>1623</v>
      </c>
      <c r="E703" s="1">
        <f t="shared" si="575"/>
        <v>0</v>
      </c>
      <c r="G703" s="1">
        <f>(VmLLvl&gt;0)*INT((VmLLvl+1)/2)+(VmLLvl=10)</f>
        <v>0</v>
      </c>
      <c r="K703" s="1">
        <v>4</v>
      </c>
      <c r="L703" s="1">
        <v>6</v>
      </c>
      <c r="V703" s="1">
        <v>0.5</v>
      </c>
      <c r="W703" s="1">
        <v>0.34</v>
      </c>
      <c r="X703" s="1">
        <v>0.34</v>
      </c>
      <c r="Y703" s="1">
        <v>0.5</v>
      </c>
      <c r="Z703" s="1" t="b">
        <f>FALSE</f>
        <v>0</v>
      </c>
      <c r="AA703" s="1" t="str">
        <f t="shared" si="578"/>
        <v/>
      </c>
      <c r="AB703" s="1" t="str">
        <f t="shared" si="579"/>
        <v/>
      </c>
      <c r="AC703" s="1">
        <f t="shared" si="576"/>
        <v>0</v>
      </c>
      <c r="AD703" s="1" t="str">
        <f t="shared" si="580"/>
        <v/>
      </c>
      <c r="AE703" s="1" t="str">
        <f t="shared" si="581"/>
        <v/>
      </c>
      <c r="AF703" s="1">
        <f t="shared" si="577"/>
        <v>0</v>
      </c>
      <c r="AG703" s="1">
        <f t="shared" si="589"/>
        <v>5</v>
      </c>
      <c r="AH703" s="1" t="str">
        <f t="shared" si="588"/>
        <v/>
      </c>
      <c r="AI703" s="1">
        <v>1</v>
      </c>
      <c r="AJ703" s="1">
        <f t="shared" si="608"/>
        <v>0</v>
      </c>
      <c r="AK703" s="1">
        <v>1</v>
      </c>
      <c r="AL703" s="1">
        <v>2</v>
      </c>
      <c r="AM703" s="1">
        <v>2</v>
      </c>
      <c r="AN703" s="1">
        <f t="shared" si="609"/>
        <v>0</v>
      </c>
      <c r="AO703" s="1">
        <v>2</v>
      </c>
      <c r="AP703" s="1">
        <v>1</v>
      </c>
      <c r="AQ703" s="1">
        <v>1</v>
      </c>
      <c r="AR703" s="1">
        <v>1</v>
      </c>
      <c r="AS703" s="1">
        <v>1</v>
      </c>
      <c r="AT703" s="1">
        <v>1</v>
      </c>
      <c r="AU703" s="1">
        <v>1</v>
      </c>
      <c r="AV703" s="1">
        <v>1</v>
      </c>
      <c r="AW703" s="1">
        <v>1</v>
      </c>
      <c r="AX703" s="1">
        <v>1</v>
      </c>
      <c r="AY703" s="1">
        <v>1</v>
      </c>
      <c r="AZ703" s="1">
        <v>1</v>
      </c>
      <c r="BA703" s="1">
        <v>1</v>
      </c>
      <c r="BB703" s="1">
        <v>1</v>
      </c>
      <c r="BC703" s="1">
        <v>1</v>
      </c>
      <c r="BD703" s="1">
        <v>1</v>
      </c>
      <c r="BE703" s="1">
        <v>1</v>
      </c>
      <c r="BF703" s="1">
        <v>2</v>
      </c>
      <c r="BG703" s="1">
        <f t="shared" si="610"/>
        <v>0</v>
      </c>
      <c r="BH703" s="1">
        <f t="shared" si="611"/>
        <v>0</v>
      </c>
      <c r="BI703" s="1">
        <v>1</v>
      </c>
      <c r="BJ703" s="1">
        <v>1</v>
      </c>
      <c r="BK703" s="1">
        <v>1</v>
      </c>
      <c r="BL703" s="1">
        <v>1</v>
      </c>
      <c r="BM703" s="1">
        <v>1</v>
      </c>
      <c r="BN703" s="1">
        <v>1</v>
      </c>
      <c r="BO703" s="1">
        <v>1</v>
      </c>
      <c r="BP703" s="1">
        <v>1</v>
      </c>
      <c r="BQ703" s="1">
        <f>IF(HRRVL,2,0)</f>
        <v>0</v>
      </c>
      <c r="BR703" s="1">
        <v>2</v>
      </c>
      <c r="BS703" s="1">
        <v>1</v>
      </c>
      <c r="BT703" s="1">
        <f>IF(HRXPH,1,0)</f>
        <v>0</v>
      </c>
      <c r="BU703" s="1">
        <f>IF(HRRVL,1,0)</f>
        <v>0</v>
      </c>
      <c r="BV703" s="1">
        <v>1</v>
      </c>
      <c r="BW703" s="1">
        <v>1</v>
      </c>
      <c r="BX703" s="1">
        <v>1</v>
      </c>
      <c r="BY703" s="1">
        <v>1</v>
      </c>
      <c r="BZ703" s="1">
        <v>1</v>
      </c>
      <c r="CA703" s="1">
        <v>1</v>
      </c>
      <c r="CB703" s="1">
        <v>1</v>
      </c>
      <c r="CC703" s="1">
        <v>1</v>
      </c>
      <c r="CD703" s="1">
        <v>1</v>
      </c>
      <c r="CE703" s="1">
        <v>1</v>
      </c>
      <c r="CF703" s="1">
        <v>2</v>
      </c>
      <c r="CG703" s="1">
        <f t="shared" si="612"/>
        <v>0</v>
      </c>
      <c r="CH703" s="1">
        <v>2</v>
      </c>
      <c r="CI703" s="1">
        <v>1</v>
      </c>
      <c r="CJ703" s="1">
        <v>2</v>
      </c>
      <c r="CK703" s="1">
        <v>2</v>
      </c>
      <c r="CL703" s="1">
        <v>2</v>
      </c>
      <c r="CM703" s="1">
        <v>2</v>
      </c>
      <c r="CN703" s="1">
        <v>2</v>
      </c>
      <c r="CO703" s="1">
        <v>2</v>
      </c>
      <c r="CP703" s="1">
        <v>1</v>
      </c>
      <c r="CQ703" s="1">
        <v>1</v>
      </c>
      <c r="CR703" s="1">
        <v>1</v>
      </c>
      <c r="CS703" s="1">
        <v>1</v>
      </c>
      <c r="CT703" s="1">
        <v>1</v>
      </c>
      <c r="CU703" s="1">
        <v>1</v>
      </c>
      <c r="CV703" s="1">
        <f t="shared" si="613"/>
        <v>0</v>
      </c>
      <c r="CW703" s="1">
        <v>1</v>
      </c>
      <c r="CX703" s="1">
        <v>2</v>
      </c>
      <c r="CY703" s="1">
        <v>1</v>
      </c>
      <c r="CZ703" s="1">
        <f t="shared" si="614"/>
        <v>0</v>
      </c>
      <c r="DA703" s="1">
        <v>2</v>
      </c>
      <c r="DB703" s="1">
        <v>1</v>
      </c>
      <c r="DC703" s="1">
        <v>2</v>
      </c>
      <c r="DD703" s="1">
        <v>2</v>
      </c>
      <c r="DE703" s="1">
        <v>1</v>
      </c>
      <c r="DF703" s="1">
        <v>1</v>
      </c>
      <c r="DG703" s="1">
        <v>1</v>
      </c>
      <c r="DH703" s="1">
        <v>1</v>
      </c>
      <c r="DI703" s="1">
        <f t="shared" si="615"/>
        <v>0</v>
      </c>
      <c r="DJ703" s="1">
        <v>1</v>
      </c>
      <c r="DK703" s="1" t="s">
        <v>1594</v>
      </c>
      <c r="DL703" s="1" t="s">
        <v>101</v>
      </c>
      <c r="DR703" s="1" t="b">
        <f>AlignmentEvil</f>
        <v>0</v>
      </c>
      <c r="DS703" s="1" t="b">
        <f>SkHideRanks&gt;=3</f>
        <v>0</v>
      </c>
      <c r="DT703" s="1" t="b">
        <f>SkKnowledgeNatureRanks&gt;=2</f>
        <v>0</v>
      </c>
      <c r="DU703" s="1" t="b">
        <f>SkMoveSilentlyRanks&gt;=3</f>
        <v>0</v>
      </c>
      <c r="DV703" s="1" t="b">
        <f>FtVerminfriend</f>
        <v>0</v>
      </c>
      <c r="EA703" s="1" t="b">
        <f>AND(DM703:DZ703)</f>
        <v>0</v>
      </c>
      <c r="EB703" s="11" t="s">
        <v>338</v>
      </c>
      <c r="EC703" s="1" t="str">
        <f>IF(DR703,"","• Must be of Any Evil Alignment.
")&amp;IF(DS703,"","• 3 ranks in Hide.
")&amp;IF(DT703,"","• 2 ranks in Knowledge (nature).
")&amp;IF(DU703,"","• 3 ranks in Move Silently.
")&amp;IF(DV703,"","• Verminfriend feat.
")&amp;IF(DW703,"","• Must be able to cast the Giant Vermin spell (not verified).
")&amp;IF(DX703,"","• The verminlord must be ordained by an intelligent evil creature with a physical resemblance to vermin (not verified).")</f>
        <v>• Must be of Any Evil Alignment.
• 3 ranks in Hide.
• 2 ranks in Knowledge (nature).
• 3 ranks in Move Silently.
• Verminfriend feat.
• Must be able to cast the Giant Vermin spell (not verified).
• The verminlord must be ordained by an intelligent evil creature with a physical resemblance to vermin (not verified).</v>
      </c>
      <c r="ED703" s="11" t="s">
        <v>335</v>
      </c>
    </row>
    <row r="704" spans="1:134" ht="11.25" customHeight="1" x14ac:dyDescent="0.2">
      <c r="A704" s="1">
        <f t="shared" si="582"/>
        <v>701</v>
      </c>
      <c r="B704" s="1" t="s">
        <v>1624</v>
      </c>
      <c r="C704" s="1" t="s">
        <v>386</v>
      </c>
      <c r="D704" s="1" t="s">
        <v>386</v>
      </c>
      <c r="E704" s="1">
        <f t="shared" si="575"/>
        <v>0</v>
      </c>
      <c r="K704" s="1">
        <v>4</v>
      </c>
      <c r="L704" s="1">
        <v>10</v>
      </c>
      <c r="N704" s="1" t="b">
        <v>1</v>
      </c>
      <c r="O704" s="1" t="b">
        <v>1</v>
      </c>
      <c r="P704" s="1" t="b">
        <v>1</v>
      </c>
      <c r="Q704" s="1" t="b">
        <v>1</v>
      </c>
      <c r="R704" s="1" t="b">
        <v>1</v>
      </c>
      <c r="S704" s="1" t="b">
        <v>1</v>
      </c>
      <c r="T704" s="1" t="b">
        <v>1</v>
      </c>
      <c r="V704" s="1">
        <v>1</v>
      </c>
      <c r="W704" s="1">
        <v>0.5</v>
      </c>
      <c r="X704" s="1">
        <v>0.34</v>
      </c>
      <c r="Y704" s="1">
        <v>0.5</v>
      </c>
      <c r="Z704" s="1" t="b">
        <f>FALSE</f>
        <v>0</v>
      </c>
      <c r="AA704" s="1" t="str">
        <f t="shared" si="578"/>
        <v/>
      </c>
      <c r="AB704" s="1" t="str">
        <f t="shared" si="579"/>
        <v/>
      </c>
      <c r="AC704" s="1">
        <f t="shared" si="576"/>
        <v>0</v>
      </c>
      <c r="AD704" s="1" t="str">
        <f t="shared" si="580"/>
        <v/>
      </c>
      <c r="AE704" s="1" t="str">
        <f t="shared" si="581"/>
        <v/>
      </c>
      <c r="AF704" s="1">
        <f t="shared" si="577"/>
        <v>0</v>
      </c>
      <c r="AG704" s="1">
        <f t="shared" si="589"/>
        <v>5</v>
      </c>
      <c r="AH704" s="1" t="str">
        <f t="shared" si="588"/>
        <v/>
      </c>
      <c r="AI704" s="1">
        <v>1</v>
      </c>
      <c r="AJ704" s="1">
        <f t="shared" si="608"/>
        <v>0</v>
      </c>
      <c r="AK704" s="1">
        <v>1</v>
      </c>
      <c r="AL704" s="1">
        <v>2</v>
      </c>
      <c r="AM704" s="1">
        <v>2</v>
      </c>
      <c r="AN704" s="1">
        <f t="shared" si="609"/>
        <v>0</v>
      </c>
      <c r="AO704" s="1">
        <v>2</v>
      </c>
      <c r="AP704" s="1">
        <v>1</v>
      </c>
      <c r="AQ704" s="1">
        <v>1</v>
      </c>
      <c r="AR704" s="1">
        <v>1</v>
      </c>
      <c r="AS704" s="1">
        <v>1</v>
      </c>
      <c r="AT704" s="1">
        <v>1</v>
      </c>
      <c r="AU704" s="1">
        <v>1</v>
      </c>
      <c r="AV704" s="1">
        <v>1</v>
      </c>
      <c r="AW704" s="1">
        <v>1</v>
      </c>
      <c r="AX704" s="1">
        <v>1</v>
      </c>
      <c r="AY704" s="1">
        <v>1</v>
      </c>
      <c r="AZ704" s="1">
        <v>1</v>
      </c>
      <c r="BA704" s="1">
        <v>1</v>
      </c>
      <c r="BB704" s="1">
        <v>1</v>
      </c>
      <c r="BC704" s="1">
        <v>1</v>
      </c>
      <c r="BD704" s="1">
        <v>1</v>
      </c>
      <c r="BE704" s="1">
        <v>1</v>
      </c>
      <c r="BF704" s="1">
        <v>2</v>
      </c>
      <c r="BG704" s="1">
        <f t="shared" si="610"/>
        <v>0</v>
      </c>
      <c r="BH704" s="1">
        <f t="shared" si="611"/>
        <v>0</v>
      </c>
      <c r="BI704" s="1">
        <v>1</v>
      </c>
      <c r="BJ704" s="1">
        <v>2</v>
      </c>
      <c r="BK704" s="1">
        <v>2</v>
      </c>
      <c r="BL704" s="1">
        <v>1</v>
      </c>
      <c r="BM704" s="1">
        <v>1</v>
      </c>
      <c r="BN704" s="1">
        <v>1</v>
      </c>
      <c r="BO704" s="1">
        <v>1</v>
      </c>
      <c r="BP704" s="1">
        <v>1</v>
      </c>
      <c r="BQ704" s="1">
        <f>IF(HRRVL,1,0)</f>
        <v>0</v>
      </c>
      <c r="BR704" s="1">
        <v>1</v>
      </c>
      <c r="BS704" s="1">
        <v>1</v>
      </c>
      <c r="BT704" s="1">
        <f>IF(HRXPH,1,0)</f>
        <v>0</v>
      </c>
      <c r="BU704" s="1">
        <f>IF(HRRVL,1,0)</f>
        <v>0</v>
      </c>
      <c r="BV704" s="1">
        <v>1</v>
      </c>
      <c r="BW704" s="1">
        <v>2</v>
      </c>
      <c r="BX704" s="1">
        <v>1</v>
      </c>
      <c r="BY704" s="1">
        <v>1</v>
      </c>
      <c r="BZ704" s="1">
        <v>1</v>
      </c>
      <c r="CA704" s="1">
        <v>1</v>
      </c>
      <c r="CB704" s="1">
        <v>1</v>
      </c>
      <c r="CC704" s="1">
        <v>1</v>
      </c>
      <c r="CD704" s="1">
        <v>1</v>
      </c>
      <c r="CE704" s="1">
        <v>1</v>
      </c>
      <c r="CF704" s="1">
        <v>1</v>
      </c>
      <c r="CG704" s="1">
        <f t="shared" si="612"/>
        <v>0</v>
      </c>
      <c r="CH704" s="1">
        <v>2</v>
      </c>
      <c r="CI704" s="1">
        <v>1</v>
      </c>
      <c r="CJ704" s="1">
        <v>1</v>
      </c>
      <c r="CK704" s="1">
        <v>1</v>
      </c>
      <c r="CL704" s="1">
        <v>1</v>
      </c>
      <c r="CM704" s="1">
        <v>1</v>
      </c>
      <c r="CN704" s="1">
        <v>1</v>
      </c>
      <c r="CO704" s="1">
        <v>1</v>
      </c>
      <c r="CP704" s="1">
        <v>1</v>
      </c>
      <c r="CQ704" s="1">
        <v>1</v>
      </c>
      <c r="CR704" s="1">
        <v>1</v>
      </c>
      <c r="CS704" s="1">
        <v>1</v>
      </c>
      <c r="CT704" s="1">
        <v>1</v>
      </c>
      <c r="CU704" s="1">
        <v>1</v>
      </c>
      <c r="CV704" s="1">
        <f t="shared" si="613"/>
        <v>0</v>
      </c>
      <c r="CW704" s="1">
        <v>2</v>
      </c>
      <c r="CX704" s="1">
        <v>1</v>
      </c>
      <c r="CY704" s="1">
        <v>1</v>
      </c>
      <c r="CZ704" s="1">
        <f t="shared" si="614"/>
        <v>0</v>
      </c>
      <c r="DA704" s="1">
        <v>1</v>
      </c>
      <c r="DB704" s="1">
        <v>1</v>
      </c>
      <c r="DC704" s="1">
        <v>2</v>
      </c>
      <c r="DD704" s="1">
        <v>1</v>
      </c>
      <c r="DE704" s="1">
        <v>1</v>
      </c>
      <c r="DF704" s="1">
        <v>1</v>
      </c>
      <c r="DG704" s="1">
        <v>1</v>
      </c>
      <c r="DH704" s="1">
        <v>1</v>
      </c>
      <c r="DI704" s="1">
        <f t="shared" si="615"/>
        <v>0</v>
      </c>
      <c r="DJ704" s="1">
        <v>1</v>
      </c>
      <c r="DK704" s="1" t="s">
        <v>1594</v>
      </c>
      <c r="DL704" s="1" t="s">
        <v>101</v>
      </c>
      <c r="DR704" s="1" t="b">
        <f>AlignmentEvil</f>
        <v>0</v>
      </c>
      <c r="DS704" s="1" t="b">
        <f>BaseAtk&gt;=5</f>
        <v>0</v>
      </c>
      <c r="DT704" s="1" t="b">
        <f>SkKnowledgeArcanaRanks&gt;=3</f>
        <v>0</v>
      </c>
      <c r="DU704" s="1" t="b">
        <f>OR(NOT(ISNA(MATCH("Abyssal",TblLangKnown,0))),NOT(ISNA(MATCH("Infernal",TblLangKnown,0))))</f>
        <v>0</v>
      </c>
      <c r="DV704" s="1" t="b">
        <f>OR(FtIronWill,FreeIronWill)</f>
        <v>0</v>
      </c>
      <c r="EA704" s="1" t="b">
        <f>AND(DM704:DZ704)</f>
        <v>0</v>
      </c>
      <c r="EB704" s="11" t="s">
        <v>338</v>
      </c>
      <c r="EC704" s="1" t="str">
        <f>IF(DR704,"","• Must be of Any Evil Alignment.
")&amp;IF(DS704,"","• Base attack bonus of +5 or greater.
")&amp;IF(DT704,"","• 3 ranks in Knowledge (arcana).
")&amp;IF(DU704,"","• Speak Language (Abyssal or Infernal).
")&amp;IF(DV704,"","• Iron Will feat.
")&amp;IF(DW704,"","• Must endure a week of painful and scarring black magic rituals performed in solitude, the secrets of which take months of study and research. (not verified).")</f>
        <v>• Must be of Any Evil Alignment.
• Base attack bonus of +5 or greater.
• 3 ranks in Knowledge (arcana).
• Speak Language (Abyssal or Infernal).
• Iron Will feat.
• Must endure a week of painful and scarring black magic rituals performed in solitude, the secrets of which take months of study and research. (not verified).</v>
      </c>
      <c r="ED704" s="11" t="s">
        <v>335</v>
      </c>
    </row>
    <row r="705" spans="1:134" ht="11.25" customHeight="1" x14ac:dyDescent="0.2">
      <c r="A705" s="1">
        <f t="shared" si="582"/>
        <v>702</v>
      </c>
      <c r="B705" s="1" t="s">
        <v>1625</v>
      </c>
      <c r="E705" s="1">
        <f t="shared" si="575"/>
        <v>0</v>
      </c>
      <c r="F705" s="1">
        <v>1</v>
      </c>
      <c r="Z705" s="1" t="b">
        <f>FALSE</f>
        <v>0</v>
      </c>
      <c r="AA705" s="1" t="str">
        <f t="shared" si="578"/>
        <v/>
      </c>
      <c r="AB705" s="1" t="str">
        <f t="shared" si="579"/>
        <v/>
      </c>
      <c r="AC705" s="1">
        <f t="shared" si="576"/>
        <v>0</v>
      </c>
      <c r="AD705" s="1" t="str">
        <f t="shared" si="580"/>
        <v/>
      </c>
      <c r="AE705" s="1" t="str">
        <f t="shared" si="581"/>
        <v/>
      </c>
      <c r="AF705" s="1">
        <f t="shared" si="577"/>
        <v>0</v>
      </c>
      <c r="AG705" s="1">
        <f t="shared" si="589"/>
        <v>5</v>
      </c>
      <c r="AH705" s="1" t="str">
        <f t="shared" si="588"/>
        <v/>
      </c>
      <c r="EB705" s="11"/>
      <c r="ED705" s="11" t="s">
        <v>335</v>
      </c>
    </row>
    <row r="706" spans="1:134" ht="11.25" customHeight="1" x14ac:dyDescent="0.2">
      <c r="A706" s="1">
        <f t="shared" si="582"/>
        <v>703</v>
      </c>
      <c r="B706" s="1" t="s">
        <v>1626</v>
      </c>
      <c r="C706" s="1" t="s">
        <v>855</v>
      </c>
      <c r="D706" s="1" t="s">
        <v>855</v>
      </c>
      <c r="E706" s="1">
        <f t="shared" si="575"/>
        <v>0</v>
      </c>
      <c r="K706" s="1">
        <v>2</v>
      </c>
      <c r="L706" s="1">
        <v>10</v>
      </c>
      <c r="N706" s="1" t="b">
        <v>1</v>
      </c>
      <c r="O706" s="1" t="b">
        <v>1</v>
      </c>
      <c r="P706" s="1" t="b">
        <v>1</v>
      </c>
      <c r="Q706" s="1" t="b">
        <v>1</v>
      </c>
      <c r="S706" s="1" t="b">
        <v>1</v>
      </c>
      <c r="T706" s="1" t="b">
        <v>1</v>
      </c>
      <c r="V706" s="1">
        <v>1</v>
      </c>
      <c r="W706" s="1">
        <v>0.5</v>
      </c>
      <c r="X706" s="1">
        <v>0.34</v>
      </c>
      <c r="Y706" s="1">
        <v>0.5</v>
      </c>
      <c r="Z706" s="1" t="b">
        <f>FALSE</f>
        <v>0</v>
      </c>
      <c r="AA706" s="1" t="str">
        <f t="shared" si="578"/>
        <v/>
      </c>
      <c r="AB706" s="1" t="str">
        <f t="shared" si="579"/>
        <v/>
      </c>
      <c r="AC706" s="1">
        <f t="shared" si="576"/>
        <v>0</v>
      </c>
      <c r="AD706" s="1" t="str">
        <f t="shared" si="580"/>
        <v/>
      </c>
      <c r="AE706" s="1" t="str">
        <f t="shared" si="581"/>
        <v/>
      </c>
      <c r="AF706" s="1">
        <f t="shared" si="577"/>
        <v>0</v>
      </c>
      <c r="AG706" s="1">
        <f t="shared" si="589"/>
        <v>5</v>
      </c>
      <c r="AH706" s="1" t="str">
        <f t="shared" si="588"/>
        <v/>
      </c>
      <c r="AI706" s="1">
        <v>1</v>
      </c>
      <c r="AJ706" s="1">
        <f t="shared" ref="AJ706:AJ727" si="617">IF(HRXPH,1,0)</f>
        <v>0</v>
      </c>
      <c r="AK706" s="1">
        <v>1</v>
      </c>
      <c r="AL706" s="1">
        <v>1</v>
      </c>
      <c r="AM706" s="1">
        <v>2</v>
      </c>
      <c r="AN706" s="1">
        <f t="shared" ref="AN706:AN727" si="618">IF(IsLycanthrope,2,0)</f>
        <v>0</v>
      </c>
      <c r="AO706" s="1">
        <v>2</v>
      </c>
      <c r="AP706" s="1">
        <v>2</v>
      </c>
      <c r="AQ706" s="1">
        <v>2</v>
      </c>
      <c r="AR706" s="1">
        <v>2</v>
      </c>
      <c r="AS706" s="1">
        <v>2</v>
      </c>
      <c r="AT706" s="1">
        <v>2</v>
      </c>
      <c r="AU706" s="1">
        <v>2</v>
      </c>
      <c r="AV706" s="1">
        <v>2</v>
      </c>
      <c r="AW706" s="1">
        <v>1</v>
      </c>
      <c r="AX706" s="1">
        <v>1</v>
      </c>
      <c r="AY706" s="1">
        <v>1</v>
      </c>
      <c r="AZ706" s="1">
        <v>1</v>
      </c>
      <c r="BA706" s="1">
        <v>1</v>
      </c>
      <c r="BB706" s="1">
        <v>1</v>
      </c>
      <c r="BC706" s="1">
        <v>1</v>
      </c>
      <c r="BD706" s="1">
        <v>1</v>
      </c>
      <c r="BE706" s="1">
        <v>1</v>
      </c>
      <c r="BF706" s="1">
        <v>1</v>
      </c>
      <c r="BG706" s="1">
        <f t="shared" ref="BG706:BG727" si="619">IF(HRRVL,1,0)</f>
        <v>0</v>
      </c>
      <c r="BH706" s="1">
        <f t="shared" ref="BH706:BH727" si="620">IF(HROA,1,0)</f>
        <v>0</v>
      </c>
      <c r="BI706" s="1">
        <v>1</v>
      </c>
      <c r="BJ706" s="1">
        <v>2</v>
      </c>
      <c r="BK706" s="1">
        <v>2</v>
      </c>
      <c r="BL706" s="1">
        <v>1</v>
      </c>
      <c r="BM706" s="1">
        <v>1</v>
      </c>
      <c r="BN706" s="1">
        <v>1</v>
      </c>
      <c r="BO706" s="1">
        <v>1</v>
      </c>
      <c r="BP706" s="1">
        <v>1</v>
      </c>
      <c r="BQ706" s="1">
        <f>IF(HRRVL,1,0)</f>
        <v>0</v>
      </c>
      <c r="BR706" s="1">
        <v>1</v>
      </c>
      <c r="BS706" s="1">
        <v>1</v>
      </c>
      <c r="BT706" s="1">
        <f>IF(HRXPH,1,0)</f>
        <v>0</v>
      </c>
      <c r="BU706" s="1">
        <f>IF(HRRVL,2,0)</f>
        <v>0</v>
      </c>
      <c r="BV706" s="1">
        <v>2</v>
      </c>
      <c r="BW706" s="1">
        <v>2</v>
      </c>
      <c r="BX706" s="1">
        <v>1</v>
      </c>
      <c r="BY706" s="1">
        <v>1</v>
      </c>
      <c r="BZ706" s="1">
        <v>1</v>
      </c>
      <c r="CA706" s="1">
        <v>1</v>
      </c>
      <c r="CB706" s="1">
        <v>1</v>
      </c>
      <c r="CC706" s="1">
        <v>1</v>
      </c>
      <c r="CD706" s="1">
        <v>1</v>
      </c>
      <c r="CE706" s="1">
        <v>1</v>
      </c>
      <c r="CF706" s="1">
        <v>1</v>
      </c>
      <c r="CG706" s="1">
        <f t="shared" ref="CG706:CG727" si="621">IF(HRToB,1,0)</f>
        <v>0</v>
      </c>
      <c r="CH706" s="1">
        <v>1</v>
      </c>
      <c r="CI706" s="1">
        <v>1</v>
      </c>
      <c r="CJ706" s="1">
        <v>1</v>
      </c>
      <c r="CK706" s="1">
        <v>1</v>
      </c>
      <c r="CL706" s="1">
        <v>1</v>
      </c>
      <c r="CM706" s="1">
        <v>1</v>
      </c>
      <c r="CN706" s="1">
        <v>1</v>
      </c>
      <c r="CO706" s="1">
        <v>1</v>
      </c>
      <c r="CP706" s="1">
        <v>1</v>
      </c>
      <c r="CQ706" s="1">
        <v>1</v>
      </c>
      <c r="CR706" s="1">
        <v>1</v>
      </c>
      <c r="CS706" s="1">
        <v>1</v>
      </c>
      <c r="CT706" s="1">
        <v>1</v>
      </c>
      <c r="CU706" s="1">
        <v>1</v>
      </c>
      <c r="CV706" s="1">
        <f t="shared" ref="CV706:CV727" si="622">IF(HRXPH,1,0)</f>
        <v>0</v>
      </c>
      <c r="CW706" s="1">
        <v>2</v>
      </c>
      <c r="CX706" s="1">
        <v>1</v>
      </c>
      <c r="CY706" s="1">
        <v>1</v>
      </c>
      <c r="CZ706" s="1">
        <f t="shared" ref="CZ706:CZ727" si="623">IF(HRCS,1,0)</f>
        <v>0</v>
      </c>
      <c r="DA706" s="1">
        <v>1</v>
      </c>
      <c r="DB706" s="1">
        <v>1</v>
      </c>
      <c r="DC706" s="1">
        <v>2</v>
      </c>
      <c r="DD706" s="1">
        <v>1</v>
      </c>
      <c r="DE706" s="1">
        <v>1</v>
      </c>
      <c r="DF706" s="1">
        <v>1</v>
      </c>
      <c r="DG706" s="1">
        <v>1</v>
      </c>
      <c r="DH706" s="1">
        <v>1</v>
      </c>
      <c r="DI706" s="1">
        <f t="shared" ref="DI706:DI727" si="624">IF(HRXPH,1,0)</f>
        <v>0</v>
      </c>
      <c r="DJ706" s="1">
        <v>1</v>
      </c>
      <c r="DK706" s="1" t="s">
        <v>1627</v>
      </c>
      <c r="DL706" s="1" t="s">
        <v>101</v>
      </c>
      <c r="DR706" s="1" t="b">
        <f>AlignmentGood</f>
        <v>1</v>
      </c>
      <c r="DS706" s="1" t="b">
        <f>BaseAtk&gt;=5</f>
        <v>0</v>
      </c>
      <c r="DT706" s="1" t="b">
        <f>IF(NOT(ISNA(MATCH("Alchemy",TblCraftSkills,0))),INDEX(TblCraftRanks,MATCH("Alchemy",TblCraftSkills,0),1)&gt;=2,FALSE)</f>
        <v>0</v>
      </c>
      <c r="DU706" s="1" t="b">
        <f>SkKnowledgeArcanaRanks&gt;=3</f>
        <v>0</v>
      </c>
      <c r="DV706" s="1" t="b">
        <f>SkSpellcraftRanks&gt;=3</f>
        <v>0</v>
      </c>
      <c r="DW706" s="1" t="b">
        <f>FtAncestralRelic</f>
        <v>0</v>
      </c>
      <c r="EA706" s="1" t="b">
        <f t="shared" ref="EA706:EA726" si="625">AND(DM706:DZ706)</f>
        <v>0</v>
      </c>
      <c r="EB706" s="11" t="s">
        <v>334</v>
      </c>
      <c r="EC706" s="1" t="str">
        <f>IF(DR706,"","• You must be of any good alignment.
")&amp;IF(DS706,"","• Base attack bonus of at least +5.
")&amp;IF(DT706,"","• 5 ranks in Craft(Alchemy).
")&amp;IF(DU706,"","• 3 ranks in Knowledge (Arcana).
")&amp;IF(DV706,"","• 3 ranks in Spellcraft.
")&amp;IF(DW706,"","• Ancestral Relic Feat.")</f>
        <v>• Base attack bonus of at least +5.
• 5 ranks in Craft(Alchemy).
• 3 ranks in Knowledge (Arcana).
• 3 ranks in Spellcraft.
• Ancestral Relic Feat.</v>
      </c>
      <c r="ED706" s="11" t="s">
        <v>335</v>
      </c>
    </row>
    <row r="707" spans="1:134" ht="11.25" customHeight="1" x14ac:dyDescent="0.2">
      <c r="A707" s="1">
        <f t="shared" si="582"/>
        <v>704</v>
      </c>
      <c r="B707" s="1" t="s">
        <v>1628</v>
      </c>
      <c r="C707" s="1" t="s">
        <v>1629</v>
      </c>
      <c r="D707" s="1" t="s">
        <v>1629</v>
      </c>
      <c r="E707" s="1">
        <f t="shared" si="575"/>
        <v>0</v>
      </c>
      <c r="K707" s="1">
        <v>4</v>
      </c>
      <c r="L707" s="1">
        <v>4</v>
      </c>
      <c r="M707" s="1">
        <f>E707</f>
        <v>0</v>
      </c>
      <c r="V707" s="1">
        <v>0.5</v>
      </c>
      <c r="W707" s="1">
        <v>0.5</v>
      </c>
      <c r="X707" s="1">
        <v>0.5</v>
      </c>
      <c r="Y707" s="1">
        <v>0.5</v>
      </c>
      <c r="Z707" s="1" t="b">
        <f>FALSE</f>
        <v>0</v>
      </c>
      <c r="AA707" s="1" t="str">
        <f t="shared" si="578"/>
        <v/>
      </c>
      <c r="AB707" s="1" t="str">
        <f t="shared" si="579"/>
        <v/>
      </c>
      <c r="AC707" s="1">
        <f t="shared" si="576"/>
        <v>0</v>
      </c>
      <c r="AD707" s="1" t="str">
        <f t="shared" si="580"/>
        <v/>
      </c>
      <c r="AE707" s="1" t="str">
        <f t="shared" si="581"/>
        <v/>
      </c>
      <c r="AF707" s="1">
        <f t="shared" si="577"/>
        <v>0</v>
      </c>
      <c r="AG707" s="1">
        <f t="shared" si="589"/>
        <v>5</v>
      </c>
      <c r="AH707" s="1" t="str">
        <f t="shared" si="588"/>
        <v/>
      </c>
      <c r="AI707" s="1">
        <v>1</v>
      </c>
      <c r="AJ707" s="1">
        <f t="shared" si="617"/>
        <v>0</v>
      </c>
      <c r="AK707" s="1">
        <v>1</v>
      </c>
      <c r="AL707" s="1">
        <v>2</v>
      </c>
      <c r="AM707" s="1">
        <v>1</v>
      </c>
      <c r="AN707" s="1">
        <f t="shared" si="618"/>
        <v>0</v>
      </c>
      <c r="AO707" s="1">
        <v>2</v>
      </c>
      <c r="AP707" s="1">
        <v>2</v>
      </c>
      <c r="AQ707" s="1">
        <v>2</v>
      </c>
      <c r="AR707" s="1">
        <v>2</v>
      </c>
      <c r="AS707" s="1">
        <v>2</v>
      </c>
      <c r="AT707" s="1">
        <v>2</v>
      </c>
      <c r="AU707" s="1">
        <v>2</v>
      </c>
      <c r="AV707" s="1">
        <v>2</v>
      </c>
      <c r="AW707" s="1">
        <v>1</v>
      </c>
      <c r="AX707" s="1">
        <v>2</v>
      </c>
      <c r="AY707" s="1">
        <v>1</v>
      </c>
      <c r="AZ707" s="1">
        <v>1</v>
      </c>
      <c r="BA707" s="1">
        <v>2</v>
      </c>
      <c r="BB707" s="1">
        <v>1</v>
      </c>
      <c r="BC707" s="1">
        <v>2</v>
      </c>
      <c r="BD707" s="1">
        <v>2</v>
      </c>
      <c r="BE707" s="1">
        <v>2</v>
      </c>
      <c r="BF707" s="1">
        <v>1</v>
      </c>
      <c r="BG707" s="1">
        <f t="shared" si="619"/>
        <v>0</v>
      </c>
      <c r="BH707" s="1">
        <f t="shared" si="620"/>
        <v>0</v>
      </c>
      <c r="BI707" s="1">
        <v>1</v>
      </c>
      <c r="BJ707" s="1">
        <v>1</v>
      </c>
      <c r="BK707" s="1">
        <v>2</v>
      </c>
      <c r="BL707" s="1">
        <v>2</v>
      </c>
      <c r="BM707" s="1">
        <v>2</v>
      </c>
      <c r="BN707" s="1">
        <v>2</v>
      </c>
      <c r="BO707" s="1">
        <v>2</v>
      </c>
      <c r="BP707" s="1">
        <f>1+NOT(HRLivingGreyhawk)</f>
        <v>2</v>
      </c>
      <c r="BQ707" s="1">
        <f>IF(HRRVL,2,0)</f>
        <v>0</v>
      </c>
      <c r="BR707" s="1">
        <v>2</v>
      </c>
      <c r="BS707" s="1">
        <v>2</v>
      </c>
      <c r="BT707" s="1">
        <f>IF(HRXPH,2,0)</f>
        <v>0</v>
      </c>
      <c r="BU707" s="1">
        <f>IF(HRRVL,2,0)</f>
        <v>0</v>
      </c>
      <c r="BV707" s="1">
        <v>2</v>
      </c>
      <c r="BW707" s="1">
        <v>2</v>
      </c>
      <c r="BX707" s="1">
        <v>2</v>
      </c>
      <c r="BY707" s="1">
        <v>2</v>
      </c>
      <c r="BZ707" s="1">
        <v>2</v>
      </c>
      <c r="CA707" s="1">
        <v>2</v>
      </c>
      <c r="CB707" s="1">
        <v>2</v>
      </c>
      <c r="CC707" s="1">
        <v>2</v>
      </c>
      <c r="CD707" s="1">
        <v>2</v>
      </c>
      <c r="CE707" s="1">
        <v>2</v>
      </c>
      <c r="CF707" s="1">
        <v>2</v>
      </c>
      <c r="CG707" s="1">
        <f t="shared" si="621"/>
        <v>0</v>
      </c>
      <c r="CH707" s="1">
        <v>1</v>
      </c>
      <c r="CI707" s="1">
        <v>1</v>
      </c>
      <c r="CJ707" s="1">
        <v>2</v>
      </c>
      <c r="CK707" s="1">
        <v>2</v>
      </c>
      <c r="CL707" s="1">
        <v>2</v>
      </c>
      <c r="CM707" s="1">
        <v>2</v>
      </c>
      <c r="CN707" s="1">
        <v>2</v>
      </c>
      <c r="CO707" s="1">
        <v>2</v>
      </c>
      <c r="CP707" s="1">
        <v>2</v>
      </c>
      <c r="CQ707" s="1">
        <v>2</v>
      </c>
      <c r="CR707" s="1">
        <v>2</v>
      </c>
      <c r="CS707" s="1">
        <v>2</v>
      </c>
      <c r="CT707" s="1">
        <v>2</v>
      </c>
      <c r="CU707" s="1">
        <v>2</v>
      </c>
      <c r="CV707" s="1">
        <f t="shared" si="622"/>
        <v>0</v>
      </c>
      <c r="CW707" s="1">
        <v>1</v>
      </c>
      <c r="CX707" s="1">
        <v>2</v>
      </c>
      <c r="CY707" s="1">
        <v>2</v>
      </c>
      <c r="CZ707" s="1">
        <f t="shared" si="623"/>
        <v>0</v>
      </c>
      <c r="DA707" s="1">
        <v>1</v>
      </c>
      <c r="DB707" s="1">
        <v>2</v>
      </c>
      <c r="DC707" s="1">
        <v>2</v>
      </c>
      <c r="DD707" s="1">
        <v>2</v>
      </c>
      <c r="DE707" s="1">
        <v>1</v>
      </c>
      <c r="DF707" s="1">
        <v>1</v>
      </c>
      <c r="DG707" s="1">
        <v>1</v>
      </c>
      <c r="DH707" s="1">
        <v>1</v>
      </c>
      <c r="DI707" s="1">
        <f t="shared" si="624"/>
        <v>0</v>
      </c>
      <c r="DJ707" s="1">
        <v>1</v>
      </c>
      <c r="DK707" s="1" t="s">
        <v>1627</v>
      </c>
      <c r="DL707" s="1" t="s">
        <v>101</v>
      </c>
      <c r="DR707" s="1" t="b">
        <f>AlignmentGood</f>
        <v>1</v>
      </c>
      <c r="DS707" s="1" t="b">
        <f>BaseWill&gt;=5</f>
        <v>0</v>
      </c>
      <c r="DT707" s="1" t="b">
        <f>SkConcentrationRanks&gt;=10</f>
        <v>0</v>
      </c>
      <c r="DU707" s="1" t="b">
        <f>SkDiplomacyRanks&gt;=6</f>
        <v>0</v>
      </c>
      <c r="DV707" s="1" t="b">
        <f>FtSacredVow</f>
        <v>0</v>
      </c>
      <c r="DW707" s="1" t="b">
        <f>FtVowNonviolence</f>
        <v>0</v>
      </c>
      <c r="DX707" s="1" t="b">
        <f>FtVowPeace</f>
        <v>0</v>
      </c>
      <c r="DY707" s="1" t="b">
        <f>FtVowPoverty</f>
        <v>0</v>
      </c>
      <c r="EA707" s="1" t="b">
        <f t="shared" si="625"/>
        <v>0</v>
      </c>
      <c r="EB707" s="11" t="s">
        <v>334</v>
      </c>
      <c r="EC707" s="1" t="str">
        <f>IF(DR707,"","• You must be of any good alignment.
")&amp;IF(DS707,"","• Base Will save of at least +5.
")&amp;IF(DT707,"","• 10 ranks in Concentration.
")&amp;IF(DU707,"","• 6 ranks in Diplomacy.
")&amp;IF(DV707,"","• Sacred Vow feat.
")&amp;IF(DW707,"","• Vow of Nonviolence.
")&amp;IF(DX707,"","• Vow of Peace.
")&amp;IF(DY707,"","• Vow of Poverty.")</f>
        <v>• Base Will save of at least +5.
• 10 ranks in Concentration.
• 6 ranks in Diplomacy.
• Sacred Vow feat.
• Vow of Nonviolence.
• Vow of Peace.
• Vow of Poverty.</v>
      </c>
      <c r="ED707" s="11" t="s">
        <v>335</v>
      </c>
    </row>
    <row r="708" spans="1:134" ht="11.25" customHeight="1" x14ac:dyDescent="0.2">
      <c r="A708" s="1">
        <f t="shared" si="582"/>
        <v>705</v>
      </c>
      <c r="B708" s="1" t="s">
        <v>1630</v>
      </c>
      <c r="C708" s="1" t="s">
        <v>1631</v>
      </c>
      <c r="D708" s="1" t="s">
        <v>1631</v>
      </c>
      <c r="E708" s="1">
        <f t="shared" si="575"/>
        <v>0</v>
      </c>
      <c r="K708" s="1">
        <v>2</v>
      </c>
      <c r="L708" s="1">
        <v>10</v>
      </c>
      <c r="N708" s="1" t="b">
        <v>1</v>
      </c>
      <c r="Q708" s="1" t="b">
        <v>1</v>
      </c>
      <c r="S708" s="1" t="b">
        <v>1</v>
      </c>
      <c r="T708" s="1" t="b">
        <v>1</v>
      </c>
      <c r="V708" s="1">
        <v>1</v>
      </c>
      <c r="W708" s="1">
        <v>0.5</v>
      </c>
      <c r="X708" s="1">
        <v>0.34</v>
      </c>
      <c r="Y708" s="1">
        <v>0.34</v>
      </c>
      <c r="Z708" s="1" t="b">
        <f>FALSE</f>
        <v>0</v>
      </c>
      <c r="AA708" s="1" t="str">
        <f t="shared" si="578"/>
        <v/>
      </c>
      <c r="AB708" s="1" t="str">
        <f t="shared" si="579"/>
        <v/>
      </c>
      <c r="AC708" s="1">
        <f t="shared" si="576"/>
        <v>0</v>
      </c>
      <c r="AD708" s="1" t="str">
        <f t="shared" si="580"/>
        <v/>
      </c>
      <c r="AE708" s="1" t="str">
        <f t="shared" si="581"/>
        <v/>
      </c>
      <c r="AF708" s="1">
        <f t="shared" si="577"/>
        <v>0</v>
      </c>
      <c r="AG708" s="1">
        <f t="shared" si="589"/>
        <v>5</v>
      </c>
      <c r="AH708" s="1" t="str">
        <f t="shared" si="588"/>
        <v/>
      </c>
      <c r="AI708" s="1">
        <v>1</v>
      </c>
      <c r="AJ708" s="1">
        <f t="shared" si="617"/>
        <v>0</v>
      </c>
      <c r="AK708" s="1">
        <v>1</v>
      </c>
      <c r="AL708" s="1">
        <v>1</v>
      </c>
      <c r="AM708" s="1">
        <v>1</v>
      </c>
      <c r="AN708" s="1">
        <f t="shared" si="618"/>
        <v>0</v>
      </c>
      <c r="AO708" s="1">
        <v>2</v>
      </c>
      <c r="AP708" s="1">
        <v>1</v>
      </c>
      <c r="AQ708" s="1">
        <v>1</v>
      </c>
      <c r="AR708" s="1">
        <v>1</v>
      </c>
      <c r="AS708" s="1">
        <v>1</v>
      </c>
      <c r="AT708" s="1">
        <v>1</v>
      </c>
      <c r="AU708" s="1">
        <v>1</v>
      </c>
      <c r="AV708" s="1">
        <v>1</v>
      </c>
      <c r="AW708" s="1">
        <v>1</v>
      </c>
      <c r="AX708" s="1">
        <v>2</v>
      </c>
      <c r="AY708" s="1">
        <v>1</v>
      </c>
      <c r="AZ708" s="1">
        <v>1</v>
      </c>
      <c r="BA708" s="1">
        <v>1</v>
      </c>
      <c r="BB708" s="1">
        <v>1</v>
      </c>
      <c r="BC708" s="1">
        <v>1</v>
      </c>
      <c r="BD708" s="1">
        <v>2</v>
      </c>
      <c r="BE708" s="1">
        <v>2</v>
      </c>
      <c r="BF708" s="1">
        <v>1</v>
      </c>
      <c r="BG708" s="1">
        <f t="shared" si="619"/>
        <v>0</v>
      </c>
      <c r="BH708" s="1">
        <f t="shared" si="620"/>
        <v>0</v>
      </c>
      <c r="BI708" s="1">
        <v>1</v>
      </c>
      <c r="BJ708" s="1">
        <v>1</v>
      </c>
      <c r="BK708" s="1">
        <v>1</v>
      </c>
      <c r="BL708" s="1">
        <v>1</v>
      </c>
      <c r="BM708" s="1">
        <v>1</v>
      </c>
      <c r="BN708" s="1">
        <v>1</v>
      </c>
      <c r="BO708" s="1">
        <v>1</v>
      </c>
      <c r="BP708" s="1">
        <v>1</v>
      </c>
      <c r="BQ708" s="1">
        <f>IF(HRRVL,2,0)</f>
        <v>0</v>
      </c>
      <c r="BR708" s="1">
        <v>2</v>
      </c>
      <c r="BS708" s="1">
        <v>1</v>
      </c>
      <c r="BT708" s="1">
        <f>IF(HRXPH,1,0)</f>
        <v>0</v>
      </c>
      <c r="BU708" s="1">
        <f>IF(HRRVL,1,0)</f>
        <v>0</v>
      </c>
      <c r="BV708" s="1">
        <v>1</v>
      </c>
      <c r="BW708" s="1">
        <v>1</v>
      </c>
      <c r="BX708" s="1">
        <v>1</v>
      </c>
      <c r="BY708" s="1">
        <v>1</v>
      </c>
      <c r="BZ708" s="1">
        <v>1</v>
      </c>
      <c r="CA708" s="1">
        <v>1</v>
      </c>
      <c r="CB708" s="1">
        <v>1</v>
      </c>
      <c r="CC708" s="1">
        <v>1</v>
      </c>
      <c r="CD708" s="1">
        <v>1</v>
      </c>
      <c r="CE708" s="1">
        <v>1</v>
      </c>
      <c r="CF708" s="1">
        <v>1</v>
      </c>
      <c r="CG708" s="1">
        <f t="shared" si="621"/>
        <v>0</v>
      </c>
      <c r="CH708" s="1">
        <v>1</v>
      </c>
      <c r="CI708" s="1">
        <v>1</v>
      </c>
      <c r="CJ708" s="1">
        <v>1</v>
      </c>
      <c r="CK708" s="1">
        <v>1</v>
      </c>
      <c r="CL708" s="1">
        <v>1</v>
      </c>
      <c r="CM708" s="1">
        <v>1</v>
      </c>
      <c r="CN708" s="1">
        <v>1</v>
      </c>
      <c r="CO708" s="1">
        <v>1</v>
      </c>
      <c r="CP708" s="1">
        <v>1</v>
      </c>
      <c r="CQ708" s="1">
        <v>1</v>
      </c>
      <c r="CR708" s="1">
        <v>1</v>
      </c>
      <c r="CS708" s="1">
        <v>1</v>
      </c>
      <c r="CT708" s="1">
        <v>1</v>
      </c>
      <c r="CU708" s="1">
        <v>1</v>
      </c>
      <c r="CV708" s="1">
        <f t="shared" si="622"/>
        <v>0</v>
      </c>
      <c r="CW708" s="1">
        <v>2</v>
      </c>
      <c r="CX708" s="1">
        <v>1</v>
      </c>
      <c r="CY708" s="1">
        <v>2</v>
      </c>
      <c r="CZ708" s="1">
        <f t="shared" si="623"/>
        <v>0</v>
      </c>
      <c r="DA708" s="1">
        <v>1</v>
      </c>
      <c r="DB708" s="1">
        <v>1</v>
      </c>
      <c r="DC708" s="1">
        <v>1</v>
      </c>
      <c r="DD708" s="1">
        <v>1</v>
      </c>
      <c r="DE708" s="1">
        <v>2</v>
      </c>
      <c r="DF708" s="1">
        <v>1</v>
      </c>
      <c r="DG708" s="1">
        <v>1</v>
      </c>
      <c r="DH708" s="1">
        <v>1</v>
      </c>
      <c r="DI708" s="1">
        <f t="shared" si="624"/>
        <v>0</v>
      </c>
      <c r="DJ708" s="1">
        <v>1</v>
      </c>
      <c r="DK708" s="1" t="s">
        <v>1627</v>
      </c>
      <c r="DL708" s="1" t="s">
        <v>101</v>
      </c>
      <c r="DR708" s="1" t="b">
        <f>Gender="Female"</f>
        <v>0</v>
      </c>
      <c r="DS708" s="1" t="b">
        <f>AlignmentGood</f>
        <v>1</v>
      </c>
      <c r="DT708" s="1" t="b">
        <f>BaseAtk&gt;=7</f>
        <v>0</v>
      </c>
      <c r="DU708" s="1" t="b">
        <f>SkKnowledgeNatureRanks&gt;=5</f>
        <v>0</v>
      </c>
      <c r="DV708" s="1" t="b">
        <f>SkRideRanks&gt;=10</f>
        <v>0</v>
      </c>
      <c r="EA708" s="1" t="b">
        <f t="shared" si="625"/>
        <v>0</v>
      </c>
      <c r="EB708" s="11" t="s">
        <v>334</v>
      </c>
      <c r="EC708" s="1" t="str">
        <f>IF(DR708,"","• Your gender must be female.
")&amp;IF(DS708,"","• You must be of any good alignment.
")&amp;IF(DT708,"","• A base attack bonus of +7 or greater.
")&amp;IF(DU708,"","• 5 ranks in Knowledge (Nature).
")&amp;IF(DV708,"","• 10 ranks in Ride.")</f>
        <v>• Your gender must be female.
• A base attack bonus of +7 or greater.
• 5 ranks in Knowledge (Nature).
• 10 ranks in Ride.</v>
      </c>
      <c r="ED708" s="11" t="s">
        <v>335</v>
      </c>
    </row>
    <row r="709" spans="1:134" ht="11.25" customHeight="1" x14ac:dyDescent="0.2">
      <c r="A709" s="1">
        <f t="shared" si="582"/>
        <v>706</v>
      </c>
      <c r="B709" s="1" t="s">
        <v>1632</v>
      </c>
      <c r="C709" s="1" t="s">
        <v>919</v>
      </c>
      <c r="D709" s="1" t="s">
        <v>919</v>
      </c>
      <c r="E709" s="1">
        <f t="shared" ref="E709:E772" si="626">$AC709+$AF709+IF(HasVirtualClasses,COUNTIF(TblVClassesAtLvlCS,$A709),0)</f>
        <v>0</v>
      </c>
      <c r="G709" s="1">
        <f>(ClMLvl&gt;=2)*(ClMLvl-1)</f>
        <v>0</v>
      </c>
      <c r="K709" s="1">
        <v>4</v>
      </c>
      <c r="L709" s="1">
        <v>4</v>
      </c>
      <c r="V709" s="1">
        <v>0.5</v>
      </c>
      <c r="W709" s="1">
        <v>0.34</v>
      </c>
      <c r="X709" s="1">
        <v>0.34</v>
      </c>
      <c r="Y709" s="1">
        <v>0.5</v>
      </c>
      <c r="Z709" s="1" t="b">
        <f>FALSE</f>
        <v>0</v>
      </c>
      <c r="AA709" s="1" t="str">
        <f t="shared" si="578"/>
        <v/>
      </c>
      <c r="AB709" s="1" t="str">
        <f t="shared" si="579"/>
        <v/>
      </c>
      <c r="AC709" s="1">
        <f t="shared" ref="AC709:AC772" si="627">COUNTIF(TblClassesAtLvlCS,$A709)</f>
        <v>0</v>
      </c>
      <c r="AD709" s="1" t="str">
        <f t="shared" si="580"/>
        <v/>
      </c>
      <c r="AE709" s="1" t="str">
        <f t="shared" si="581"/>
        <v/>
      </c>
      <c r="AF709" s="1">
        <f t="shared" ref="AF709:AF772" si="628">IF(HRGestalt,COUNTIF(TblGClassesAtLvlCS,$A709),0)</f>
        <v>0</v>
      </c>
      <c r="AG709" s="1">
        <f t="shared" si="589"/>
        <v>5</v>
      </c>
      <c r="AH709" s="1" t="str">
        <f t="shared" si="588"/>
        <v/>
      </c>
      <c r="AI709" s="1">
        <v>1</v>
      </c>
      <c r="AJ709" s="1">
        <f t="shared" si="617"/>
        <v>0</v>
      </c>
      <c r="AK709" s="1">
        <v>1</v>
      </c>
      <c r="AL709" s="1">
        <v>1</v>
      </c>
      <c r="AM709" s="1">
        <v>1</v>
      </c>
      <c r="AN709" s="1">
        <f t="shared" si="618"/>
        <v>0</v>
      </c>
      <c r="AO709" s="1">
        <v>2</v>
      </c>
      <c r="AP709" s="1">
        <v>2</v>
      </c>
      <c r="AQ709" s="1">
        <v>2</v>
      </c>
      <c r="AR709" s="1">
        <v>2</v>
      </c>
      <c r="AS709" s="1">
        <v>2</v>
      </c>
      <c r="AT709" s="1">
        <v>2</v>
      </c>
      <c r="AU709" s="1">
        <v>2</v>
      </c>
      <c r="AV709" s="1">
        <v>2</v>
      </c>
      <c r="AW709" s="1">
        <v>1</v>
      </c>
      <c r="AX709" s="1">
        <v>2</v>
      </c>
      <c r="AY709" s="1">
        <v>1</v>
      </c>
      <c r="AZ709" s="1">
        <v>1</v>
      </c>
      <c r="BA709" s="1">
        <v>1</v>
      </c>
      <c r="BB709" s="1">
        <v>1</v>
      </c>
      <c r="BC709" s="1">
        <v>1</v>
      </c>
      <c r="BD709" s="1">
        <v>1</v>
      </c>
      <c r="BE709" s="1">
        <v>2</v>
      </c>
      <c r="BF709" s="1">
        <v>1</v>
      </c>
      <c r="BG709" s="1">
        <f t="shared" si="619"/>
        <v>0</v>
      </c>
      <c r="BH709" s="1">
        <f t="shared" si="620"/>
        <v>0</v>
      </c>
      <c r="BI709" s="1">
        <v>1</v>
      </c>
      <c r="BJ709" s="1">
        <v>1</v>
      </c>
      <c r="BK709" s="1">
        <v>2</v>
      </c>
      <c r="BL709" s="1">
        <v>1</v>
      </c>
      <c r="BM709" s="1">
        <v>1</v>
      </c>
      <c r="BN709" s="1">
        <v>1</v>
      </c>
      <c r="BO709" s="1">
        <v>1</v>
      </c>
      <c r="BP709" s="1">
        <v>1</v>
      </c>
      <c r="BQ709" s="1">
        <f>IF(HRRVL,1,0)</f>
        <v>0</v>
      </c>
      <c r="BR709" s="1">
        <v>1</v>
      </c>
      <c r="BS709" s="1">
        <v>1</v>
      </c>
      <c r="BT709" s="1">
        <f>IF(HRXPH,1,0)</f>
        <v>0</v>
      </c>
      <c r="BU709" s="1">
        <f>IF(HRRVL,2,0)</f>
        <v>0</v>
      </c>
      <c r="BV709" s="1">
        <v>2</v>
      </c>
      <c r="BW709" s="1">
        <v>2</v>
      </c>
      <c r="BX709" s="1">
        <v>1</v>
      </c>
      <c r="BY709" s="1">
        <v>1</v>
      </c>
      <c r="BZ709" s="1">
        <v>1</v>
      </c>
      <c r="CA709" s="1">
        <v>1</v>
      </c>
      <c r="CB709" s="1">
        <v>1</v>
      </c>
      <c r="CC709" s="1">
        <v>1</v>
      </c>
      <c r="CD709" s="1">
        <v>1</v>
      </c>
      <c r="CE709" s="1">
        <v>1</v>
      </c>
      <c r="CF709" s="1">
        <v>1</v>
      </c>
      <c r="CG709" s="1">
        <f t="shared" si="621"/>
        <v>0</v>
      </c>
      <c r="CH709" s="1">
        <v>1</v>
      </c>
      <c r="CI709" s="1">
        <v>1</v>
      </c>
      <c r="CJ709" s="1">
        <v>1</v>
      </c>
      <c r="CK709" s="1">
        <v>1</v>
      </c>
      <c r="CL709" s="1">
        <v>1</v>
      </c>
      <c r="CM709" s="1">
        <v>1</v>
      </c>
      <c r="CN709" s="1">
        <v>1</v>
      </c>
      <c r="CO709" s="1">
        <v>1</v>
      </c>
      <c r="CP709" s="1">
        <v>1</v>
      </c>
      <c r="CQ709" s="1">
        <v>1</v>
      </c>
      <c r="CR709" s="1">
        <v>1</v>
      </c>
      <c r="CS709" s="1">
        <v>1</v>
      </c>
      <c r="CT709" s="1">
        <v>1</v>
      </c>
      <c r="CU709" s="1">
        <v>1</v>
      </c>
      <c r="CV709" s="1">
        <f t="shared" si="622"/>
        <v>0</v>
      </c>
      <c r="CW709" s="1">
        <v>1</v>
      </c>
      <c r="CX709" s="1">
        <v>1</v>
      </c>
      <c r="CY709" s="1">
        <v>1</v>
      </c>
      <c r="CZ709" s="1">
        <f t="shared" si="623"/>
        <v>0</v>
      </c>
      <c r="DA709" s="1">
        <v>1</v>
      </c>
      <c r="DB709" s="1">
        <v>1</v>
      </c>
      <c r="DC709" s="1">
        <v>2</v>
      </c>
      <c r="DD709" s="1">
        <v>1</v>
      </c>
      <c r="DE709" s="1">
        <v>1</v>
      </c>
      <c r="DF709" s="1">
        <v>1</v>
      </c>
      <c r="DG709" s="1">
        <v>1</v>
      </c>
      <c r="DH709" s="1">
        <v>1</v>
      </c>
      <c r="DI709" s="1">
        <f t="shared" si="624"/>
        <v>0</v>
      </c>
      <c r="DJ709" s="1">
        <v>1</v>
      </c>
      <c r="DK709" s="1" t="s">
        <v>1627</v>
      </c>
      <c r="DL709" s="1" t="s">
        <v>101</v>
      </c>
      <c r="DR709" s="1" t="b">
        <f>AND(AlignmentLawful,AlignmentGood)</f>
        <v>1</v>
      </c>
      <c r="DS709" s="1" t="b">
        <f>SkKnowledgeArcanaRanks&gt;=4</f>
        <v>0</v>
      </c>
      <c r="DT709" s="1" t="b">
        <f>SkKnowledgePlanesRanks&gt;=4</f>
        <v>0</v>
      </c>
      <c r="DU709" s="1" t="b">
        <f>SkKnowledgeReligionRanks&gt;=6</f>
        <v>0</v>
      </c>
      <c r="DV709" s="1" t="b">
        <f>SkSpellcraftRanks&gt;=6</f>
        <v>0</v>
      </c>
      <c r="DW709" s="1" t="b">
        <f>FtServantOfTheHeavens</f>
        <v>0</v>
      </c>
      <c r="DX709" s="1" t="b">
        <f>FtSacredVow</f>
        <v>0</v>
      </c>
      <c r="DY709" s="1" t="b">
        <f>FtVowAbstinence</f>
        <v>0</v>
      </c>
      <c r="DZ709" s="1" t="b">
        <f ca="1">MaxArcaneSpellLevel&gt;=4</f>
        <v>0</v>
      </c>
      <c r="EA709" s="1" t="b">
        <f ca="1">AND(DM709:DZ709)</f>
        <v>0</v>
      </c>
      <c r="EB709" s="11" t="s">
        <v>334</v>
      </c>
      <c r="EC709" s="1" t="str">
        <f ca="1">IF(DR709,"","• You must be of Lawful Good alignment.
")&amp;IF(DS709,"","• 4 ranks in Knowledge (Arcana).
")&amp;IF(DT709,"","• 4 ranks in Knowledge (the Planes).
")&amp;IF(DU709,"","• 6 ranks in Knowledge (Religion).
")&amp;IF(DV709,"","• 6 ranks in Spellcraft..
")&amp;IF(DW709,"","• Servent of the Heavens feat.
")&amp;IF(DX709,"","• Sacred Vow.
")&amp;IF(DY709,"","• Vow of Abstinence.
")&amp;IF(DZ709,"","• Be able to casat 4th-level spells..")</f>
        <v>• 4 ranks in Knowledge (Arcana).
• 4 ranks in Knowledge (the Planes).
• 6 ranks in Knowledge (Religion).
• 6 ranks in Spellcraft..
• Servent of the Heavens feat.
• Sacred Vow.
• Vow of Abstinence.
• Be able to casat 4th-level spells..</v>
      </c>
      <c r="ED709" s="11" t="s">
        <v>335</v>
      </c>
    </row>
    <row r="710" spans="1:134" ht="11.25" customHeight="1" x14ac:dyDescent="0.2">
      <c r="A710" s="1">
        <f t="shared" ref="A710:A773" si="629">A709+1</f>
        <v>707</v>
      </c>
      <c r="B710" s="1" t="s">
        <v>1633</v>
      </c>
      <c r="C710" s="1" t="s">
        <v>843</v>
      </c>
      <c r="D710" s="1" t="s">
        <v>843</v>
      </c>
      <c r="E710" s="1">
        <f t="shared" si="626"/>
        <v>0</v>
      </c>
      <c r="K710" s="1">
        <v>4</v>
      </c>
      <c r="L710" s="1">
        <v>12</v>
      </c>
      <c r="V710" s="1">
        <v>1</v>
      </c>
      <c r="W710" s="1">
        <v>0.5</v>
      </c>
      <c r="X710" s="1">
        <v>0.34</v>
      </c>
      <c r="Y710" s="1">
        <v>0.34</v>
      </c>
      <c r="Z710" s="1" t="b">
        <f>FALSE</f>
        <v>0</v>
      </c>
      <c r="AA710" s="1" t="str">
        <f t="shared" ref="AA710:AA773" si="630">IF($AC710=0,"",IF($Z710,"Ex-","")&amp;$B710)</f>
        <v/>
      </c>
      <c r="AB710" s="1" t="str">
        <f t="shared" ref="AB710:AB773" si="631">IF($AC710=0,"",IF($Z710,"Ex-","")&amp;$C710)</f>
        <v/>
      </c>
      <c r="AC710" s="1">
        <f t="shared" si="627"/>
        <v>0</v>
      </c>
      <c r="AD710" s="1" t="str">
        <f t="shared" ref="AD710:AD773" si="632">IF($AF710=0,"",IF($Z710,"Ex-","")&amp;$B710)</f>
        <v/>
      </c>
      <c r="AE710" s="1" t="str">
        <f t="shared" ref="AE710:AE773" si="633">IF($AF710=0,"",IF($Z710,"Ex-","")&amp;$C710)</f>
        <v/>
      </c>
      <c r="AF710" s="1">
        <f t="shared" si="628"/>
        <v>0</v>
      </c>
      <c r="AG710" s="1">
        <f t="shared" si="589"/>
        <v>5</v>
      </c>
      <c r="AH710" s="1" t="str">
        <f t="shared" si="588"/>
        <v/>
      </c>
      <c r="AI710" s="1">
        <v>1</v>
      </c>
      <c r="AJ710" s="1">
        <f t="shared" si="617"/>
        <v>0</v>
      </c>
      <c r="AK710" s="1">
        <v>1</v>
      </c>
      <c r="AL710" s="1">
        <v>1</v>
      </c>
      <c r="AM710" s="1">
        <v>2</v>
      </c>
      <c r="AN710" s="1">
        <f t="shared" si="618"/>
        <v>0</v>
      </c>
      <c r="AO710" s="1">
        <v>1</v>
      </c>
      <c r="AP710" s="1">
        <v>2</v>
      </c>
      <c r="AQ710" s="1">
        <v>2</v>
      </c>
      <c r="AR710" s="1">
        <v>2</v>
      </c>
      <c r="AS710" s="1">
        <v>2</v>
      </c>
      <c r="AT710" s="1">
        <v>2</v>
      </c>
      <c r="AU710" s="1">
        <v>2</v>
      </c>
      <c r="AV710" s="1">
        <v>2</v>
      </c>
      <c r="AW710" s="1">
        <v>1</v>
      </c>
      <c r="AX710" s="1">
        <v>1</v>
      </c>
      <c r="AY710" s="1">
        <v>1</v>
      </c>
      <c r="AZ710" s="1">
        <v>1</v>
      </c>
      <c r="BA710" s="1">
        <v>1</v>
      </c>
      <c r="BB710" s="1">
        <v>1</v>
      </c>
      <c r="BC710" s="1">
        <v>1</v>
      </c>
      <c r="BD710" s="1">
        <v>2</v>
      </c>
      <c r="BE710" s="1">
        <v>1</v>
      </c>
      <c r="BF710" s="1">
        <v>1</v>
      </c>
      <c r="BG710" s="1">
        <f t="shared" si="619"/>
        <v>0</v>
      </c>
      <c r="BH710" s="1">
        <f t="shared" si="620"/>
        <v>0</v>
      </c>
      <c r="BI710" s="1">
        <v>2</v>
      </c>
      <c r="BJ710" s="1">
        <v>2</v>
      </c>
      <c r="BK710" s="1">
        <v>1</v>
      </c>
      <c r="BL710" s="1">
        <v>1</v>
      </c>
      <c r="BM710" s="1">
        <v>1</v>
      </c>
      <c r="BN710" s="1">
        <v>1</v>
      </c>
      <c r="BO710" s="1">
        <v>1</v>
      </c>
      <c r="BP710" s="1">
        <v>1</v>
      </c>
      <c r="BQ710" s="1">
        <f>IF(HRRVL,1,0)</f>
        <v>0</v>
      </c>
      <c r="BR710" s="1">
        <v>1</v>
      </c>
      <c r="BS710" s="1">
        <v>1</v>
      </c>
      <c r="BT710" s="1">
        <f>IF(HRXPH,1,0)</f>
        <v>0</v>
      </c>
      <c r="BU710" s="1">
        <f>IF(HRRVL,1,0)</f>
        <v>0</v>
      </c>
      <c r="BV710" s="1">
        <v>1</v>
      </c>
      <c r="BW710" s="1">
        <v>1</v>
      </c>
      <c r="BX710" s="1">
        <v>1</v>
      </c>
      <c r="BY710" s="1">
        <v>1</v>
      </c>
      <c r="BZ710" s="1">
        <v>1</v>
      </c>
      <c r="CA710" s="1">
        <v>1</v>
      </c>
      <c r="CB710" s="1">
        <v>1</v>
      </c>
      <c r="CC710" s="1">
        <v>1</v>
      </c>
      <c r="CD710" s="1">
        <v>1</v>
      </c>
      <c r="CE710" s="1">
        <v>1</v>
      </c>
      <c r="CF710" s="1">
        <v>2</v>
      </c>
      <c r="CG710" s="1">
        <f t="shared" si="621"/>
        <v>0</v>
      </c>
      <c r="CH710" s="1">
        <v>1</v>
      </c>
      <c r="CI710" s="1">
        <v>1</v>
      </c>
      <c r="CJ710" s="1">
        <v>1</v>
      </c>
      <c r="CK710" s="1">
        <v>1</v>
      </c>
      <c r="CL710" s="1">
        <v>1</v>
      </c>
      <c r="CM710" s="1">
        <v>1</v>
      </c>
      <c r="CN710" s="1">
        <v>1</v>
      </c>
      <c r="CO710" s="1">
        <v>1</v>
      </c>
      <c r="CP710" s="1">
        <v>1</v>
      </c>
      <c r="CQ710" s="1">
        <v>1</v>
      </c>
      <c r="CR710" s="1">
        <v>1</v>
      </c>
      <c r="CS710" s="1">
        <v>1</v>
      </c>
      <c r="CT710" s="1">
        <v>1</v>
      </c>
      <c r="CU710" s="1">
        <v>1</v>
      </c>
      <c r="CV710" s="1">
        <f t="shared" si="622"/>
        <v>0</v>
      </c>
      <c r="CW710" s="1">
        <v>2</v>
      </c>
      <c r="CX710" s="1">
        <v>1</v>
      </c>
      <c r="CY710" s="1">
        <v>1</v>
      </c>
      <c r="CZ710" s="1">
        <f t="shared" si="623"/>
        <v>0</v>
      </c>
      <c r="DA710" s="1">
        <v>1</v>
      </c>
      <c r="DB710" s="1">
        <v>1</v>
      </c>
      <c r="DC710" s="1">
        <v>1</v>
      </c>
      <c r="DD710" s="1">
        <v>1</v>
      </c>
      <c r="DE710" s="1">
        <v>2</v>
      </c>
      <c r="DF710" s="1">
        <v>2</v>
      </c>
      <c r="DG710" s="1">
        <v>1</v>
      </c>
      <c r="DH710" s="1">
        <v>1</v>
      </c>
      <c r="DI710" s="1">
        <f t="shared" si="624"/>
        <v>0</v>
      </c>
      <c r="DJ710" s="1">
        <v>1</v>
      </c>
      <c r="DK710" s="1" t="s">
        <v>1627</v>
      </c>
      <c r="DL710" s="1" t="s">
        <v>101</v>
      </c>
      <c r="DR710" s="1" t="b">
        <f>AND(AlignmentChaotic,AlignmentGood)</f>
        <v>0</v>
      </c>
      <c r="DS710" s="1" t="b">
        <f>BaseAtk&gt;=6</f>
        <v>0</v>
      </c>
      <c r="DT710" s="1" t="b">
        <f>SkIntimidateRanks&gt;=9</f>
        <v>0</v>
      </c>
      <c r="DU710" s="1" t="b">
        <f>FtKnightOfStars</f>
        <v>0</v>
      </c>
      <c r="DV710" s="1" t="b">
        <f>FtRighteousWrath</f>
        <v>0</v>
      </c>
      <c r="EA710" s="1" t="b">
        <f t="shared" si="625"/>
        <v>0</v>
      </c>
      <c r="EB710" s="11" t="s">
        <v>334</v>
      </c>
      <c r="EC710" s="1" t="str">
        <f>IF(DR710,"","• Your alignment must be Chaotic Good.
")&amp;IF(DS710,"","• A base attack bonus of +6 or greater.
")&amp;IF(DT710,"","• 9 ranks in Intimidate.
")&amp;IF(DU710,"","• Knight of Stars feat.
")&amp;IF(DV710,"","• Righteous Wrath feat.")</f>
        <v>• Your alignment must be Chaotic Good.
• A base attack bonus of +6 or greater.
• 9 ranks in Intimidate.
• Knight of Stars feat.
• Righteous Wrath feat.</v>
      </c>
      <c r="ED710" s="11" t="s">
        <v>335</v>
      </c>
    </row>
    <row r="711" spans="1:134" ht="11.25" customHeight="1" x14ac:dyDescent="0.2">
      <c r="A711" s="1">
        <f t="shared" si="629"/>
        <v>708</v>
      </c>
      <c r="B711" s="1" t="s">
        <v>1634</v>
      </c>
      <c r="C711" s="1" t="s">
        <v>1635</v>
      </c>
      <c r="D711" s="1" t="s">
        <v>1635</v>
      </c>
      <c r="E711" s="1">
        <f t="shared" si="626"/>
        <v>0</v>
      </c>
      <c r="K711" s="1">
        <v>2</v>
      </c>
      <c r="L711" s="1">
        <v>12</v>
      </c>
      <c r="V711" s="1">
        <v>1</v>
      </c>
      <c r="W711" s="1">
        <v>0.5</v>
      </c>
      <c r="X711" s="1">
        <v>0.34</v>
      </c>
      <c r="Y711" s="1">
        <v>0.5</v>
      </c>
      <c r="Z711" s="1" t="b">
        <f>FALSE</f>
        <v>0</v>
      </c>
      <c r="AA711" s="1" t="str">
        <f t="shared" si="630"/>
        <v/>
      </c>
      <c r="AB711" s="1" t="str">
        <f t="shared" si="631"/>
        <v/>
      </c>
      <c r="AC711" s="1">
        <f t="shared" si="627"/>
        <v>0</v>
      </c>
      <c r="AD711" s="1" t="str">
        <f t="shared" si="632"/>
        <v/>
      </c>
      <c r="AE711" s="1" t="str">
        <f t="shared" si="633"/>
        <v/>
      </c>
      <c r="AF711" s="1">
        <f t="shared" si="628"/>
        <v>0</v>
      </c>
      <c r="AG711" s="1">
        <f t="shared" si="589"/>
        <v>5</v>
      </c>
      <c r="AH711" s="1" t="str">
        <f t="shared" si="588"/>
        <v/>
      </c>
      <c r="AI711" s="1">
        <v>1</v>
      </c>
      <c r="AJ711" s="1">
        <f t="shared" si="617"/>
        <v>0</v>
      </c>
      <c r="AK711" s="1">
        <v>1</v>
      </c>
      <c r="AL711" s="1">
        <v>1</v>
      </c>
      <c r="AM711" s="1">
        <v>1</v>
      </c>
      <c r="AN711" s="1">
        <f t="shared" si="618"/>
        <v>0</v>
      </c>
      <c r="AO711" s="1">
        <v>1</v>
      </c>
      <c r="AP711" s="1">
        <v>2</v>
      </c>
      <c r="AQ711" s="1">
        <v>2</v>
      </c>
      <c r="AR711" s="1">
        <v>2</v>
      </c>
      <c r="AS711" s="1">
        <v>2</v>
      </c>
      <c r="AT711" s="1">
        <v>2</v>
      </c>
      <c r="AU711" s="1">
        <v>2</v>
      </c>
      <c r="AV711" s="1">
        <v>2</v>
      </c>
      <c r="AW711" s="1">
        <v>1</v>
      </c>
      <c r="AX711" s="1">
        <v>1</v>
      </c>
      <c r="AY711" s="1">
        <v>1</v>
      </c>
      <c r="AZ711" s="1">
        <v>1</v>
      </c>
      <c r="BA711" s="1">
        <v>1</v>
      </c>
      <c r="BB711" s="1">
        <v>1</v>
      </c>
      <c r="BC711" s="1">
        <v>1</v>
      </c>
      <c r="BD711" s="1">
        <v>1</v>
      </c>
      <c r="BE711" s="1">
        <v>1</v>
      </c>
      <c r="BF711" s="1">
        <v>1</v>
      </c>
      <c r="BG711" s="1">
        <f t="shared" si="619"/>
        <v>0</v>
      </c>
      <c r="BH711" s="1">
        <f t="shared" si="620"/>
        <v>0</v>
      </c>
      <c r="BI711" s="1">
        <v>1</v>
      </c>
      <c r="BJ711" s="1">
        <v>1</v>
      </c>
      <c r="BK711" s="1">
        <v>1</v>
      </c>
      <c r="BL711" s="1">
        <v>1</v>
      </c>
      <c r="BM711" s="1">
        <v>1</v>
      </c>
      <c r="BN711" s="1">
        <v>1</v>
      </c>
      <c r="BO711" s="1">
        <v>1</v>
      </c>
      <c r="BP711" s="1">
        <v>1</v>
      </c>
      <c r="BQ711" s="1">
        <f>IF(HRRVL,1,0)</f>
        <v>0</v>
      </c>
      <c r="BR711" s="1">
        <v>1</v>
      </c>
      <c r="BS711" s="1">
        <v>1</v>
      </c>
      <c r="BT711" s="1">
        <f>IF(HRXPH,1,0)</f>
        <v>0</v>
      </c>
      <c r="BU711" s="1">
        <f>IF(HRRVL,1,0)</f>
        <v>0</v>
      </c>
      <c r="BV711" s="1">
        <v>1</v>
      </c>
      <c r="BW711" s="1">
        <v>1</v>
      </c>
      <c r="BX711" s="1">
        <v>1</v>
      </c>
      <c r="BY711" s="1">
        <v>1</v>
      </c>
      <c r="BZ711" s="1">
        <v>1</v>
      </c>
      <c r="CA711" s="1">
        <v>1</v>
      </c>
      <c r="CB711" s="1">
        <v>1</v>
      </c>
      <c r="CC711" s="1">
        <v>1</v>
      </c>
      <c r="CD711" s="1">
        <v>1</v>
      </c>
      <c r="CE711" s="1">
        <v>1</v>
      </c>
      <c r="CF711" s="1">
        <v>2</v>
      </c>
      <c r="CG711" s="1">
        <f t="shared" si="621"/>
        <v>0</v>
      </c>
      <c r="CH711" s="1">
        <v>1</v>
      </c>
      <c r="CI711" s="1">
        <v>1</v>
      </c>
      <c r="CJ711" s="1">
        <v>1</v>
      </c>
      <c r="CK711" s="1">
        <v>1</v>
      </c>
      <c r="CL711" s="1">
        <v>1</v>
      </c>
      <c r="CM711" s="1">
        <v>1</v>
      </c>
      <c r="CN711" s="1">
        <v>1</v>
      </c>
      <c r="CO711" s="1">
        <v>1</v>
      </c>
      <c r="CP711" s="1">
        <v>1</v>
      </c>
      <c r="CQ711" s="1">
        <v>1</v>
      </c>
      <c r="CR711" s="1">
        <v>1</v>
      </c>
      <c r="CS711" s="1">
        <v>1</v>
      </c>
      <c r="CT711" s="1">
        <v>1</v>
      </c>
      <c r="CU711" s="1">
        <v>1</v>
      </c>
      <c r="CV711" s="1">
        <f t="shared" si="622"/>
        <v>0</v>
      </c>
      <c r="CW711" s="1">
        <v>1</v>
      </c>
      <c r="CX711" s="1">
        <v>1</v>
      </c>
      <c r="CY711" s="1">
        <v>2</v>
      </c>
      <c r="CZ711" s="1">
        <f t="shared" si="623"/>
        <v>0</v>
      </c>
      <c r="DA711" s="1">
        <v>1</v>
      </c>
      <c r="DB711" s="1">
        <v>1</v>
      </c>
      <c r="DC711" s="1">
        <v>1</v>
      </c>
      <c r="DD711" s="1">
        <v>2</v>
      </c>
      <c r="DE711" s="1">
        <v>1</v>
      </c>
      <c r="DF711" s="1">
        <v>1</v>
      </c>
      <c r="DG711" s="1">
        <v>1</v>
      </c>
      <c r="DH711" s="1">
        <v>1</v>
      </c>
      <c r="DI711" s="1">
        <f t="shared" si="624"/>
        <v>0</v>
      </c>
      <c r="DJ711" s="1">
        <v>1</v>
      </c>
      <c r="DK711" s="1" t="s">
        <v>1627</v>
      </c>
      <c r="DL711" s="1" t="s">
        <v>101</v>
      </c>
      <c r="DR711" s="1" t="b">
        <f>AND(AlignmentLawful,AlignmentGood)</f>
        <v>1</v>
      </c>
      <c r="DS711" s="1" t="b">
        <f>BaseAtk&gt;=7</f>
        <v>0</v>
      </c>
      <c r="DT711" s="1" t="b">
        <f>SkListenRanks&gt;=5</f>
        <v>0</v>
      </c>
      <c r="DU711" s="1" t="b">
        <f>FtDiehard</f>
        <v>0</v>
      </c>
      <c r="DV711" s="1" t="b">
        <f>OR(FtEndurance,FtKoboldEndurance)</f>
        <v>0</v>
      </c>
      <c r="DW711" s="1" t="b">
        <f>FtServantOfTheHeavens</f>
        <v>0</v>
      </c>
      <c r="EA711" s="1" t="b">
        <f t="shared" si="625"/>
        <v>0</v>
      </c>
      <c r="EB711" s="11" t="s">
        <v>334</v>
      </c>
      <c r="EC711" s="1" t="str">
        <f>IF(DR711,"","• Your alignment must be Lawful Good.
")&amp;IF(DS711,"","• A base attack bonus of +7 or greater.
")&amp;IF(DT711,"","• 5 ranks in Listen.
")&amp;IF(DU711,"","• Diehard feat.
")&amp;IF(DV711,"","• Endurance feat.
")&amp;IF(DW711,"","• Servant of the Heavens feat.")</f>
        <v>• A base attack bonus of +7 or greater.
• 5 ranks in Listen.
• Diehard feat.
• Endurance feat.
• Servant of the Heavens feat.</v>
      </c>
      <c r="ED711" s="11" t="s">
        <v>335</v>
      </c>
    </row>
    <row r="712" spans="1:134" ht="11.25" customHeight="1" x14ac:dyDescent="0.2">
      <c r="A712" s="1">
        <f t="shared" si="629"/>
        <v>709</v>
      </c>
      <c r="B712" s="1" t="s">
        <v>1636</v>
      </c>
      <c r="C712" s="1" t="s">
        <v>1637</v>
      </c>
      <c r="D712" s="1" t="s">
        <v>1637</v>
      </c>
      <c r="E712" s="1">
        <f t="shared" si="626"/>
        <v>0</v>
      </c>
      <c r="K712" s="1">
        <v>4</v>
      </c>
      <c r="L712" s="1">
        <v>6</v>
      </c>
      <c r="V712" s="1">
        <v>0.75</v>
      </c>
      <c r="W712" s="1">
        <v>0.34</v>
      </c>
      <c r="X712" s="1">
        <v>0.34</v>
      </c>
      <c r="Y712" s="1">
        <v>0.5</v>
      </c>
      <c r="Z712" s="1" t="b">
        <f>FALSE</f>
        <v>0</v>
      </c>
      <c r="AA712" s="1" t="str">
        <f t="shared" si="630"/>
        <v/>
      </c>
      <c r="AB712" s="1" t="str">
        <f t="shared" si="631"/>
        <v/>
      </c>
      <c r="AC712" s="1">
        <f t="shared" si="627"/>
        <v>0</v>
      </c>
      <c r="AD712" s="1" t="str">
        <f t="shared" si="632"/>
        <v/>
      </c>
      <c r="AE712" s="1" t="str">
        <f t="shared" si="633"/>
        <v/>
      </c>
      <c r="AF712" s="1">
        <f t="shared" si="628"/>
        <v>0</v>
      </c>
      <c r="AG712" s="1">
        <f t="shared" si="589"/>
        <v>5</v>
      </c>
      <c r="AH712" s="1" t="str">
        <f t="shared" si="588"/>
        <v/>
      </c>
      <c r="AI712" s="1">
        <v>1</v>
      </c>
      <c r="AJ712" s="1">
        <f t="shared" si="617"/>
        <v>0</v>
      </c>
      <c r="AK712" s="1">
        <v>1</v>
      </c>
      <c r="AL712" s="1">
        <v>1</v>
      </c>
      <c r="AM712" s="1">
        <v>1</v>
      </c>
      <c r="AN712" s="1">
        <f t="shared" si="618"/>
        <v>0</v>
      </c>
      <c r="AO712" s="1">
        <v>2</v>
      </c>
      <c r="AP712" s="1">
        <v>2</v>
      </c>
      <c r="AQ712" s="1">
        <v>2</v>
      </c>
      <c r="AR712" s="1">
        <v>2</v>
      </c>
      <c r="AS712" s="1">
        <v>2</v>
      </c>
      <c r="AT712" s="1">
        <v>2</v>
      </c>
      <c r="AU712" s="1">
        <v>2</v>
      </c>
      <c r="AV712" s="1">
        <v>2</v>
      </c>
      <c r="AW712" s="1">
        <v>2</v>
      </c>
      <c r="AX712" s="1">
        <v>2</v>
      </c>
      <c r="AY712" s="1">
        <v>1</v>
      </c>
      <c r="AZ712" s="1">
        <v>1</v>
      </c>
      <c r="BA712" s="1">
        <v>1</v>
      </c>
      <c r="BB712" s="1">
        <v>1</v>
      </c>
      <c r="BC712" s="1">
        <v>2</v>
      </c>
      <c r="BD712" s="1">
        <v>1</v>
      </c>
      <c r="BE712" s="1">
        <v>1</v>
      </c>
      <c r="BF712" s="1">
        <v>1</v>
      </c>
      <c r="BG712" s="1">
        <f t="shared" si="619"/>
        <v>0</v>
      </c>
      <c r="BH712" s="1">
        <f t="shared" si="620"/>
        <v>0</v>
      </c>
      <c r="BI712" s="1">
        <v>1</v>
      </c>
      <c r="BJ712" s="1">
        <v>1</v>
      </c>
      <c r="BK712" s="1">
        <v>2</v>
      </c>
      <c r="BL712" s="1">
        <v>2</v>
      </c>
      <c r="BM712" s="1">
        <v>2</v>
      </c>
      <c r="BN712" s="1">
        <v>2</v>
      </c>
      <c r="BO712" s="1">
        <v>2</v>
      </c>
      <c r="BP712" s="1">
        <f>1+NOT(HRLivingGreyhawk)</f>
        <v>2</v>
      </c>
      <c r="BQ712" s="1">
        <f>IF(HRRVL,2,0)</f>
        <v>0</v>
      </c>
      <c r="BR712" s="1">
        <v>2</v>
      </c>
      <c r="BS712" s="1">
        <v>2</v>
      </c>
      <c r="BT712" s="1">
        <f>IF(HRXPH,2,0)</f>
        <v>0</v>
      </c>
      <c r="BU712" s="1">
        <f>IF(HRRVL,2,0)</f>
        <v>0</v>
      </c>
      <c r="BV712" s="1">
        <v>2</v>
      </c>
      <c r="BW712" s="1">
        <v>2</v>
      </c>
      <c r="BX712" s="1">
        <v>2</v>
      </c>
      <c r="BY712" s="1">
        <v>2</v>
      </c>
      <c r="BZ712" s="1">
        <v>2</v>
      </c>
      <c r="CA712" s="1">
        <v>2</v>
      </c>
      <c r="CB712" s="1">
        <v>2</v>
      </c>
      <c r="CC712" s="1">
        <v>2</v>
      </c>
      <c r="CD712" s="1">
        <v>2</v>
      </c>
      <c r="CE712" s="1">
        <v>2</v>
      </c>
      <c r="CF712" s="1">
        <v>2</v>
      </c>
      <c r="CG712" s="1">
        <f t="shared" si="621"/>
        <v>0</v>
      </c>
      <c r="CH712" s="1">
        <v>1</v>
      </c>
      <c r="CI712" s="1">
        <v>1</v>
      </c>
      <c r="CJ712" s="1">
        <v>2</v>
      </c>
      <c r="CK712" s="1">
        <v>2</v>
      </c>
      <c r="CL712" s="1">
        <v>2</v>
      </c>
      <c r="CM712" s="1">
        <v>2</v>
      </c>
      <c r="CN712" s="1">
        <v>2</v>
      </c>
      <c r="CO712" s="1">
        <v>2</v>
      </c>
      <c r="CP712" s="1">
        <v>2</v>
      </c>
      <c r="CQ712" s="1">
        <v>2</v>
      </c>
      <c r="CR712" s="1">
        <v>2</v>
      </c>
      <c r="CS712" s="1">
        <v>2</v>
      </c>
      <c r="CT712" s="1">
        <v>2</v>
      </c>
      <c r="CU712" s="1">
        <v>2</v>
      </c>
      <c r="CV712" s="1">
        <f t="shared" si="622"/>
        <v>0</v>
      </c>
      <c r="CW712" s="1">
        <v>1</v>
      </c>
      <c r="CX712" s="1">
        <v>1</v>
      </c>
      <c r="CY712" s="1">
        <v>2</v>
      </c>
      <c r="CZ712" s="1">
        <f t="shared" si="623"/>
        <v>0</v>
      </c>
      <c r="DA712" s="1">
        <v>1</v>
      </c>
      <c r="DB712" s="1">
        <v>2</v>
      </c>
      <c r="DC712" s="1">
        <v>2</v>
      </c>
      <c r="DD712" s="1">
        <v>1</v>
      </c>
      <c r="DE712" s="1">
        <v>1</v>
      </c>
      <c r="DF712" s="1">
        <v>1</v>
      </c>
      <c r="DG712" s="1">
        <v>1</v>
      </c>
      <c r="DH712" s="1">
        <v>2</v>
      </c>
      <c r="DI712" s="1">
        <f t="shared" si="624"/>
        <v>0</v>
      </c>
      <c r="DJ712" s="1">
        <v>1</v>
      </c>
      <c r="DK712" s="1" t="s">
        <v>1627</v>
      </c>
      <c r="DL712" s="1" t="s">
        <v>101</v>
      </c>
      <c r="DR712" s="1" t="b">
        <f>AND(AlignmentLawful,AlignmentGood)</f>
        <v>1</v>
      </c>
      <c r="DS712" s="1" t="b">
        <f>SkDiplomacyRanks&gt;=8</f>
        <v>0</v>
      </c>
      <c r="DT712" s="1" t="b">
        <f>SkKnowledgePlanesRanks&gt;=4</f>
        <v>0</v>
      </c>
      <c r="DU712" s="1" t="b">
        <f>FtServantOfTheHeavens</f>
        <v>0</v>
      </c>
      <c r="DV712" s="1" t="b">
        <f>FtWordsOfCreation</f>
        <v>0</v>
      </c>
      <c r="EA712" s="1" t="b">
        <f t="shared" si="625"/>
        <v>0</v>
      </c>
      <c r="EB712" s="11" t="s">
        <v>334</v>
      </c>
      <c r="EC712" s="1" t="str">
        <f>IF(DR712,"","• Your alignment must be Lawful Good.
")&amp;IF(DS712,"","• 8 ranks in Diplomacy.
")&amp;IF(DT712,"","• 4 ranks in Knowledge (the planes).
")&amp;IF(DU712,"","• Servant of the Heavens feat.
")&amp;IF(DV712,"","• Words of Creation feat.")</f>
        <v>• 8 ranks in Diplomacy.
• 4 ranks in Knowledge (the planes).
• Servant of the Heavens feat.
• Words of Creation feat.</v>
      </c>
      <c r="ED712" s="11" t="s">
        <v>335</v>
      </c>
    </row>
    <row r="713" spans="1:134" ht="11.25" customHeight="1" x14ac:dyDescent="0.2">
      <c r="A713" s="1">
        <f t="shared" si="629"/>
        <v>710</v>
      </c>
      <c r="B713" s="1" t="s">
        <v>1638</v>
      </c>
      <c r="C713" s="1" t="s">
        <v>1639</v>
      </c>
      <c r="D713" s="1" t="s">
        <v>1639</v>
      </c>
      <c r="E713" s="1">
        <f t="shared" si="626"/>
        <v>0</v>
      </c>
      <c r="G713" s="1">
        <f>(ExALvl&gt;=2)*(ExALvl-1)</f>
        <v>0</v>
      </c>
      <c r="K713" s="1">
        <v>4</v>
      </c>
      <c r="L713" s="1">
        <v>4</v>
      </c>
      <c r="V713" s="1">
        <v>0.5</v>
      </c>
      <c r="W713" s="1">
        <v>0.34</v>
      </c>
      <c r="X713" s="1">
        <v>0.34</v>
      </c>
      <c r="Y713" s="1">
        <v>0.5</v>
      </c>
      <c r="Z713" s="1" t="b">
        <f>FALSE</f>
        <v>0</v>
      </c>
      <c r="AA713" s="1" t="str">
        <f t="shared" si="630"/>
        <v/>
      </c>
      <c r="AB713" s="1" t="str">
        <f t="shared" si="631"/>
        <v/>
      </c>
      <c r="AC713" s="1">
        <f t="shared" si="627"/>
        <v>0</v>
      </c>
      <c r="AD713" s="1" t="str">
        <f t="shared" si="632"/>
        <v/>
      </c>
      <c r="AE713" s="1" t="str">
        <f t="shared" si="633"/>
        <v/>
      </c>
      <c r="AF713" s="1">
        <f t="shared" si="628"/>
        <v>0</v>
      </c>
      <c r="AG713" s="1">
        <f t="shared" si="589"/>
        <v>5</v>
      </c>
      <c r="AH713" s="1" t="str">
        <f t="shared" si="588"/>
        <v/>
      </c>
      <c r="AI713" s="1">
        <v>1</v>
      </c>
      <c r="AJ713" s="1">
        <f t="shared" si="617"/>
        <v>0</v>
      </c>
      <c r="AK713" s="1">
        <v>1</v>
      </c>
      <c r="AL713" s="1">
        <v>1</v>
      </c>
      <c r="AM713" s="1">
        <v>1</v>
      </c>
      <c r="AN713" s="1">
        <f t="shared" si="618"/>
        <v>0</v>
      </c>
      <c r="AO713" s="1">
        <v>2</v>
      </c>
      <c r="AP713" s="1">
        <v>2</v>
      </c>
      <c r="AQ713" s="1">
        <v>2</v>
      </c>
      <c r="AR713" s="1">
        <v>2</v>
      </c>
      <c r="AS713" s="1">
        <v>2</v>
      </c>
      <c r="AT713" s="1">
        <v>2</v>
      </c>
      <c r="AU713" s="1">
        <v>2</v>
      </c>
      <c r="AV713" s="1">
        <v>2</v>
      </c>
      <c r="AW713" s="1">
        <v>1</v>
      </c>
      <c r="AX713" s="1">
        <v>2</v>
      </c>
      <c r="AY713" s="1">
        <v>1</v>
      </c>
      <c r="AZ713" s="1">
        <v>1</v>
      </c>
      <c r="BA713" s="1">
        <v>1</v>
      </c>
      <c r="BB713" s="1">
        <v>1</v>
      </c>
      <c r="BC713" s="1">
        <v>1</v>
      </c>
      <c r="BD713" s="1">
        <v>1</v>
      </c>
      <c r="BE713" s="1">
        <v>1</v>
      </c>
      <c r="BF713" s="1">
        <v>1</v>
      </c>
      <c r="BG713" s="1">
        <f t="shared" si="619"/>
        <v>0</v>
      </c>
      <c r="BH713" s="1">
        <f t="shared" si="620"/>
        <v>0</v>
      </c>
      <c r="BI713" s="1">
        <v>1</v>
      </c>
      <c r="BJ713" s="1">
        <v>1</v>
      </c>
      <c r="BK713" s="1">
        <v>2</v>
      </c>
      <c r="BL713" s="1">
        <v>1</v>
      </c>
      <c r="BM713" s="1">
        <v>1</v>
      </c>
      <c r="BN713" s="1">
        <v>1</v>
      </c>
      <c r="BO713" s="1">
        <v>1</v>
      </c>
      <c r="BP713" s="1">
        <v>1</v>
      </c>
      <c r="BQ713" s="1">
        <f>IF(HRRVL,1,0)</f>
        <v>0</v>
      </c>
      <c r="BR713" s="1">
        <v>1</v>
      </c>
      <c r="BS713" s="1">
        <v>1</v>
      </c>
      <c r="BT713" s="1">
        <f t="shared" ref="BT713:BT718" si="634">IF(HRXPH,1,0)</f>
        <v>0</v>
      </c>
      <c r="BU713" s="1">
        <f>IF(HRRVL,2,0)</f>
        <v>0</v>
      </c>
      <c r="BV713" s="1">
        <v>2</v>
      </c>
      <c r="BW713" s="1">
        <v>1</v>
      </c>
      <c r="BX713" s="1">
        <v>1</v>
      </c>
      <c r="BY713" s="1">
        <v>1</v>
      </c>
      <c r="BZ713" s="1">
        <v>1</v>
      </c>
      <c r="CA713" s="1">
        <v>1</v>
      </c>
      <c r="CB713" s="1">
        <v>1</v>
      </c>
      <c r="CC713" s="1">
        <v>1</v>
      </c>
      <c r="CD713" s="1">
        <v>1</v>
      </c>
      <c r="CE713" s="1">
        <v>1</v>
      </c>
      <c r="CF713" s="1">
        <v>1</v>
      </c>
      <c r="CG713" s="1">
        <f t="shared" si="621"/>
        <v>0</v>
      </c>
      <c r="CH713" s="1">
        <v>1</v>
      </c>
      <c r="CI713" s="1">
        <v>1</v>
      </c>
      <c r="CJ713" s="1">
        <v>2</v>
      </c>
      <c r="CK713" s="1">
        <v>2</v>
      </c>
      <c r="CL713" s="1">
        <v>2</v>
      </c>
      <c r="CM713" s="1">
        <v>2</v>
      </c>
      <c r="CN713" s="1">
        <v>2</v>
      </c>
      <c r="CO713" s="1">
        <v>2</v>
      </c>
      <c r="CP713" s="1">
        <v>2</v>
      </c>
      <c r="CQ713" s="1">
        <v>2</v>
      </c>
      <c r="CR713" s="1">
        <v>2</v>
      </c>
      <c r="CS713" s="1">
        <v>2</v>
      </c>
      <c r="CT713" s="1">
        <v>2</v>
      </c>
      <c r="CU713" s="1">
        <v>2</v>
      </c>
      <c r="CV713" s="1">
        <f t="shared" si="622"/>
        <v>0</v>
      </c>
      <c r="CW713" s="1">
        <v>1</v>
      </c>
      <c r="CX713" s="1">
        <v>1</v>
      </c>
      <c r="CY713" s="1">
        <v>2</v>
      </c>
      <c r="CZ713" s="1">
        <f t="shared" si="623"/>
        <v>0</v>
      </c>
      <c r="DA713" s="1">
        <v>1</v>
      </c>
      <c r="DB713" s="1">
        <v>1</v>
      </c>
      <c r="DC713" s="1">
        <v>2</v>
      </c>
      <c r="DD713" s="1">
        <v>1</v>
      </c>
      <c r="DE713" s="1">
        <v>1</v>
      </c>
      <c r="DF713" s="1">
        <v>1</v>
      </c>
      <c r="DG713" s="1">
        <v>1</v>
      </c>
      <c r="DH713" s="1">
        <v>2</v>
      </c>
      <c r="DI713" s="1">
        <f t="shared" si="624"/>
        <v>0</v>
      </c>
      <c r="DJ713" s="1">
        <v>1</v>
      </c>
      <c r="DK713" s="1" t="s">
        <v>1627</v>
      </c>
      <c r="DL713" s="1" t="s">
        <v>101</v>
      </c>
      <c r="DR713" s="1" t="b">
        <f>AlignmentGood</f>
        <v>1</v>
      </c>
      <c r="DS713" s="1" t="b">
        <f>WillSave&gt;=5</f>
        <v>0</v>
      </c>
      <c r="DT713" s="1" t="b">
        <f>SkKnowledgeArcanaRanks&gt;=9</f>
        <v>0</v>
      </c>
      <c r="DU713" s="1" t="b">
        <f>SkKnowledgeReligionRanks&gt;=4</f>
        <v>0</v>
      </c>
      <c r="DV713" s="1" t="b">
        <f>FtConsecrateSpell</f>
        <v>0</v>
      </c>
      <c r="DW713" s="1" t="b">
        <f>FtPurifySpell</f>
        <v>0</v>
      </c>
      <c r="DX713" s="1" t="b">
        <f ca="1">MaxSpontaneousLevel&gt;=3</f>
        <v>0</v>
      </c>
      <c r="EA713" s="1" t="b">
        <f ca="1">AND(DM713:DZ713)</f>
        <v>0</v>
      </c>
      <c r="EB713" s="11" t="s">
        <v>334</v>
      </c>
      <c r="EC713" s="1" t="str">
        <f ca="1">IF(DR713,"","• You must be of any good alignment.
")&amp;IF(DS713,"","• Base Will save of at least +5.
")&amp;IF(DT713,"","• 9 ranks in Knowledge (Arcana).
")&amp;IF(DU713,"","• 4 ranks in Knowledge (Religion).
")&amp;IF(DV713,"","• Consecrate Spell feat.
")&amp;IF(DW713,"","• Purify Spell Feat.
")&amp;IF(DX713,"","• Able to spontaneously cast 3rd-level arcane spells.")</f>
        <v>• Base Will save of at least +5.
• 9 ranks in Knowledge (Arcana).
• 4 ranks in Knowledge (Religion).
• Consecrate Spell feat.
• Purify Spell Feat.
• Able to spontaneously cast 3rd-level arcane spells.</v>
      </c>
      <c r="ED713" s="11" t="s">
        <v>335</v>
      </c>
    </row>
    <row r="714" spans="1:134" ht="11.25" customHeight="1" x14ac:dyDescent="0.2">
      <c r="A714" s="1">
        <f t="shared" si="629"/>
        <v>711</v>
      </c>
      <c r="B714" s="1" t="s">
        <v>1640</v>
      </c>
      <c r="C714" s="1" t="s">
        <v>1641</v>
      </c>
      <c r="D714" s="1" t="s">
        <v>1641</v>
      </c>
      <c r="E714" s="1">
        <f t="shared" si="626"/>
        <v>0</v>
      </c>
      <c r="G714" s="1">
        <f>(FRaLvl&gt;=2)*(FRaLvl-1)</f>
        <v>0</v>
      </c>
      <c r="K714" s="1">
        <v>2</v>
      </c>
      <c r="L714" s="1">
        <v>10</v>
      </c>
      <c r="N714" s="1" t="b">
        <v>1</v>
      </c>
      <c r="O714" s="1" t="b">
        <v>1</v>
      </c>
      <c r="P714" s="1" t="b">
        <v>1</v>
      </c>
      <c r="Q714" s="1" t="b">
        <v>1</v>
      </c>
      <c r="S714" s="1" t="b">
        <v>1</v>
      </c>
      <c r="T714" s="1" t="b">
        <v>1</v>
      </c>
      <c r="V714" s="1">
        <v>1</v>
      </c>
      <c r="W714" s="1">
        <v>0.5</v>
      </c>
      <c r="X714" s="1">
        <v>0.34</v>
      </c>
      <c r="Y714" s="1">
        <v>0.34</v>
      </c>
      <c r="Z714" s="1" t="b">
        <f>FALSE</f>
        <v>0</v>
      </c>
      <c r="AA714" s="1" t="str">
        <f t="shared" si="630"/>
        <v/>
      </c>
      <c r="AB714" s="1" t="str">
        <f t="shared" si="631"/>
        <v/>
      </c>
      <c r="AC714" s="1">
        <f t="shared" si="627"/>
        <v>0</v>
      </c>
      <c r="AD714" s="1" t="str">
        <f t="shared" si="632"/>
        <v/>
      </c>
      <c r="AE714" s="1" t="str">
        <f t="shared" si="633"/>
        <v/>
      </c>
      <c r="AF714" s="1">
        <f t="shared" si="628"/>
        <v>0</v>
      </c>
      <c r="AG714" s="1">
        <f t="shared" si="589"/>
        <v>5</v>
      </c>
      <c r="AH714" s="1" t="str">
        <f t="shared" si="588"/>
        <v/>
      </c>
      <c r="AI714" s="1">
        <v>1</v>
      </c>
      <c r="AJ714" s="1">
        <f t="shared" si="617"/>
        <v>0</v>
      </c>
      <c r="AK714" s="1">
        <v>1</v>
      </c>
      <c r="AL714" s="1">
        <v>1</v>
      </c>
      <c r="AM714" s="1">
        <v>1</v>
      </c>
      <c r="AN714" s="1">
        <f t="shared" si="618"/>
        <v>0</v>
      </c>
      <c r="AO714" s="1">
        <v>2</v>
      </c>
      <c r="AP714" s="1">
        <v>2</v>
      </c>
      <c r="AQ714" s="1">
        <v>2</v>
      </c>
      <c r="AR714" s="1">
        <v>2</v>
      </c>
      <c r="AS714" s="1">
        <v>2</v>
      </c>
      <c r="AT714" s="1">
        <v>2</v>
      </c>
      <c r="AU714" s="1">
        <v>2</v>
      </c>
      <c r="AV714" s="1">
        <v>2</v>
      </c>
      <c r="AW714" s="1">
        <v>1</v>
      </c>
      <c r="AX714" s="1">
        <v>2</v>
      </c>
      <c r="AY714" s="1">
        <v>1</v>
      </c>
      <c r="AZ714" s="1">
        <v>1</v>
      </c>
      <c r="BA714" s="1">
        <v>1</v>
      </c>
      <c r="BB714" s="1">
        <v>1</v>
      </c>
      <c r="BC714" s="1">
        <v>1</v>
      </c>
      <c r="BD714" s="1">
        <v>1</v>
      </c>
      <c r="BE714" s="1">
        <v>2</v>
      </c>
      <c r="BF714" s="1">
        <v>1</v>
      </c>
      <c r="BG714" s="1">
        <f t="shared" si="619"/>
        <v>0</v>
      </c>
      <c r="BH714" s="1">
        <f t="shared" si="620"/>
        <v>0</v>
      </c>
      <c r="BI714" s="1">
        <v>1</v>
      </c>
      <c r="BJ714" s="1">
        <v>1</v>
      </c>
      <c r="BK714" s="1">
        <v>1</v>
      </c>
      <c r="BL714" s="1">
        <v>1</v>
      </c>
      <c r="BM714" s="1">
        <v>1</v>
      </c>
      <c r="BN714" s="1">
        <v>1</v>
      </c>
      <c r="BO714" s="1">
        <v>1</v>
      </c>
      <c r="BP714" s="1">
        <v>1</v>
      </c>
      <c r="BQ714" s="1">
        <f>IF(HRRVL,1,0)</f>
        <v>0</v>
      </c>
      <c r="BR714" s="1">
        <v>1</v>
      </c>
      <c r="BS714" s="1">
        <v>1</v>
      </c>
      <c r="BT714" s="1">
        <f t="shared" si="634"/>
        <v>0</v>
      </c>
      <c r="BU714" s="1">
        <f>IF(HRRVL,2,0)</f>
        <v>0</v>
      </c>
      <c r="BV714" s="1">
        <v>2</v>
      </c>
      <c r="BW714" s="1">
        <v>2</v>
      </c>
      <c r="BX714" s="1">
        <v>1</v>
      </c>
      <c r="BY714" s="1">
        <v>1</v>
      </c>
      <c r="BZ714" s="1">
        <v>1</v>
      </c>
      <c r="CA714" s="1">
        <v>1</v>
      </c>
      <c r="CB714" s="1">
        <v>1</v>
      </c>
      <c r="CC714" s="1">
        <v>1</v>
      </c>
      <c r="CD714" s="1">
        <v>1</v>
      </c>
      <c r="CE714" s="1">
        <v>1</v>
      </c>
      <c r="CF714" s="1">
        <v>1</v>
      </c>
      <c r="CG714" s="1">
        <f t="shared" si="621"/>
        <v>0</v>
      </c>
      <c r="CH714" s="1">
        <v>1</v>
      </c>
      <c r="CI714" s="1">
        <v>1</v>
      </c>
      <c r="CJ714" s="1">
        <v>1</v>
      </c>
      <c r="CK714" s="1">
        <v>1</v>
      </c>
      <c r="CL714" s="1">
        <v>1</v>
      </c>
      <c r="CM714" s="1">
        <v>1</v>
      </c>
      <c r="CN714" s="1">
        <v>1</v>
      </c>
      <c r="CO714" s="1">
        <v>1</v>
      </c>
      <c r="CP714" s="1">
        <v>2</v>
      </c>
      <c r="CQ714" s="1">
        <v>2</v>
      </c>
      <c r="CR714" s="1">
        <v>2</v>
      </c>
      <c r="CS714" s="1">
        <v>2</v>
      </c>
      <c r="CT714" s="1">
        <v>2</v>
      </c>
      <c r="CU714" s="1">
        <v>2</v>
      </c>
      <c r="CV714" s="1">
        <f t="shared" si="622"/>
        <v>0</v>
      </c>
      <c r="CW714" s="1">
        <v>1</v>
      </c>
      <c r="CX714" s="1">
        <v>1</v>
      </c>
      <c r="CY714" s="1">
        <v>2</v>
      </c>
      <c r="CZ714" s="1">
        <f t="shared" si="623"/>
        <v>0</v>
      </c>
      <c r="DA714" s="1">
        <v>1</v>
      </c>
      <c r="DB714" s="1">
        <v>1</v>
      </c>
      <c r="DC714" s="1">
        <v>1</v>
      </c>
      <c r="DD714" s="1">
        <v>1</v>
      </c>
      <c r="DE714" s="1">
        <v>1</v>
      </c>
      <c r="DF714" s="1">
        <v>1</v>
      </c>
      <c r="DG714" s="1">
        <v>1</v>
      </c>
      <c r="DH714" s="1">
        <v>1</v>
      </c>
      <c r="DI714" s="1">
        <f t="shared" si="624"/>
        <v>0</v>
      </c>
      <c r="DJ714" s="1">
        <v>1</v>
      </c>
      <c r="DK714" s="1" t="s">
        <v>1627</v>
      </c>
      <c r="DL714" s="1" t="s">
        <v>101</v>
      </c>
      <c r="DR714" s="1" t="b">
        <f>AND(AlignmentLawful,AlignmentGood)</f>
        <v>1</v>
      </c>
      <c r="DS714" s="1" t="b">
        <f>BaseAtk&gt;=6</f>
        <v>0</v>
      </c>
      <c r="DT714" s="1" t="b">
        <f>SkDiplomacyRanks&gt;=5</f>
        <v>0</v>
      </c>
      <c r="DU714" s="1" t="b">
        <f>SkKnowledgeReligionRanks&gt;=5</f>
        <v>0</v>
      </c>
      <c r="DV714" s="1" t="b">
        <f>FtPowerAttackEquiv</f>
        <v>0</v>
      </c>
      <c r="DW714" s="1" t="b">
        <f>FtServantOfTheHeavens</f>
        <v>0</v>
      </c>
      <c r="EA714" s="1" t="b">
        <f t="shared" si="625"/>
        <v>0</v>
      </c>
      <c r="EB714" s="11" t="s">
        <v>338</v>
      </c>
      <c r="EC714" s="1" t="str">
        <f>IF(DR714,"","• Your alignment must be Lawful Good.
")&amp;IF(DS714,"","• Base attack bonus of +6 or better.
")&amp;IF(DT714,"","• 5 ranks in Diplomacy.
")&amp;IF(DU714,"","• 5 ranks in Knowledge (Religion).
")&amp;IF(DV714,"","• Power Attack feat.
")&amp;IF(DW714,"","• Servant of the Heavens feat.
")&amp;IF(DX714,"","• Ability to Cast Divine Favor (not verified).")</f>
        <v>• Base attack bonus of +6 or better.
• 5 ranks in Diplomacy.
• 5 ranks in Knowledge (Religion).
• Power Attack feat.
• Servant of the Heavens feat.
• Ability to Cast Divine Favor (not verified).</v>
      </c>
      <c r="ED714" s="11" t="s">
        <v>335</v>
      </c>
    </row>
    <row r="715" spans="1:134" ht="11.25" customHeight="1" x14ac:dyDescent="0.2">
      <c r="A715" s="1">
        <f t="shared" si="629"/>
        <v>712</v>
      </c>
      <c r="B715" s="1" t="s">
        <v>1642</v>
      </c>
      <c r="C715" s="1" t="s">
        <v>620</v>
      </c>
      <c r="D715" s="1" t="s">
        <v>620</v>
      </c>
      <c r="E715" s="1">
        <f t="shared" si="626"/>
        <v>0</v>
      </c>
      <c r="K715" s="1">
        <v>4</v>
      </c>
      <c r="L715" s="1">
        <v>8</v>
      </c>
      <c r="V715" s="1">
        <v>0.75</v>
      </c>
      <c r="W715" s="1">
        <v>0.5</v>
      </c>
      <c r="X715" s="1">
        <v>0.5</v>
      </c>
      <c r="Y715" s="1">
        <v>0.5</v>
      </c>
      <c r="Z715" s="1" t="b">
        <f>FALSE</f>
        <v>0</v>
      </c>
      <c r="AA715" s="1" t="str">
        <f t="shared" si="630"/>
        <v/>
      </c>
      <c r="AB715" s="1" t="str">
        <f t="shared" si="631"/>
        <v/>
      </c>
      <c r="AC715" s="1">
        <f t="shared" si="627"/>
        <v>0</v>
      </c>
      <c r="AD715" s="1" t="str">
        <f t="shared" si="632"/>
        <v/>
      </c>
      <c r="AE715" s="1" t="str">
        <f t="shared" si="633"/>
        <v/>
      </c>
      <c r="AF715" s="1">
        <f t="shared" si="628"/>
        <v>0</v>
      </c>
      <c r="AG715" s="1">
        <f t="shared" si="589"/>
        <v>5</v>
      </c>
      <c r="AH715" s="1" t="str">
        <f t="shared" si="588"/>
        <v/>
      </c>
      <c r="AI715" s="1">
        <v>1</v>
      </c>
      <c r="AJ715" s="1">
        <f t="shared" si="617"/>
        <v>0</v>
      </c>
      <c r="AK715" s="1">
        <v>2</v>
      </c>
      <c r="AL715" s="1">
        <v>1</v>
      </c>
      <c r="AM715" s="1">
        <v>2</v>
      </c>
      <c r="AN715" s="1">
        <f t="shared" si="618"/>
        <v>0</v>
      </c>
      <c r="AO715" s="1">
        <v>2</v>
      </c>
      <c r="AP715" s="1">
        <v>2</v>
      </c>
      <c r="AQ715" s="1">
        <v>2</v>
      </c>
      <c r="AR715" s="1">
        <v>2</v>
      </c>
      <c r="AS715" s="1">
        <v>2</v>
      </c>
      <c r="AT715" s="1">
        <v>2</v>
      </c>
      <c r="AU715" s="1">
        <v>2</v>
      </c>
      <c r="AV715" s="1">
        <v>2</v>
      </c>
      <c r="AW715" s="1">
        <v>1</v>
      </c>
      <c r="AX715" s="1">
        <v>2</v>
      </c>
      <c r="AY715" s="1">
        <v>1</v>
      </c>
      <c r="AZ715" s="1">
        <v>1</v>
      </c>
      <c r="BA715" s="1">
        <v>2</v>
      </c>
      <c r="BB715" s="1">
        <v>1</v>
      </c>
      <c r="BC715" s="1">
        <v>1</v>
      </c>
      <c r="BD715" s="1">
        <v>1</v>
      </c>
      <c r="BE715" s="1">
        <v>1</v>
      </c>
      <c r="BF715" s="1">
        <v>2</v>
      </c>
      <c r="BG715" s="1">
        <f t="shared" si="619"/>
        <v>0</v>
      </c>
      <c r="BH715" s="1">
        <f t="shared" si="620"/>
        <v>0</v>
      </c>
      <c r="BI715" s="1">
        <v>1</v>
      </c>
      <c r="BJ715" s="1">
        <v>2</v>
      </c>
      <c r="BK715" s="1">
        <v>1</v>
      </c>
      <c r="BL715" s="1">
        <v>1</v>
      </c>
      <c r="BM715" s="1">
        <v>1</v>
      </c>
      <c r="BN715" s="1">
        <v>1</v>
      </c>
      <c r="BO715" s="1">
        <v>1</v>
      </c>
      <c r="BP715" s="1">
        <v>1</v>
      </c>
      <c r="BQ715" s="1">
        <f>IF(HRRVL,1,0)</f>
        <v>0</v>
      </c>
      <c r="BR715" s="1">
        <v>1</v>
      </c>
      <c r="BS715" s="1">
        <v>1</v>
      </c>
      <c r="BT715" s="1">
        <f t="shared" si="634"/>
        <v>0</v>
      </c>
      <c r="BU715" s="1">
        <f>IF(HRRVL,2,0)</f>
        <v>0</v>
      </c>
      <c r="BV715" s="1">
        <v>2</v>
      </c>
      <c r="BW715" s="1">
        <v>2</v>
      </c>
      <c r="BX715" s="1">
        <v>1</v>
      </c>
      <c r="BY715" s="1">
        <v>1</v>
      </c>
      <c r="BZ715" s="1">
        <v>1</v>
      </c>
      <c r="CA715" s="1">
        <v>1</v>
      </c>
      <c r="CB715" s="1">
        <v>1</v>
      </c>
      <c r="CC715" s="1">
        <v>1</v>
      </c>
      <c r="CD715" s="1">
        <v>1</v>
      </c>
      <c r="CE715" s="1">
        <v>1</v>
      </c>
      <c r="CF715" s="1">
        <v>2</v>
      </c>
      <c r="CG715" s="1">
        <f t="shared" si="621"/>
        <v>0</v>
      </c>
      <c r="CH715" s="1">
        <v>2</v>
      </c>
      <c r="CI715" s="1">
        <v>1</v>
      </c>
      <c r="CJ715" s="1">
        <v>2</v>
      </c>
      <c r="CK715" s="1">
        <v>2</v>
      </c>
      <c r="CL715" s="1">
        <v>2</v>
      </c>
      <c r="CM715" s="1">
        <v>2</v>
      </c>
      <c r="CN715" s="1">
        <v>2</v>
      </c>
      <c r="CO715" s="1">
        <v>2</v>
      </c>
      <c r="CP715" s="1">
        <v>2</v>
      </c>
      <c r="CQ715" s="1">
        <v>2</v>
      </c>
      <c r="CR715" s="1">
        <v>2</v>
      </c>
      <c r="CS715" s="1">
        <v>2</v>
      </c>
      <c r="CT715" s="1">
        <v>2</v>
      </c>
      <c r="CU715" s="1">
        <v>2</v>
      </c>
      <c r="CV715" s="1">
        <f t="shared" si="622"/>
        <v>0</v>
      </c>
      <c r="CW715" s="1">
        <v>1</v>
      </c>
      <c r="CX715" s="1">
        <v>1</v>
      </c>
      <c r="CY715" s="1">
        <v>2</v>
      </c>
      <c r="CZ715" s="1">
        <f t="shared" si="623"/>
        <v>0</v>
      </c>
      <c r="DA715" s="1">
        <v>1</v>
      </c>
      <c r="DB715" s="1">
        <v>1</v>
      </c>
      <c r="DC715" s="1">
        <v>1</v>
      </c>
      <c r="DD715" s="1">
        <v>2</v>
      </c>
      <c r="DE715" s="1">
        <v>1</v>
      </c>
      <c r="DF715" s="1">
        <v>2</v>
      </c>
      <c r="DG715" s="1">
        <v>2</v>
      </c>
      <c r="DH715" s="1">
        <v>1</v>
      </c>
      <c r="DI715" s="1">
        <f t="shared" si="624"/>
        <v>0</v>
      </c>
      <c r="DJ715" s="1">
        <v>1</v>
      </c>
      <c r="DK715" s="1" t="s">
        <v>1627</v>
      </c>
      <c r="DL715" s="1" t="s">
        <v>101</v>
      </c>
      <c r="DR715" s="1" t="b">
        <f>AND(AlignmentLawful,AlignmentGood)</f>
        <v>1</v>
      </c>
      <c r="DS715" s="1" t="b">
        <f>AND(WillSave&gt;=5,AND(FortSave&gt;=5,RefSave&gt;=5))</f>
        <v>0</v>
      </c>
      <c r="DT715" s="1" t="b">
        <f>SkConcentrationRanks&gt;=9</f>
        <v>0</v>
      </c>
      <c r="DU715" s="1" t="b">
        <f>FtSacredVow</f>
        <v>0</v>
      </c>
      <c r="DV715" s="1" t="b">
        <f>FtSanctifyKiStrike</f>
        <v>0</v>
      </c>
      <c r="DW715" s="1" t="b">
        <f>FtServantOfTheHeavens</f>
        <v>0</v>
      </c>
      <c r="EA715" s="1" t="b">
        <f t="shared" si="625"/>
        <v>0</v>
      </c>
      <c r="EB715" s="11" t="s">
        <v>334</v>
      </c>
      <c r="EC715" s="1" t="str">
        <f>IF(DR715,"","• Your alignment must be Lawful Good.
")&amp;IF(DS715,"","• Base Fort, Ref and Will saves of +5 or better.
")&amp;IF(DT715,"","• 9 ranks in Concentration.
")&amp;IF(DU715,"","• Sacred Vow.
")&amp;IF(DV715,"","• Sanctify Ki Strike.
")&amp;IF(DW715,"","• Servant of the Heavens feat.")</f>
        <v>• Base Fort, Ref and Will saves of +5 or better.
• 9 ranks in Concentration.
• Sacred Vow.
• Sanctify Ki Strike.
• Servant of the Heavens feat.</v>
      </c>
      <c r="ED715" s="11" t="s">
        <v>335</v>
      </c>
    </row>
    <row r="716" spans="1:134" ht="11.25" customHeight="1" x14ac:dyDescent="0.2">
      <c r="A716" s="1">
        <f t="shared" si="629"/>
        <v>713</v>
      </c>
      <c r="B716" s="1" t="s">
        <v>1643</v>
      </c>
      <c r="C716" s="1" t="s">
        <v>1644</v>
      </c>
      <c r="D716" s="1" t="s">
        <v>1645</v>
      </c>
      <c r="E716" s="1">
        <f t="shared" si="626"/>
        <v>0</v>
      </c>
      <c r="G716" s="1">
        <f>LoTLvl</f>
        <v>0</v>
      </c>
      <c r="K716" s="1">
        <v>4</v>
      </c>
      <c r="L716" s="1">
        <v>8</v>
      </c>
      <c r="V716" s="1">
        <v>0.75</v>
      </c>
      <c r="W716" s="1">
        <v>0.5</v>
      </c>
      <c r="X716" s="1">
        <v>0.34</v>
      </c>
      <c r="Y716" s="1">
        <v>0.5</v>
      </c>
      <c r="Z716" s="1" t="b">
        <f>FALSE</f>
        <v>0</v>
      </c>
      <c r="AA716" s="1" t="str">
        <f t="shared" si="630"/>
        <v/>
      </c>
      <c r="AB716" s="1" t="str">
        <f t="shared" si="631"/>
        <v/>
      </c>
      <c r="AC716" s="1">
        <f t="shared" si="627"/>
        <v>0</v>
      </c>
      <c r="AD716" s="1" t="str">
        <f t="shared" si="632"/>
        <v/>
      </c>
      <c r="AE716" s="1" t="str">
        <f t="shared" si="633"/>
        <v/>
      </c>
      <c r="AF716" s="1">
        <f t="shared" si="628"/>
        <v>0</v>
      </c>
      <c r="AG716" s="1">
        <f t="shared" si="589"/>
        <v>5</v>
      </c>
      <c r="AH716" s="1" t="str">
        <f t="shared" si="588"/>
        <v/>
      </c>
      <c r="AI716" s="1">
        <v>1</v>
      </c>
      <c r="AJ716" s="1">
        <f t="shared" si="617"/>
        <v>0</v>
      </c>
      <c r="AK716" s="1">
        <v>1</v>
      </c>
      <c r="AL716" s="1">
        <v>1</v>
      </c>
      <c r="AM716" s="1">
        <v>1</v>
      </c>
      <c r="AN716" s="1">
        <f t="shared" si="618"/>
        <v>0</v>
      </c>
      <c r="AO716" s="1">
        <v>2</v>
      </c>
      <c r="AP716" s="1">
        <v>2</v>
      </c>
      <c r="AQ716" s="1">
        <v>2</v>
      </c>
      <c r="AR716" s="1">
        <v>2</v>
      </c>
      <c r="AS716" s="1">
        <v>2</v>
      </c>
      <c r="AT716" s="1">
        <v>2</v>
      </c>
      <c r="AU716" s="1">
        <v>2</v>
      </c>
      <c r="AV716" s="1">
        <v>2</v>
      </c>
      <c r="AW716" s="1">
        <v>1</v>
      </c>
      <c r="AX716" s="1">
        <v>2</v>
      </c>
      <c r="AY716" s="1">
        <v>1</v>
      </c>
      <c r="AZ716" s="1">
        <v>1</v>
      </c>
      <c r="BA716" s="1">
        <v>1</v>
      </c>
      <c r="BB716" s="1">
        <v>1</v>
      </c>
      <c r="BC716" s="1">
        <v>1</v>
      </c>
      <c r="BD716" s="1">
        <v>2</v>
      </c>
      <c r="BE716" s="1">
        <v>2</v>
      </c>
      <c r="BF716" s="1">
        <v>1</v>
      </c>
      <c r="BG716" s="1">
        <f t="shared" si="619"/>
        <v>0</v>
      </c>
      <c r="BH716" s="1">
        <f t="shared" si="620"/>
        <v>0</v>
      </c>
      <c r="BI716" s="1">
        <v>1</v>
      </c>
      <c r="BJ716" s="1">
        <v>1</v>
      </c>
      <c r="BK716" s="1">
        <v>1</v>
      </c>
      <c r="BL716" s="1">
        <v>1</v>
      </c>
      <c r="BM716" s="1">
        <v>1</v>
      </c>
      <c r="BN716" s="1">
        <v>1</v>
      </c>
      <c r="BO716" s="1">
        <v>1</v>
      </c>
      <c r="BP716" s="1">
        <v>1</v>
      </c>
      <c r="BQ716" s="1">
        <f>IF(HRRVL,2,0)</f>
        <v>0</v>
      </c>
      <c r="BR716" s="1">
        <v>2</v>
      </c>
      <c r="BS716" s="1">
        <v>1</v>
      </c>
      <c r="BT716" s="1">
        <f t="shared" si="634"/>
        <v>0</v>
      </c>
      <c r="BU716" s="1">
        <f>IF(HRRVL,1,0)</f>
        <v>0</v>
      </c>
      <c r="BV716" s="1">
        <v>1</v>
      </c>
      <c r="BW716" s="1">
        <v>1</v>
      </c>
      <c r="BX716" s="1">
        <v>1</v>
      </c>
      <c r="BY716" s="1">
        <v>1</v>
      </c>
      <c r="BZ716" s="1">
        <v>1</v>
      </c>
      <c r="CA716" s="1">
        <v>1</v>
      </c>
      <c r="CB716" s="1">
        <v>1</v>
      </c>
      <c r="CC716" s="1">
        <v>1</v>
      </c>
      <c r="CD716" s="1">
        <v>1</v>
      </c>
      <c r="CE716" s="1">
        <v>1</v>
      </c>
      <c r="CF716" s="1">
        <v>2</v>
      </c>
      <c r="CG716" s="1">
        <f t="shared" si="621"/>
        <v>0</v>
      </c>
      <c r="CH716" s="1">
        <v>1</v>
      </c>
      <c r="CI716" s="1">
        <v>1</v>
      </c>
      <c r="CJ716" s="1">
        <v>1</v>
      </c>
      <c r="CK716" s="1">
        <v>1</v>
      </c>
      <c r="CL716" s="1">
        <v>1</v>
      </c>
      <c r="CM716" s="1">
        <v>1</v>
      </c>
      <c r="CN716" s="1">
        <v>1</v>
      </c>
      <c r="CO716" s="1">
        <v>1</v>
      </c>
      <c r="CP716" s="1">
        <v>1</v>
      </c>
      <c r="CQ716" s="1">
        <v>1</v>
      </c>
      <c r="CR716" s="1">
        <v>1</v>
      </c>
      <c r="CS716" s="1">
        <v>1</v>
      </c>
      <c r="CT716" s="1">
        <v>1</v>
      </c>
      <c r="CU716" s="1">
        <v>1</v>
      </c>
      <c r="CV716" s="1">
        <f t="shared" si="622"/>
        <v>0</v>
      </c>
      <c r="CW716" s="1">
        <v>2</v>
      </c>
      <c r="CX716" s="1">
        <v>1</v>
      </c>
      <c r="CY716" s="1">
        <v>1</v>
      </c>
      <c r="CZ716" s="1">
        <f t="shared" si="623"/>
        <v>0</v>
      </c>
      <c r="DA716" s="1">
        <v>1</v>
      </c>
      <c r="DB716" s="1">
        <v>1</v>
      </c>
      <c r="DC716" s="1">
        <v>2</v>
      </c>
      <c r="DD716" s="1">
        <v>2</v>
      </c>
      <c r="DE716" s="1">
        <v>2</v>
      </c>
      <c r="DF716" s="1">
        <v>2</v>
      </c>
      <c r="DG716" s="1">
        <v>1</v>
      </c>
      <c r="DH716" s="1">
        <v>1</v>
      </c>
      <c r="DI716" s="1">
        <f t="shared" si="624"/>
        <v>0</v>
      </c>
      <c r="DJ716" s="1">
        <v>1</v>
      </c>
      <c r="DK716" s="1" t="s">
        <v>1627</v>
      </c>
      <c r="DL716" s="1" t="s">
        <v>101</v>
      </c>
      <c r="DR716" s="1" t="b">
        <f>AND(AlignmentNeutral,AlignmentGood)</f>
        <v>0</v>
      </c>
      <c r="DS716" s="1" t="b">
        <f>BaseAtk&gt;=4</f>
        <v>0</v>
      </c>
      <c r="DT716" s="1" t="b">
        <f>SkKnowledgeNatureRanks&gt;=9</f>
        <v>0</v>
      </c>
      <c r="DU716" s="1" t="b">
        <f>SkSurvivalRanks&gt;=9</f>
        <v>0</v>
      </c>
      <c r="DV716" s="1" t="b">
        <f>FtFavoredCompanions</f>
        <v>0</v>
      </c>
      <c r="EA716" s="1" t="b">
        <f t="shared" si="625"/>
        <v>0</v>
      </c>
      <c r="EB716" s="11" t="s">
        <v>338</v>
      </c>
      <c r="EC716" s="1" t="str">
        <f>IF(DR716,"","• Your alignment must be Neutral Good.
")&amp;IF(DS716,"","• Base Attack Bonus of +4 or better.
")&amp;IF(DT716,"","• 9 ranks in Knowledge (Nature).
")&amp;IF(DU716,"","• 9 ranks in Survival.
")&amp;IF(DV716,"","• Favored of the Companions feat.
")&amp;IF(DW716,"","• Able to cast Summon Nature's Ally II (not verified).
")&amp;IF(DX716,"","• Must have an animal companion as a class feature (not verified).")</f>
        <v>• Your alignment must be Neutral Good.
• Base Attack Bonus of +4 or better.
• 9 ranks in Knowledge (Nature).
• 9 ranks in Survival.
• Favored of the Companions feat.
• Able to cast Summon Nature's Ally II (not verified).
• Must have an animal companion as a class feature (not verified).</v>
      </c>
      <c r="ED716" s="11" t="s">
        <v>335</v>
      </c>
    </row>
    <row r="717" spans="1:134" ht="11.25" customHeight="1" x14ac:dyDescent="0.2">
      <c r="A717" s="1">
        <f t="shared" si="629"/>
        <v>714</v>
      </c>
      <c r="B717" s="1" t="s">
        <v>1646</v>
      </c>
      <c r="C717" s="1" t="s">
        <v>1647</v>
      </c>
      <c r="D717" s="1" t="s">
        <v>1647</v>
      </c>
      <c r="E717" s="1">
        <f t="shared" si="626"/>
        <v>0</v>
      </c>
      <c r="G717" s="1">
        <f>(PoELvl&gt;=2)*(PoELvl-1)</f>
        <v>0</v>
      </c>
      <c r="K717" s="1">
        <v>2</v>
      </c>
      <c r="L717" s="1">
        <v>6</v>
      </c>
      <c r="V717" s="1">
        <v>0.5</v>
      </c>
      <c r="W717" s="1">
        <v>0.5</v>
      </c>
      <c r="X717" s="1">
        <v>0.5</v>
      </c>
      <c r="Y717" s="1">
        <v>0.5</v>
      </c>
      <c r="Z717" s="1" t="b">
        <f>FALSE</f>
        <v>0</v>
      </c>
      <c r="AA717" s="1" t="str">
        <f t="shared" si="630"/>
        <v/>
      </c>
      <c r="AB717" s="1" t="str">
        <f t="shared" si="631"/>
        <v/>
      </c>
      <c r="AC717" s="1">
        <f t="shared" si="627"/>
        <v>0</v>
      </c>
      <c r="AD717" s="1" t="str">
        <f t="shared" si="632"/>
        <v/>
      </c>
      <c r="AE717" s="1" t="str">
        <f t="shared" si="633"/>
        <v/>
      </c>
      <c r="AF717" s="1">
        <f t="shared" si="628"/>
        <v>0</v>
      </c>
      <c r="AG717" s="1">
        <f t="shared" si="589"/>
        <v>5</v>
      </c>
      <c r="AH717" s="1" t="str">
        <f t="shared" si="588"/>
        <v/>
      </c>
      <c r="AI717" s="1">
        <v>1</v>
      </c>
      <c r="AJ717" s="1">
        <f t="shared" si="617"/>
        <v>0</v>
      </c>
      <c r="AK717" s="1">
        <v>1</v>
      </c>
      <c r="AL717" s="1">
        <v>1</v>
      </c>
      <c r="AM717" s="1">
        <v>1</v>
      </c>
      <c r="AN717" s="1">
        <f t="shared" si="618"/>
        <v>0</v>
      </c>
      <c r="AO717" s="1">
        <v>2</v>
      </c>
      <c r="AP717" s="1">
        <v>2</v>
      </c>
      <c r="AQ717" s="1">
        <v>2</v>
      </c>
      <c r="AR717" s="1">
        <v>2</v>
      </c>
      <c r="AS717" s="1">
        <v>2</v>
      </c>
      <c r="AT717" s="1">
        <v>2</v>
      </c>
      <c r="AU717" s="1">
        <v>2</v>
      </c>
      <c r="AV717" s="1">
        <v>2</v>
      </c>
      <c r="AW717" s="1">
        <v>1</v>
      </c>
      <c r="AX717" s="1">
        <v>1</v>
      </c>
      <c r="AY717" s="1">
        <v>1</v>
      </c>
      <c r="AZ717" s="1">
        <v>1</v>
      </c>
      <c r="BA717" s="1">
        <v>1</v>
      </c>
      <c r="BB717" s="1">
        <v>1</v>
      </c>
      <c r="BC717" s="1">
        <v>1</v>
      </c>
      <c r="BD717" s="1">
        <v>1</v>
      </c>
      <c r="BE717" s="1">
        <v>2</v>
      </c>
      <c r="BF717" s="1">
        <v>1</v>
      </c>
      <c r="BG717" s="1">
        <f t="shared" si="619"/>
        <v>0</v>
      </c>
      <c r="BH717" s="1">
        <f t="shared" si="620"/>
        <v>0</v>
      </c>
      <c r="BI717" s="1">
        <v>2</v>
      </c>
      <c r="BJ717" s="1">
        <v>1</v>
      </c>
      <c r="BK717" s="1">
        <v>2</v>
      </c>
      <c r="BL717" s="1">
        <v>1</v>
      </c>
      <c r="BM717" s="1">
        <v>1</v>
      </c>
      <c r="BN717" s="1">
        <v>1</v>
      </c>
      <c r="BO717" s="1">
        <v>1</v>
      </c>
      <c r="BP717" s="1">
        <v>1</v>
      </c>
      <c r="BQ717" s="1">
        <f>IF(HRRVL,1,0)</f>
        <v>0</v>
      </c>
      <c r="BR717" s="1">
        <v>1</v>
      </c>
      <c r="BS717" s="1">
        <v>1</v>
      </c>
      <c r="BT717" s="1">
        <f t="shared" si="634"/>
        <v>0</v>
      </c>
      <c r="BU717" s="1">
        <f>IF(HRRVL,2,0)</f>
        <v>0</v>
      </c>
      <c r="BV717" s="1">
        <v>2</v>
      </c>
      <c r="BW717" s="1">
        <v>2</v>
      </c>
      <c r="BX717" s="1">
        <v>1</v>
      </c>
      <c r="BY717" s="1">
        <v>1</v>
      </c>
      <c r="BZ717" s="1">
        <v>1</v>
      </c>
      <c r="CA717" s="1">
        <v>1</v>
      </c>
      <c r="CB717" s="1">
        <v>1</v>
      </c>
      <c r="CC717" s="1">
        <v>1</v>
      </c>
      <c r="CD717" s="1">
        <v>1</v>
      </c>
      <c r="CE717" s="1">
        <v>1</v>
      </c>
      <c r="CF717" s="1">
        <v>1</v>
      </c>
      <c r="CG717" s="1">
        <f t="shared" si="621"/>
        <v>0</v>
      </c>
      <c r="CH717" s="1">
        <v>1</v>
      </c>
      <c r="CI717" s="1">
        <v>1</v>
      </c>
      <c r="CJ717" s="1">
        <v>1</v>
      </c>
      <c r="CK717" s="1">
        <v>1</v>
      </c>
      <c r="CL717" s="1">
        <v>1</v>
      </c>
      <c r="CM717" s="1">
        <v>1</v>
      </c>
      <c r="CN717" s="1">
        <v>1</v>
      </c>
      <c r="CO717" s="1">
        <v>1</v>
      </c>
      <c r="CP717" s="1">
        <v>2</v>
      </c>
      <c r="CQ717" s="1">
        <v>2</v>
      </c>
      <c r="CR717" s="1">
        <v>2</v>
      </c>
      <c r="CS717" s="1">
        <v>2</v>
      </c>
      <c r="CT717" s="1">
        <v>2</v>
      </c>
      <c r="CU717" s="1">
        <v>2</v>
      </c>
      <c r="CV717" s="1">
        <f t="shared" si="622"/>
        <v>0</v>
      </c>
      <c r="CW717" s="1">
        <v>1</v>
      </c>
      <c r="CX717" s="1">
        <v>1</v>
      </c>
      <c r="CY717" s="1">
        <v>1</v>
      </c>
      <c r="CZ717" s="1">
        <f t="shared" si="623"/>
        <v>0</v>
      </c>
      <c r="DA717" s="1">
        <v>1</v>
      </c>
      <c r="DB717" s="1">
        <v>1</v>
      </c>
      <c r="DC717" s="1">
        <v>2</v>
      </c>
      <c r="DD717" s="1">
        <v>1</v>
      </c>
      <c r="DE717" s="1">
        <v>1</v>
      </c>
      <c r="DF717" s="1">
        <v>1</v>
      </c>
      <c r="DG717" s="1">
        <v>1</v>
      </c>
      <c r="DH717" s="1">
        <v>1</v>
      </c>
      <c r="DI717" s="1">
        <f t="shared" si="624"/>
        <v>0</v>
      </c>
      <c r="DJ717" s="1">
        <v>1</v>
      </c>
      <c r="DK717" s="1" t="s">
        <v>1627</v>
      </c>
      <c r="DL717" s="1" t="s">
        <v>101</v>
      </c>
      <c r="DR717" s="1" t="b">
        <f>AND(AlignmentLawful,AlignmentGood)</f>
        <v>1</v>
      </c>
      <c r="DS717" s="1" t="b">
        <f>SkKnowledgeArcanaRanks&gt;=5</f>
        <v>0</v>
      </c>
      <c r="DT717" s="1" t="b">
        <f>SkSpellcraftRanks&gt;=10</f>
        <v>0</v>
      </c>
      <c r="DU717" s="1" t="b">
        <f>FtSacredVow</f>
        <v>0</v>
      </c>
      <c r="DV717" s="1" t="b">
        <f>FtServantOfTheHeavens</f>
        <v>0</v>
      </c>
      <c r="DW717" s="1" t="b">
        <f>NOT(ISNA(MATCH("Divination",TblSpellFocus,0)))</f>
        <v>0</v>
      </c>
      <c r="DX717" s="1" t="b">
        <f>FtVowChastity</f>
        <v>0</v>
      </c>
      <c r="DY717" s="1" t="b">
        <f ca="1">OR(MaxArcaneSpellLevel&gt;=4,MaxDivineSpellLevel&gt;=4)</f>
        <v>0</v>
      </c>
      <c r="EA717" s="1" t="b">
        <f ca="1">AND(DM717:DZ717)</f>
        <v>0</v>
      </c>
      <c r="EB717" s="11" t="s">
        <v>334</v>
      </c>
      <c r="EC717" s="1" t="str">
        <f ca="1">IF(DR717,"","• Your alignment must be Lawful Good.
")&amp;IF(DS717,"","• 5 ranks in Knowledge (Arcana).
")&amp;IF(DT717,"","• 10 ranks in Spellcraft.
")&amp;IF(DU717,"","• Sacred Vow feat.
")&amp;IF(DV717,"","• Servant of the Heavens feat.
")&amp;IF(DW717,"","• Spell Focus (Divination) feat.
")&amp;IF(DX717,"","• Vow of Chastity feat.
")&amp;IF(DY717,"","• Ability to cast 4th level arcane or divine spells.")</f>
        <v>• 5 ranks in Knowledge (Arcana).
• 10 ranks in Spellcraft.
• Sacred Vow feat.
• Servant of the Heavens feat.
• Spell Focus (Divination) feat.
• Vow of Chastity feat.
• Ability to cast 4th level arcane or divine spells.</v>
      </c>
      <c r="ED717" s="11" t="s">
        <v>335</v>
      </c>
    </row>
    <row r="718" spans="1:134" ht="11.25" customHeight="1" x14ac:dyDescent="0.2">
      <c r="A718" s="1">
        <f t="shared" si="629"/>
        <v>715</v>
      </c>
      <c r="B718" s="1" t="s">
        <v>1648</v>
      </c>
      <c r="C718" s="1" t="s">
        <v>350</v>
      </c>
      <c r="D718" s="1" t="s">
        <v>350</v>
      </c>
      <c r="E718" s="1">
        <f t="shared" si="626"/>
        <v>0</v>
      </c>
      <c r="K718" s="1">
        <v>2</v>
      </c>
      <c r="L718" s="1">
        <v>12</v>
      </c>
      <c r="V718" s="1">
        <v>0.5</v>
      </c>
      <c r="W718" s="1">
        <v>0.34</v>
      </c>
      <c r="X718" s="1">
        <v>0.34</v>
      </c>
      <c r="Y718" s="1">
        <v>0.5</v>
      </c>
      <c r="Z718" s="1" t="b">
        <f>FALSE</f>
        <v>0</v>
      </c>
      <c r="AA718" s="1" t="str">
        <f t="shared" si="630"/>
        <v/>
      </c>
      <c r="AB718" s="1" t="str">
        <f t="shared" si="631"/>
        <v/>
      </c>
      <c r="AC718" s="1">
        <f t="shared" si="627"/>
        <v>0</v>
      </c>
      <c r="AD718" s="1" t="str">
        <f t="shared" si="632"/>
        <v/>
      </c>
      <c r="AE718" s="1" t="str">
        <f t="shared" si="633"/>
        <v/>
      </c>
      <c r="AF718" s="1">
        <f t="shared" si="628"/>
        <v>0</v>
      </c>
      <c r="AG718" s="1">
        <f t="shared" si="589"/>
        <v>5</v>
      </c>
      <c r="AH718" s="1" t="str">
        <f t="shared" si="588"/>
        <v/>
      </c>
      <c r="AI718" s="1">
        <v>1</v>
      </c>
      <c r="AJ718" s="1">
        <f t="shared" si="617"/>
        <v>0</v>
      </c>
      <c r="AK718" s="1">
        <v>1</v>
      </c>
      <c r="AL718" s="1">
        <v>1</v>
      </c>
      <c r="AM718" s="1">
        <v>1</v>
      </c>
      <c r="AN718" s="1">
        <f t="shared" si="618"/>
        <v>0</v>
      </c>
      <c r="AO718" s="1">
        <v>2</v>
      </c>
      <c r="AP718" s="1">
        <v>1</v>
      </c>
      <c r="AQ718" s="1">
        <v>1</v>
      </c>
      <c r="AR718" s="1">
        <v>1</v>
      </c>
      <c r="AS718" s="1">
        <v>1</v>
      </c>
      <c r="AT718" s="1">
        <v>1</v>
      </c>
      <c r="AU718" s="1">
        <v>1</v>
      </c>
      <c r="AV718" s="1">
        <v>1</v>
      </c>
      <c r="AW718" s="1">
        <v>1</v>
      </c>
      <c r="AX718" s="1">
        <v>2</v>
      </c>
      <c r="AY718" s="1">
        <v>1</v>
      </c>
      <c r="AZ718" s="1">
        <v>1</v>
      </c>
      <c r="BA718" s="1">
        <v>1</v>
      </c>
      <c r="BB718" s="1">
        <v>1</v>
      </c>
      <c r="BC718" s="1">
        <v>2</v>
      </c>
      <c r="BD718" s="1">
        <v>1</v>
      </c>
      <c r="BE718" s="1">
        <v>2</v>
      </c>
      <c r="BF718" s="1">
        <v>1</v>
      </c>
      <c r="BG718" s="1">
        <f t="shared" si="619"/>
        <v>0</v>
      </c>
      <c r="BH718" s="1">
        <f t="shared" si="620"/>
        <v>0</v>
      </c>
      <c r="BI718" s="1">
        <v>1</v>
      </c>
      <c r="BJ718" s="1">
        <v>1</v>
      </c>
      <c r="BK718" s="1">
        <v>1</v>
      </c>
      <c r="BL718" s="1">
        <v>1</v>
      </c>
      <c r="BM718" s="1">
        <v>1</v>
      </c>
      <c r="BN718" s="1">
        <v>1</v>
      </c>
      <c r="BO718" s="1">
        <v>1</v>
      </c>
      <c r="BP718" s="1">
        <v>1</v>
      </c>
      <c r="BQ718" s="1">
        <f>IF(HRRVL,1,0)</f>
        <v>0</v>
      </c>
      <c r="BR718" s="1">
        <v>1</v>
      </c>
      <c r="BS718" s="1">
        <v>1</v>
      </c>
      <c r="BT718" s="1">
        <f t="shared" si="634"/>
        <v>0</v>
      </c>
      <c r="BU718" s="1">
        <f>IF(HRRVL,2,0)</f>
        <v>0</v>
      </c>
      <c r="BV718" s="1">
        <v>2</v>
      </c>
      <c r="BW718" s="1">
        <v>2</v>
      </c>
      <c r="BX718" s="1">
        <v>1</v>
      </c>
      <c r="BY718" s="1">
        <v>1</v>
      </c>
      <c r="BZ718" s="1">
        <v>1</v>
      </c>
      <c r="CA718" s="1">
        <v>1</v>
      </c>
      <c r="CB718" s="1">
        <v>1</v>
      </c>
      <c r="CC718" s="1">
        <v>1</v>
      </c>
      <c r="CD718" s="1">
        <v>1</v>
      </c>
      <c r="CE718" s="1">
        <v>1</v>
      </c>
      <c r="CF718" s="1">
        <v>2</v>
      </c>
      <c r="CG718" s="1">
        <f t="shared" si="621"/>
        <v>0</v>
      </c>
      <c r="CH718" s="1">
        <v>1</v>
      </c>
      <c r="CI718" s="1">
        <v>1</v>
      </c>
      <c r="CJ718" s="1">
        <v>1</v>
      </c>
      <c r="CK718" s="1">
        <v>1</v>
      </c>
      <c r="CL718" s="1">
        <v>1</v>
      </c>
      <c r="CM718" s="1">
        <v>1</v>
      </c>
      <c r="CN718" s="1">
        <v>1</v>
      </c>
      <c r="CO718" s="1">
        <v>1</v>
      </c>
      <c r="CP718" s="1">
        <v>1</v>
      </c>
      <c r="CQ718" s="1">
        <v>1</v>
      </c>
      <c r="CR718" s="1">
        <v>1</v>
      </c>
      <c r="CS718" s="1">
        <v>1</v>
      </c>
      <c r="CT718" s="1">
        <v>1</v>
      </c>
      <c r="CU718" s="1">
        <v>1</v>
      </c>
      <c r="CV718" s="1">
        <f t="shared" si="622"/>
        <v>0</v>
      </c>
      <c r="CW718" s="1">
        <v>1</v>
      </c>
      <c r="CX718" s="1">
        <v>1</v>
      </c>
      <c r="CY718" s="1">
        <v>2</v>
      </c>
      <c r="CZ718" s="1">
        <f t="shared" si="623"/>
        <v>0</v>
      </c>
      <c r="DA718" s="1">
        <v>1</v>
      </c>
      <c r="DB718" s="1">
        <v>1</v>
      </c>
      <c r="DC718" s="1">
        <v>1</v>
      </c>
      <c r="DD718" s="1">
        <v>2</v>
      </c>
      <c r="DE718" s="1">
        <v>1</v>
      </c>
      <c r="DF718" s="1">
        <v>1</v>
      </c>
      <c r="DG718" s="1">
        <v>1</v>
      </c>
      <c r="DH718" s="1">
        <v>1</v>
      </c>
      <c r="DI718" s="1">
        <f t="shared" si="624"/>
        <v>0</v>
      </c>
      <c r="DJ718" s="1">
        <v>1</v>
      </c>
      <c r="DK718" s="1" t="s">
        <v>1627</v>
      </c>
      <c r="DL718" s="1" t="s">
        <v>101</v>
      </c>
      <c r="DR718" s="1" t="b">
        <f>AlignmentGood</f>
        <v>1</v>
      </c>
      <c r="DS718" s="1" t="b">
        <f>AND(WillSave&gt;=2,AND(FortSave&gt;=2,RefSave&gt;=2))</f>
        <v>0</v>
      </c>
      <c r="DT718" s="1" t="b">
        <f>(MAX([1]Skills!F6:F85) &gt;= 9)</f>
        <v>0</v>
      </c>
      <c r="DU718" s="1" t="b">
        <f>NOT(ISNA(MATCH("Celestial",TblLangKnown,0)))</f>
        <v>0</v>
      </c>
      <c r="DV718" s="1" t="b">
        <f>FtNimbusOfLight</f>
        <v>0</v>
      </c>
      <c r="EA718" s="1" t="b">
        <f t="shared" si="625"/>
        <v>0</v>
      </c>
      <c r="EB718" s="11" t="s">
        <v>338</v>
      </c>
      <c r="EC718" s="1" t="str">
        <f>IF(DR718,"","• You must be of Any Good Alignment.
")&amp;IF(DS718,"","• Base Fort, Ref and Will saves of +2 or better.
")&amp;IF(DT718,"","• 9 ranks in Any one Skill.
")&amp;IF(DU718,"","• Speak Celestial.
")&amp;IF(DV718,"","• Nimbus of Light feat.
")&amp;IF(DW718,"","• Any one other exalted feat (not verified).")</f>
        <v>• Base Fort, Ref and Will saves of +2 or better.
• 9 ranks in Any one Skill.
• Speak Celestial.
• Nimbus of Light feat.
• Any one other exalted feat (not verified).</v>
      </c>
      <c r="ED718" s="11" t="s">
        <v>335</v>
      </c>
    </row>
    <row r="719" spans="1:134" ht="11.25" customHeight="1" x14ac:dyDescent="0.2">
      <c r="A719" s="1">
        <f t="shared" si="629"/>
        <v>716</v>
      </c>
      <c r="B719" s="1" t="s">
        <v>1649</v>
      </c>
      <c r="C719" s="1" t="s">
        <v>1650</v>
      </c>
      <c r="D719" s="1" t="s">
        <v>1650</v>
      </c>
      <c r="E719" s="1">
        <f t="shared" si="626"/>
        <v>0</v>
      </c>
      <c r="G719" s="1">
        <f>SoBLvl</f>
        <v>0</v>
      </c>
      <c r="K719" s="1">
        <v>4</v>
      </c>
      <c r="L719" s="1">
        <v>4</v>
      </c>
      <c r="V719" s="1">
        <v>0.5</v>
      </c>
      <c r="W719" s="1">
        <v>0.34</v>
      </c>
      <c r="X719" s="1">
        <v>0.34</v>
      </c>
      <c r="Y719" s="1">
        <v>0.5</v>
      </c>
      <c r="Z719" s="1" t="b">
        <f>FALSE</f>
        <v>0</v>
      </c>
      <c r="AA719" s="1" t="str">
        <f t="shared" si="630"/>
        <v/>
      </c>
      <c r="AB719" s="1" t="str">
        <f t="shared" si="631"/>
        <v/>
      </c>
      <c r="AC719" s="1">
        <f t="shared" si="627"/>
        <v>0</v>
      </c>
      <c r="AD719" s="1" t="str">
        <f t="shared" si="632"/>
        <v/>
      </c>
      <c r="AE719" s="1" t="str">
        <f t="shared" si="633"/>
        <v/>
      </c>
      <c r="AF719" s="1">
        <f t="shared" si="628"/>
        <v>0</v>
      </c>
      <c r="AG719" s="1">
        <f t="shared" si="589"/>
        <v>5</v>
      </c>
      <c r="AH719" s="1" t="str">
        <f t="shared" si="588"/>
        <v/>
      </c>
      <c r="AI719" s="1">
        <v>1</v>
      </c>
      <c r="AJ719" s="1">
        <f t="shared" si="617"/>
        <v>0</v>
      </c>
      <c r="AK719" s="1">
        <v>1</v>
      </c>
      <c r="AL719" s="1">
        <v>1</v>
      </c>
      <c r="AM719" s="1">
        <v>1</v>
      </c>
      <c r="AN719" s="1">
        <f t="shared" si="618"/>
        <v>0</v>
      </c>
      <c r="AO719" s="1">
        <v>2</v>
      </c>
      <c r="AP719" s="1">
        <v>1</v>
      </c>
      <c r="AQ719" s="1">
        <v>1</v>
      </c>
      <c r="AR719" s="1">
        <v>1</v>
      </c>
      <c r="AS719" s="1">
        <v>1</v>
      </c>
      <c r="AT719" s="1">
        <v>1</v>
      </c>
      <c r="AU719" s="1">
        <v>1</v>
      </c>
      <c r="AV719" s="1">
        <v>1</v>
      </c>
      <c r="AW719" s="1">
        <v>2</v>
      </c>
      <c r="AX719" s="1">
        <v>1</v>
      </c>
      <c r="AY719" s="1">
        <v>1</v>
      </c>
      <c r="AZ719" s="1">
        <v>1</v>
      </c>
      <c r="BA719" s="1">
        <v>1</v>
      </c>
      <c r="BB719" s="1">
        <v>1</v>
      </c>
      <c r="BC719" s="1">
        <v>2</v>
      </c>
      <c r="BD719" s="1">
        <v>2</v>
      </c>
      <c r="BE719" s="1">
        <v>2</v>
      </c>
      <c r="BF719" s="1">
        <v>1</v>
      </c>
      <c r="BG719" s="1">
        <f t="shared" si="619"/>
        <v>0</v>
      </c>
      <c r="BH719" s="1">
        <f t="shared" si="620"/>
        <v>0</v>
      </c>
      <c r="BI719" s="1">
        <v>1</v>
      </c>
      <c r="BJ719" s="1">
        <v>1</v>
      </c>
      <c r="BK719" s="1">
        <v>2</v>
      </c>
      <c r="BL719" s="1">
        <v>2</v>
      </c>
      <c r="BM719" s="1">
        <v>2</v>
      </c>
      <c r="BN719" s="1">
        <v>2</v>
      </c>
      <c r="BO719" s="1">
        <v>2</v>
      </c>
      <c r="BP719" s="1">
        <f>1+NOT(HRLivingGreyhawk)</f>
        <v>2</v>
      </c>
      <c r="BQ719" s="1">
        <f>IF(HRRVL,2,0)</f>
        <v>0</v>
      </c>
      <c r="BR719" s="1">
        <v>2</v>
      </c>
      <c r="BS719" s="1">
        <v>2</v>
      </c>
      <c r="BT719" s="1">
        <f>IF(HRXPH,2,0)</f>
        <v>0</v>
      </c>
      <c r="BU719" s="1">
        <f>IF(HRRVL,2,0)</f>
        <v>0</v>
      </c>
      <c r="BV719" s="1">
        <v>2</v>
      </c>
      <c r="BW719" s="1">
        <v>2</v>
      </c>
      <c r="BX719" s="1">
        <v>2</v>
      </c>
      <c r="BY719" s="1">
        <v>2</v>
      </c>
      <c r="BZ719" s="1">
        <v>2</v>
      </c>
      <c r="CA719" s="1">
        <v>2</v>
      </c>
      <c r="CB719" s="1">
        <v>2</v>
      </c>
      <c r="CC719" s="1">
        <v>2</v>
      </c>
      <c r="CD719" s="1">
        <v>2</v>
      </c>
      <c r="CE719" s="1">
        <v>2</v>
      </c>
      <c r="CF719" s="1">
        <v>1</v>
      </c>
      <c r="CG719" s="1">
        <f t="shared" si="621"/>
        <v>0</v>
      </c>
      <c r="CH719" s="1">
        <v>1</v>
      </c>
      <c r="CI719" s="1">
        <v>1</v>
      </c>
      <c r="CJ719" s="1">
        <v>1</v>
      </c>
      <c r="CK719" s="1">
        <v>1</v>
      </c>
      <c r="CL719" s="1">
        <v>1</v>
      </c>
      <c r="CM719" s="1">
        <v>1</v>
      </c>
      <c r="CN719" s="1">
        <v>1</v>
      </c>
      <c r="CO719" s="1">
        <v>1</v>
      </c>
      <c r="CP719" s="1">
        <v>2</v>
      </c>
      <c r="CQ719" s="1">
        <v>2</v>
      </c>
      <c r="CR719" s="1">
        <v>2</v>
      </c>
      <c r="CS719" s="1">
        <v>2</v>
      </c>
      <c r="CT719" s="1">
        <v>2</v>
      </c>
      <c r="CU719" s="1">
        <v>2</v>
      </c>
      <c r="CV719" s="1">
        <f t="shared" si="622"/>
        <v>0</v>
      </c>
      <c r="CW719" s="1">
        <v>1</v>
      </c>
      <c r="CX719" s="1">
        <v>1</v>
      </c>
      <c r="CY719" s="1">
        <v>1</v>
      </c>
      <c r="CZ719" s="1">
        <f t="shared" si="623"/>
        <v>0</v>
      </c>
      <c r="DA719" s="1">
        <v>1</v>
      </c>
      <c r="DB719" s="1">
        <v>2</v>
      </c>
      <c r="DC719" s="1">
        <v>2</v>
      </c>
      <c r="DD719" s="1">
        <v>1</v>
      </c>
      <c r="DE719" s="1">
        <v>2</v>
      </c>
      <c r="DF719" s="1">
        <v>1</v>
      </c>
      <c r="DG719" s="1">
        <v>1</v>
      </c>
      <c r="DH719" s="1">
        <v>2</v>
      </c>
      <c r="DI719" s="1">
        <f t="shared" si="624"/>
        <v>0</v>
      </c>
      <c r="DJ719" s="1">
        <v>1</v>
      </c>
      <c r="DK719" s="1" t="s">
        <v>1627</v>
      </c>
      <c r="DL719" s="1" t="s">
        <v>101</v>
      </c>
      <c r="DR719" s="1" t="b">
        <f>AlignmentGood</f>
        <v>1</v>
      </c>
      <c r="DS719" s="1" t="b">
        <f>SkKnowledgeArcanaRanks&gt;=8</f>
        <v>0</v>
      </c>
      <c r="DT719" s="1" t="b">
        <f>SkKnowledgeNatureRanks&gt;=8</f>
        <v>0</v>
      </c>
      <c r="DU719" s="1" t="b">
        <f>SkSpellcraftRanks&gt;=8</f>
        <v>0</v>
      </c>
      <c r="DV719" s="1" t="b">
        <f>FtSacredVow</f>
        <v>0</v>
      </c>
      <c r="DW719" s="1" t="b">
        <f>FtVowObedience</f>
        <v>0</v>
      </c>
      <c r="EA719" s="1" t="b">
        <f t="shared" si="625"/>
        <v>0</v>
      </c>
      <c r="EB719" s="11" t="s">
        <v>334</v>
      </c>
      <c r="EC719" s="1" t="str">
        <f>IF(DR719,"","• You must be of Any Good Alignment.
")&amp;IF(DS719,"","• 8 ranks in Knowledge (Arcana).
")&amp;IF(DT719,"","• 8 ranks in Knowledge (Nature).
")&amp;IF(DU719,"","• 8 ranks in Spellcraft.
")&amp;IF(DV719,"","• Sacred Vow feat.
")&amp;IF(DW719,"","• Vow of Obedience feat.")</f>
        <v>• 8 ranks in Knowledge (Arcana).
• 8 ranks in Knowledge (Nature).
• 8 ranks in Spellcraft.
• Sacred Vow feat.
• Vow of Obedience feat.</v>
      </c>
      <c r="ED719" s="11" t="s">
        <v>335</v>
      </c>
    </row>
    <row r="720" spans="1:134" ht="11.25" customHeight="1" x14ac:dyDescent="0.2">
      <c r="A720" s="1">
        <f t="shared" si="629"/>
        <v>717</v>
      </c>
      <c r="B720" s="1" t="s">
        <v>1651</v>
      </c>
      <c r="C720" s="1" t="s">
        <v>1652</v>
      </c>
      <c r="D720" s="1" t="s">
        <v>1652</v>
      </c>
      <c r="E720" s="1">
        <f t="shared" si="626"/>
        <v>0</v>
      </c>
      <c r="G720" s="1">
        <f>INT(SkyLvl/2)</f>
        <v>0</v>
      </c>
      <c r="K720" s="1">
        <v>2</v>
      </c>
      <c r="L720" s="1">
        <v>10</v>
      </c>
      <c r="N720" s="1" t="b">
        <v>1</v>
      </c>
      <c r="O720" s="1" t="b">
        <v>1</v>
      </c>
      <c r="P720" s="1" t="b">
        <v>1</v>
      </c>
      <c r="Q720" s="1" t="b">
        <v>1</v>
      </c>
      <c r="R720" s="1" t="b">
        <v>1</v>
      </c>
      <c r="S720" s="1" t="b">
        <v>1</v>
      </c>
      <c r="T720" s="1" t="b">
        <v>1</v>
      </c>
      <c r="V720" s="1">
        <v>1</v>
      </c>
      <c r="W720" s="1">
        <v>0.5</v>
      </c>
      <c r="X720" s="1">
        <v>0.5</v>
      </c>
      <c r="Y720" s="1">
        <v>0.34</v>
      </c>
      <c r="Z720" s="1" t="b">
        <f>FALSE</f>
        <v>0</v>
      </c>
      <c r="AA720" s="1" t="str">
        <f t="shared" si="630"/>
        <v/>
      </c>
      <c r="AB720" s="1" t="str">
        <f t="shared" si="631"/>
        <v/>
      </c>
      <c r="AC720" s="1">
        <f t="shared" si="627"/>
        <v>0</v>
      </c>
      <c r="AD720" s="1" t="str">
        <f t="shared" si="632"/>
        <v/>
      </c>
      <c r="AE720" s="1" t="str">
        <f t="shared" si="633"/>
        <v/>
      </c>
      <c r="AF720" s="1">
        <f t="shared" si="628"/>
        <v>0</v>
      </c>
      <c r="AG720" s="1">
        <f t="shared" si="589"/>
        <v>5</v>
      </c>
      <c r="AH720" s="1" t="str">
        <f t="shared" si="588"/>
        <v/>
      </c>
      <c r="AI720" s="1">
        <v>1</v>
      </c>
      <c r="AJ720" s="1">
        <f t="shared" si="617"/>
        <v>0</v>
      </c>
      <c r="AK720" s="1">
        <v>2</v>
      </c>
      <c r="AL720" s="1">
        <v>1</v>
      </c>
      <c r="AM720" s="1">
        <v>1</v>
      </c>
      <c r="AN720" s="1">
        <f t="shared" si="618"/>
        <v>0</v>
      </c>
      <c r="AO720" s="1">
        <v>1</v>
      </c>
      <c r="AP720" s="1">
        <v>1</v>
      </c>
      <c r="AQ720" s="1">
        <v>1</v>
      </c>
      <c r="AR720" s="1">
        <v>1</v>
      </c>
      <c r="AS720" s="1">
        <v>1</v>
      </c>
      <c r="AT720" s="1">
        <v>1</v>
      </c>
      <c r="AU720" s="1">
        <v>1</v>
      </c>
      <c r="AV720" s="1">
        <v>1</v>
      </c>
      <c r="AW720" s="1">
        <v>1</v>
      </c>
      <c r="AX720" s="1">
        <v>1</v>
      </c>
      <c r="AY720" s="1">
        <v>1</v>
      </c>
      <c r="AZ720" s="1">
        <v>1</v>
      </c>
      <c r="BA720" s="1">
        <v>1</v>
      </c>
      <c r="BB720" s="1">
        <v>1</v>
      </c>
      <c r="BC720" s="1">
        <v>1</v>
      </c>
      <c r="BD720" s="1">
        <v>2</v>
      </c>
      <c r="BE720" s="1">
        <v>2</v>
      </c>
      <c r="BF720" s="1">
        <v>1</v>
      </c>
      <c r="BG720" s="1">
        <f t="shared" si="619"/>
        <v>0</v>
      </c>
      <c r="BH720" s="1">
        <f t="shared" si="620"/>
        <v>0</v>
      </c>
      <c r="BI720" s="1">
        <v>1</v>
      </c>
      <c r="BJ720" s="1">
        <v>1</v>
      </c>
      <c r="BK720" s="1">
        <v>2</v>
      </c>
      <c r="BL720" s="1">
        <v>2</v>
      </c>
      <c r="BM720" s="1">
        <v>2</v>
      </c>
      <c r="BN720" s="1">
        <v>2</v>
      </c>
      <c r="BO720" s="1">
        <v>2</v>
      </c>
      <c r="BP720" s="1">
        <f>1+NOT(HRLivingGreyhawk)</f>
        <v>2</v>
      </c>
      <c r="BQ720" s="1">
        <f>IF(HRRVL,2,0)</f>
        <v>0</v>
      </c>
      <c r="BR720" s="1">
        <v>2</v>
      </c>
      <c r="BS720" s="1">
        <v>2</v>
      </c>
      <c r="BT720" s="1">
        <f>IF(HRXPH,2,0)</f>
        <v>0</v>
      </c>
      <c r="BU720" s="1">
        <f>IF(HRRVL,2,0)</f>
        <v>0</v>
      </c>
      <c r="BV720" s="1">
        <v>2</v>
      </c>
      <c r="BW720" s="1">
        <v>2</v>
      </c>
      <c r="BX720" s="1">
        <v>2</v>
      </c>
      <c r="BY720" s="1">
        <v>2</v>
      </c>
      <c r="BZ720" s="1">
        <v>2</v>
      </c>
      <c r="CA720" s="1">
        <v>2</v>
      </c>
      <c r="CB720" s="1">
        <v>2</v>
      </c>
      <c r="CC720" s="1">
        <v>2</v>
      </c>
      <c r="CD720" s="1">
        <v>2</v>
      </c>
      <c r="CE720" s="1">
        <v>2</v>
      </c>
      <c r="CF720" s="1">
        <v>2</v>
      </c>
      <c r="CG720" s="1">
        <f t="shared" si="621"/>
        <v>0</v>
      </c>
      <c r="CH720" s="1">
        <v>1</v>
      </c>
      <c r="CI720" s="1">
        <v>1</v>
      </c>
      <c r="CJ720" s="1">
        <v>1</v>
      </c>
      <c r="CK720" s="1">
        <v>1</v>
      </c>
      <c r="CL720" s="1">
        <v>1</v>
      </c>
      <c r="CM720" s="1">
        <v>1</v>
      </c>
      <c r="CN720" s="1">
        <v>1</v>
      </c>
      <c r="CO720" s="1">
        <v>1</v>
      </c>
      <c r="CP720" s="1">
        <v>1</v>
      </c>
      <c r="CQ720" s="1">
        <v>1</v>
      </c>
      <c r="CR720" s="1">
        <v>1</v>
      </c>
      <c r="CS720" s="1">
        <v>1</v>
      </c>
      <c r="CT720" s="1">
        <v>1</v>
      </c>
      <c r="CU720" s="1">
        <v>1</v>
      </c>
      <c r="CV720" s="1">
        <f t="shared" si="622"/>
        <v>0</v>
      </c>
      <c r="CW720" s="1">
        <v>2</v>
      </c>
      <c r="CX720" s="1">
        <v>1</v>
      </c>
      <c r="CY720" s="1">
        <v>1</v>
      </c>
      <c r="CZ720" s="1">
        <f t="shared" si="623"/>
        <v>0</v>
      </c>
      <c r="DA720" s="1">
        <v>1</v>
      </c>
      <c r="DB720" s="1">
        <v>1</v>
      </c>
      <c r="DC720" s="1">
        <v>1</v>
      </c>
      <c r="DD720" s="1">
        <v>2</v>
      </c>
      <c r="DE720" s="1">
        <v>2</v>
      </c>
      <c r="DF720" s="1">
        <v>1</v>
      </c>
      <c r="DG720" s="1">
        <v>1</v>
      </c>
      <c r="DH720" s="1">
        <v>1</v>
      </c>
      <c r="DI720" s="1">
        <f t="shared" si="624"/>
        <v>0</v>
      </c>
      <c r="DJ720" s="1">
        <v>1</v>
      </c>
      <c r="DK720" s="1" t="s">
        <v>1627</v>
      </c>
      <c r="DL720" s="1" t="s">
        <v>101</v>
      </c>
      <c r="DR720" s="1" t="b">
        <f>AlignmentGood</f>
        <v>1</v>
      </c>
      <c r="DS720" s="1" t="b">
        <f>OR(RaceCi="Elf",RaceCi="Half-Elf")</f>
        <v>0</v>
      </c>
      <c r="DT720" s="1" t="b">
        <f>BaseAtk&gt;=7</f>
        <v>0</v>
      </c>
      <c r="DU720" s="1" t="b">
        <f>SkHandleAnimalRanks&gt;=10</f>
        <v>0</v>
      </c>
      <c r="DV720" s="1" t="b">
        <f>SkRideRanks&gt;=10</f>
        <v>0</v>
      </c>
      <c r="DW720" s="1" t="b">
        <f>FtMountedCombat</f>
        <v>0</v>
      </c>
      <c r="DX720" s="1" t="b">
        <f>OR(FtMountedArchery,FtRideByAttack)</f>
        <v>0</v>
      </c>
      <c r="EA720" s="1" t="b">
        <f t="shared" si="625"/>
        <v>0</v>
      </c>
      <c r="EB720" s="11" t="s">
        <v>338</v>
      </c>
      <c r="EC720" s="1" t="str">
        <f>IF(DR720,"","• You must be of Any Good Alignment.
")&amp;IF(DS720,"","• Race Elf, or Half-Elf.
")&amp;IF(DT720,"","• Base attack bonus of +7 or greater.
")&amp;IF(DU720,"","• 10 ranks in Handle Animal.
")&amp;IF(DV720,"","• 10 ranks in Ride.
")&amp;IF(DW720,"","• Mounted Combat feat.
")&amp;IF(DX720,"","• Mounted Archery or Ride By Attack feat.
")&amp;IF(DY720,"","• Any one exalted feat (not verified).")</f>
        <v>• Race Elf, or Half-Elf.
• Base attack bonus of +7 or greater.
• 10 ranks in Handle Animal.
• 10 ranks in Ride.
• Mounted Combat feat.
• Mounted Archery or Ride By Attack feat.
• Any one exalted feat (not verified).</v>
      </c>
      <c r="ED720" s="11" t="s">
        <v>335</v>
      </c>
    </row>
    <row r="721" spans="1:134" ht="11.25" customHeight="1" x14ac:dyDescent="0.2">
      <c r="A721" s="1">
        <f t="shared" si="629"/>
        <v>718</v>
      </c>
      <c r="B721" s="1" t="s">
        <v>1653</v>
      </c>
      <c r="C721" s="1" t="s">
        <v>1654</v>
      </c>
      <c r="D721" s="1" t="s">
        <v>1655</v>
      </c>
      <c r="E721" s="1">
        <f t="shared" si="626"/>
        <v>0</v>
      </c>
      <c r="K721" s="1">
        <v>4</v>
      </c>
      <c r="L721" s="1">
        <v>6</v>
      </c>
      <c r="V721" s="1">
        <v>0.75</v>
      </c>
      <c r="W721" s="1">
        <v>0.34</v>
      </c>
      <c r="X721" s="1">
        <v>0.5</v>
      </c>
      <c r="Y721" s="1">
        <v>0.34</v>
      </c>
      <c r="Z721" s="1" t="b">
        <f>FALSE</f>
        <v>0</v>
      </c>
      <c r="AA721" s="1" t="str">
        <f t="shared" si="630"/>
        <v/>
      </c>
      <c r="AB721" s="1" t="str">
        <f t="shared" si="631"/>
        <v/>
      </c>
      <c r="AC721" s="1">
        <f t="shared" si="627"/>
        <v>0</v>
      </c>
      <c r="AD721" s="1" t="str">
        <f t="shared" si="632"/>
        <v/>
      </c>
      <c r="AE721" s="1" t="str">
        <f t="shared" si="633"/>
        <v/>
      </c>
      <c r="AF721" s="1">
        <f t="shared" si="628"/>
        <v>0</v>
      </c>
      <c r="AG721" s="1">
        <f t="shared" si="589"/>
        <v>5</v>
      </c>
      <c r="AH721" s="1" t="str">
        <f t="shared" si="588"/>
        <v/>
      </c>
      <c r="AI721" s="1">
        <v>1</v>
      </c>
      <c r="AJ721" s="1">
        <f t="shared" si="617"/>
        <v>0</v>
      </c>
      <c r="AK721" s="1">
        <v>2</v>
      </c>
      <c r="AL721" s="1">
        <v>2</v>
      </c>
      <c r="AM721" s="1">
        <v>2</v>
      </c>
      <c r="AN721" s="1">
        <f t="shared" si="618"/>
        <v>0</v>
      </c>
      <c r="AO721" s="1">
        <v>1</v>
      </c>
      <c r="AP721" s="1">
        <v>2</v>
      </c>
      <c r="AQ721" s="1">
        <v>2</v>
      </c>
      <c r="AR721" s="1">
        <v>2</v>
      </c>
      <c r="AS721" s="1">
        <v>2</v>
      </c>
      <c r="AT721" s="1">
        <v>2</v>
      </c>
      <c r="AU721" s="1">
        <v>2</v>
      </c>
      <c r="AV721" s="1">
        <v>2</v>
      </c>
      <c r="AW721" s="1">
        <v>1</v>
      </c>
      <c r="AX721" s="1">
        <v>2</v>
      </c>
      <c r="AY721" s="1">
        <v>1</v>
      </c>
      <c r="AZ721" s="1">
        <v>2</v>
      </c>
      <c r="BA721" s="1">
        <v>1</v>
      </c>
      <c r="BB721" s="1">
        <v>1</v>
      </c>
      <c r="BC721" s="1">
        <v>2</v>
      </c>
      <c r="BD721" s="1">
        <v>1</v>
      </c>
      <c r="BE721" s="1">
        <v>1</v>
      </c>
      <c r="BF721" s="1">
        <v>2</v>
      </c>
      <c r="BG721" s="1">
        <f t="shared" si="619"/>
        <v>0</v>
      </c>
      <c r="BH721" s="1">
        <f t="shared" si="620"/>
        <v>0</v>
      </c>
      <c r="BI721" s="1">
        <v>2</v>
      </c>
      <c r="BJ721" s="1">
        <v>2</v>
      </c>
      <c r="BK721" s="1">
        <v>1</v>
      </c>
      <c r="BL721" s="1">
        <v>1</v>
      </c>
      <c r="BM721" s="1">
        <v>1</v>
      </c>
      <c r="BN721" s="1">
        <v>1</v>
      </c>
      <c r="BO721" s="1">
        <v>1</v>
      </c>
      <c r="BP721" s="1">
        <v>1</v>
      </c>
      <c r="BQ721" s="1">
        <f>IF(HRRVL,1,0)</f>
        <v>0</v>
      </c>
      <c r="BR721" s="1">
        <v>1</v>
      </c>
      <c r="BS721" s="1">
        <v>1</v>
      </c>
      <c r="BT721" s="1">
        <f>IF(HRXPH,1,0)</f>
        <v>0</v>
      </c>
      <c r="BU721" s="1">
        <f>IF(HRRVL,1,0)</f>
        <v>0</v>
      </c>
      <c r="BV721" s="1">
        <v>1</v>
      </c>
      <c r="BW721" s="1">
        <v>1</v>
      </c>
      <c r="BX721" s="1">
        <v>1</v>
      </c>
      <c r="BY721" s="1">
        <v>1</v>
      </c>
      <c r="BZ721" s="1">
        <v>1</v>
      </c>
      <c r="CA721" s="1">
        <v>1</v>
      </c>
      <c r="CB721" s="1">
        <v>1</v>
      </c>
      <c r="CC721" s="1">
        <v>1</v>
      </c>
      <c r="CD721" s="1">
        <v>1</v>
      </c>
      <c r="CE721" s="1">
        <v>1</v>
      </c>
      <c r="CF721" s="1">
        <v>2</v>
      </c>
      <c r="CG721" s="1">
        <f t="shared" si="621"/>
        <v>0</v>
      </c>
      <c r="CH721" s="1">
        <v>2</v>
      </c>
      <c r="CI721" s="1">
        <v>2</v>
      </c>
      <c r="CJ721" s="1">
        <v>1</v>
      </c>
      <c r="CK721" s="1">
        <v>1</v>
      </c>
      <c r="CL721" s="1">
        <v>1</v>
      </c>
      <c r="CM721" s="1">
        <v>1</v>
      </c>
      <c r="CN721" s="1">
        <v>1</v>
      </c>
      <c r="CO721" s="1">
        <v>1</v>
      </c>
      <c r="CP721" s="1">
        <v>1</v>
      </c>
      <c r="CQ721" s="1">
        <v>1</v>
      </c>
      <c r="CR721" s="1">
        <v>1</v>
      </c>
      <c r="CS721" s="1">
        <v>1</v>
      </c>
      <c r="CT721" s="1">
        <v>1</v>
      </c>
      <c r="CU721" s="1">
        <v>1</v>
      </c>
      <c r="CV721" s="1">
        <f t="shared" si="622"/>
        <v>0</v>
      </c>
      <c r="CW721" s="1">
        <v>1</v>
      </c>
      <c r="CX721" s="1">
        <v>2</v>
      </c>
      <c r="CY721" s="1">
        <v>2</v>
      </c>
      <c r="CZ721" s="1">
        <f t="shared" si="623"/>
        <v>0</v>
      </c>
      <c r="DA721" s="1">
        <v>1</v>
      </c>
      <c r="DB721" s="1">
        <v>1</v>
      </c>
      <c r="DC721" s="1">
        <v>1</v>
      </c>
      <c r="DD721" s="1">
        <v>2</v>
      </c>
      <c r="DE721" s="1">
        <v>1</v>
      </c>
      <c r="DF721" s="1">
        <v>1</v>
      </c>
      <c r="DG721" s="1">
        <v>2</v>
      </c>
      <c r="DH721" s="1">
        <v>2</v>
      </c>
      <c r="DI721" s="1">
        <f t="shared" si="624"/>
        <v>0</v>
      </c>
      <c r="DJ721" s="1">
        <v>2</v>
      </c>
      <c r="DK721" s="1" t="s">
        <v>1627</v>
      </c>
      <c r="DL721" s="1" t="s">
        <v>101</v>
      </c>
      <c r="DR721" s="1" t="b">
        <f>AND(AlignmentLawful,AlignmentGood)</f>
        <v>1</v>
      </c>
      <c r="DS721" s="1" t="b">
        <f>SkHideRanks&gt;=8</f>
        <v>0</v>
      </c>
      <c r="DT721" s="1" t="b">
        <f>SkMoveSilentlyRanks&gt;=8</f>
        <v>0</v>
      </c>
      <c r="DU721" s="1" t="b">
        <f>FtSanctifyMartialStrike</f>
        <v>0</v>
      </c>
      <c r="DV721" s="1" t="b">
        <f>FtServantOfTheHeavens</f>
        <v>0</v>
      </c>
      <c r="DW721" s="1" t="b">
        <f>(SneakAttack+SuddenStrike+PsionicSneakAttack)&gt;=3</f>
        <v>0</v>
      </c>
      <c r="DX721" s="1" t="b">
        <f>hasEvasion</f>
        <v>0</v>
      </c>
      <c r="EA721" s="1" t="b">
        <f t="shared" si="625"/>
        <v>0</v>
      </c>
      <c r="EB721" s="11" t="s">
        <v>334</v>
      </c>
      <c r="EC721" s="1" t="str">
        <f>IF(DR721,"","• You must be of Lawful Good Alignment.
")&amp;IF(DS721,"","• 8 ranks in Hide.
")&amp;IF(DT721,"","• 8 ranks in Move Silently.
")&amp;IF(DU721,"","• Sanctify Martial Strike feat.
")&amp;IF(DV721,"","• Servant of the Heavens feat.
")&amp;IF(DW721,"","• Sneak attack +3d6.
")&amp;IF(DX721,"","• Evasion class ability.")</f>
        <v>• 8 ranks in Hide.
• 8 ranks in Move Silently.
• Sanctify Martial Strike feat.
• Servant of the Heavens feat.
• Sneak attack +3d6.
• Evasion class ability.</v>
      </c>
      <c r="ED721" s="11" t="s">
        <v>335</v>
      </c>
    </row>
    <row r="722" spans="1:134" ht="11.25" customHeight="1" x14ac:dyDescent="0.2">
      <c r="A722" s="1">
        <f t="shared" si="629"/>
        <v>719</v>
      </c>
      <c r="B722" s="1" t="s">
        <v>1656</v>
      </c>
      <c r="C722" s="1" t="s">
        <v>1657</v>
      </c>
      <c r="D722" s="1" t="s">
        <v>1657</v>
      </c>
      <c r="E722" s="1">
        <f t="shared" si="626"/>
        <v>0</v>
      </c>
      <c r="G722" s="1">
        <f>SoKLvl</f>
        <v>0</v>
      </c>
      <c r="K722" s="1">
        <v>6</v>
      </c>
      <c r="L722" s="1">
        <v>8</v>
      </c>
      <c r="T722" s="1" t="b">
        <v>1</v>
      </c>
      <c r="V722" s="1">
        <v>1</v>
      </c>
      <c r="W722" s="1">
        <v>0.34</v>
      </c>
      <c r="X722" s="1">
        <v>0.5</v>
      </c>
      <c r="Y722" s="1">
        <v>0.34</v>
      </c>
      <c r="Z722" s="1" t="b">
        <f>FALSE</f>
        <v>0</v>
      </c>
      <c r="AA722" s="1" t="str">
        <f t="shared" si="630"/>
        <v/>
      </c>
      <c r="AB722" s="1" t="str">
        <f t="shared" si="631"/>
        <v/>
      </c>
      <c r="AC722" s="1">
        <f t="shared" si="627"/>
        <v>0</v>
      </c>
      <c r="AD722" s="1" t="str">
        <f t="shared" si="632"/>
        <v/>
      </c>
      <c r="AE722" s="1" t="str">
        <f t="shared" si="633"/>
        <v/>
      </c>
      <c r="AF722" s="1">
        <f t="shared" si="628"/>
        <v>0</v>
      </c>
      <c r="AG722" s="1">
        <f t="shared" si="589"/>
        <v>5</v>
      </c>
      <c r="AH722" s="1" t="str">
        <f t="shared" si="588"/>
        <v/>
      </c>
      <c r="AI722" s="1">
        <v>1</v>
      </c>
      <c r="AJ722" s="1">
        <f t="shared" si="617"/>
        <v>0</v>
      </c>
      <c r="AK722" s="1">
        <v>1</v>
      </c>
      <c r="AL722" s="1">
        <v>1</v>
      </c>
      <c r="AM722" s="1">
        <v>2</v>
      </c>
      <c r="AN722" s="1">
        <f t="shared" si="618"/>
        <v>0</v>
      </c>
      <c r="AO722" s="1">
        <v>2</v>
      </c>
      <c r="AP722" s="1">
        <v>1</v>
      </c>
      <c r="AQ722" s="1">
        <v>1</v>
      </c>
      <c r="AR722" s="1">
        <v>1</v>
      </c>
      <c r="AS722" s="1">
        <v>1</v>
      </c>
      <c r="AT722" s="1">
        <v>1</v>
      </c>
      <c r="AU722" s="1">
        <v>1</v>
      </c>
      <c r="AV722" s="1">
        <v>1</v>
      </c>
      <c r="AW722" s="1">
        <v>1</v>
      </c>
      <c r="AX722" s="1">
        <v>1</v>
      </c>
      <c r="AY722" s="1">
        <v>1</v>
      </c>
      <c r="AZ722" s="1">
        <v>1</v>
      </c>
      <c r="BA722" s="1">
        <v>1</v>
      </c>
      <c r="BB722" s="1">
        <v>1</v>
      </c>
      <c r="BC722" s="1">
        <v>1</v>
      </c>
      <c r="BD722" s="1">
        <v>2</v>
      </c>
      <c r="BE722" s="1">
        <v>2</v>
      </c>
      <c r="BF722" s="1">
        <v>2</v>
      </c>
      <c r="BG722" s="1">
        <f t="shared" si="619"/>
        <v>0</v>
      </c>
      <c r="BH722" s="1">
        <f t="shared" si="620"/>
        <v>0</v>
      </c>
      <c r="BI722" s="1">
        <v>1</v>
      </c>
      <c r="BJ722" s="1">
        <v>2</v>
      </c>
      <c r="BK722" s="1">
        <v>1</v>
      </c>
      <c r="BL722" s="1">
        <v>1</v>
      </c>
      <c r="BM722" s="1">
        <v>1</v>
      </c>
      <c r="BN722" s="1">
        <v>2</v>
      </c>
      <c r="BO722" s="1">
        <v>1</v>
      </c>
      <c r="BP722" s="1">
        <v>1</v>
      </c>
      <c r="BQ722" s="1">
        <f>IF(HRRVL,2,0)</f>
        <v>0</v>
      </c>
      <c r="BR722" s="1">
        <v>2</v>
      </c>
      <c r="BS722" s="1">
        <v>1</v>
      </c>
      <c r="BT722" s="1">
        <f>IF(HRXPH,1,0)</f>
        <v>0</v>
      </c>
      <c r="BU722" s="1">
        <f>IF(HRRVL,1,0)</f>
        <v>0</v>
      </c>
      <c r="BV722" s="1">
        <v>1</v>
      </c>
      <c r="BW722" s="1">
        <v>1</v>
      </c>
      <c r="BX722" s="1">
        <v>1</v>
      </c>
      <c r="BY722" s="1">
        <v>1</v>
      </c>
      <c r="BZ722" s="1">
        <v>1</v>
      </c>
      <c r="CA722" s="1">
        <v>1</v>
      </c>
      <c r="CB722" s="1">
        <v>1</v>
      </c>
      <c r="CC722" s="1">
        <v>1</v>
      </c>
      <c r="CD722" s="1">
        <v>1</v>
      </c>
      <c r="CE722" s="1">
        <v>1</v>
      </c>
      <c r="CF722" s="1">
        <v>2</v>
      </c>
      <c r="CG722" s="1">
        <f t="shared" si="621"/>
        <v>0</v>
      </c>
      <c r="CH722" s="1">
        <v>2</v>
      </c>
      <c r="CI722" s="1">
        <v>1</v>
      </c>
      <c r="CJ722" s="1">
        <v>1</v>
      </c>
      <c r="CK722" s="1">
        <v>1</v>
      </c>
      <c r="CL722" s="1">
        <v>1</v>
      </c>
      <c r="CM722" s="1">
        <v>1</v>
      </c>
      <c r="CN722" s="1">
        <v>1</v>
      </c>
      <c r="CO722" s="1">
        <v>1</v>
      </c>
      <c r="CP722" s="1">
        <v>1</v>
      </c>
      <c r="CQ722" s="1">
        <v>1</v>
      </c>
      <c r="CR722" s="1">
        <v>1</v>
      </c>
      <c r="CS722" s="1">
        <v>1</v>
      </c>
      <c r="CT722" s="1">
        <v>1</v>
      </c>
      <c r="CU722" s="1">
        <v>1</v>
      </c>
      <c r="CV722" s="1">
        <f t="shared" si="622"/>
        <v>0</v>
      </c>
      <c r="CW722" s="1">
        <v>2</v>
      </c>
      <c r="CX722" s="1">
        <v>2</v>
      </c>
      <c r="CY722" s="1">
        <v>1</v>
      </c>
      <c r="CZ722" s="1">
        <f t="shared" si="623"/>
        <v>0</v>
      </c>
      <c r="DA722" s="1">
        <v>1</v>
      </c>
      <c r="DB722" s="1">
        <v>1</v>
      </c>
      <c r="DC722" s="1">
        <v>1</v>
      </c>
      <c r="DD722" s="1">
        <v>2</v>
      </c>
      <c r="DE722" s="1">
        <v>2</v>
      </c>
      <c r="DF722" s="1">
        <v>2</v>
      </c>
      <c r="DG722" s="1">
        <v>1</v>
      </c>
      <c r="DH722" s="1">
        <v>1</v>
      </c>
      <c r="DI722" s="1">
        <f t="shared" si="624"/>
        <v>0</v>
      </c>
      <c r="DJ722" s="1">
        <v>2</v>
      </c>
      <c r="DK722" s="1" t="s">
        <v>1627</v>
      </c>
      <c r="DL722" s="1" t="s">
        <v>101</v>
      </c>
      <c r="DR722" s="1" t="b">
        <f>AND(AlignmentNeutral,AlignmentGood)</f>
        <v>0</v>
      </c>
      <c r="DS722" s="1" t="b">
        <f>SkHideRanks&gt;=8</f>
        <v>0</v>
      </c>
      <c r="DT722" s="1" t="b">
        <f>SkMoveSilentlyRanks&gt;=8</f>
        <v>0</v>
      </c>
      <c r="DU722" s="1" t="b">
        <f>FtAlertness</f>
        <v>0</v>
      </c>
      <c r="DV722" s="1" t="b">
        <f>FtFavoredCompanions</f>
        <v>0</v>
      </c>
      <c r="DW722" s="1" t="b">
        <f>OR(FreeTrack,FtTrack)</f>
        <v>0</v>
      </c>
      <c r="EA722" s="1" t="b">
        <f t="shared" si="625"/>
        <v>0</v>
      </c>
      <c r="EB722" s="11" t="s">
        <v>334</v>
      </c>
      <c r="EC722" s="1" t="str">
        <f>IF(DR722,"","• You must be of Neutral Good Alignment.
")&amp;IF(DS722,"","• 8 ranks in Hide.
")&amp;IF(DT722,"","• 8 ranks in MoveSilently.
")&amp;IF(DU722,"","• Alertness feat.
")&amp;IF(DV722,"","• Favored of the Companions feat.
")&amp;IF(DW722,"","• Track feat.")</f>
        <v>• You must be of Neutral Good Alignment.
• 8 ranks in Hide.
• 8 ranks in MoveSilently.
• Alertness feat.
• Favored of the Companions feat.
• Track feat.</v>
      </c>
      <c r="ED722" s="11" t="s">
        <v>335</v>
      </c>
    </row>
    <row r="723" spans="1:134" ht="11.25" customHeight="1" x14ac:dyDescent="0.2">
      <c r="A723" s="1">
        <f t="shared" si="629"/>
        <v>720</v>
      </c>
      <c r="B723" s="1" t="s">
        <v>1658</v>
      </c>
      <c r="C723" s="1" t="s">
        <v>563</v>
      </c>
      <c r="D723" s="1" t="s">
        <v>563</v>
      </c>
      <c r="E723" s="1">
        <f t="shared" si="626"/>
        <v>0</v>
      </c>
      <c r="G723" s="1">
        <f>(SwaLvl&gt;=2)*(SwaLvl-1)</f>
        <v>0</v>
      </c>
      <c r="K723" s="1">
        <v>4</v>
      </c>
      <c r="L723" s="1">
        <v>8</v>
      </c>
      <c r="V723" s="1">
        <v>1</v>
      </c>
      <c r="W723" s="1">
        <v>0.5</v>
      </c>
      <c r="X723" s="1">
        <v>0.34</v>
      </c>
      <c r="Y723" s="1">
        <v>0.34</v>
      </c>
      <c r="Z723" s="1" t="b">
        <f>FALSE</f>
        <v>0</v>
      </c>
      <c r="AA723" s="1" t="str">
        <f t="shared" si="630"/>
        <v/>
      </c>
      <c r="AB723" s="1" t="str">
        <f t="shared" si="631"/>
        <v/>
      </c>
      <c r="AC723" s="1">
        <f t="shared" si="627"/>
        <v>0</v>
      </c>
      <c r="AD723" s="1" t="str">
        <f t="shared" si="632"/>
        <v/>
      </c>
      <c r="AE723" s="1" t="str">
        <f t="shared" si="633"/>
        <v/>
      </c>
      <c r="AF723" s="1">
        <f t="shared" si="628"/>
        <v>0</v>
      </c>
      <c r="AG723" s="1">
        <f t="shared" si="589"/>
        <v>5</v>
      </c>
      <c r="AH723" s="1" t="str">
        <f t="shared" ref="AH723:AH786" si="635">IF(ROW()&gt;$AG$2,"",INDEX($B$5:$B$794,MATCH(ROW(),$AG$5:$AG$794,0)))</f>
        <v/>
      </c>
      <c r="AI723" s="1">
        <v>1</v>
      </c>
      <c r="AJ723" s="1">
        <f t="shared" si="617"/>
        <v>0</v>
      </c>
      <c r="AK723" s="1">
        <v>1</v>
      </c>
      <c r="AL723" s="1">
        <v>1</v>
      </c>
      <c r="AM723" s="1">
        <v>1</v>
      </c>
      <c r="AN723" s="1">
        <f t="shared" si="618"/>
        <v>0</v>
      </c>
      <c r="AO723" s="1">
        <v>2</v>
      </c>
      <c r="AP723" s="1">
        <v>2</v>
      </c>
      <c r="AQ723" s="1">
        <v>2</v>
      </c>
      <c r="AR723" s="1">
        <v>2</v>
      </c>
      <c r="AS723" s="1">
        <v>2</v>
      </c>
      <c r="AT723" s="1">
        <v>2</v>
      </c>
      <c r="AU723" s="1">
        <v>2</v>
      </c>
      <c r="AV723" s="1">
        <v>2</v>
      </c>
      <c r="AW723" s="1">
        <v>1</v>
      </c>
      <c r="AX723" s="1">
        <v>1</v>
      </c>
      <c r="AY723" s="1">
        <v>1</v>
      </c>
      <c r="AZ723" s="1">
        <v>1</v>
      </c>
      <c r="BA723" s="1">
        <v>1</v>
      </c>
      <c r="BB723" s="1">
        <v>1</v>
      </c>
      <c r="BC723" s="1">
        <v>1</v>
      </c>
      <c r="BD723" s="1">
        <v>2</v>
      </c>
      <c r="BE723" s="1">
        <v>2</v>
      </c>
      <c r="BF723" s="1">
        <v>2</v>
      </c>
      <c r="BG723" s="1">
        <f t="shared" si="619"/>
        <v>0</v>
      </c>
      <c r="BH723" s="1">
        <f t="shared" si="620"/>
        <v>0</v>
      </c>
      <c r="BI723" s="1">
        <v>1</v>
      </c>
      <c r="BJ723" s="1">
        <v>1</v>
      </c>
      <c r="BK723" s="1">
        <v>1</v>
      </c>
      <c r="BL723" s="1">
        <v>1</v>
      </c>
      <c r="BM723" s="1">
        <v>1</v>
      </c>
      <c r="BN723" s="1">
        <v>2</v>
      </c>
      <c r="BO723" s="1">
        <v>1</v>
      </c>
      <c r="BP723" s="1">
        <v>1</v>
      </c>
      <c r="BQ723" s="1">
        <f>IF(HRRVL,2,0)</f>
        <v>0</v>
      </c>
      <c r="BR723" s="1">
        <v>2</v>
      </c>
      <c r="BS723" s="1">
        <v>1</v>
      </c>
      <c r="BT723" s="1">
        <f>IF(HRXPH,1,0)</f>
        <v>0</v>
      </c>
      <c r="BU723" s="1">
        <f>IF(HRRVL,1,0)</f>
        <v>0</v>
      </c>
      <c r="BV723" s="1">
        <v>1</v>
      </c>
      <c r="BW723" s="1">
        <v>1</v>
      </c>
      <c r="BX723" s="1">
        <v>1</v>
      </c>
      <c r="BY723" s="1">
        <v>1</v>
      </c>
      <c r="BZ723" s="1">
        <v>1</v>
      </c>
      <c r="CA723" s="1">
        <v>1</v>
      </c>
      <c r="CB723" s="1">
        <v>1</v>
      </c>
      <c r="CC723" s="1">
        <v>1</v>
      </c>
      <c r="CD723" s="1">
        <v>1</v>
      </c>
      <c r="CE723" s="1">
        <v>1</v>
      </c>
      <c r="CF723" s="1">
        <v>2</v>
      </c>
      <c r="CG723" s="1">
        <f t="shared" si="621"/>
        <v>0</v>
      </c>
      <c r="CH723" s="1">
        <v>1</v>
      </c>
      <c r="CI723" s="1">
        <v>1</v>
      </c>
      <c r="CJ723" s="1">
        <v>1</v>
      </c>
      <c r="CK723" s="1">
        <v>1</v>
      </c>
      <c r="CL723" s="1">
        <v>1</v>
      </c>
      <c r="CM723" s="1">
        <v>1</v>
      </c>
      <c r="CN723" s="1">
        <v>1</v>
      </c>
      <c r="CO723" s="1">
        <v>1</v>
      </c>
      <c r="CP723" s="1">
        <v>2</v>
      </c>
      <c r="CQ723" s="1">
        <v>2</v>
      </c>
      <c r="CR723" s="1">
        <v>2</v>
      </c>
      <c r="CS723" s="1">
        <v>2</v>
      </c>
      <c r="CT723" s="1">
        <v>2</v>
      </c>
      <c r="CU723" s="1">
        <v>2</v>
      </c>
      <c r="CV723" s="1">
        <f t="shared" si="622"/>
        <v>0</v>
      </c>
      <c r="CW723" s="1">
        <v>2</v>
      </c>
      <c r="CX723" s="1">
        <v>2</v>
      </c>
      <c r="CY723" s="1">
        <v>1</v>
      </c>
      <c r="CZ723" s="1">
        <f t="shared" si="623"/>
        <v>0</v>
      </c>
      <c r="DA723" s="1">
        <v>1</v>
      </c>
      <c r="DB723" s="1">
        <v>1</v>
      </c>
      <c r="DC723" s="1">
        <v>2</v>
      </c>
      <c r="DD723" s="1">
        <v>2</v>
      </c>
      <c r="DE723" s="1">
        <v>2</v>
      </c>
      <c r="DF723" s="1">
        <v>2</v>
      </c>
      <c r="DG723" s="1">
        <v>1</v>
      </c>
      <c r="DH723" s="1">
        <v>1</v>
      </c>
      <c r="DI723" s="1">
        <f t="shared" si="624"/>
        <v>0</v>
      </c>
      <c r="DJ723" s="1">
        <v>1</v>
      </c>
      <c r="DK723" s="1" t="s">
        <v>1627</v>
      </c>
      <c r="DL723" s="1" t="s">
        <v>101</v>
      </c>
      <c r="DR723" s="1" t="b">
        <f>Gender="Female"</f>
        <v>0</v>
      </c>
      <c r="DS723" s="1" t="b">
        <f>AlignmentGood</f>
        <v>1</v>
      </c>
      <c r="DT723" s="1" t="b">
        <f>SkKnowledgeNatureRanks&gt;=8</f>
        <v>0</v>
      </c>
      <c r="DU723" s="1" t="b">
        <f>SkSurvivalRanks&gt;=8</f>
        <v>0</v>
      </c>
      <c r="DV723" s="1" t="b">
        <f>NOT(ISNA(MATCH("Sylvan",TblLangKnown,0)))</f>
        <v>0</v>
      </c>
      <c r="DW723" s="1" t="b">
        <f>FtSacredVow</f>
        <v>0</v>
      </c>
      <c r="DX723" s="1" t="b">
        <f>FtVowPurity</f>
        <v>0</v>
      </c>
      <c r="DZ723" s="1" t="b">
        <f>WildLevel&gt;1</f>
        <v>0</v>
      </c>
      <c r="EA723" s="1" t="b">
        <f t="shared" si="625"/>
        <v>0</v>
      </c>
      <c r="EB723" s="11" t="s">
        <v>338</v>
      </c>
      <c r="EC723" s="1" t="str">
        <f>IF(DR723,"","• You must be Female.
")&amp;IF(DS723,"","• You must be of Any Good Alignment.
")&amp;IF(DT723,"","• 8 ranks in Knowledge (Nature).
")&amp;IF(DU723,"","• 8 ranks in Survival.
")&amp;IF(DV723,"","• Speak Sylvan.
")&amp;IF(DW723,"","• Sacred Vow feat.
")&amp;IF(DX723,"","• Vow of Purity feat.
")&amp;IF(DY723,"","• Able to cast speak with animals (not verified).
")&amp;IF(DZ723,"","• Must have the Wild Empathy class feature..
")&amp;IF(DY723,"","• Must have performed a great service for another swanmay.")</f>
        <v>• You must be Female.
• 8 ranks in Knowledge (Nature).
• 8 ranks in Survival.
• Speak Sylvan.
• Sacred Vow feat.
• Vow of Purity feat.
• Able to cast speak with animals (not verified).
• Must have the Wild Empathy class feature..
• Must have performed a great service for another swanmay.</v>
      </c>
      <c r="ED723" s="11" t="s">
        <v>335</v>
      </c>
    </row>
    <row r="724" spans="1:134" ht="11.25" customHeight="1" x14ac:dyDescent="0.2">
      <c r="A724" s="1">
        <f t="shared" si="629"/>
        <v>721</v>
      </c>
      <c r="B724" s="1" t="s">
        <v>1659</v>
      </c>
      <c r="C724" s="1" t="s">
        <v>1660</v>
      </c>
      <c r="D724" s="1" t="s">
        <v>1660</v>
      </c>
      <c r="E724" s="1">
        <f t="shared" si="626"/>
        <v>0</v>
      </c>
      <c r="K724" s="1">
        <v>4</v>
      </c>
      <c r="L724" s="1">
        <v>8</v>
      </c>
      <c r="V724" s="1">
        <v>1</v>
      </c>
      <c r="W724" s="1">
        <v>0.5</v>
      </c>
      <c r="X724" s="1">
        <v>0.34</v>
      </c>
      <c r="Y724" s="1">
        <v>0.5</v>
      </c>
      <c r="Z724" s="1" t="b">
        <f>FALSE</f>
        <v>0</v>
      </c>
      <c r="AA724" s="1" t="str">
        <f t="shared" si="630"/>
        <v/>
      </c>
      <c r="AB724" s="1" t="str">
        <f t="shared" si="631"/>
        <v/>
      </c>
      <c r="AC724" s="1">
        <f t="shared" si="627"/>
        <v>0</v>
      </c>
      <c r="AD724" s="1" t="str">
        <f t="shared" si="632"/>
        <v/>
      </c>
      <c r="AE724" s="1" t="str">
        <f t="shared" si="633"/>
        <v/>
      </c>
      <c r="AF724" s="1">
        <f t="shared" si="628"/>
        <v>0</v>
      </c>
      <c r="AG724" s="1">
        <f t="shared" si="589"/>
        <v>5</v>
      </c>
      <c r="AH724" s="1" t="str">
        <f t="shared" si="635"/>
        <v/>
      </c>
      <c r="AI724" s="1">
        <v>1</v>
      </c>
      <c r="AJ724" s="1">
        <f t="shared" si="617"/>
        <v>0</v>
      </c>
      <c r="AK724" s="1">
        <v>1</v>
      </c>
      <c r="AL724" s="1">
        <v>1</v>
      </c>
      <c r="AM724" s="1">
        <v>2</v>
      </c>
      <c r="AN724" s="1">
        <f t="shared" si="618"/>
        <v>0</v>
      </c>
      <c r="AO724" s="1">
        <v>1</v>
      </c>
      <c r="AP724" s="1">
        <v>2</v>
      </c>
      <c r="AQ724" s="1">
        <v>2</v>
      </c>
      <c r="AR724" s="1">
        <v>2</v>
      </c>
      <c r="AS724" s="1">
        <v>2</v>
      </c>
      <c r="AT724" s="1">
        <v>2</v>
      </c>
      <c r="AU724" s="1">
        <v>2</v>
      </c>
      <c r="AV724" s="1">
        <v>2</v>
      </c>
      <c r="AW724" s="1">
        <v>1</v>
      </c>
      <c r="AX724" s="1">
        <v>2</v>
      </c>
      <c r="AY724" s="1">
        <v>1</v>
      </c>
      <c r="AZ724" s="1">
        <v>1</v>
      </c>
      <c r="BA724" s="1">
        <v>1</v>
      </c>
      <c r="BB724" s="1">
        <v>1</v>
      </c>
      <c r="BC724" s="1">
        <v>1</v>
      </c>
      <c r="BD724" s="1">
        <v>2</v>
      </c>
      <c r="BE724" s="1">
        <v>1</v>
      </c>
      <c r="BF724" s="1">
        <v>1</v>
      </c>
      <c r="BG724" s="1">
        <f t="shared" si="619"/>
        <v>0</v>
      </c>
      <c r="BH724" s="1">
        <f t="shared" si="620"/>
        <v>0</v>
      </c>
      <c r="BI724" s="1">
        <v>2</v>
      </c>
      <c r="BJ724" s="1">
        <v>2</v>
      </c>
      <c r="BK724" s="1">
        <v>1</v>
      </c>
      <c r="BL724" s="1">
        <v>1</v>
      </c>
      <c r="BM724" s="1">
        <v>1</v>
      </c>
      <c r="BN724" s="1">
        <v>1</v>
      </c>
      <c r="BO724" s="1">
        <v>1</v>
      </c>
      <c r="BP724" s="1">
        <v>1</v>
      </c>
      <c r="BQ724" s="1">
        <f>IF(HRRVL,2,0)</f>
        <v>0</v>
      </c>
      <c r="BR724" s="1">
        <v>2</v>
      </c>
      <c r="BS724" s="1">
        <v>1</v>
      </c>
      <c r="BT724" s="1">
        <f>IF(HRXPH,1,0)</f>
        <v>0</v>
      </c>
      <c r="BU724" s="1">
        <f>IF(HRRVL,2,0)</f>
        <v>0</v>
      </c>
      <c r="BV724" s="1">
        <v>2</v>
      </c>
      <c r="BW724" s="1">
        <v>1</v>
      </c>
      <c r="BX724" s="1">
        <v>1</v>
      </c>
      <c r="BY724" s="1">
        <v>1</v>
      </c>
      <c r="BZ724" s="1">
        <v>1</v>
      </c>
      <c r="CA724" s="1">
        <v>1</v>
      </c>
      <c r="CB724" s="1">
        <v>1</v>
      </c>
      <c r="CC724" s="1">
        <v>1</v>
      </c>
      <c r="CD724" s="1">
        <v>1</v>
      </c>
      <c r="CE724" s="1">
        <v>1</v>
      </c>
      <c r="CF724" s="1">
        <v>1</v>
      </c>
      <c r="CG724" s="1">
        <f t="shared" si="621"/>
        <v>0</v>
      </c>
      <c r="CH724" s="1">
        <v>1</v>
      </c>
      <c r="CI724" s="1">
        <v>1</v>
      </c>
      <c r="CJ724" s="1">
        <v>1</v>
      </c>
      <c r="CK724" s="1">
        <v>1</v>
      </c>
      <c r="CL724" s="1">
        <v>1</v>
      </c>
      <c r="CM724" s="1">
        <v>1</v>
      </c>
      <c r="CN724" s="1">
        <v>1</v>
      </c>
      <c r="CO724" s="1">
        <v>1</v>
      </c>
      <c r="CP724" s="1">
        <v>2</v>
      </c>
      <c r="CQ724" s="1">
        <v>2</v>
      </c>
      <c r="CR724" s="1">
        <v>2</v>
      </c>
      <c r="CS724" s="1">
        <v>2</v>
      </c>
      <c r="CT724" s="1">
        <v>2</v>
      </c>
      <c r="CU724" s="1">
        <v>2</v>
      </c>
      <c r="CV724" s="1">
        <f t="shared" si="622"/>
        <v>0</v>
      </c>
      <c r="CW724" s="1">
        <v>2</v>
      </c>
      <c r="CX724" s="1">
        <v>1</v>
      </c>
      <c r="CY724" s="1">
        <v>2</v>
      </c>
      <c r="CZ724" s="1">
        <f t="shared" si="623"/>
        <v>0</v>
      </c>
      <c r="DA724" s="1">
        <v>1</v>
      </c>
      <c r="DB724" s="1">
        <v>1</v>
      </c>
      <c r="DC724" s="1">
        <v>1</v>
      </c>
      <c r="DD724" s="1">
        <v>1</v>
      </c>
      <c r="DE724" s="1">
        <v>1</v>
      </c>
      <c r="DF724" s="1">
        <v>2</v>
      </c>
      <c r="DG724" s="1">
        <v>1</v>
      </c>
      <c r="DH724" s="1">
        <v>1</v>
      </c>
      <c r="DI724" s="1">
        <f t="shared" si="624"/>
        <v>0</v>
      </c>
      <c r="DJ724" s="1">
        <v>1</v>
      </c>
      <c r="DK724" s="1" t="s">
        <v>1627</v>
      </c>
      <c r="DL724" s="1" t="s">
        <v>101</v>
      </c>
      <c r="DR724" s="1" t="b">
        <f>AlignmentGood</f>
        <v>1</v>
      </c>
      <c r="DS724" s="1" t="b">
        <f>BaseAtk&gt;=6</f>
        <v>0</v>
      </c>
      <c r="DT724" s="1" t="b">
        <f>AND(OR(FtFavoredCompanions,FtKnightOfStars,FtServantOfTheHeavens),ExaltedFeats&gt;=2)</f>
        <v>0</v>
      </c>
      <c r="EA724" s="1" t="b">
        <f t="shared" si="625"/>
        <v>0</v>
      </c>
      <c r="EB724" s="11" t="s">
        <v>334</v>
      </c>
      <c r="EC724" s="1" t="str">
        <f>IF(DR724,"","• You must be of Any Good Alignment.
")&amp;IF(DS724,"","• Base attack bonus of +6 or greater.
")&amp;IF(DT724,"","• Either Favored of the Companions, Knight of Stars, or Servant of the Heavens feat, plus one additional exalted feat.")</f>
        <v>• Base attack bonus of +6 or greater.
• Either Favored of the Companions, Knight of Stars, or Servant of the Heavens feat, plus one additional exalted feat.</v>
      </c>
      <c r="ED724" s="11" t="s">
        <v>335</v>
      </c>
    </row>
    <row r="725" spans="1:134" ht="11.25" customHeight="1" x14ac:dyDescent="0.2">
      <c r="A725" s="1">
        <f t="shared" si="629"/>
        <v>722</v>
      </c>
      <c r="B725" s="1" t="s">
        <v>1661</v>
      </c>
      <c r="C725" s="1" t="s">
        <v>925</v>
      </c>
      <c r="D725" s="1" t="s">
        <v>925</v>
      </c>
      <c r="E725" s="1">
        <f t="shared" si="626"/>
        <v>0</v>
      </c>
      <c r="G725" s="1">
        <f>INT(ToSLvl/2)</f>
        <v>0</v>
      </c>
      <c r="K725" s="1">
        <v>6</v>
      </c>
      <c r="L725" s="1">
        <v>6</v>
      </c>
      <c r="V725" s="1">
        <v>0.75</v>
      </c>
      <c r="W725" s="1">
        <v>0.34</v>
      </c>
      <c r="X725" s="1">
        <v>0.5</v>
      </c>
      <c r="Y725" s="1">
        <v>0.5</v>
      </c>
      <c r="Z725" s="1" t="b">
        <f>FALSE</f>
        <v>0</v>
      </c>
      <c r="AA725" s="1" t="str">
        <f t="shared" si="630"/>
        <v/>
      </c>
      <c r="AB725" s="1" t="str">
        <f t="shared" si="631"/>
        <v/>
      </c>
      <c r="AC725" s="1">
        <f t="shared" si="627"/>
        <v>0</v>
      </c>
      <c r="AD725" s="1" t="str">
        <f t="shared" si="632"/>
        <v/>
      </c>
      <c r="AE725" s="1" t="str">
        <f t="shared" si="633"/>
        <v/>
      </c>
      <c r="AF725" s="1">
        <f t="shared" si="628"/>
        <v>0</v>
      </c>
      <c r="AG725" s="1">
        <f t="shared" ref="AG725:AG788" si="636">IF($AC725&gt;0,$AG724+1,$AG724)</f>
        <v>5</v>
      </c>
      <c r="AH725" s="1" t="str">
        <f t="shared" si="635"/>
        <v/>
      </c>
      <c r="AI725" s="1">
        <v>1</v>
      </c>
      <c r="AJ725" s="1">
        <f t="shared" si="617"/>
        <v>0</v>
      </c>
      <c r="AK725" s="1">
        <v>2</v>
      </c>
      <c r="AL725" s="1">
        <v>2</v>
      </c>
      <c r="AM725" s="1">
        <v>2</v>
      </c>
      <c r="AN725" s="1">
        <f t="shared" si="618"/>
        <v>0</v>
      </c>
      <c r="AO725" s="1">
        <v>2</v>
      </c>
      <c r="AP725" s="1">
        <v>2</v>
      </c>
      <c r="AQ725" s="1">
        <v>2</v>
      </c>
      <c r="AR725" s="1">
        <v>2</v>
      </c>
      <c r="AS725" s="1">
        <v>2</v>
      </c>
      <c r="AT725" s="1">
        <v>2</v>
      </c>
      <c r="AU725" s="1">
        <v>2</v>
      </c>
      <c r="AV725" s="1">
        <v>2</v>
      </c>
      <c r="AW725" s="1">
        <v>2</v>
      </c>
      <c r="AX725" s="1">
        <v>2</v>
      </c>
      <c r="AY725" s="1">
        <v>1</v>
      </c>
      <c r="AZ725" s="1">
        <v>2</v>
      </c>
      <c r="BA725" s="1">
        <v>2</v>
      </c>
      <c r="BB725" s="1">
        <v>1</v>
      </c>
      <c r="BC725" s="1">
        <v>2</v>
      </c>
      <c r="BD725" s="1">
        <v>1</v>
      </c>
      <c r="BE725" s="1">
        <v>1</v>
      </c>
      <c r="BF725" s="1">
        <v>2</v>
      </c>
      <c r="BG725" s="1">
        <f t="shared" si="619"/>
        <v>0</v>
      </c>
      <c r="BH725" s="1">
        <f t="shared" si="620"/>
        <v>0</v>
      </c>
      <c r="BI725" s="1">
        <v>1</v>
      </c>
      <c r="BJ725" s="1">
        <v>2</v>
      </c>
      <c r="BK725" s="1">
        <v>2</v>
      </c>
      <c r="BL725" s="1">
        <v>2</v>
      </c>
      <c r="BM725" s="1">
        <v>2</v>
      </c>
      <c r="BN725" s="1">
        <v>2</v>
      </c>
      <c r="BO725" s="1">
        <v>2</v>
      </c>
      <c r="BP725" s="1">
        <f>1+NOT(HRLivingGreyhawk)</f>
        <v>2</v>
      </c>
      <c r="BQ725" s="1">
        <f>IF(HRRVL,2,0)</f>
        <v>0</v>
      </c>
      <c r="BR725" s="1">
        <v>2</v>
      </c>
      <c r="BS725" s="1">
        <v>2</v>
      </c>
      <c r="BT725" s="1">
        <f>IF(HRXPH,2,0)</f>
        <v>0</v>
      </c>
      <c r="BU725" s="1">
        <f>IF(HRRVL,2,0)</f>
        <v>0</v>
      </c>
      <c r="BV725" s="1">
        <v>2</v>
      </c>
      <c r="BW725" s="1">
        <v>2</v>
      </c>
      <c r="BX725" s="1">
        <v>2</v>
      </c>
      <c r="BY725" s="1">
        <v>2</v>
      </c>
      <c r="BZ725" s="1">
        <v>2</v>
      </c>
      <c r="CA725" s="1">
        <v>2</v>
      </c>
      <c r="CB725" s="1">
        <v>2</v>
      </c>
      <c r="CC725" s="1">
        <v>2</v>
      </c>
      <c r="CD725" s="1">
        <v>2</v>
      </c>
      <c r="CE725" s="1">
        <v>2</v>
      </c>
      <c r="CF725" s="1">
        <v>2</v>
      </c>
      <c r="CG725" s="1">
        <f t="shared" si="621"/>
        <v>0</v>
      </c>
      <c r="CH725" s="1">
        <v>2</v>
      </c>
      <c r="CI725" s="1">
        <v>1</v>
      </c>
      <c r="CJ725" s="1">
        <v>2</v>
      </c>
      <c r="CK725" s="1">
        <v>2</v>
      </c>
      <c r="CL725" s="1">
        <v>2</v>
      </c>
      <c r="CM725" s="1">
        <v>2</v>
      </c>
      <c r="CN725" s="1">
        <v>2</v>
      </c>
      <c r="CO725" s="1">
        <v>2</v>
      </c>
      <c r="CP725" s="1">
        <v>2</v>
      </c>
      <c r="CQ725" s="1">
        <v>2</v>
      </c>
      <c r="CR725" s="1">
        <v>2</v>
      </c>
      <c r="CS725" s="1">
        <v>2</v>
      </c>
      <c r="CT725" s="1">
        <v>2</v>
      </c>
      <c r="CU725" s="1">
        <v>2</v>
      </c>
      <c r="CV725" s="1">
        <f t="shared" si="622"/>
        <v>0</v>
      </c>
      <c r="CW725" s="1">
        <v>1</v>
      </c>
      <c r="CX725" s="1">
        <v>1</v>
      </c>
      <c r="CY725" s="1">
        <v>2</v>
      </c>
      <c r="CZ725" s="1">
        <f t="shared" si="623"/>
        <v>0</v>
      </c>
      <c r="DA725" s="1">
        <v>2</v>
      </c>
      <c r="DB725" s="1">
        <v>2</v>
      </c>
      <c r="DC725" s="1">
        <v>2</v>
      </c>
      <c r="DD725" s="1">
        <v>1</v>
      </c>
      <c r="DE725" s="1">
        <v>1</v>
      </c>
      <c r="DF725" s="1">
        <v>2</v>
      </c>
      <c r="DG725" s="1">
        <v>2</v>
      </c>
      <c r="DH725" s="1">
        <v>2</v>
      </c>
      <c r="DI725" s="1">
        <f t="shared" si="624"/>
        <v>0</v>
      </c>
      <c r="DJ725" s="1">
        <v>1</v>
      </c>
      <c r="DK725" s="1" t="s">
        <v>1627</v>
      </c>
      <c r="DL725" s="1" t="s">
        <v>101</v>
      </c>
      <c r="DR725" s="1" t="b">
        <f>AND(AlignmentChaotic,AlignmentGood)</f>
        <v>0</v>
      </c>
      <c r="DS725" s="1" t="b">
        <f>SkPerformRanks&gt;=6</f>
        <v>0</v>
      </c>
      <c r="DT725" s="1" t="b">
        <f>FtKnightOfStars</f>
        <v>0</v>
      </c>
      <c r="DU725" s="1" t="b">
        <f ca="1">MaxSpontaneousLevel&gt;=4</f>
        <v>0</v>
      </c>
      <c r="EA725" s="1" t="b">
        <f ca="1">AND(DM725:DZ725)</f>
        <v>0</v>
      </c>
      <c r="EB725" s="11" t="s">
        <v>334</v>
      </c>
      <c r="EC725" s="1" t="str">
        <f ca="1">IF(DR725,"","• You must be of Chaotic Good Alignment.
")&amp;IF(DS725,"","• 6 ranks in Perform.
")&amp;IF(DT725,"","• Knight of Stars feat.
")&amp;IF(DU725,"","• Able to spontaneously cast 4th-level arcane spells.")</f>
        <v>• You must be of Chaotic Good Alignment.
• 6 ranks in Perform.
• Knight of Stars feat.
• Able to spontaneously cast 4th-level arcane spells.</v>
      </c>
      <c r="ED725" s="11" t="s">
        <v>335</v>
      </c>
    </row>
    <row r="726" spans="1:134" ht="11.25" customHeight="1" x14ac:dyDescent="0.2">
      <c r="A726" s="1">
        <f t="shared" si="629"/>
        <v>723</v>
      </c>
      <c r="B726" s="1" t="s">
        <v>1662</v>
      </c>
      <c r="C726" s="1" t="s">
        <v>1663</v>
      </c>
      <c r="D726" s="1" t="s">
        <v>1663</v>
      </c>
      <c r="E726" s="1">
        <f t="shared" si="626"/>
        <v>0</v>
      </c>
      <c r="K726" s="1">
        <v>2</v>
      </c>
      <c r="L726" s="1">
        <v>10</v>
      </c>
      <c r="N726" s="1" t="b">
        <v>1</v>
      </c>
      <c r="O726" s="1" t="b">
        <v>1</v>
      </c>
      <c r="P726" s="1" t="b">
        <v>1</v>
      </c>
      <c r="Q726" s="1" t="b">
        <v>1</v>
      </c>
      <c r="S726" s="1" t="b">
        <v>1</v>
      </c>
      <c r="T726" s="1" t="b">
        <v>1</v>
      </c>
      <c r="V726" s="1">
        <v>1</v>
      </c>
      <c r="W726" s="1">
        <v>0.5</v>
      </c>
      <c r="X726" s="1">
        <v>0.34</v>
      </c>
      <c r="Y726" s="1">
        <v>0.34</v>
      </c>
      <c r="Z726" s="1" t="b">
        <f>FALSE</f>
        <v>0</v>
      </c>
      <c r="AA726" s="1" t="str">
        <f t="shared" si="630"/>
        <v/>
      </c>
      <c r="AB726" s="1" t="str">
        <f t="shared" si="631"/>
        <v/>
      </c>
      <c r="AC726" s="1">
        <f t="shared" si="627"/>
        <v>0</v>
      </c>
      <c r="AD726" s="1" t="str">
        <f t="shared" si="632"/>
        <v/>
      </c>
      <c r="AE726" s="1" t="str">
        <f t="shared" si="633"/>
        <v/>
      </c>
      <c r="AF726" s="1">
        <f t="shared" si="628"/>
        <v>0</v>
      </c>
      <c r="AG726" s="1">
        <f t="shared" si="636"/>
        <v>5</v>
      </c>
      <c r="AH726" s="1" t="str">
        <f t="shared" si="635"/>
        <v/>
      </c>
      <c r="AI726" s="1">
        <v>1</v>
      </c>
      <c r="AJ726" s="1">
        <f t="shared" si="617"/>
        <v>0</v>
      </c>
      <c r="AK726" s="1">
        <v>1</v>
      </c>
      <c r="AL726" s="1">
        <v>2</v>
      </c>
      <c r="AM726" s="1">
        <v>1</v>
      </c>
      <c r="AN726" s="1">
        <f t="shared" si="618"/>
        <v>0</v>
      </c>
      <c r="AO726" s="1">
        <v>2</v>
      </c>
      <c r="AP726" s="1">
        <v>2</v>
      </c>
      <c r="AQ726" s="1">
        <v>2</v>
      </c>
      <c r="AR726" s="1">
        <v>2</v>
      </c>
      <c r="AS726" s="1">
        <v>2</v>
      </c>
      <c r="AT726" s="1">
        <v>2</v>
      </c>
      <c r="AU726" s="1">
        <v>2</v>
      </c>
      <c r="AV726" s="1">
        <v>2</v>
      </c>
      <c r="AW726" s="1">
        <v>1</v>
      </c>
      <c r="AX726" s="1">
        <v>2</v>
      </c>
      <c r="AY726" s="1">
        <v>1</v>
      </c>
      <c r="AZ726" s="1">
        <v>1</v>
      </c>
      <c r="BA726" s="1">
        <v>1</v>
      </c>
      <c r="BB726" s="1">
        <v>1</v>
      </c>
      <c r="BC726" s="1">
        <v>1</v>
      </c>
      <c r="BD726" s="1">
        <v>1</v>
      </c>
      <c r="BE726" s="1">
        <v>2</v>
      </c>
      <c r="BF726" s="1">
        <v>1</v>
      </c>
      <c r="BG726" s="1">
        <f t="shared" si="619"/>
        <v>0</v>
      </c>
      <c r="BH726" s="1">
        <f t="shared" si="620"/>
        <v>0</v>
      </c>
      <c r="BI726" s="1">
        <v>2</v>
      </c>
      <c r="BJ726" s="1">
        <v>1</v>
      </c>
      <c r="BK726" s="1">
        <v>1</v>
      </c>
      <c r="BL726" s="1">
        <v>1</v>
      </c>
      <c r="BM726" s="1">
        <v>1</v>
      </c>
      <c r="BN726" s="1">
        <v>1</v>
      </c>
      <c r="BO726" s="1">
        <v>1</v>
      </c>
      <c r="BP726" s="1">
        <v>1</v>
      </c>
      <c r="BQ726" s="1">
        <f>IF(HRRVL,1,0)</f>
        <v>0</v>
      </c>
      <c r="BR726" s="1">
        <v>1</v>
      </c>
      <c r="BS726" s="1">
        <v>2</v>
      </c>
      <c r="BT726" s="1">
        <f>IF(HRXPH,1,0)</f>
        <v>0</v>
      </c>
      <c r="BU726" s="1">
        <f>IF(HRRVL,2,0)</f>
        <v>0</v>
      </c>
      <c r="BV726" s="1">
        <v>2</v>
      </c>
      <c r="BW726" s="1">
        <v>1</v>
      </c>
      <c r="BX726" s="1">
        <v>1</v>
      </c>
      <c r="BY726" s="1">
        <v>1</v>
      </c>
      <c r="BZ726" s="1">
        <v>1</v>
      </c>
      <c r="CA726" s="1">
        <v>1</v>
      </c>
      <c r="CB726" s="1">
        <v>1</v>
      </c>
      <c r="CC726" s="1">
        <v>1</v>
      </c>
      <c r="CD726" s="1">
        <v>1</v>
      </c>
      <c r="CE726" s="1">
        <v>1</v>
      </c>
      <c r="CF726" s="1">
        <v>1</v>
      </c>
      <c r="CG726" s="1">
        <f t="shared" si="621"/>
        <v>0</v>
      </c>
      <c r="CH726" s="1">
        <v>1</v>
      </c>
      <c r="CI726" s="1">
        <v>1</v>
      </c>
      <c r="CJ726" s="1">
        <v>1</v>
      </c>
      <c r="CK726" s="1">
        <v>1</v>
      </c>
      <c r="CL726" s="1">
        <v>1</v>
      </c>
      <c r="CM726" s="1">
        <v>1</v>
      </c>
      <c r="CN726" s="1">
        <v>1</v>
      </c>
      <c r="CO726" s="1">
        <v>1</v>
      </c>
      <c r="CP726" s="1">
        <v>1</v>
      </c>
      <c r="CQ726" s="1">
        <v>1</v>
      </c>
      <c r="CR726" s="1">
        <v>1</v>
      </c>
      <c r="CS726" s="1">
        <v>1</v>
      </c>
      <c r="CT726" s="1">
        <v>1</v>
      </c>
      <c r="CU726" s="1">
        <v>1</v>
      </c>
      <c r="CV726" s="1">
        <f t="shared" si="622"/>
        <v>0</v>
      </c>
      <c r="CW726" s="1">
        <v>2</v>
      </c>
      <c r="CX726" s="1">
        <v>1</v>
      </c>
      <c r="CY726" s="1">
        <v>2</v>
      </c>
      <c r="CZ726" s="1">
        <f t="shared" si="623"/>
        <v>0</v>
      </c>
      <c r="DA726" s="1">
        <v>1</v>
      </c>
      <c r="DB726" s="1">
        <v>1</v>
      </c>
      <c r="DC726" s="1">
        <v>1</v>
      </c>
      <c r="DD726" s="1">
        <v>1</v>
      </c>
      <c r="DE726" s="1">
        <v>1</v>
      </c>
      <c r="DF726" s="1">
        <v>1</v>
      </c>
      <c r="DG726" s="1">
        <v>1</v>
      </c>
      <c r="DH726" s="1">
        <v>1</v>
      </c>
      <c r="DI726" s="1">
        <f t="shared" si="624"/>
        <v>0</v>
      </c>
      <c r="DJ726" s="1">
        <v>1</v>
      </c>
      <c r="DK726" s="1" t="s">
        <v>1627</v>
      </c>
      <c r="DL726" s="1" t="s">
        <v>101</v>
      </c>
      <c r="DR726" s="1" t="b">
        <f>AND(AlignmentLawful,AlignmentGood)</f>
        <v>1</v>
      </c>
      <c r="DS726" s="1" t="b">
        <f>BaseAtk&gt;=7</f>
        <v>0</v>
      </c>
      <c r="DT726" s="1" t="b">
        <f>IF(NOT(ISNA(MATCH("Armorsmithing",TblCraftSkills,0))),INDEX(TblCraftRanks,MATCH("Armorsmithing",TblCraftSkills,0),1)&gt;=5,FALSE)</f>
        <v>0</v>
      </c>
      <c r="DU726" s="1" t="b">
        <f>SkDiplomacyRanks&gt;=5</f>
        <v>0</v>
      </c>
      <c r="DV726" s="1" t="b">
        <f>FtSacredVow</f>
        <v>0</v>
      </c>
      <c r="DW726" s="1" t="b">
        <f>FtVowObedience</f>
        <v>0</v>
      </c>
      <c r="EA726" s="1" t="b">
        <f t="shared" si="625"/>
        <v>0</v>
      </c>
      <c r="EB726" s="11" t="s">
        <v>338</v>
      </c>
      <c r="EC726" s="1" t="str">
        <f>IF(DR726,"","• You must be of Lawful Good Alignment.
")&amp;IF(DS726,"","• Base attack bonus of +7 or greater.
")&amp;IF(DT726,"","• 5 ranks in Craft (armorsmithing).
")&amp;IF(DU726,"","• 5 ranks in Diplomacy.
")&amp;IF(DV726,"","• Sacred Vow feat.
")&amp;IF(DW726,"","• Vow of Obedience feat.")&amp;"• Must have single handedly slain a juvenile (or older) red dragon (not verified)."</f>
        <v>• Base attack bonus of +7 or greater.
• 5 ranks in Craft (armorsmithing).
• 5 ranks in Diplomacy.
• Sacred Vow feat.
• Vow of Obedience feat.• Must have single handedly slain a juvenile (or older) red dragon (not verified).</v>
      </c>
      <c r="ED726" s="11" t="s">
        <v>335</v>
      </c>
    </row>
    <row r="727" spans="1:134" ht="11.25" customHeight="1" x14ac:dyDescent="0.2">
      <c r="A727" s="1">
        <f t="shared" si="629"/>
        <v>724</v>
      </c>
      <c r="B727" s="1" t="s">
        <v>1664</v>
      </c>
      <c r="C727" s="1" t="s">
        <v>1665</v>
      </c>
      <c r="D727" s="1" t="s">
        <v>1665</v>
      </c>
      <c r="E727" s="1">
        <f t="shared" si="626"/>
        <v>0</v>
      </c>
      <c r="K727" s="1">
        <v>4</v>
      </c>
      <c r="L727" s="1">
        <v>6</v>
      </c>
      <c r="V727" s="1">
        <v>0.5</v>
      </c>
      <c r="W727" s="1">
        <v>0.34</v>
      </c>
      <c r="X727" s="1">
        <v>0.34</v>
      </c>
      <c r="Y727" s="1">
        <v>0.5</v>
      </c>
      <c r="Z727" s="1" t="b">
        <f>FALSE</f>
        <v>0</v>
      </c>
      <c r="AA727" s="1" t="str">
        <f t="shared" si="630"/>
        <v/>
      </c>
      <c r="AB727" s="1" t="str">
        <f t="shared" si="631"/>
        <v/>
      </c>
      <c r="AC727" s="1">
        <f t="shared" si="627"/>
        <v>0</v>
      </c>
      <c r="AD727" s="1" t="str">
        <f t="shared" si="632"/>
        <v/>
      </c>
      <c r="AE727" s="1" t="str">
        <f t="shared" si="633"/>
        <v/>
      </c>
      <c r="AF727" s="1">
        <f t="shared" si="628"/>
        <v>0</v>
      </c>
      <c r="AG727" s="1">
        <f t="shared" si="636"/>
        <v>5</v>
      </c>
      <c r="AH727" s="1" t="str">
        <f t="shared" si="635"/>
        <v/>
      </c>
      <c r="AI727" s="1">
        <v>1</v>
      </c>
      <c r="AJ727" s="1">
        <f t="shared" si="617"/>
        <v>0</v>
      </c>
      <c r="AK727" s="1">
        <v>1</v>
      </c>
      <c r="AL727" s="1">
        <v>1</v>
      </c>
      <c r="AM727" s="1">
        <v>1</v>
      </c>
      <c r="AN727" s="1">
        <f t="shared" si="618"/>
        <v>0</v>
      </c>
      <c r="AO727" s="1">
        <v>2</v>
      </c>
      <c r="AP727" s="1">
        <v>2</v>
      </c>
      <c r="AQ727" s="1">
        <v>2</v>
      </c>
      <c r="AR727" s="1">
        <v>2</v>
      </c>
      <c r="AS727" s="1">
        <v>2</v>
      </c>
      <c r="AT727" s="1">
        <v>2</v>
      </c>
      <c r="AU727" s="1">
        <v>2</v>
      </c>
      <c r="AV727" s="1">
        <v>2</v>
      </c>
      <c r="AW727" s="1">
        <v>1</v>
      </c>
      <c r="AX727" s="1">
        <v>2</v>
      </c>
      <c r="AY727" s="1">
        <v>1</v>
      </c>
      <c r="AZ727" s="1">
        <v>1</v>
      </c>
      <c r="BA727" s="1">
        <v>1</v>
      </c>
      <c r="BB727" s="1">
        <v>1</v>
      </c>
      <c r="BC727" s="1">
        <v>1</v>
      </c>
      <c r="BD727" s="1">
        <v>1</v>
      </c>
      <c r="BE727" s="1">
        <v>2</v>
      </c>
      <c r="BF727" s="1">
        <v>1</v>
      </c>
      <c r="BG727" s="1">
        <f t="shared" si="619"/>
        <v>0</v>
      </c>
      <c r="BH727" s="1">
        <f t="shared" si="620"/>
        <v>0</v>
      </c>
      <c r="BI727" s="1">
        <v>1</v>
      </c>
      <c r="BJ727" s="1">
        <v>1</v>
      </c>
      <c r="BK727" s="1">
        <v>2</v>
      </c>
      <c r="BL727" s="1">
        <v>1</v>
      </c>
      <c r="BM727" s="1">
        <v>1</v>
      </c>
      <c r="BN727" s="1">
        <v>1</v>
      </c>
      <c r="BO727" s="1">
        <v>1</v>
      </c>
      <c r="BP727" s="1">
        <v>1</v>
      </c>
      <c r="BQ727" s="1">
        <f>IF(HRRVL,2,0)</f>
        <v>0</v>
      </c>
      <c r="BR727" s="1">
        <v>2</v>
      </c>
      <c r="BS727" s="1">
        <v>1</v>
      </c>
      <c r="BT727" s="1">
        <f>IF(HRXPH,1,0)</f>
        <v>0</v>
      </c>
      <c r="BU727" s="1">
        <f>IF(HRRVL,2,0)</f>
        <v>0</v>
      </c>
      <c r="BV727" s="1">
        <v>2</v>
      </c>
      <c r="BW727" s="1">
        <v>1</v>
      </c>
      <c r="BX727" s="1">
        <v>1</v>
      </c>
      <c r="BY727" s="1">
        <v>1</v>
      </c>
      <c r="BZ727" s="1">
        <v>1</v>
      </c>
      <c r="CA727" s="1">
        <v>1</v>
      </c>
      <c r="CB727" s="1">
        <v>1</v>
      </c>
      <c r="CC727" s="1">
        <v>1</v>
      </c>
      <c r="CD727" s="1">
        <v>1</v>
      </c>
      <c r="CE727" s="1">
        <v>1</v>
      </c>
      <c r="CF727" s="1">
        <v>1</v>
      </c>
      <c r="CG727" s="1">
        <f t="shared" si="621"/>
        <v>0</v>
      </c>
      <c r="CH727" s="1">
        <v>1</v>
      </c>
      <c r="CI727" s="1">
        <v>1</v>
      </c>
      <c r="CJ727" s="1">
        <v>1</v>
      </c>
      <c r="CK727" s="1">
        <v>1</v>
      </c>
      <c r="CL727" s="1">
        <v>1</v>
      </c>
      <c r="CM727" s="1">
        <v>1</v>
      </c>
      <c r="CN727" s="1">
        <v>1</v>
      </c>
      <c r="CO727" s="1">
        <v>1</v>
      </c>
      <c r="CP727" s="1">
        <v>2</v>
      </c>
      <c r="CQ727" s="1">
        <v>2</v>
      </c>
      <c r="CR727" s="1">
        <v>2</v>
      </c>
      <c r="CS727" s="1">
        <v>2</v>
      </c>
      <c r="CT727" s="1">
        <v>2</v>
      </c>
      <c r="CU727" s="1">
        <v>2</v>
      </c>
      <c r="CV727" s="1">
        <f t="shared" si="622"/>
        <v>0</v>
      </c>
      <c r="CW727" s="1">
        <v>1</v>
      </c>
      <c r="CX727" s="1">
        <v>1</v>
      </c>
      <c r="CY727" s="1">
        <v>2</v>
      </c>
      <c r="CZ727" s="1">
        <f t="shared" si="623"/>
        <v>0</v>
      </c>
      <c r="DA727" s="1">
        <v>1</v>
      </c>
      <c r="DB727" s="1">
        <v>1</v>
      </c>
      <c r="DC727" s="1">
        <v>2</v>
      </c>
      <c r="DD727" s="1">
        <v>1</v>
      </c>
      <c r="DE727" s="1">
        <v>1</v>
      </c>
      <c r="DF727" s="1">
        <v>1</v>
      </c>
      <c r="DG727" s="1">
        <v>1</v>
      </c>
      <c r="DH727" s="1">
        <v>1</v>
      </c>
      <c r="DI727" s="1">
        <f t="shared" si="624"/>
        <v>0</v>
      </c>
      <c r="DJ727" s="1">
        <v>1</v>
      </c>
      <c r="DK727" s="1" t="s">
        <v>1627</v>
      </c>
      <c r="DL727" s="1" t="s">
        <v>101</v>
      </c>
      <c r="DR727" s="1" t="b">
        <f>AlignmentGood</f>
        <v>1</v>
      </c>
      <c r="DS727" s="1" t="b">
        <f>BaseWill&gt;=5</f>
        <v>0</v>
      </c>
      <c r="DT727" s="1" t="b">
        <f>AND(ExaltedFeats&gt;=2, OR(FtFavoredCompanions,FtKnightOfStars,FtServantOfTheHeavens))</f>
        <v>0</v>
      </c>
      <c r="DU727" s="1" t="b">
        <f ca="1">OR(MaxArcaneSpellLevel&gt;=3,OR(MaxDivineSpellLevel&gt;=3))</f>
        <v>0</v>
      </c>
      <c r="EA727" s="1" t="b">
        <f ca="1">AND(DM727:DZ727)</f>
        <v>0</v>
      </c>
      <c r="EB727" s="11" t="s">
        <v>334</v>
      </c>
      <c r="EC727" s="1" t="str">
        <f ca="1">IF(DR727,"","• You must be of Any Good Alignment.
")&amp;IF(DS727,"","• Base Will save of +5 or greater.
")&amp;IF(DT727,"","• One exalted feat, plus either Favored of the Companions, Knight of Stars, or Servant of the Heavens.
")&amp;IF(DU727,"","• Able to Cast 3rd-level arcane or divine spells, or to manifest 3rd-level psionic powers.")</f>
        <v>• Base Will save of +5 or greater.
• One exalted feat, plus either Favored of the Companions, Knight of Stars, or Servant of the Heavens.
• Able to Cast 3rd-level arcane or divine spells, or to manifest 3rd-level psionic powers.</v>
      </c>
      <c r="ED727" s="11" t="s">
        <v>335</v>
      </c>
    </row>
    <row r="728" spans="1:134" ht="11.25" customHeight="1" x14ac:dyDescent="0.2">
      <c r="A728" s="1">
        <f t="shared" si="629"/>
        <v>725</v>
      </c>
      <c r="B728" s="1" t="s">
        <v>1666</v>
      </c>
      <c r="E728" s="1">
        <f t="shared" si="626"/>
        <v>0</v>
      </c>
      <c r="F728" s="1">
        <v>1</v>
      </c>
      <c r="Z728" s="1" t="b">
        <f>FALSE</f>
        <v>0</v>
      </c>
      <c r="AA728" s="1" t="str">
        <f t="shared" si="630"/>
        <v/>
      </c>
      <c r="AB728" s="1" t="str">
        <f t="shared" si="631"/>
        <v/>
      </c>
      <c r="AC728" s="1">
        <f t="shared" si="627"/>
        <v>0</v>
      </c>
      <c r="AD728" s="1" t="str">
        <f t="shared" si="632"/>
        <v/>
      </c>
      <c r="AE728" s="1" t="str">
        <f t="shared" si="633"/>
        <v/>
      </c>
      <c r="AF728" s="1">
        <f t="shared" si="628"/>
        <v>0</v>
      </c>
      <c r="AG728" s="1">
        <f t="shared" si="636"/>
        <v>5</v>
      </c>
      <c r="AH728" s="1" t="str">
        <f t="shared" si="635"/>
        <v/>
      </c>
      <c r="EB728" s="11"/>
      <c r="ED728" s="11" t="s">
        <v>335</v>
      </c>
    </row>
    <row r="729" spans="1:134" ht="11.25" customHeight="1" x14ac:dyDescent="0.2">
      <c r="A729" s="1">
        <f t="shared" si="629"/>
        <v>726</v>
      </c>
      <c r="B729" s="1" t="s">
        <v>1667</v>
      </c>
      <c r="C729" s="1" t="s">
        <v>792</v>
      </c>
      <c r="D729" s="1" t="s">
        <v>792</v>
      </c>
      <c r="E729" s="1">
        <f t="shared" si="626"/>
        <v>0</v>
      </c>
      <c r="G729" s="1">
        <f>INT(DvALvl/2)</f>
        <v>0</v>
      </c>
      <c r="K729" s="1">
        <v>4</v>
      </c>
      <c r="L729" s="1">
        <v>8</v>
      </c>
      <c r="N729" s="1" t="b">
        <v>1</v>
      </c>
      <c r="O729" s="1" t="b">
        <v>1</v>
      </c>
      <c r="P729" s="1" t="b">
        <v>1</v>
      </c>
      <c r="Q729" s="1" t="b">
        <v>1</v>
      </c>
      <c r="R729" s="1" t="b">
        <v>1</v>
      </c>
      <c r="S729" s="1" t="b">
        <v>1</v>
      </c>
      <c r="V729" s="1">
        <v>1</v>
      </c>
      <c r="W729" s="1">
        <v>0.5</v>
      </c>
      <c r="X729" s="1">
        <v>0.34</v>
      </c>
      <c r="Y729" s="1">
        <v>0.5</v>
      </c>
      <c r="Z729" s="1" t="b">
        <f>FALSE</f>
        <v>0</v>
      </c>
      <c r="AA729" s="1" t="str">
        <f t="shared" si="630"/>
        <v/>
      </c>
      <c r="AB729" s="1" t="str">
        <f t="shared" si="631"/>
        <v/>
      </c>
      <c r="AC729" s="1">
        <f t="shared" si="627"/>
        <v>0</v>
      </c>
      <c r="AD729" s="1" t="str">
        <f t="shared" si="632"/>
        <v/>
      </c>
      <c r="AE729" s="1" t="str">
        <f t="shared" si="633"/>
        <v/>
      </c>
      <c r="AF729" s="1">
        <f t="shared" si="628"/>
        <v>0</v>
      </c>
      <c r="AG729" s="1">
        <f t="shared" si="636"/>
        <v>5</v>
      </c>
      <c r="AH729" s="1" t="str">
        <f t="shared" si="635"/>
        <v/>
      </c>
      <c r="AI729" s="1">
        <v>1</v>
      </c>
      <c r="AJ729" s="1">
        <f>IF(HRXPH,1,0)</f>
        <v>0</v>
      </c>
      <c r="AK729" s="1">
        <v>1</v>
      </c>
      <c r="AL729" s="1">
        <v>1</v>
      </c>
      <c r="AM729" s="1">
        <v>1</v>
      </c>
      <c r="AN729" s="1">
        <f>IF(IsLycanthrope,2,0)</f>
        <v>0</v>
      </c>
      <c r="AO729" s="1">
        <v>2</v>
      </c>
      <c r="AP729" s="1">
        <v>2</v>
      </c>
      <c r="AQ729" s="1">
        <v>2</v>
      </c>
      <c r="AR729" s="1">
        <v>2</v>
      </c>
      <c r="AS729" s="1">
        <v>2</v>
      </c>
      <c r="AT729" s="1">
        <v>2</v>
      </c>
      <c r="AU729" s="1">
        <v>2</v>
      </c>
      <c r="AV729" s="1">
        <v>2</v>
      </c>
      <c r="AW729" s="1">
        <v>1</v>
      </c>
      <c r="AX729" s="1">
        <v>2</v>
      </c>
      <c r="AY729" s="1">
        <v>1</v>
      </c>
      <c r="AZ729" s="1">
        <v>2</v>
      </c>
      <c r="BA729" s="1">
        <v>1</v>
      </c>
      <c r="BB729" s="1">
        <v>1</v>
      </c>
      <c r="BC729" s="1">
        <v>2</v>
      </c>
      <c r="BD729" s="1">
        <v>1</v>
      </c>
      <c r="BE729" s="1">
        <v>2</v>
      </c>
      <c r="BF729" s="1">
        <v>1</v>
      </c>
      <c r="BG729" s="1">
        <f>IF(HRRVL,1,0)</f>
        <v>0</v>
      </c>
      <c r="BH729" s="1">
        <f>IF(HROA,1,0)</f>
        <v>0</v>
      </c>
      <c r="BI729" s="1">
        <v>2</v>
      </c>
      <c r="BJ729" s="1">
        <v>1</v>
      </c>
      <c r="BK729" s="1">
        <v>1</v>
      </c>
      <c r="BL729" s="1">
        <v>1</v>
      </c>
      <c r="BM729" s="1">
        <v>1</v>
      </c>
      <c r="BN729" s="1">
        <v>1</v>
      </c>
      <c r="BO729" s="1">
        <v>1</v>
      </c>
      <c r="BP729" s="1">
        <v>1</v>
      </c>
      <c r="BQ729" s="1">
        <f>IF(HRRVL,1,0)</f>
        <v>0</v>
      </c>
      <c r="BR729" s="1">
        <v>1</v>
      </c>
      <c r="BS729" s="1">
        <v>1</v>
      </c>
      <c r="BT729" s="1">
        <f>IF(HRXPH,1,0)</f>
        <v>0</v>
      </c>
      <c r="BU729" s="1">
        <f>IF(HRRVL,2,0)</f>
        <v>0</v>
      </c>
      <c r="BV729" s="1">
        <v>2</v>
      </c>
      <c r="BW729" s="1">
        <v>1</v>
      </c>
      <c r="BX729" s="1">
        <v>1</v>
      </c>
      <c r="BY729" s="1">
        <v>1</v>
      </c>
      <c r="BZ729" s="1">
        <v>1</v>
      </c>
      <c r="CA729" s="1">
        <v>1</v>
      </c>
      <c r="CB729" s="1">
        <v>1</v>
      </c>
      <c r="CC729" s="1">
        <v>1</v>
      </c>
      <c r="CD729" s="1">
        <v>1</v>
      </c>
      <c r="CE729" s="1">
        <v>1</v>
      </c>
      <c r="CF729" s="1">
        <v>1</v>
      </c>
      <c r="CG729" s="1">
        <f>IF(HRToB,1,0)</f>
        <v>0</v>
      </c>
      <c r="CH729" s="1">
        <v>1</v>
      </c>
      <c r="CI729" s="1">
        <v>1</v>
      </c>
      <c r="CJ729" s="1">
        <v>1</v>
      </c>
      <c r="CK729" s="1">
        <v>1</v>
      </c>
      <c r="CL729" s="1">
        <v>1</v>
      </c>
      <c r="CM729" s="1">
        <v>1</v>
      </c>
      <c r="CN729" s="1">
        <v>1</v>
      </c>
      <c r="CO729" s="1">
        <v>1</v>
      </c>
      <c r="CP729" s="1">
        <v>2</v>
      </c>
      <c r="CQ729" s="1">
        <v>2</v>
      </c>
      <c r="CR729" s="1">
        <v>2</v>
      </c>
      <c r="CS729" s="1">
        <v>2</v>
      </c>
      <c r="CT729" s="1">
        <v>2</v>
      </c>
      <c r="CU729" s="1">
        <v>2</v>
      </c>
      <c r="CV729" s="1">
        <f>IF(HRXPH,1,0)</f>
        <v>0</v>
      </c>
      <c r="CW729" s="1">
        <v>1</v>
      </c>
      <c r="CX729" s="1">
        <v>2</v>
      </c>
      <c r="CY729" s="1">
        <v>2</v>
      </c>
      <c r="CZ729" s="1">
        <f>IF(HRCS,1,0)</f>
        <v>0</v>
      </c>
      <c r="DA729" s="1">
        <v>1</v>
      </c>
      <c r="DB729" s="1">
        <v>1</v>
      </c>
      <c r="DC729" s="1">
        <v>2</v>
      </c>
      <c r="DD729" s="1">
        <v>2</v>
      </c>
      <c r="DE729" s="1">
        <v>1</v>
      </c>
      <c r="DF729" s="1">
        <v>1</v>
      </c>
      <c r="DG729" s="1">
        <v>1</v>
      </c>
      <c r="DH729" s="1">
        <v>2</v>
      </c>
      <c r="DI729" s="1">
        <f>IF(HRXPH,1,0)</f>
        <v>0</v>
      </c>
      <c r="DJ729" s="1">
        <v>1</v>
      </c>
      <c r="DK729" s="1" t="s">
        <v>1668</v>
      </c>
      <c r="DL729" s="1" t="s">
        <v>170</v>
      </c>
      <c r="DR729" s="1" t="b">
        <f>BaseAtk&gt;=4</f>
        <v>0</v>
      </c>
      <c r="DS729" s="1" t="b">
        <f>SkKnowledgeReligionRanks&gt;=7</f>
        <v>0</v>
      </c>
      <c r="DT729" s="1" t="b">
        <f ca="1">MaxDivineSpellLevel&gt;=2</f>
        <v>0</v>
      </c>
      <c r="EA729" s="1" t="b">
        <f ca="1">AND(DM729:DZ729)</f>
        <v>0</v>
      </c>
      <c r="EB729" s="11" t="s">
        <v>338</v>
      </c>
      <c r="EC729" s="1" t="str">
        <f ca="1">IF(DR729,"","• Base attack bonus of +4 or greater.
")&amp;IF(DS729,"","• 7 ranks in Knowledge (religon).
")&amp;IF(DT729,"","• Able to cast 2nd-level divine spells.
")&amp;IF(DU729,"","• You must have made peaceful contact with your deity or its direct agents. (not verified).")</f>
        <v>• Base attack bonus of +4 or greater.
• 7 ranks in Knowledge (religon).
• Able to cast 2nd-level divine spells.
• You must have made peaceful contact with your deity or its direct agents. (not verified).</v>
      </c>
      <c r="ED729" s="11" t="s">
        <v>335</v>
      </c>
    </row>
    <row r="730" spans="1:134" ht="11.25" customHeight="1" x14ac:dyDescent="0.2">
      <c r="A730" s="1">
        <f t="shared" si="629"/>
        <v>727</v>
      </c>
      <c r="B730" s="1" t="s">
        <v>1669</v>
      </c>
      <c r="C730" s="1" t="s">
        <v>890</v>
      </c>
      <c r="D730" s="1" t="s">
        <v>890</v>
      </c>
      <c r="E730" s="1">
        <f t="shared" si="626"/>
        <v>0</v>
      </c>
      <c r="K730" s="1">
        <v>8</v>
      </c>
      <c r="L730" s="1">
        <v>6</v>
      </c>
      <c r="N730" s="1" t="b">
        <v>1</v>
      </c>
      <c r="S730" s="1" t="b">
        <v>1</v>
      </c>
      <c r="V730" s="1">
        <v>0.75</v>
      </c>
      <c r="W730" s="1">
        <v>0.34</v>
      </c>
      <c r="X730" s="1">
        <v>0.5</v>
      </c>
      <c r="Y730" s="1">
        <v>0.5</v>
      </c>
      <c r="Z730" s="1" t="b">
        <f>FALSE</f>
        <v>0</v>
      </c>
      <c r="AA730" s="1" t="str">
        <f t="shared" si="630"/>
        <v/>
      </c>
      <c r="AB730" s="1" t="str">
        <f t="shared" si="631"/>
        <v/>
      </c>
      <c r="AC730" s="1">
        <f t="shared" si="627"/>
        <v>0</v>
      </c>
      <c r="AD730" s="1" t="str">
        <f t="shared" si="632"/>
        <v/>
      </c>
      <c r="AE730" s="1" t="str">
        <f t="shared" si="633"/>
        <v/>
      </c>
      <c r="AF730" s="1">
        <f t="shared" si="628"/>
        <v>0</v>
      </c>
      <c r="AG730" s="1">
        <f t="shared" si="636"/>
        <v>5</v>
      </c>
      <c r="AH730" s="1" t="str">
        <f t="shared" si="635"/>
        <v/>
      </c>
      <c r="AI730" s="1">
        <v>2</v>
      </c>
      <c r="AJ730" s="1">
        <f>IF(HRXPH,1,0)</f>
        <v>0</v>
      </c>
      <c r="AK730" s="1">
        <v>2</v>
      </c>
      <c r="AL730" s="1">
        <v>2</v>
      </c>
      <c r="AM730" s="1">
        <v>2</v>
      </c>
      <c r="AN730" s="1">
        <f>IF(IsLycanthrope,2,0)</f>
        <v>0</v>
      </c>
      <c r="AO730" s="1">
        <v>1</v>
      </c>
      <c r="AP730" s="1">
        <v>2</v>
      </c>
      <c r="AQ730" s="1">
        <v>2</v>
      </c>
      <c r="AR730" s="1">
        <v>2</v>
      </c>
      <c r="AS730" s="1">
        <v>2</v>
      </c>
      <c r="AT730" s="1">
        <v>2</v>
      </c>
      <c r="AU730" s="1">
        <v>2</v>
      </c>
      <c r="AV730" s="1">
        <v>2</v>
      </c>
      <c r="AW730" s="1">
        <v>2</v>
      </c>
      <c r="AX730" s="1">
        <v>2</v>
      </c>
      <c r="AY730" s="1">
        <v>2</v>
      </c>
      <c r="AZ730" s="1">
        <v>2</v>
      </c>
      <c r="BA730" s="1">
        <v>2</v>
      </c>
      <c r="BB730" s="1">
        <v>2</v>
      </c>
      <c r="BC730" s="1">
        <v>2</v>
      </c>
      <c r="BD730" s="1">
        <v>1</v>
      </c>
      <c r="BE730" s="1">
        <v>1</v>
      </c>
      <c r="BF730" s="1">
        <v>2</v>
      </c>
      <c r="BG730" s="1">
        <f>IF(HRRVL,1,0)</f>
        <v>0</v>
      </c>
      <c r="BH730" s="1">
        <f>IF(HROA,1,0)</f>
        <v>0</v>
      </c>
      <c r="BI730" s="1">
        <v>2</v>
      </c>
      <c r="BJ730" s="1">
        <v>2</v>
      </c>
      <c r="BK730" s="1">
        <v>2</v>
      </c>
      <c r="BL730" s="1">
        <v>2</v>
      </c>
      <c r="BM730" s="1">
        <v>2</v>
      </c>
      <c r="BN730" s="1">
        <v>2</v>
      </c>
      <c r="BO730" s="1">
        <v>2</v>
      </c>
      <c r="BP730" s="1">
        <f>1+NOT(HRLivingGreyhawk)</f>
        <v>2</v>
      </c>
      <c r="BQ730" s="1">
        <f>IF(HRRVL,2,0)</f>
        <v>0</v>
      </c>
      <c r="BR730" s="1">
        <v>2</v>
      </c>
      <c r="BS730" s="1">
        <v>2</v>
      </c>
      <c r="BT730" s="1">
        <f>IF(HRXPH,2,0)</f>
        <v>0</v>
      </c>
      <c r="BU730" s="1">
        <f>IF(HRRVL,2,0)</f>
        <v>0</v>
      </c>
      <c r="BV730" s="1">
        <v>2</v>
      </c>
      <c r="BW730" s="1">
        <v>2</v>
      </c>
      <c r="BX730" s="1">
        <v>2</v>
      </c>
      <c r="BY730" s="1">
        <v>2</v>
      </c>
      <c r="BZ730" s="1">
        <v>2</v>
      </c>
      <c r="CA730" s="1">
        <v>2</v>
      </c>
      <c r="CB730" s="1">
        <v>2</v>
      </c>
      <c r="CC730" s="1">
        <v>2</v>
      </c>
      <c r="CD730" s="1">
        <v>2</v>
      </c>
      <c r="CE730" s="1">
        <v>2</v>
      </c>
      <c r="CF730" s="1">
        <v>2</v>
      </c>
      <c r="CG730" s="1">
        <f>IF(HRToB,1,0)</f>
        <v>0</v>
      </c>
      <c r="CH730" s="1">
        <v>2</v>
      </c>
      <c r="CI730" s="1">
        <v>2</v>
      </c>
      <c r="CJ730" s="1">
        <v>2</v>
      </c>
      <c r="CK730" s="1">
        <v>2</v>
      </c>
      <c r="CL730" s="1">
        <v>2</v>
      </c>
      <c r="CM730" s="1">
        <v>2</v>
      </c>
      <c r="CN730" s="1">
        <v>2</v>
      </c>
      <c r="CO730" s="1">
        <v>2</v>
      </c>
      <c r="CP730" s="1">
        <v>2</v>
      </c>
      <c r="CQ730" s="1">
        <v>2</v>
      </c>
      <c r="CR730" s="1">
        <v>2</v>
      </c>
      <c r="CS730" s="1">
        <v>2</v>
      </c>
      <c r="CT730" s="1">
        <v>2</v>
      </c>
      <c r="CU730" s="1">
        <v>2</v>
      </c>
      <c r="CV730" s="1">
        <f>IF(HRXPH,1,0)</f>
        <v>0</v>
      </c>
      <c r="CW730" s="1">
        <v>1</v>
      </c>
      <c r="CX730" s="1">
        <v>2</v>
      </c>
      <c r="CY730" s="1">
        <v>2</v>
      </c>
      <c r="CZ730" s="1">
        <f>IF(HRCS,1,0)</f>
        <v>0</v>
      </c>
      <c r="DA730" s="1">
        <v>2</v>
      </c>
      <c r="DB730" s="1">
        <v>2</v>
      </c>
      <c r="DC730" s="1">
        <v>1</v>
      </c>
      <c r="DD730" s="1">
        <v>2</v>
      </c>
      <c r="DE730" s="1">
        <v>1</v>
      </c>
      <c r="DF730" s="1">
        <v>1</v>
      </c>
      <c r="DG730" s="1">
        <v>2</v>
      </c>
      <c r="DH730" s="1">
        <v>2</v>
      </c>
      <c r="DI730" s="1">
        <f>IF(HRXPH,1,0)</f>
        <v>0</v>
      </c>
      <c r="DJ730" s="1">
        <v>2</v>
      </c>
      <c r="DK730" s="1" t="s">
        <v>1668</v>
      </c>
      <c r="DL730" s="1" t="s">
        <v>170</v>
      </c>
      <c r="DR730" s="1" t="b">
        <f>AlignmentNonLawful</f>
        <v>0</v>
      </c>
      <c r="DS730" s="1" t="b">
        <f>BaseAtk&gt;=4</f>
        <v>0</v>
      </c>
      <c r="DT730" s="1" t="b">
        <f>SkKnowledgePlanesRanks&gt;=4</f>
        <v>0</v>
      </c>
      <c r="DU730" s="1" t="b">
        <f>SkUseMagicDeviceRanks&gt;=8</f>
        <v>0</v>
      </c>
      <c r="EA730" s="1" t="b">
        <f>AND(DM730:DZ730)</f>
        <v>0</v>
      </c>
      <c r="EB730" s="11" t="s">
        <v>338</v>
      </c>
      <c r="EC730" s="1" t="str">
        <f>IF(DR730,"","• Must be of any Non-Lawful alignment.
")&amp;IF(DS730,"","• Base attack bonus of +4 or greater.
")&amp;IF(DT730,"","• 4 ranks in Knowledge (the planes).
")&amp;IF(DU730,"","• 8 ranks in Use Magic Device.
")&amp;IF(DV730,"","• You must have visited two planes of existance other than your native plane (not verified).")</f>
        <v>• Must be of any Non-Lawful alignment.
• Base attack bonus of +4 or greater.
• 4 ranks in Knowledge (the planes).
• 8 ranks in Use Magic Device.
• You must have visited two planes of existance other than your native plane (not verified).</v>
      </c>
      <c r="ED730" s="11" t="s">
        <v>335</v>
      </c>
    </row>
    <row r="731" spans="1:134" ht="11.25" customHeight="1" x14ac:dyDescent="0.2">
      <c r="A731" s="1">
        <f t="shared" si="629"/>
        <v>728</v>
      </c>
      <c r="B731" s="1" t="s">
        <v>1670</v>
      </c>
      <c r="C731" s="1" t="s">
        <v>892</v>
      </c>
      <c r="D731" s="1" t="s">
        <v>892</v>
      </c>
      <c r="E731" s="1">
        <f t="shared" si="626"/>
        <v>0</v>
      </c>
      <c r="K731" s="1">
        <v>4</v>
      </c>
      <c r="L731" s="1">
        <v>10</v>
      </c>
      <c r="N731" s="1" t="b">
        <v>1</v>
      </c>
      <c r="O731" s="1" t="b">
        <v>1</v>
      </c>
      <c r="P731" s="1" t="b">
        <v>1</v>
      </c>
      <c r="Q731" s="1" t="b">
        <v>1</v>
      </c>
      <c r="R731" s="1" t="b">
        <v>1</v>
      </c>
      <c r="S731" s="1" t="b">
        <v>1</v>
      </c>
      <c r="T731" s="1" t="b">
        <v>1</v>
      </c>
      <c r="V731" s="1">
        <v>1</v>
      </c>
      <c r="W731" s="1">
        <v>0.5</v>
      </c>
      <c r="X731" s="1">
        <v>0.5</v>
      </c>
      <c r="Y731" s="1">
        <v>0.34</v>
      </c>
      <c r="Z731" s="1" t="b">
        <f>FALSE</f>
        <v>0</v>
      </c>
      <c r="AA731" s="1" t="str">
        <f t="shared" si="630"/>
        <v/>
      </c>
      <c r="AB731" s="1" t="str">
        <f t="shared" si="631"/>
        <v/>
      </c>
      <c r="AC731" s="1">
        <f t="shared" si="627"/>
        <v>0</v>
      </c>
      <c r="AD731" s="1" t="str">
        <f t="shared" si="632"/>
        <v/>
      </c>
      <c r="AE731" s="1" t="str">
        <f t="shared" si="633"/>
        <v/>
      </c>
      <c r="AF731" s="1">
        <f t="shared" si="628"/>
        <v>0</v>
      </c>
      <c r="AG731" s="1">
        <f t="shared" si="636"/>
        <v>5</v>
      </c>
      <c r="AH731" s="1" t="str">
        <f t="shared" si="635"/>
        <v/>
      </c>
      <c r="AI731" s="1">
        <v>1</v>
      </c>
      <c r="AJ731" s="1">
        <f>IF(HRXPH,1,0)</f>
        <v>0</v>
      </c>
      <c r="AK731" s="1">
        <v>1</v>
      </c>
      <c r="AL731" s="1">
        <v>1</v>
      </c>
      <c r="AM731" s="1">
        <v>2</v>
      </c>
      <c r="AN731" s="1">
        <f>IF(IsLycanthrope,2,0)</f>
        <v>0</v>
      </c>
      <c r="AO731" s="1">
        <v>1</v>
      </c>
      <c r="AP731" s="1">
        <v>2</v>
      </c>
      <c r="AQ731" s="1">
        <v>2</v>
      </c>
      <c r="AR731" s="1">
        <v>2</v>
      </c>
      <c r="AS731" s="1">
        <v>2</v>
      </c>
      <c r="AT731" s="1">
        <v>2</v>
      </c>
      <c r="AU731" s="1">
        <v>2</v>
      </c>
      <c r="AV731" s="1">
        <v>2</v>
      </c>
      <c r="AW731" s="1">
        <v>1</v>
      </c>
      <c r="AX731" s="1">
        <v>1</v>
      </c>
      <c r="AY731" s="1">
        <v>1</v>
      </c>
      <c r="AZ731" s="1">
        <v>1</v>
      </c>
      <c r="BA731" s="1">
        <v>1</v>
      </c>
      <c r="BB731" s="1">
        <v>1</v>
      </c>
      <c r="BC731" s="1">
        <v>1</v>
      </c>
      <c r="BD731" s="1">
        <v>2</v>
      </c>
      <c r="BE731" s="1">
        <v>1</v>
      </c>
      <c r="BF731" s="1">
        <v>2</v>
      </c>
      <c r="BG731" s="1">
        <f>IF(HRRVL,1,0)</f>
        <v>0</v>
      </c>
      <c r="BH731" s="1">
        <f>IF(HROA,1,0)</f>
        <v>0</v>
      </c>
      <c r="BI731" s="1">
        <v>2</v>
      </c>
      <c r="BJ731" s="1">
        <v>2</v>
      </c>
      <c r="BK731" s="1">
        <v>1</v>
      </c>
      <c r="BL731" s="1">
        <v>1</v>
      </c>
      <c r="BM731" s="1">
        <v>1</v>
      </c>
      <c r="BN731" s="1">
        <v>1</v>
      </c>
      <c r="BO731" s="1">
        <v>1</v>
      </c>
      <c r="BP731" s="1">
        <v>1</v>
      </c>
      <c r="BQ731" s="1">
        <f>IF(HRRVL,1,0)</f>
        <v>0</v>
      </c>
      <c r="BR731" s="1">
        <v>1</v>
      </c>
      <c r="BS731" s="1">
        <v>1</v>
      </c>
      <c r="BT731" s="1">
        <f>IF(HRXPH,1,0)</f>
        <v>0</v>
      </c>
      <c r="BU731" s="1">
        <f>IF(HRRVL,1,0)</f>
        <v>0</v>
      </c>
      <c r="BV731" s="1">
        <v>1</v>
      </c>
      <c r="BW731" s="1">
        <v>2</v>
      </c>
      <c r="BX731" s="1">
        <v>1</v>
      </c>
      <c r="BY731" s="1">
        <v>1</v>
      </c>
      <c r="BZ731" s="1">
        <v>1</v>
      </c>
      <c r="CA731" s="1">
        <v>1</v>
      </c>
      <c r="CB731" s="1">
        <v>1</v>
      </c>
      <c r="CC731" s="1">
        <v>1</v>
      </c>
      <c r="CD731" s="1">
        <v>1</v>
      </c>
      <c r="CE731" s="1">
        <v>1</v>
      </c>
      <c r="CF731" s="1">
        <v>2</v>
      </c>
      <c r="CG731" s="1">
        <f>IF(HRToB,1,0)</f>
        <v>0</v>
      </c>
      <c r="CH731" s="1">
        <v>2</v>
      </c>
      <c r="CI731" s="1">
        <v>1</v>
      </c>
      <c r="CJ731" s="1">
        <v>1</v>
      </c>
      <c r="CK731" s="1">
        <v>1</v>
      </c>
      <c r="CL731" s="1">
        <v>1</v>
      </c>
      <c r="CM731" s="1">
        <v>1</v>
      </c>
      <c r="CN731" s="1">
        <v>1</v>
      </c>
      <c r="CO731" s="1">
        <v>1</v>
      </c>
      <c r="CP731" s="1">
        <v>2</v>
      </c>
      <c r="CQ731" s="1">
        <v>2</v>
      </c>
      <c r="CR731" s="1">
        <v>2</v>
      </c>
      <c r="CS731" s="1">
        <v>2</v>
      </c>
      <c r="CT731" s="1">
        <v>2</v>
      </c>
      <c r="CU731" s="1">
        <v>2</v>
      </c>
      <c r="CV731" s="1">
        <f>IF(HRXPH,1,0)</f>
        <v>0</v>
      </c>
      <c r="CW731" s="1">
        <v>2</v>
      </c>
      <c r="CX731" s="1">
        <v>2</v>
      </c>
      <c r="CY731" s="1">
        <v>1</v>
      </c>
      <c r="CZ731" s="1">
        <f>IF(HRCS,1,0)</f>
        <v>0</v>
      </c>
      <c r="DA731" s="1">
        <v>1</v>
      </c>
      <c r="DB731" s="1">
        <v>2</v>
      </c>
      <c r="DC731" s="1">
        <v>1</v>
      </c>
      <c r="DD731" s="1">
        <v>2</v>
      </c>
      <c r="DE731" s="1">
        <v>2</v>
      </c>
      <c r="DF731" s="1">
        <v>2</v>
      </c>
      <c r="DG731" s="1">
        <v>1</v>
      </c>
      <c r="DH731" s="1">
        <v>2</v>
      </c>
      <c r="DI731" s="1">
        <f>IF(HRXPH,1,0)</f>
        <v>0</v>
      </c>
      <c r="DJ731" s="1">
        <v>1</v>
      </c>
      <c r="DK731" s="1" t="s">
        <v>1668</v>
      </c>
      <c r="DL731" s="1" t="s">
        <v>170</v>
      </c>
      <c r="DR731" s="1" t="b">
        <f>BaseAtk&gt;=6</f>
        <v>0</v>
      </c>
      <c r="DS731" s="1" t="b">
        <f>SkKnowledgePlanesRanks&gt;=4</f>
        <v>0</v>
      </c>
      <c r="DT731" s="1" t="b">
        <f>FtWeaponSpecialization1</f>
        <v>0</v>
      </c>
      <c r="EA731" s="1" t="b">
        <f>AND(DM731:DZ731)</f>
        <v>0</v>
      </c>
      <c r="EB731" s="11" t="s">
        <v>338</v>
      </c>
      <c r="EC731" s="1" t="str">
        <f>IF(DR731,"","• Base attack bonus of +5 or greater.
")&amp;IF(DS731,"","• 4 ranks in Knowledge (the planes).
")&amp;IF(DT731,"","• Weapon Specializtion Feat.
")&amp;IF(DU731,"","• You must have visited at least two planes other than your native plane (not verified).")</f>
        <v>• Base attack bonus of +5 or greater.
• 4 ranks in Knowledge (the planes).
• Weapon Specializtion Feat.
• You must have visited at least two planes other than your native plane (not verified).</v>
      </c>
      <c r="ED731" s="11" t="s">
        <v>335</v>
      </c>
    </row>
    <row r="732" spans="1:134" ht="11.25" customHeight="1" x14ac:dyDescent="0.2">
      <c r="A732" s="1">
        <f t="shared" si="629"/>
        <v>729</v>
      </c>
      <c r="B732" s="1" t="s">
        <v>1671</v>
      </c>
      <c r="C732" s="1" t="s">
        <v>1672</v>
      </c>
      <c r="D732" s="1" t="s">
        <v>1672</v>
      </c>
      <c r="E732" s="1">
        <f t="shared" si="626"/>
        <v>0</v>
      </c>
      <c r="G732" s="1">
        <f>INT(PlSLvl/2)+(PlSLvl&gt;=3)+(PlSLvl&gt;=7)</f>
        <v>0</v>
      </c>
      <c r="K732" s="1">
        <v>4</v>
      </c>
      <c r="L732" s="1">
        <v>4</v>
      </c>
      <c r="V732" s="1">
        <v>0.5</v>
      </c>
      <c r="W732" s="1">
        <v>0.5</v>
      </c>
      <c r="X732" s="1">
        <v>0.34</v>
      </c>
      <c r="Y732" s="1">
        <v>0.34</v>
      </c>
      <c r="Z732" s="1" t="b">
        <f>FALSE</f>
        <v>0</v>
      </c>
      <c r="AA732" s="1" t="str">
        <f t="shared" si="630"/>
        <v/>
      </c>
      <c r="AB732" s="1" t="str">
        <f t="shared" si="631"/>
        <v/>
      </c>
      <c r="AC732" s="1">
        <f t="shared" si="627"/>
        <v>0</v>
      </c>
      <c r="AD732" s="1" t="str">
        <f t="shared" si="632"/>
        <v/>
      </c>
      <c r="AE732" s="1" t="str">
        <f t="shared" si="633"/>
        <v/>
      </c>
      <c r="AF732" s="1">
        <f t="shared" si="628"/>
        <v>0</v>
      </c>
      <c r="AG732" s="1">
        <f t="shared" si="636"/>
        <v>5</v>
      </c>
      <c r="AH732" s="1" t="str">
        <f t="shared" si="635"/>
        <v/>
      </c>
      <c r="AI732" s="1">
        <v>1</v>
      </c>
      <c r="AJ732" s="1">
        <f>IF(HRXPH,1,0)</f>
        <v>0</v>
      </c>
      <c r="AK732" s="1">
        <v>1</v>
      </c>
      <c r="AL732" s="1">
        <v>1</v>
      </c>
      <c r="AM732" s="1">
        <v>1</v>
      </c>
      <c r="AN732" s="1">
        <f>IF(IsLycanthrope,2,0)</f>
        <v>0</v>
      </c>
      <c r="AO732" s="1">
        <v>2</v>
      </c>
      <c r="AP732" s="1">
        <v>2</v>
      </c>
      <c r="AQ732" s="1">
        <v>2</v>
      </c>
      <c r="AR732" s="1">
        <v>2</v>
      </c>
      <c r="AS732" s="1">
        <v>2</v>
      </c>
      <c r="AT732" s="1">
        <v>2</v>
      </c>
      <c r="AU732" s="1">
        <v>2</v>
      </c>
      <c r="AV732" s="1">
        <v>2</v>
      </c>
      <c r="AW732" s="1">
        <v>1</v>
      </c>
      <c r="AX732" s="1">
        <v>2</v>
      </c>
      <c r="AY732" s="1">
        <v>1</v>
      </c>
      <c r="AZ732" s="1">
        <v>1</v>
      </c>
      <c r="BA732" s="1">
        <v>1</v>
      </c>
      <c r="BB732" s="1">
        <v>1</v>
      </c>
      <c r="BC732" s="1">
        <v>2</v>
      </c>
      <c r="BD732" s="1">
        <v>1</v>
      </c>
      <c r="BE732" s="1">
        <v>1</v>
      </c>
      <c r="BF732" s="1">
        <v>1</v>
      </c>
      <c r="BG732" s="1">
        <f>IF(HRRVL,1,0)</f>
        <v>0</v>
      </c>
      <c r="BH732" s="1">
        <f>IF(HROA,1,0)</f>
        <v>0</v>
      </c>
      <c r="BI732" s="1">
        <v>2</v>
      </c>
      <c r="BJ732" s="1">
        <v>1</v>
      </c>
      <c r="BK732" s="1">
        <v>2</v>
      </c>
      <c r="BL732" s="1">
        <v>2</v>
      </c>
      <c r="BM732" s="1">
        <v>2</v>
      </c>
      <c r="BN732" s="1">
        <v>2</v>
      </c>
      <c r="BO732" s="1">
        <v>2</v>
      </c>
      <c r="BP732" s="1">
        <f>1+NOT(HRLivingGreyhawk)</f>
        <v>2</v>
      </c>
      <c r="BQ732" s="1">
        <f>IF(HRRVL,2,0)</f>
        <v>0</v>
      </c>
      <c r="BR732" s="1">
        <v>2</v>
      </c>
      <c r="BS732" s="1">
        <v>2</v>
      </c>
      <c r="BT732" s="1">
        <f>IF(HRXPH,2,0)</f>
        <v>0</v>
      </c>
      <c r="BU732" s="1">
        <f>IF(HRRVL,2,0)</f>
        <v>0</v>
      </c>
      <c r="BV732" s="1">
        <v>2</v>
      </c>
      <c r="BW732" s="1">
        <v>2</v>
      </c>
      <c r="BX732" s="1">
        <v>2</v>
      </c>
      <c r="BY732" s="1">
        <v>2</v>
      </c>
      <c r="BZ732" s="1">
        <v>2</v>
      </c>
      <c r="CA732" s="1">
        <v>2</v>
      </c>
      <c r="CB732" s="1">
        <v>2</v>
      </c>
      <c r="CC732" s="1">
        <v>2</v>
      </c>
      <c r="CD732" s="1">
        <v>2</v>
      </c>
      <c r="CE732" s="1">
        <v>2</v>
      </c>
      <c r="CF732" s="1">
        <v>1</v>
      </c>
      <c r="CG732" s="1">
        <f>IF(HRToB,1,0)</f>
        <v>0</v>
      </c>
      <c r="CH732" s="1">
        <v>1</v>
      </c>
      <c r="CI732" s="1">
        <v>1</v>
      </c>
      <c r="CJ732" s="1">
        <v>2</v>
      </c>
      <c r="CK732" s="1">
        <v>2</v>
      </c>
      <c r="CL732" s="1">
        <v>2</v>
      </c>
      <c r="CM732" s="1">
        <v>2</v>
      </c>
      <c r="CN732" s="1">
        <v>2</v>
      </c>
      <c r="CO732" s="1">
        <v>2</v>
      </c>
      <c r="CP732" s="1">
        <v>2</v>
      </c>
      <c r="CQ732" s="1">
        <v>2</v>
      </c>
      <c r="CR732" s="1">
        <v>2</v>
      </c>
      <c r="CS732" s="1">
        <v>2</v>
      </c>
      <c r="CT732" s="1">
        <v>2</v>
      </c>
      <c r="CU732" s="1">
        <v>2</v>
      </c>
      <c r="CV732" s="1">
        <f>IF(HRXPH,1,0)</f>
        <v>0</v>
      </c>
      <c r="CW732" s="1">
        <v>2</v>
      </c>
      <c r="CX732" s="1">
        <v>2</v>
      </c>
      <c r="CY732" s="1">
        <v>1</v>
      </c>
      <c r="CZ732" s="1">
        <f>IF(HRCS,1,0)</f>
        <v>0</v>
      </c>
      <c r="DA732" s="1">
        <v>1</v>
      </c>
      <c r="DB732" s="1">
        <v>2</v>
      </c>
      <c r="DC732" s="1">
        <v>2</v>
      </c>
      <c r="DD732" s="1">
        <v>1</v>
      </c>
      <c r="DE732" s="1">
        <v>1</v>
      </c>
      <c r="DF732" s="1">
        <v>2</v>
      </c>
      <c r="DG732" s="1">
        <v>1</v>
      </c>
      <c r="DH732" s="1">
        <v>1</v>
      </c>
      <c r="DI732" s="1">
        <f>IF(HRXPH,1,0)</f>
        <v>0</v>
      </c>
      <c r="DJ732" s="1">
        <v>1</v>
      </c>
      <c r="DK732" s="1" t="s">
        <v>1668</v>
      </c>
      <c r="DL732" s="1" t="s">
        <v>170</v>
      </c>
      <c r="DR732" s="1" t="b">
        <f>SkConcentrationRanks&gt;=10</f>
        <v>0</v>
      </c>
      <c r="DS732" s="1" t="b">
        <f>SkKnowledgePlanesRanks&gt;=4</f>
        <v>0</v>
      </c>
      <c r="DT732" s="1" t="b">
        <f>SkSpellcraftRanks&gt;=10</f>
        <v>0</v>
      </c>
      <c r="DU732" s="1" t="b">
        <f>FtCraftWonderousItem</f>
        <v>0</v>
      </c>
      <c r="DV732" s="1" t="b">
        <f ca="1">MaxArcaneSpellLevel&gt;=5</f>
        <v>0</v>
      </c>
      <c r="EA732" s="1" t="b">
        <f ca="1">AND(DM732:DZ732)</f>
        <v>0</v>
      </c>
      <c r="EB732" s="11" t="s">
        <v>338</v>
      </c>
      <c r="EC732" s="1" t="str">
        <f ca="1">IF(DR732,"","• 10 ranks in Concentration.
")&amp;IF(DS732,"","• 4 ranks in Knowledge (the planes).
")&amp;IF(DT732,"","• 10 ranks in Spellcraft.
")&amp;IF(DU732,"","• Craft Wonderous Item Feat.
")&amp;IF(DV732,"","• Must be able to cast 5th-level Arcane spells.
")&amp;"• Must have visited an Inner or Outer plane (not verified)."</f>
        <v>• 10 ranks in Concentration.
• 4 ranks in Knowledge (the planes).
• 10 ranks in Spellcraft.
• Craft Wonderous Item Feat.
• Must be able to cast 5th-level Arcane spells.
• Must have visited an Inner or Outer plane (not verified).</v>
      </c>
      <c r="ED732" s="11" t="s">
        <v>335</v>
      </c>
    </row>
    <row r="733" spans="1:134" ht="11.25" customHeight="1" x14ac:dyDescent="0.2">
      <c r="A733" s="1">
        <f t="shared" si="629"/>
        <v>730</v>
      </c>
      <c r="B733" s="1" t="s">
        <v>1673</v>
      </c>
      <c r="E733" s="1">
        <f t="shared" si="626"/>
        <v>0</v>
      </c>
      <c r="F733" s="1">
        <v>1</v>
      </c>
      <c r="Z733" s="1" t="b">
        <f>FALSE</f>
        <v>0</v>
      </c>
      <c r="AA733" s="1" t="str">
        <f t="shared" si="630"/>
        <v/>
      </c>
      <c r="AB733" s="1" t="str">
        <f t="shared" si="631"/>
        <v/>
      </c>
      <c r="AC733" s="1">
        <f t="shared" si="627"/>
        <v>0</v>
      </c>
      <c r="AD733" s="1" t="str">
        <f t="shared" si="632"/>
        <v/>
      </c>
      <c r="AE733" s="1" t="str">
        <f t="shared" si="633"/>
        <v/>
      </c>
      <c r="AF733" s="1">
        <f t="shared" si="628"/>
        <v>0</v>
      </c>
      <c r="AG733" s="1">
        <f t="shared" si="636"/>
        <v>5</v>
      </c>
      <c r="AH733" s="1" t="str">
        <f t="shared" si="635"/>
        <v/>
      </c>
      <c r="EB733" s="11"/>
      <c r="ED733" s="11" t="s">
        <v>335</v>
      </c>
    </row>
    <row r="734" spans="1:134" ht="11.25" customHeight="1" x14ac:dyDescent="0.2">
      <c r="A734" s="1">
        <f t="shared" si="629"/>
        <v>731</v>
      </c>
      <c r="B734" s="1" t="s">
        <v>1674</v>
      </c>
      <c r="C734" s="1" t="s">
        <v>1675</v>
      </c>
      <c r="D734" s="1" t="s">
        <v>1675</v>
      </c>
      <c r="E734" s="1">
        <f t="shared" si="626"/>
        <v>0</v>
      </c>
      <c r="G734" s="1">
        <f>AnInLvl</f>
        <v>0</v>
      </c>
      <c r="K734" s="1">
        <v>4</v>
      </c>
      <c r="L734" s="1">
        <v>8</v>
      </c>
      <c r="N734" s="1" t="b">
        <v>1</v>
      </c>
      <c r="O734" s="1" t="b">
        <v>1</v>
      </c>
      <c r="P734" s="1" t="b">
        <v>1</v>
      </c>
      <c r="Q734" s="1" t="b">
        <v>1</v>
      </c>
      <c r="V734" s="1">
        <v>0.75</v>
      </c>
      <c r="W734" s="1">
        <v>0.5</v>
      </c>
      <c r="X734" s="1">
        <v>0.34</v>
      </c>
      <c r="Y734" s="1">
        <v>0.5</v>
      </c>
      <c r="Z734" s="1" t="b">
        <f>FALSE</f>
        <v>0</v>
      </c>
      <c r="AA734" s="1" t="str">
        <f t="shared" si="630"/>
        <v/>
      </c>
      <c r="AB734" s="1" t="str">
        <f t="shared" si="631"/>
        <v/>
      </c>
      <c r="AC734" s="1">
        <f t="shared" si="627"/>
        <v>0</v>
      </c>
      <c r="AD734" s="1" t="str">
        <f t="shared" si="632"/>
        <v/>
      </c>
      <c r="AE734" s="1" t="str">
        <f t="shared" si="633"/>
        <v/>
      </c>
      <c r="AF734" s="1">
        <f t="shared" si="628"/>
        <v>0</v>
      </c>
      <c r="AG734" s="1">
        <f t="shared" si="636"/>
        <v>5</v>
      </c>
      <c r="AH734" s="1" t="str">
        <f t="shared" si="635"/>
        <v/>
      </c>
      <c r="AI734" s="1">
        <v>1</v>
      </c>
      <c r="AJ734" s="1">
        <f t="shared" ref="AJ734:AJ745" si="637">IF(HRXPH,1,0)</f>
        <v>0</v>
      </c>
      <c r="AK734" s="1">
        <v>1</v>
      </c>
      <c r="AL734" s="1">
        <v>1</v>
      </c>
      <c r="AM734" s="1">
        <v>1</v>
      </c>
      <c r="AN734" s="1">
        <f t="shared" ref="AN734:AN745" si="638">IF(IsLycanthrope,2,0)</f>
        <v>0</v>
      </c>
      <c r="AO734" s="1">
        <v>2</v>
      </c>
      <c r="AP734" s="1">
        <v>2</v>
      </c>
      <c r="AQ734" s="1">
        <v>2</v>
      </c>
      <c r="AR734" s="1">
        <v>2</v>
      </c>
      <c r="AS734" s="1">
        <v>2</v>
      </c>
      <c r="AT734" s="1">
        <v>2</v>
      </c>
      <c r="AU734" s="1">
        <v>2</v>
      </c>
      <c r="AV734" s="1">
        <v>2</v>
      </c>
      <c r="AW734" s="1">
        <v>1</v>
      </c>
      <c r="AX734" s="1">
        <v>2</v>
      </c>
      <c r="AY734" s="1">
        <v>1</v>
      </c>
      <c r="AZ734" s="1">
        <v>1</v>
      </c>
      <c r="BA734" s="1">
        <v>1</v>
      </c>
      <c r="BB734" s="1">
        <v>1</v>
      </c>
      <c r="BC734" s="1">
        <v>1</v>
      </c>
      <c r="BD734" s="1">
        <v>1</v>
      </c>
      <c r="BE734" s="1">
        <v>2</v>
      </c>
      <c r="BF734" s="1">
        <v>1</v>
      </c>
      <c r="BG734" s="1">
        <f t="shared" ref="BG734:BG745" si="639">IF(HRRVL,1,0)</f>
        <v>0</v>
      </c>
      <c r="BH734" s="1">
        <f t="shared" ref="BH734:BH745" si="640">IF(HROA,1,0)</f>
        <v>0</v>
      </c>
      <c r="BI734" s="1">
        <v>1</v>
      </c>
      <c r="BJ734" s="1">
        <v>1</v>
      </c>
      <c r="BK734" s="1">
        <v>2</v>
      </c>
      <c r="BL734" s="1">
        <v>1</v>
      </c>
      <c r="BM734" s="1">
        <v>1</v>
      </c>
      <c r="BN734" s="1">
        <v>1</v>
      </c>
      <c r="BO734" s="1">
        <v>1</v>
      </c>
      <c r="BP734" s="1">
        <v>1</v>
      </c>
      <c r="BQ734" s="1">
        <f t="shared" ref="BQ734:BQ739" si="641">IF(HRRVL,1,0)</f>
        <v>0</v>
      </c>
      <c r="BR734" s="1">
        <v>1</v>
      </c>
      <c r="BS734" s="1">
        <v>1</v>
      </c>
      <c r="BT734" s="1">
        <v>0</v>
      </c>
      <c r="BU734" s="1">
        <f>IF(HRRVL,2,0)</f>
        <v>0</v>
      </c>
      <c r="BV734" s="1">
        <v>2</v>
      </c>
      <c r="BW734" s="1">
        <v>1</v>
      </c>
      <c r="BX734" s="1">
        <v>1</v>
      </c>
      <c r="BY734" s="1">
        <v>1</v>
      </c>
      <c r="BZ734" s="1">
        <v>1</v>
      </c>
      <c r="CA734" s="1">
        <v>1</v>
      </c>
      <c r="CB734" s="1">
        <v>1</v>
      </c>
      <c r="CC734" s="1">
        <v>1</v>
      </c>
      <c r="CD734" s="1">
        <v>1</v>
      </c>
      <c r="CE734" s="1">
        <v>1</v>
      </c>
      <c r="CF734" s="1">
        <v>1</v>
      </c>
      <c r="CG734" s="1">
        <f t="shared" ref="CG734:CG745" si="642">IF(HRToB,1,0)</f>
        <v>0</v>
      </c>
      <c r="CH734" s="1">
        <v>1</v>
      </c>
      <c r="CI734" s="1">
        <v>1</v>
      </c>
      <c r="CJ734" s="1">
        <v>1</v>
      </c>
      <c r="CK734" s="1">
        <v>1</v>
      </c>
      <c r="CL734" s="1">
        <v>1</v>
      </c>
      <c r="CM734" s="1">
        <v>1</v>
      </c>
      <c r="CN734" s="1">
        <v>1</v>
      </c>
      <c r="CO734" s="1">
        <v>1</v>
      </c>
      <c r="CP734" s="1">
        <v>2</v>
      </c>
      <c r="CQ734" s="1">
        <v>2</v>
      </c>
      <c r="CR734" s="1">
        <v>2</v>
      </c>
      <c r="CS734" s="1">
        <v>2</v>
      </c>
      <c r="CT734" s="1">
        <v>2</v>
      </c>
      <c r="CU734" s="1">
        <v>2</v>
      </c>
      <c r="CV734" s="1">
        <v>0</v>
      </c>
      <c r="CW734" s="1">
        <v>1</v>
      </c>
      <c r="CX734" s="1">
        <v>1</v>
      </c>
      <c r="CY734" s="1">
        <v>2</v>
      </c>
      <c r="CZ734" s="1">
        <f t="shared" ref="CZ734:CZ745" si="643">IF(HRCS,1,0)</f>
        <v>0</v>
      </c>
      <c r="DA734" s="1">
        <v>1</v>
      </c>
      <c r="DB734" s="1">
        <v>1</v>
      </c>
      <c r="DC734" s="1">
        <v>2</v>
      </c>
      <c r="DD734" s="1">
        <v>1</v>
      </c>
      <c r="DE734" s="1">
        <v>1</v>
      </c>
      <c r="DF734" s="1">
        <v>1</v>
      </c>
      <c r="DG734" s="1">
        <v>1</v>
      </c>
      <c r="DH734" s="1">
        <v>1</v>
      </c>
      <c r="DI734" s="1">
        <v>0</v>
      </c>
      <c r="DJ734" s="1">
        <v>1</v>
      </c>
      <c r="DK734" s="1" t="s">
        <v>515</v>
      </c>
      <c r="DL734" s="1" t="s">
        <v>170</v>
      </c>
      <c r="DQ734" s="1" t="b">
        <f>BaseAtk&gt;=3</f>
        <v>0</v>
      </c>
      <c r="DR734" s="1" t="b">
        <f>SkKnowledgeArcanaRanks&gt;=8</f>
        <v>0</v>
      </c>
      <c r="DS734" s="1" t="b">
        <f>SkSenseMotiveRanks&gt;=8</f>
        <v>0</v>
      </c>
      <c r="DT734" s="1" t="b">
        <f>FtNegotiator</f>
        <v>0</v>
      </c>
      <c r="DU734" s="1" t="b">
        <f>AND(AlignmentLawful,AlignmentGood)</f>
        <v>1</v>
      </c>
      <c r="DZ734" s="1" t="b">
        <f t="shared" ref="DZ734:DZ776" si="644">NOT(HRLivingGreyhawk)</f>
        <v>1</v>
      </c>
      <c r="EA734" s="1" t="b">
        <f t="shared" ref="EA734:EA745" si="645">AND(DM734:DZ734)</f>
        <v>0</v>
      </c>
      <c r="EB734" s="11" t="s">
        <v>334</v>
      </c>
      <c r="EC734" s="1" t="str">
        <f>IF(DQ734,"","• Base Attack Bonus +3.
")&amp;IF(DR734,"","• 8 ranks in Knowledge (arcana).
")&amp;IF(DS734,"","• 8 ranks in Sense Motive
")&amp;IF(DT734,"","• Negotiator feat.
")&amp;IF(DU734,"","• Lawful Good alignment.")</f>
        <v xml:space="preserve">• Base Attack Bonus +3.
• 8 ranks in Knowledge (arcana).
• 8 ranks in Sense Motive
• Negotiator feat.
</v>
      </c>
      <c r="ED734" s="11" t="s">
        <v>335</v>
      </c>
    </row>
    <row r="735" spans="1:134" ht="11.25" customHeight="1" x14ac:dyDescent="0.2">
      <c r="A735" s="1">
        <f t="shared" si="629"/>
        <v>732</v>
      </c>
      <c r="B735" s="1" t="s">
        <v>1676</v>
      </c>
      <c r="C735" s="1" t="s">
        <v>1677</v>
      </c>
      <c r="D735" s="1" t="s">
        <v>1677</v>
      </c>
      <c r="E735" s="1">
        <f t="shared" si="626"/>
        <v>0</v>
      </c>
      <c r="G735" s="1">
        <f>AnWrLvl</f>
        <v>0</v>
      </c>
      <c r="K735" s="1">
        <v>4</v>
      </c>
      <c r="L735" s="1">
        <v>8</v>
      </c>
      <c r="N735" s="1" t="b">
        <v>1</v>
      </c>
      <c r="O735" s="1" t="b">
        <v>1</v>
      </c>
      <c r="P735" s="1" t="b">
        <v>1</v>
      </c>
      <c r="Q735" s="1" t="b">
        <v>1</v>
      </c>
      <c r="V735" s="1">
        <v>0.75</v>
      </c>
      <c r="W735" s="1">
        <v>0.34</v>
      </c>
      <c r="X735" s="1">
        <v>0.34</v>
      </c>
      <c r="Y735" s="1">
        <v>0.5</v>
      </c>
      <c r="Z735" s="1" t="b">
        <f>FALSE</f>
        <v>0</v>
      </c>
      <c r="AA735" s="1" t="str">
        <f t="shared" si="630"/>
        <v/>
      </c>
      <c r="AB735" s="1" t="str">
        <f t="shared" si="631"/>
        <v/>
      </c>
      <c r="AC735" s="1">
        <f t="shared" si="627"/>
        <v>0</v>
      </c>
      <c r="AD735" s="1" t="str">
        <f t="shared" si="632"/>
        <v/>
      </c>
      <c r="AE735" s="1" t="str">
        <f t="shared" si="633"/>
        <v/>
      </c>
      <c r="AF735" s="1">
        <f t="shared" si="628"/>
        <v>0</v>
      </c>
      <c r="AG735" s="1">
        <f t="shared" si="636"/>
        <v>5</v>
      </c>
      <c r="AH735" s="1" t="str">
        <f t="shared" si="635"/>
        <v/>
      </c>
      <c r="AI735" s="1">
        <v>1</v>
      </c>
      <c r="AJ735" s="1">
        <f t="shared" si="637"/>
        <v>0</v>
      </c>
      <c r="AK735" s="1">
        <v>1</v>
      </c>
      <c r="AL735" s="1">
        <v>1</v>
      </c>
      <c r="AM735" s="1">
        <v>1</v>
      </c>
      <c r="AN735" s="1">
        <f t="shared" si="638"/>
        <v>0</v>
      </c>
      <c r="AO735" s="1">
        <v>2</v>
      </c>
      <c r="AP735" s="1">
        <v>2</v>
      </c>
      <c r="AQ735" s="1">
        <v>2</v>
      </c>
      <c r="AR735" s="1">
        <v>2</v>
      </c>
      <c r="AS735" s="1">
        <v>2</v>
      </c>
      <c r="AT735" s="1">
        <v>2</v>
      </c>
      <c r="AU735" s="1">
        <v>2</v>
      </c>
      <c r="AV735" s="1">
        <v>2</v>
      </c>
      <c r="AW735" s="1">
        <v>1</v>
      </c>
      <c r="AX735" s="1">
        <v>2</v>
      </c>
      <c r="AY735" s="1">
        <v>1</v>
      </c>
      <c r="AZ735" s="1">
        <v>1</v>
      </c>
      <c r="BA735" s="1">
        <v>1</v>
      </c>
      <c r="BB735" s="1">
        <v>1</v>
      </c>
      <c r="BC735" s="1">
        <v>1</v>
      </c>
      <c r="BD735" s="1">
        <v>1</v>
      </c>
      <c r="BE735" s="1">
        <v>2</v>
      </c>
      <c r="BF735" s="1">
        <v>1</v>
      </c>
      <c r="BG735" s="1">
        <f t="shared" si="639"/>
        <v>0</v>
      </c>
      <c r="BH735" s="1">
        <f t="shared" si="640"/>
        <v>0</v>
      </c>
      <c r="BI735" s="1">
        <v>1</v>
      </c>
      <c r="BJ735" s="1">
        <v>1</v>
      </c>
      <c r="BK735" s="1">
        <v>2</v>
      </c>
      <c r="BL735" s="1">
        <v>1</v>
      </c>
      <c r="BM735" s="1">
        <v>1</v>
      </c>
      <c r="BN735" s="1">
        <v>2</v>
      </c>
      <c r="BO735" s="1">
        <v>1</v>
      </c>
      <c r="BP735" s="1">
        <v>1</v>
      </c>
      <c r="BQ735" s="1">
        <f t="shared" si="641"/>
        <v>0</v>
      </c>
      <c r="BR735" s="1">
        <v>1</v>
      </c>
      <c r="BS735" s="1">
        <v>1</v>
      </c>
      <c r="BT735" s="1">
        <v>0</v>
      </c>
      <c r="BU735" s="1">
        <f>IF(HRRVL,2,0)</f>
        <v>0</v>
      </c>
      <c r="BV735" s="1">
        <v>2</v>
      </c>
      <c r="BW735" s="1">
        <v>1</v>
      </c>
      <c r="BX735" s="1">
        <v>1</v>
      </c>
      <c r="BY735" s="1">
        <v>1</v>
      </c>
      <c r="BZ735" s="1">
        <v>1</v>
      </c>
      <c r="CA735" s="1">
        <v>1</v>
      </c>
      <c r="CB735" s="1">
        <v>1</v>
      </c>
      <c r="CC735" s="1">
        <v>1</v>
      </c>
      <c r="CD735" s="1">
        <v>1</v>
      </c>
      <c r="CE735" s="1">
        <v>1</v>
      </c>
      <c r="CF735" s="1">
        <v>1</v>
      </c>
      <c r="CG735" s="1">
        <f t="shared" si="642"/>
        <v>0</v>
      </c>
      <c r="CH735" s="1">
        <v>1</v>
      </c>
      <c r="CI735" s="1">
        <v>1</v>
      </c>
      <c r="CJ735" s="1">
        <v>1</v>
      </c>
      <c r="CK735" s="1">
        <v>1</v>
      </c>
      <c r="CL735" s="1">
        <v>1</v>
      </c>
      <c r="CM735" s="1">
        <v>1</v>
      </c>
      <c r="CN735" s="1">
        <v>1</v>
      </c>
      <c r="CO735" s="1">
        <v>1</v>
      </c>
      <c r="CP735" s="1">
        <v>2</v>
      </c>
      <c r="CQ735" s="1">
        <v>2</v>
      </c>
      <c r="CR735" s="1">
        <v>2</v>
      </c>
      <c r="CS735" s="1">
        <v>2</v>
      </c>
      <c r="CT735" s="1">
        <v>2</v>
      </c>
      <c r="CU735" s="1">
        <v>2</v>
      </c>
      <c r="CV735" s="1">
        <v>0</v>
      </c>
      <c r="CW735" s="1">
        <v>1</v>
      </c>
      <c r="CX735" s="1">
        <v>1</v>
      </c>
      <c r="CY735" s="1">
        <v>2</v>
      </c>
      <c r="CZ735" s="1">
        <f t="shared" si="643"/>
        <v>0</v>
      </c>
      <c r="DA735" s="1">
        <v>1</v>
      </c>
      <c r="DB735" s="1">
        <v>1</v>
      </c>
      <c r="DC735" s="1">
        <v>2</v>
      </c>
      <c r="DD735" s="1">
        <v>1</v>
      </c>
      <c r="DE735" s="1">
        <v>1</v>
      </c>
      <c r="DF735" s="1">
        <v>1</v>
      </c>
      <c r="DG735" s="1">
        <v>1</v>
      </c>
      <c r="DH735" s="1">
        <v>1</v>
      </c>
      <c r="DI735" s="1">
        <v>0</v>
      </c>
      <c r="DJ735" s="1">
        <v>1</v>
      </c>
      <c r="DK735" s="1" t="s">
        <v>515</v>
      </c>
      <c r="DL735" s="1" t="s">
        <v>170</v>
      </c>
      <c r="DQ735" s="1" t="b">
        <f>BaseAtk&gt;=3</f>
        <v>0</v>
      </c>
      <c r="DR735" s="1" t="b">
        <f>SkKnowledgeGeographyRanks&gt;=5</f>
        <v>0</v>
      </c>
      <c r="DS735" s="1" t="b">
        <f>SkKnowledgeReligionRanks&gt;=5</f>
        <v>0</v>
      </c>
      <c r="DT735" s="1" t="b">
        <f>FtRun</f>
        <v>0</v>
      </c>
      <c r="DU735" s="1" t="b">
        <f>AlignmentTrueNeutral</f>
        <v>0</v>
      </c>
      <c r="DV735" s="1" t="b">
        <f ca="1">MaxDivineSpellLevel&gt;=3</f>
        <v>0</v>
      </c>
      <c r="DZ735" s="1" t="b">
        <f t="shared" si="644"/>
        <v>1</v>
      </c>
      <c r="EA735" s="1" t="b">
        <f ca="1">AND(DM735:DZ735)</f>
        <v>0</v>
      </c>
      <c r="EB735" s="11" t="s">
        <v>334</v>
      </c>
      <c r="EC735" s="1" t="str">
        <f ca="1">IF(DQ735,"","• Base Attack Bonus +3
")&amp;IF(DR735,"","• 5 ranks in Knowledge (geography).
")&amp;IF(DS735,"","• 5 ranks in Knowledge (religion).
")&amp;IF(DT735,"","• Run feat.
")&amp;IF(DU735,"","• True Neutral aligment.
")&amp;IF(DV735,"","• Able to cast 3rd level divine spells.")</f>
        <v>• Base Attack Bonus +3
• 5 ranks in Knowledge (geography).
• 5 ranks in Knowledge (religion).
• Run feat.
• True Neutral aligment.
• Able to cast 3rd level divine spells.</v>
      </c>
      <c r="ED735" s="11" t="s">
        <v>335</v>
      </c>
    </row>
    <row r="736" spans="1:134" ht="11.25" customHeight="1" x14ac:dyDescent="0.2">
      <c r="A736" s="1">
        <f t="shared" si="629"/>
        <v>733</v>
      </c>
      <c r="B736" s="1" t="s">
        <v>1678</v>
      </c>
      <c r="C736" s="1" t="s">
        <v>1679</v>
      </c>
      <c r="D736" s="1" t="s">
        <v>1679</v>
      </c>
      <c r="E736" s="1">
        <f t="shared" si="626"/>
        <v>0</v>
      </c>
      <c r="K736" s="1">
        <v>2</v>
      </c>
      <c r="L736" s="1">
        <v>10</v>
      </c>
      <c r="N736" s="1" t="b">
        <v>1</v>
      </c>
      <c r="O736" s="1" t="b">
        <v>1</v>
      </c>
      <c r="P736" s="1" t="b">
        <v>1</v>
      </c>
      <c r="Q736" s="1" t="b">
        <v>1</v>
      </c>
      <c r="S736" s="1" t="b">
        <v>1</v>
      </c>
      <c r="T736" s="1" t="b">
        <v>1</v>
      </c>
      <c r="V736" s="1">
        <v>1</v>
      </c>
      <c r="W736" s="1">
        <v>0.5</v>
      </c>
      <c r="X736" s="1">
        <v>0.34</v>
      </c>
      <c r="Y736" s="1">
        <v>0.34</v>
      </c>
      <c r="Z736" s="1" t="b">
        <f>FALSE</f>
        <v>0</v>
      </c>
      <c r="AA736" s="1" t="str">
        <f t="shared" si="630"/>
        <v/>
      </c>
      <c r="AB736" s="1" t="str">
        <f t="shared" si="631"/>
        <v/>
      </c>
      <c r="AC736" s="1">
        <f t="shared" si="627"/>
        <v>0</v>
      </c>
      <c r="AD736" s="1" t="str">
        <f t="shared" si="632"/>
        <v/>
      </c>
      <c r="AE736" s="1" t="str">
        <f t="shared" si="633"/>
        <v/>
      </c>
      <c r="AF736" s="1">
        <f t="shared" si="628"/>
        <v>0</v>
      </c>
      <c r="AG736" s="1">
        <f t="shared" si="636"/>
        <v>5</v>
      </c>
      <c r="AH736" s="1" t="str">
        <f t="shared" si="635"/>
        <v/>
      </c>
      <c r="AI736" s="1">
        <v>1</v>
      </c>
      <c r="AJ736" s="1">
        <f t="shared" si="637"/>
        <v>0</v>
      </c>
      <c r="AK736" s="1">
        <v>1</v>
      </c>
      <c r="AL736" s="1">
        <v>1</v>
      </c>
      <c r="AM736" s="1">
        <v>2</v>
      </c>
      <c r="AN736" s="1">
        <f t="shared" si="638"/>
        <v>0</v>
      </c>
      <c r="AO736" s="1">
        <v>1</v>
      </c>
      <c r="AP736" s="1">
        <v>2</v>
      </c>
      <c r="AQ736" s="1">
        <v>2</v>
      </c>
      <c r="AR736" s="1">
        <v>2</v>
      </c>
      <c r="AS736" s="1">
        <v>2</v>
      </c>
      <c r="AT736" s="1">
        <v>2</v>
      </c>
      <c r="AU736" s="1">
        <v>2</v>
      </c>
      <c r="AV736" s="1">
        <v>2</v>
      </c>
      <c r="AW736" s="1">
        <v>1</v>
      </c>
      <c r="AX736" s="1">
        <v>1</v>
      </c>
      <c r="AY736" s="1">
        <v>1</v>
      </c>
      <c r="AZ736" s="1">
        <v>1</v>
      </c>
      <c r="BA736" s="1">
        <v>1</v>
      </c>
      <c r="BB736" s="1">
        <v>1</v>
      </c>
      <c r="BC736" s="1">
        <v>1</v>
      </c>
      <c r="BD736" s="1">
        <v>2</v>
      </c>
      <c r="BE736" s="1">
        <v>1</v>
      </c>
      <c r="BF736" s="1">
        <v>1</v>
      </c>
      <c r="BG736" s="1">
        <f t="shared" si="639"/>
        <v>0</v>
      </c>
      <c r="BH736" s="1">
        <f t="shared" si="640"/>
        <v>0</v>
      </c>
      <c r="BI736" s="1">
        <v>1</v>
      </c>
      <c r="BJ736" s="1">
        <v>2</v>
      </c>
      <c r="BK736" s="1">
        <v>1</v>
      </c>
      <c r="BL736" s="1">
        <v>1</v>
      </c>
      <c r="BM736" s="1">
        <v>1</v>
      </c>
      <c r="BN736" s="1">
        <v>1</v>
      </c>
      <c r="BO736" s="1">
        <v>1</v>
      </c>
      <c r="BP736" s="1">
        <v>1</v>
      </c>
      <c r="BQ736" s="1">
        <f t="shared" si="641"/>
        <v>0</v>
      </c>
      <c r="BR736" s="1">
        <v>1</v>
      </c>
      <c r="BS736" s="1">
        <v>1</v>
      </c>
      <c r="BT736" s="1">
        <v>0</v>
      </c>
      <c r="BU736" s="1">
        <f>IF(HRRVL,1,0)</f>
        <v>0</v>
      </c>
      <c r="BV736" s="1">
        <v>1</v>
      </c>
      <c r="BW736" s="1">
        <v>1</v>
      </c>
      <c r="BX736" s="1">
        <v>1</v>
      </c>
      <c r="BY736" s="1">
        <v>1</v>
      </c>
      <c r="BZ736" s="1">
        <v>1</v>
      </c>
      <c r="CA736" s="1">
        <v>1</v>
      </c>
      <c r="CB736" s="1">
        <v>1</v>
      </c>
      <c r="CC736" s="1">
        <v>1</v>
      </c>
      <c r="CD736" s="1">
        <v>1</v>
      </c>
      <c r="CE736" s="1">
        <v>1</v>
      </c>
      <c r="CF736" s="1">
        <v>1</v>
      </c>
      <c r="CG736" s="1">
        <f t="shared" si="642"/>
        <v>0</v>
      </c>
      <c r="CH736" s="1">
        <v>1</v>
      </c>
      <c r="CI736" s="1">
        <v>1</v>
      </c>
      <c r="CJ736" s="1">
        <v>1</v>
      </c>
      <c r="CK736" s="1">
        <v>1</v>
      </c>
      <c r="CL736" s="1">
        <v>1</v>
      </c>
      <c r="CM736" s="1">
        <v>1</v>
      </c>
      <c r="CN736" s="1">
        <v>1</v>
      </c>
      <c r="CO736" s="1">
        <v>1</v>
      </c>
      <c r="CP736" s="1">
        <v>1</v>
      </c>
      <c r="CQ736" s="1">
        <v>1</v>
      </c>
      <c r="CR736" s="1">
        <v>1</v>
      </c>
      <c r="CS736" s="1">
        <v>1</v>
      </c>
      <c r="CT736" s="1">
        <v>1</v>
      </c>
      <c r="CU736" s="1">
        <v>1</v>
      </c>
      <c r="CV736" s="1">
        <v>0</v>
      </c>
      <c r="CW736" s="1">
        <v>2</v>
      </c>
      <c r="CX736" s="1">
        <v>1</v>
      </c>
      <c r="CY736" s="1">
        <v>1</v>
      </c>
      <c r="CZ736" s="1">
        <f t="shared" si="643"/>
        <v>0</v>
      </c>
      <c r="DA736" s="1">
        <v>1</v>
      </c>
      <c r="DB736" s="1">
        <v>1</v>
      </c>
      <c r="DC736" s="1">
        <v>1</v>
      </c>
      <c r="DD736" s="1">
        <v>1</v>
      </c>
      <c r="DE736" s="1">
        <v>1</v>
      </c>
      <c r="DF736" s="1">
        <v>2</v>
      </c>
      <c r="DG736" s="1">
        <v>1</v>
      </c>
      <c r="DH736" s="1">
        <v>1</v>
      </c>
      <c r="DI736" s="1">
        <v>0</v>
      </c>
      <c r="DJ736" s="1">
        <v>1</v>
      </c>
      <c r="DK736" s="1" t="s">
        <v>515</v>
      </c>
      <c r="DL736" s="1" t="s">
        <v>170</v>
      </c>
      <c r="DQ736" s="1" t="b">
        <f>BaseAtk&gt;=5</f>
        <v>0</v>
      </c>
      <c r="DR736" s="1" t="b">
        <f>IF(NOT(ISNA(MATCH("Alchemy",TblCraftSkills,0))),INDEX(TblCraftRanks,MATCH("Alchemy",TblCraftSkills,0),1)&gt;=5,FALSE)</f>
        <v>0</v>
      </c>
      <c r="DS736" s="1" t="b">
        <f>NOT(ISNA(MATCH("Firearms",TblExoticFeats,0)))</f>
        <v>0</v>
      </c>
      <c r="DZ736" s="1" t="b">
        <f t="shared" si="644"/>
        <v>1</v>
      </c>
      <c r="EA736" s="1" t="b">
        <f t="shared" si="645"/>
        <v>0</v>
      </c>
      <c r="EB736" s="11" t="s">
        <v>334</v>
      </c>
      <c r="EC736" s="1" t="str">
        <f>IF(DQ736,"","• Base Attack Bonus +5.
")&amp;IF(DR736,"","• 5 ranks in Craft(alchemy).
")&amp;IF(DS736,"","• Exotic Weapon Proficiency (Firearms).")</f>
        <v>• Base Attack Bonus +5.
• 5 ranks in Craft(alchemy).
• Exotic Weapon Proficiency (Firearms).</v>
      </c>
      <c r="ED736" s="11" t="s">
        <v>335</v>
      </c>
    </row>
    <row r="737" spans="1:134" ht="11.25" customHeight="1" x14ac:dyDescent="0.2">
      <c r="A737" s="1">
        <f t="shared" si="629"/>
        <v>734</v>
      </c>
      <c r="B737" s="1" t="s">
        <v>1680</v>
      </c>
      <c r="C737" s="1" t="s">
        <v>1681</v>
      </c>
      <c r="D737" s="1" t="s">
        <v>1681</v>
      </c>
      <c r="E737" s="1">
        <f t="shared" si="626"/>
        <v>0</v>
      </c>
      <c r="G737" s="1">
        <f>BPlLvl</f>
        <v>0</v>
      </c>
      <c r="K737" s="1">
        <v>2</v>
      </c>
      <c r="L737" s="1">
        <v>10</v>
      </c>
      <c r="N737" s="1" t="b">
        <v>1</v>
      </c>
      <c r="O737" s="1" t="b">
        <v>1</v>
      </c>
      <c r="P737" s="1" t="b">
        <v>1</v>
      </c>
      <c r="Q737" s="1" t="b">
        <v>1</v>
      </c>
      <c r="S737" s="1" t="b">
        <v>1</v>
      </c>
      <c r="T737" s="1" t="b">
        <v>1</v>
      </c>
      <c r="V737" s="1">
        <v>1</v>
      </c>
      <c r="W737" s="1">
        <v>0.5</v>
      </c>
      <c r="X737" s="1">
        <v>0.34</v>
      </c>
      <c r="Y737" s="1">
        <v>0.34</v>
      </c>
      <c r="Z737" s="1" t="b">
        <f>FALSE</f>
        <v>0</v>
      </c>
      <c r="AA737" s="1" t="str">
        <f t="shared" si="630"/>
        <v/>
      </c>
      <c r="AB737" s="1" t="str">
        <f t="shared" si="631"/>
        <v/>
      </c>
      <c r="AC737" s="1">
        <f t="shared" si="627"/>
        <v>0</v>
      </c>
      <c r="AD737" s="1" t="str">
        <f t="shared" si="632"/>
        <v/>
      </c>
      <c r="AE737" s="1" t="str">
        <f t="shared" si="633"/>
        <v/>
      </c>
      <c r="AF737" s="1">
        <f t="shared" si="628"/>
        <v>0</v>
      </c>
      <c r="AG737" s="1">
        <f t="shared" si="636"/>
        <v>5</v>
      </c>
      <c r="AH737" s="1" t="str">
        <f t="shared" si="635"/>
        <v/>
      </c>
      <c r="AI737" s="1">
        <v>1</v>
      </c>
      <c r="AJ737" s="1">
        <f t="shared" si="637"/>
        <v>0</v>
      </c>
      <c r="AK737" s="1">
        <v>1</v>
      </c>
      <c r="AL737" s="1">
        <v>1</v>
      </c>
      <c r="AM737" s="1">
        <v>1</v>
      </c>
      <c r="AN737" s="1">
        <f t="shared" si="638"/>
        <v>0</v>
      </c>
      <c r="AO737" s="1">
        <v>2</v>
      </c>
      <c r="AP737" s="1">
        <v>2</v>
      </c>
      <c r="AQ737" s="1">
        <v>2</v>
      </c>
      <c r="AR737" s="1">
        <v>2</v>
      </c>
      <c r="AS737" s="1">
        <v>2</v>
      </c>
      <c r="AT737" s="1">
        <v>2</v>
      </c>
      <c r="AU737" s="1">
        <v>2</v>
      </c>
      <c r="AV737" s="1">
        <v>2</v>
      </c>
      <c r="AW737" s="1">
        <v>1</v>
      </c>
      <c r="AX737" s="1">
        <v>2</v>
      </c>
      <c r="AY737" s="1">
        <v>1</v>
      </c>
      <c r="AZ737" s="1">
        <v>1</v>
      </c>
      <c r="BA737" s="1">
        <v>1</v>
      </c>
      <c r="BB737" s="1">
        <v>1</v>
      </c>
      <c r="BC737" s="1">
        <v>1</v>
      </c>
      <c r="BD737" s="1">
        <v>2</v>
      </c>
      <c r="BE737" s="1">
        <v>2</v>
      </c>
      <c r="BF737" s="1">
        <v>1</v>
      </c>
      <c r="BG737" s="1">
        <f t="shared" si="639"/>
        <v>0</v>
      </c>
      <c r="BH737" s="1">
        <f t="shared" si="640"/>
        <v>0</v>
      </c>
      <c r="BI737" s="1">
        <v>1</v>
      </c>
      <c r="BJ737" s="1">
        <v>1</v>
      </c>
      <c r="BK737" s="1">
        <v>1</v>
      </c>
      <c r="BL737" s="1">
        <v>1</v>
      </c>
      <c r="BM737" s="1">
        <v>1</v>
      </c>
      <c r="BN737" s="1">
        <v>1</v>
      </c>
      <c r="BO737" s="1">
        <v>1</v>
      </c>
      <c r="BP737" s="1">
        <v>1</v>
      </c>
      <c r="BQ737" s="1">
        <f t="shared" si="641"/>
        <v>0</v>
      </c>
      <c r="BR737" s="1">
        <v>1</v>
      </c>
      <c r="BS737" s="1">
        <v>1</v>
      </c>
      <c r="BT737" s="1">
        <v>0</v>
      </c>
      <c r="BU737" s="1">
        <f>IF(HRRVL,2,0)</f>
        <v>0</v>
      </c>
      <c r="BV737" s="1">
        <v>2</v>
      </c>
      <c r="BW737" s="1">
        <v>1</v>
      </c>
      <c r="BX737" s="1">
        <v>1</v>
      </c>
      <c r="BY737" s="1">
        <v>1</v>
      </c>
      <c r="BZ737" s="1">
        <v>1</v>
      </c>
      <c r="CA737" s="1">
        <v>1</v>
      </c>
      <c r="CB737" s="1">
        <v>1</v>
      </c>
      <c r="CC737" s="1">
        <v>1</v>
      </c>
      <c r="CD737" s="1">
        <v>1</v>
      </c>
      <c r="CE737" s="1">
        <v>1</v>
      </c>
      <c r="CF737" s="1">
        <v>1</v>
      </c>
      <c r="CG737" s="1">
        <f t="shared" si="642"/>
        <v>0</v>
      </c>
      <c r="CH737" s="1">
        <v>1</v>
      </c>
      <c r="CI737" s="1">
        <v>1</v>
      </c>
      <c r="CJ737" s="1">
        <v>1</v>
      </c>
      <c r="CK737" s="1">
        <v>1</v>
      </c>
      <c r="CL737" s="1">
        <v>1</v>
      </c>
      <c r="CM737" s="1">
        <v>1</v>
      </c>
      <c r="CN737" s="1">
        <v>1</v>
      </c>
      <c r="CO737" s="1">
        <v>1</v>
      </c>
      <c r="CP737" s="1">
        <v>2</v>
      </c>
      <c r="CQ737" s="1">
        <v>2</v>
      </c>
      <c r="CR737" s="1">
        <v>2</v>
      </c>
      <c r="CS737" s="1">
        <v>2</v>
      </c>
      <c r="CT737" s="1">
        <v>2</v>
      </c>
      <c r="CU737" s="1">
        <v>2</v>
      </c>
      <c r="CV737" s="1">
        <v>0</v>
      </c>
      <c r="CW737" s="1">
        <v>2</v>
      </c>
      <c r="CX737" s="1">
        <v>1</v>
      </c>
      <c r="CY737" s="1">
        <v>1</v>
      </c>
      <c r="CZ737" s="1">
        <f t="shared" si="643"/>
        <v>0</v>
      </c>
      <c r="DA737" s="1">
        <v>1</v>
      </c>
      <c r="DB737" s="1">
        <v>1</v>
      </c>
      <c r="DC737" s="1">
        <v>1</v>
      </c>
      <c r="DD737" s="1">
        <v>1</v>
      </c>
      <c r="DE737" s="1">
        <v>1</v>
      </c>
      <c r="DF737" s="1">
        <v>1</v>
      </c>
      <c r="DG737" s="1">
        <v>1</v>
      </c>
      <c r="DH737" s="1">
        <v>1</v>
      </c>
      <c r="DI737" s="1">
        <v>0</v>
      </c>
      <c r="DJ737" s="1">
        <v>1</v>
      </c>
      <c r="DK737" s="1" t="s">
        <v>515</v>
      </c>
      <c r="DL737" s="1" t="s">
        <v>170</v>
      </c>
      <c r="DQ737" s="1" t="b">
        <f>BaseAtk&gt;=4</f>
        <v>0</v>
      </c>
      <c r="DR737" s="1" t="b">
        <f>SkKnowledgeReligionRanks&gt;=5</f>
        <v>0</v>
      </c>
      <c r="DS737" s="1" t="b">
        <f>FtBlessed</f>
        <v>0</v>
      </c>
      <c r="DZ737" s="1" t="b">
        <f t="shared" si="644"/>
        <v>1</v>
      </c>
      <c r="EA737" s="1" t="b">
        <f t="shared" si="645"/>
        <v>0</v>
      </c>
      <c r="EB737" s="11" t="s">
        <v>334</v>
      </c>
      <c r="EC737" s="1" t="str">
        <f>IF(DQ737,"","• Base Attack Bonus +4.
")&amp;IF(DR737,"","• 5 ranks in Knowledge(religion).
")&amp;IF(DS737,"","• Blessed feat.")</f>
        <v>• Base Attack Bonus +4.
• 5 ranks in Knowledge(religion).
• Blessed feat.</v>
      </c>
      <c r="ED737" s="11" t="s">
        <v>335</v>
      </c>
    </row>
    <row r="738" spans="1:134" ht="11.25" customHeight="1" x14ac:dyDescent="0.2">
      <c r="A738" s="1">
        <f t="shared" si="629"/>
        <v>735</v>
      </c>
      <c r="B738" s="1" t="s">
        <v>1682</v>
      </c>
      <c r="C738" s="1" t="s">
        <v>1683</v>
      </c>
      <c r="D738" s="1" t="s">
        <v>1683</v>
      </c>
      <c r="E738" s="1">
        <f t="shared" si="626"/>
        <v>0</v>
      </c>
      <c r="G738" s="1">
        <f>BDfLvl</f>
        <v>0</v>
      </c>
      <c r="K738" s="1">
        <v>4</v>
      </c>
      <c r="L738" s="1">
        <v>10</v>
      </c>
      <c r="N738" s="1" t="b">
        <v>1</v>
      </c>
      <c r="O738" s="1" t="b">
        <v>1</v>
      </c>
      <c r="P738" s="1" t="b">
        <v>1</v>
      </c>
      <c r="Q738" s="1" t="b">
        <v>1</v>
      </c>
      <c r="S738" s="1" t="b">
        <v>1</v>
      </c>
      <c r="T738" s="1" t="b">
        <v>1</v>
      </c>
      <c r="V738" s="1">
        <v>1</v>
      </c>
      <c r="W738" s="1">
        <v>0.5</v>
      </c>
      <c r="X738" s="1">
        <v>0.34</v>
      </c>
      <c r="Y738" s="1">
        <v>0.34</v>
      </c>
      <c r="Z738" s="1" t="b">
        <f>FALSE</f>
        <v>0</v>
      </c>
      <c r="AA738" s="1" t="str">
        <f t="shared" si="630"/>
        <v/>
      </c>
      <c r="AB738" s="1" t="str">
        <f t="shared" si="631"/>
        <v/>
      </c>
      <c r="AC738" s="1">
        <f t="shared" si="627"/>
        <v>0</v>
      </c>
      <c r="AD738" s="1" t="str">
        <f t="shared" si="632"/>
        <v/>
      </c>
      <c r="AE738" s="1" t="str">
        <f t="shared" si="633"/>
        <v/>
      </c>
      <c r="AF738" s="1">
        <f t="shared" si="628"/>
        <v>0</v>
      </c>
      <c r="AG738" s="1">
        <f t="shared" si="636"/>
        <v>5</v>
      </c>
      <c r="AH738" s="1" t="str">
        <f t="shared" si="635"/>
        <v/>
      </c>
      <c r="AI738" s="1">
        <v>1</v>
      </c>
      <c r="AJ738" s="1">
        <f t="shared" si="637"/>
        <v>0</v>
      </c>
      <c r="AK738" s="1">
        <v>1</v>
      </c>
      <c r="AL738" s="1">
        <v>1</v>
      </c>
      <c r="AM738" s="1">
        <v>1</v>
      </c>
      <c r="AN738" s="1">
        <f t="shared" si="638"/>
        <v>0</v>
      </c>
      <c r="AO738" s="1">
        <v>2</v>
      </c>
      <c r="AP738" s="1">
        <v>2</v>
      </c>
      <c r="AQ738" s="1">
        <v>2</v>
      </c>
      <c r="AR738" s="1">
        <v>2</v>
      </c>
      <c r="AS738" s="1">
        <v>2</v>
      </c>
      <c r="AT738" s="1">
        <v>2</v>
      </c>
      <c r="AU738" s="1">
        <v>2</v>
      </c>
      <c r="AV738" s="1">
        <v>2</v>
      </c>
      <c r="AW738" s="1">
        <v>1</v>
      </c>
      <c r="AX738" s="1">
        <v>2</v>
      </c>
      <c r="AY738" s="1">
        <v>1</v>
      </c>
      <c r="AZ738" s="1">
        <v>1</v>
      </c>
      <c r="BA738" s="1">
        <v>1</v>
      </c>
      <c r="BB738" s="1">
        <v>1</v>
      </c>
      <c r="BC738" s="1">
        <v>1</v>
      </c>
      <c r="BD738" s="1">
        <v>2</v>
      </c>
      <c r="BE738" s="1">
        <v>2</v>
      </c>
      <c r="BF738" s="1">
        <v>1</v>
      </c>
      <c r="BG738" s="1">
        <f t="shared" si="639"/>
        <v>0</v>
      </c>
      <c r="BH738" s="1">
        <f t="shared" si="640"/>
        <v>0</v>
      </c>
      <c r="BI738" s="1">
        <v>1</v>
      </c>
      <c r="BJ738" s="1">
        <v>1</v>
      </c>
      <c r="BK738" s="1">
        <v>1</v>
      </c>
      <c r="BL738" s="1">
        <v>1</v>
      </c>
      <c r="BM738" s="1">
        <v>1</v>
      </c>
      <c r="BN738" s="1">
        <v>1</v>
      </c>
      <c r="BO738" s="1">
        <v>1</v>
      </c>
      <c r="BP738" s="1">
        <v>1</v>
      </c>
      <c r="BQ738" s="1">
        <f t="shared" si="641"/>
        <v>0</v>
      </c>
      <c r="BR738" s="1">
        <v>1</v>
      </c>
      <c r="BS738" s="1">
        <v>1</v>
      </c>
      <c r="BT738" s="1">
        <v>0</v>
      </c>
      <c r="BU738" s="1">
        <f>IF(HRRVL,2,0)</f>
        <v>0</v>
      </c>
      <c r="BV738" s="1">
        <v>2</v>
      </c>
      <c r="BW738" s="1">
        <v>1</v>
      </c>
      <c r="BX738" s="1">
        <v>1</v>
      </c>
      <c r="BY738" s="1">
        <v>1</v>
      </c>
      <c r="BZ738" s="1">
        <v>1</v>
      </c>
      <c r="CA738" s="1">
        <v>1</v>
      </c>
      <c r="CB738" s="1">
        <v>1</v>
      </c>
      <c r="CC738" s="1">
        <v>1</v>
      </c>
      <c r="CD738" s="1">
        <v>1</v>
      </c>
      <c r="CE738" s="1">
        <v>1</v>
      </c>
      <c r="CF738" s="1">
        <v>1</v>
      </c>
      <c r="CG738" s="1">
        <f t="shared" si="642"/>
        <v>0</v>
      </c>
      <c r="CH738" s="1">
        <v>1</v>
      </c>
      <c r="CI738" s="1">
        <v>1</v>
      </c>
      <c r="CJ738" s="1">
        <v>1</v>
      </c>
      <c r="CK738" s="1">
        <v>1</v>
      </c>
      <c r="CL738" s="1">
        <v>1</v>
      </c>
      <c r="CM738" s="1">
        <v>1</v>
      </c>
      <c r="CN738" s="1">
        <v>1</v>
      </c>
      <c r="CO738" s="1">
        <v>1</v>
      </c>
      <c r="CP738" s="1">
        <v>2</v>
      </c>
      <c r="CQ738" s="1">
        <v>2</v>
      </c>
      <c r="CR738" s="1">
        <v>2</v>
      </c>
      <c r="CS738" s="1">
        <v>2</v>
      </c>
      <c r="CT738" s="1">
        <v>2</v>
      </c>
      <c r="CU738" s="1">
        <v>2</v>
      </c>
      <c r="CV738" s="1">
        <v>0</v>
      </c>
      <c r="CW738" s="1">
        <v>2</v>
      </c>
      <c r="CX738" s="1">
        <v>1</v>
      </c>
      <c r="CY738" s="1">
        <v>1</v>
      </c>
      <c r="CZ738" s="1">
        <f t="shared" si="643"/>
        <v>0</v>
      </c>
      <c r="DA738" s="1">
        <v>1</v>
      </c>
      <c r="DB738" s="1">
        <v>1</v>
      </c>
      <c r="DC738" s="1">
        <v>1</v>
      </c>
      <c r="DD738" s="1">
        <v>1</v>
      </c>
      <c r="DE738" s="1">
        <v>1</v>
      </c>
      <c r="DF738" s="1">
        <v>1</v>
      </c>
      <c r="DG738" s="1">
        <v>1</v>
      </c>
      <c r="DH738" s="1">
        <v>1</v>
      </c>
      <c r="DI738" s="1">
        <v>0</v>
      </c>
      <c r="DJ738" s="1">
        <v>1</v>
      </c>
      <c r="DK738" s="1" t="s">
        <v>515</v>
      </c>
      <c r="DL738" s="1" t="s">
        <v>170</v>
      </c>
      <c r="DQ738" s="1" t="b">
        <f>BaseAtk&gt;=4</f>
        <v>0</v>
      </c>
      <c r="DR738" s="1" t="b">
        <f>SkKnowledgeReligionRanks&gt;=5</f>
        <v>0</v>
      </c>
      <c r="DS738" s="1" t="b">
        <f>FtBlessed</f>
        <v>0</v>
      </c>
      <c r="DZ738" s="1" t="b">
        <f t="shared" si="644"/>
        <v>1</v>
      </c>
      <c r="EA738" s="1" t="b">
        <f t="shared" si="645"/>
        <v>0</v>
      </c>
      <c r="EB738" s="11" t="s">
        <v>334</v>
      </c>
      <c r="EC738" s="1" t="str">
        <f>IF(DQ738,"","• Base Attack Bonus +4.
")&amp;IF(DR738,"","• 5 ranks in Knowledge(religion).
")&amp;IF(DS738,"","• Blessed feat.")</f>
        <v>• Base Attack Bonus +4.
• 5 ranks in Knowledge(religion).
• Blessed feat.</v>
      </c>
      <c r="ED738" s="11" t="s">
        <v>335</v>
      </c>
    </row>
    <row r="739" spans="1:134" ht="11.25" customHeight="1" x14ac:dyDescent="0.2">
      <c r="A739" s="1">
        <f t="shared" si="629"/>
        <v>736</v>
      </c>
      <c r="B739" s="1" t="s">
        <v>1684</v>
      </c>
      <c r="C739" s="1" t="s">
        <v>1685</v>
      </c>
      <c r="D739" s="1" t="s">
        <v>1685</v>
      </c>
      <c r="E739" s="1">
        <f t="shared" si="626"/>
        <v>0</v>
      </c>
      <c r="K739" s="1">
        <v>8</v>
      </c>
      <c r="L739" s="1">
        <v>6</v>
      </c>
      <c r="N739" s="1" t="b">
        <v>1</v>
      </c>
      <c r="O739" s="1" t="b">
        <v>1</v>
      </c>
      <c r="Q739" s="1" t="b">
        <v>1</v>
      </c>
      <c r="S739" s="1" t="b">
        <v>1</v>
      </c>
      <c r="V739" s="1">
        <v>0.75</v>
      </c>
      <c r="W739" s="1">
        <v>0.34</v>
      </c>
      <c r="X739" s="1">
        <v>0.5</v>
      </c>
      <c r="Y739" s="1">
        <v>0.34</v>
      </c>
      <c r="Z739" s="1" t="b">
        <f>FALSE</f>
        <v>0</v>
      </c>
      <c r="AA739" s="1" t="str">
        <f t="shared" si="630"/>
        <v/>
      </c>
      <c r="AB739" s="1" t="str">
        <f t="shared" si="631"/>
        <v/>
      </c>
      <c r="AC739" s="1">
        <f t="shared" si="627"/>
        <v>0</v>
      </c>
      <c r="AD739" s="1" t="str">
        <f t="shared" si="632"/>
        <v/>
      </c>
      <c r="AE739" s="1" t="str">
        <f t="shared" si="633"/>
        <v/>
      </c>
      <c r="AF739" s="1">
        <f t="shared" si="628"/>
        <v>0</v>
      </c>
      <c r="AG739" s="1">
        <f t="shared" si="636"/>
        <v>5</v>
      </c>
      <c r="AH739" s="1" t="str">
        <f t="shared" si="635"/>
        <v/>
      </c>
      <c r="AI739" s="1">
        <v>2</v>
      </c>
      <c r="AJ739" s="1">
        <f t="shared" si="637"/>
        <v>0</v>
      </c>
      <c r="AK739" s="1">
        <v>1</v>
      </c>
      <c r="AL739" s="1">
        <v>2</v>
      </c>
      <c r="AM739" s="1">
        <v>1</v>
      </c>
      <c r="AN739" s="1">
        <f t="shared" si="638"/>
        <v>0</v>
      </c>
      <c r="AO739" s="1">
        <v>2</v>
      </c>
      <c r="AP739" s="1">
        <v>2</v>
      </c>
      <c r="AQ739" s="1">
        <v>2</v>
      </c>
      <c r="AR739" s="1">
        <v>2</v>
      </c>
      <c r="AS739" s="1">
        <v>2</v>
      </c>
      <c r="AT739" s="1">
        <v>2</v>
      </c>
      <c r="AU739" s="1">
        <v>2</v>
      </c>
      <c r="AV739" s="1">
        <v>2</v>
      </c>
      <c r="AW739" s="1">
        <v>2</v>
      </c>
      <c r="AX739" s="1">
        <v>2</v>
      </c>
      <c r="AY739" s="1">
        <v>1</v>
      </c>
      <c r="AZ739" s="1">
        <v>2</v>
      </c>
      <c r="BA739" s="1">
        <v>2</v>
      </c>
      <c r="BB739" s="1">
        <v>1</v>
      </c>
      <c r="BC739" s="1">
        <v>2</v>
      </c>
      <c r="BD739" s="1">
        <v>1</v>
      </c>
      <c r="BE739" s="1">
        <v>1</v>
      </c>
      <c r="BF739" s="1">
        <v>2</v>
      </c>
      <c r="BG739" s="1">
        <f t="shared" si="639"/>
        <v>0</v>
      </c>
      <c r="BH739" s="1">
        <f t="shared" si="640"/>
        <v>0</v>
      </c>
      <c r="BI739" s="1">
        <v>1</v>
      </c>
      <c r="BJ739" s="1">
        <v>2</v>
      </c>
      <c r="BK739" s="1">
        <v>1</v>
      </c>
      <c r="BL739" s="1">
        <v>1</v>
      </c>
      <c r="BM739" s="1">
        <v>1</v>
      </c>
      <c r="BN739" s="1">
        <v>1</v>
      </c>
      <c r="BO739" s="1">
        <v>1</v>
      </c>
      <c r="BP739" s="1">
        <v>1</v>
      </c>
      <c r="BQ739" s="1">
        <f t="shared" si="641"/>
        <v>0</v>
      </c>
      <c r="BR739" s="1">
        <v>1</v>
      </c>
      <c r="BS739" s="1">
        <v>1</v>
      </c>
      <c r="BT739" s="1">
        <v>0</v>
      </c>
      <c r="BU739" s="1">
        <f>IF(HRRVL,1,0)</f>
        <v>0</v>
      </c>
      <c r="BV739" s="1">
        <v>1</v>
      </c>
      <c r="BW739" s="1">
        <v>1</v>
      </c>
      <c r="BX739" s="1">
        <v>1</v>
      </c>
      <c r="BY739" s="1">
        <v>1</v>
      </c>
      <c r="BZ739" s="1">
        <v>1</v>
      </c>
      <c r="CA739" s="1">
        <v>1</v>
      </c>
      <c r="CB739" s="1">
        <v>1</v>
      </c>
      <c r="CC739" s="1">
        <v>1</v>
      </c>
      <c r="CD739" s="1">
        <v>1</v>
      </c>
      <c r="CE739" s="1">
        <v>1</v>
      </c>
      <c r="CF739" s="1">
        <v>2</v>
      </c>
      <c r="CG739" s="1">
        <f t="shared" si="642"/>
        <v>0</v>
      </c>
      <c r="CH739" s="1">
        <v>2</v>
      </c>
      <c r="CI739" s="1">
        <v>1</v>
      </c>
      <c r="CJ739" s="1">
        <v>1</v>
      </c>
      <c r="CK739" s="1">
        <v>1</v>
      </c>
      <c r="CL739" s="1">
        <v>1</v>
      </c>
      <c r="CM739" s="1">
        <v>1</v>
      </c>
      <c r="CN739" s="1">
        <v>1</v>
      </c>
      <c r="CO739" s="1">
        <v>1</v>
      </c>
      <c r="CP739" s="1">
        <v>2</v>
      </c>
      <c r="CQ739" s="1">
        <v>2</v>
      </c>
      <c r="CR739" s="1">
        <v>2</v>
      </c>
      <c r="CS739" s="1">
        <v>2</v>
      </c>
      <c r="CT739" s="1">
        <v>2</v>
      </c>
      <c r="CU739" s="1">
        <v>2</v>
      </c>
      <c r="CV739" s="1">
        <v>0</v>
      </c>
      <c r="CW739" s="1">
        <v>1</v>
      </c>
      <c r="CX739" s="1">
        <v>1</v>
      </c>
      <c r="CY739" s="1">
        <v>2</v>
      </c>
      <c r="CZ739" s="1">
        <f t="shared" si="643"/>
        <v>0</v>
      </c>
      <c r="DA739" s="1">
        <v>2</v>
      </c>
      <c r="DB739" s="1">
        <v>2</v>
      </c>
      <c r="DC739" s="1">
        <v>2</v>
      </c>
      <c r="DD739" s="1">
        <v>2</v>
      </c>
      <c r="DE739" s="1">
        <v>1</v>
      </c>
      <c r="DF739" s="1">
        <v>1</v>
      </c>
      <c r="DG739" s="1">
        <v>1</v>
      </c>
      <c r="DH739" s="1">
        <v>1</v>
      </c>
      <c r="DI739" s="1">
        <v>0</v>
      </c>
      <c r="DJ739" s="1">
        <v>1</v>
      </c>
      <c r="DK739" s="1" t="s">
        <v>515</v>
      </c>
      <c r="DL739" s="1" t="s">
        <v>170</v>
      </c>
      <c r="DQ739" s="1" t="b">
        <f>BaseAtk&gt;=3</f>
        <v>0</v>
      </c>
      <c r="DR739" s="1" t="b">
        <f>SkSenseMotiveRanks&gt;=5</f>
        <v>0</v>
      </c>
      <c r="DS739" s="1" t="b">
        <f>OR(FtTrack,FreeTrack)</f>
        <v>0</v>
      </c>
      <c r="DT739" s="1" t="b">
        <f>AlignmentLawful</f>
        <v>1</v>
      </c>
      <c r="DZ739" s="1" t="b">
        <f t="shared" si="644"/>
        <v>1</v>
      </c>
      <c r="EA739" s="1" t="b">
        <f t="shared" si="645"/>
        <v>0</v>
      </c>
      <c r="EB739" s="11" t="s">
        <v>334</v>
      </c>
      <c r="EC739" s="1" t="str">
        <f>IF(DQ739,"","• Base Attack Bonus +3.
")&amp;IF(DR739,"","• 5 ranks in Sense Motive.
")&amp;IF(DS739,"","• Track feat.
")&amp;IF(DT739,"","• Must be of Lawful Alignment.")</f>
        <v xml:space="preserve">• Base Attack Bonus +3.
• 5 ranks in Sense Motive.
• Track feat.
</v>
      </c>
      <c r="ED739" s="11" t="s">
        <v>335</v>
      </c>
    </row>
    <row r="740" spans="1:134" ht="11.25" customHeight="1" x14ac:dyDescent="0.2">
      <c r="A740" s="1">
        <f t="shared" si="629"/>
        <v>737</v>
      </c>
      <c r="B740" s="1" t="s">
        <v>1686</v>
      </c>
      <c r="C740" s="1" t="s">
        <v>1687</v>
      </c>
      <c r="D740" s="1" t="s">
        <v>1687</v>
      </c>
      <c r="E740" s="1">
        <f t="shared" si="626"/>
        <v>0</v>
      </c>
      <c r="G740" s="1">
        <f>INT(DttLvl/2)</f>
        <v>0</v>
      </c>
      <c r="K740" s="1">
        <v>6</v>
      </c>
      <c r="L740" s="1">
        <v>6</v>
      </c>
      <c r="N740" s="1" t="b">
        <v>1</v>
      </c>
      <c r="O740" s="1" t="b">
        <v>1</v>
      </c>
      <c r="Q740" s="1" t="b">
        <v>1</v>
      </c>
      <c r="S740" s="1" t="b">
        <v>1</v>
      </c>
      <c r="V740" s="1">
        <v>0.75</v>
      </c>
      <c r="W740" s="1">
        <v>0.34</v>
      </c>
      <c r="X740" s="1">
        <v>0.5</v>
      </c>
      <c r="Y740" s="1">
        <v>0.34</v>
      </c>
      <c r="Z740" s="1" t="b">
        <f>FALSE</f>
        <v>0</v>
      </c>
      <c r="AA740" s="1" t="str">
        <f t="shared" si="630"/>
        <v/>
      </c>
      <c r="AB740" s="1" t="str">
        <f t="shared" si="631"/>
        <v/>
      </c>
      <c r="AC740" s="1">
        <f t="shared" si="627"/>
        <v>0</v>
      </c>
      <c r="AD740" s="1" t="str">
        <f t="shared" si="632"/>
        <v/>
      </c>
      <c r="AE740" s="1" t="str">
        <f t="shared" si="633"/>
        <v/>
      </c>
      <c r="AF740" s="1">
        <f t="shared" si="628"/>
        <v>0</v>
      </c>
      <c r="AG740" s="1">
        <f t="shared" si="636"/>
        <v>5</v>
      </c>
      <c r="AH740" s="1" t="str">
        <f t="shared" si="635"/>
        <v/>
      </c>
      <c r="AI740" s="1">
        <v>2</v>
      </c>
      <c r="AJ740" s="1">
        <f t="shared" si="637"/>
        <v>0</v>
      </c>
      <c r="AK740" s="1">
        <v>1</v>
      </c>
      <c r="AL740" s="1">
        <v>2</v>
      </c>
      <c r="AM740" s="1">
        <v>1</v>
      </c>
      <c r="AN740" s="1">
        <f t="shared" si="638"/>
        <v>0</v>
      </c>
      <c r="AO740" s="1">
        <v>1</v>
      </c>
      <c r="AP740" s="1">
        <v>1</v>
      </c>
      <c r="AQ740" s="1">
        <v>1</v>
      </c>
      <c r="AR740" s="1">
        <v>1</v>
      </c>
      <c r="AS740" s="1">
        <v>1</v>
      </c>
      <c r="AT740" s="1">
        <v>1</v>
      </c>
      <c r="AU740" s="1">
        <v>1</v>
      </c>
      <c r="AV740" s="1">
        <v>1</v>
      </c>
      <c r="AW740" s="1">
        <v>1</v>
      </c>
      <c r="AX740" s="1">
        <v>2</v>
      </c>
      <c r="AY740" s="1">
        <v>1</v>
      </c>
      <c r="AZ740" s="1">
        <v>1</v>
      </c>
      <c r="BA740" s="1">
        <v>1</v>
      </c>
      <c r="BB740" s="1">
        <v>1</v>
      </c>
      <c r="BC740" s="1">
        <v>1</v>
      </c>
      <c r="BD740" s="1">
        <v>1</v>
      </c>
      <c r="BE740" s="1">
        <v>1</v>
      </c>
      <c r="BF740" s="1">
        <v>1</v>
      </c>
      <c r="BG740" s="1">
        <f t="shared" si="639"/>
        <v>0</v>
      </c>
      <c r="BH740" s="1">
        <f t="shared" si="640"/>
        <v>0</v>
      </c>
      <c r="BI740" s="1">
        <v>2</v>
      </c>
      <c r="BJ740" s="1">
        <v>1</v>
      </c>
      <c r="BK740" s="1">
        <v>2</v>
      </c>
      <c r="BL740" s="1">
        <v>2</v>
      </c>
      <c r="BM740" s="1">
        <v>2</v>
      </c>
      <c r="BN740" s="1">
        <v>2</v>
      </c>
      <c r="BO740" s="1">
        <v>2</v>
      </c>
      <c r="BP740" s="1">
        <v>2</v>
      </c>
      <c r="BQ740" s="1">
        <f>IF(HRRVL,2,0)</f>
        <v>0</v>
      </c>
      <c r="BR740" s="1">
        <v>2</v>
      </c>
      <c r="BS740" s="1">
        <v>2</v>
      </c>
      <c r="BT740" s="1">
        <v>2</v>
      </c>
      <c r="BU740" s="1">
        <f>IF(HRRVL,2,0)</f>
        <v>0</v>
      </c>
      <c r="BV740" s="1">
        <v>2</v>
      </c>
      <c r="BW740" s="1">
        <v>2</v>
      </c>
      <c r="BX740" s="1">
        <v>2</v>
      </c>
      <c r="BY740" s="1">
        <v>2</v>
      </c>
      <c r="BZ740" s="1">
        <v>2</v>
      </c>
      <c r="CA740" s="1">
        <v>2</v>
      </c>
      <c r="CB740" s="1">
        <v>2</v>
      </c>
      <c r="CC740" s="1">
        <v>2</v>
      </c>
      <c r="CD740" s="1">
        <v>2</v>
      </c>
      <c r="CE740" s="1">
        <v>2</v>
      </c>
      <c r="CF740" s="1">
        <v>2</v>
      </c>
      <c r="CG740" s="1">
        <f t="shared" si="642"/>
        <v>0</v>
      </c>
      <c r="CH740" s="1">
        <v>1</v>
      </c>
      <c r="CI740" s="1">
        <v>1</v>
      </c>
      <c r="CJ740" s="1">
        <v>2</v>
      </c>
      <c r="CK740" s="1">
        <v>2</v>
      </c>
      <c r="CL740" s="1">
        <v>2</v>
      </c>
      <c r="CM740" s="1">
        <v>2</v>
      </c>
      <c r="CN740" s="1">
        <v>2</v>
      </c>
      <c r="CO740" s="1">
        <v>2</v>
      </c>
      <c r="CP740" s="1">
        <v>1</v>
      </c>
      <c r="CQ740" s="1">
        <v>1</v>
      </c>
      <c r="CR740" s="1">
        <v>1</v>
      </c>
      <c r="CS740" s="1">
        <v>1</v>
      </c>
      <c r="CT740" s="1">
        <v>1</v>
      </c>
      <c r="CU740" s="1">
        <v>1</v>
      </c>
      <c r="CV740" s="1">
        <v>0</v>
      </c>
      <c r="CW740" s="1">
        <v>2</v>
      </c>
      <c r="CX740" s="1">
        <v>1</v>
      </c>
      <c r="CY740" s="1">
        <v>2</v>
      </c>
      <c r="CZ740" s="1">
        <f t="shared" si="643"/>
        <v>0</v>
      </c>
      <c r="DA740" s="1">
        <v>1</v>
      </c>
      <c r="DB740" s="1">
        <v>2</v>
      </c>
      <c r="DC740" s="1">
        <v>1</v>
      </c>
      <c r="DD740" s="1">
        <v>1</v>
      </c>
      <c r="DE740" s="1">
        <v>1</v>
      </c>
      <c r="DF740" s="1">
        <v>1</v>
      </c>
      <c r="DG740" s="1">
        <v>1</v>
      </c>
      <c r="DH740" s="1">
        <v>1</v>
      </c>
      <c r="DI740" s="1">
        <v>0</v>
      </c>
      <c r="DJ740" s="1">
        <v>1</v>
      </c>
      <c r="DK740" s="1" t="s">
        <v>515</v>
      </c>
      <c r="DL740" s="1" t="s">
        <v>170</v>
      </c>
      <c r="DQ740" s="1" t="b">
        <f>BaseAtk&gt;=2</f>
        <v>0</v>
      </c>
      <c r="DR740" s="1" t="b">
        <f>SkDiplomacyRanks&gt;=5</f>
        <v>0</v>
      </c>
      <c r="DS740" s="1" t="b">
        <f>FtWealth</f>
        <v>0</v>
      </c>
      <c r="DZ740" s="1" t="b">
        <f t="shared" si="644"/>
        <v>1</v>
      </c>
      <c r="EA740" s="1" t="b">
        <f t="shared" si="645"/>
        <v>0</v>
      </c>
      <c r="EB740" s="11" t="s">
        <v>334</v>
      </c>
      <c r="EC740" s="1" t="str">
        <f>IF(DQ740,"","• Base Attack Bonus +2.
")&amp;IF(DR740,"","• 5 ranks in Diplomacy.
")&amp;IF(DS740,"","• Wealth feat.")</f>
        <v>• Base Attack Bonus +2.
• 5 ranks in Diplomacy.
• Wealth feat.</v>
      </c>
      <c r="ED740" s="11" t="s">
        <v>335</v>
      </c>
    </row>
    <row r="741" spans="1:134" ht="11.25" customHeight="1" x14ac:dyDescent="0.2">
      <c r="A741" s="1">
        <f t="shared" si="629"/>
        <v>738</v>
      </c>
      <c r="B741" s="1" t="s">
        <v>1688</v>
      </c>
      <c r="C741" s="1" t="s">
        <v>1689</v>
      </c>
      <c r="D741" s="1" t="s">
        <v>1689</v>
      </c>
      <c r="E741" s="1">
        <f t="shared" si="626"/>
        <v>0</v>
      </c>
      <c r="K741" s="1">
        <v>2</v>
      </c>
      <c r="L741" s="1">
        <v>10</v>
      </c>
      <c r="N741" s="1" t="b">
        <v>1</v>
      </c>
      <c r="O741" s="1" t="b">
        <v>1</v>
      </c>
      <c r="P741" s="1" t="b">
        <v>1</v>
      </c>
      <c r="Q741" s="1" t="b">
        <v>1</v>
      </c>
      <c r="S741" s="1" t="b">
        <v>1</v>
      </c>
      <c r="T741" s="1" t="b">
        <v>1</v>
      </c>
      <c r="V741" s="1">
        <v>1</v>
      </c>
      <c r="W741" s="1">
        <v>0.5</v>
      </c>
      <c r="X741" s="1">
        <v>0.34</v>
      </c>
      <c r="Y741" s="1">
        <v>0.34</v>
      </c>
      <c r="Z741" s="1" t="b">
        <f>FALSE</f>
        <v>0</v>
      </c>
      <c r="AA741" s="1" t="str">
        <f t="shared" si="630"/>
        <v/>
      </c>
      <c r="AB741" s="1" t="str">
        <f t="shared" si="631"/>
        <v/>
      </c>
      <c r="AC741" s="1">
        <f t="shared" si="627"/>
        <v>0</v>
      </c>
      <c r="AD741" s="1" t="str">
        <f t="shared" si="632"/>
        <v/>
      </c>
      <c r="AE741" s="1" t="str">
        <f t="shared" si="633"/>
        <v/>
      </c>
      <c r="AF741" s="1">
        <f t="shared" si="628"/>
        <v>0</v>
      </c>
      <c r="AG741" s="1">
        <f t="shared" si="636"/>
        <v>5</v>
      </c>
      <c r="AH741" s="1" t="str">
        <f t="shared" si="635"/>
        <v/>
      </c>
      <c r="AI741" s="1">
        <v>1</v>
      </c>
      <c r="AJ741" s="1">
        <f t="shared" si="637"/>
        <v>0</v>
      </c>
      <c r="AK741" s="1">
        <v>1</v>
      </c>
      <c r="AL741" s="1">
        <v>1</v>
      </c>
      <c r="AM741" s="1">
        <v>2</v>
      </c>
      <c r="AN741" s="1">
        <f t="shared" si="638"/>
        <v>0</v>
      </c>
      <c r="AO741" s="1">
        <v>1</v>
      </c>
      <c r="AP741" s="1">
        <v>2</v>
      </c>
      <c r="AQ741" s="1">
        <v>2</v>
      </c>
      <c r="AR741" s="1">
        <v>2</v>
      </c>
      <c r="AS741" s="1">
        <v>2</v>
      </c>
      <c r="AT741" s="1">
        <v>2</v>
      </c>
      <c r="AU741" s="1">
        <v>2</v>
      </c>
      <c r="AV741" s="1">
        <v>2</v>
      </c>
      <c r="AW741" s="1">
        <v>1</v>
      </c>
      <c r="AX741" s="1">
        <v>2</v>
      </c>
      <c r="AY741" s="1">
        <v>1</v>
      </c>
      <c r="AZ741" s="1">
        <v>1</v>
      </c>
      <c r="BA741" s="1">
        <v>1</v>
      </c>
      <c r="BB741" s="1">
        <v>1</v>
      </c>
      <c r="BC741" s="1">
        <v>1</v>
      </c>
      <c r="BD741" s="1">
        <v>2</v>
      </c>
      <c r="BE741" s="1">
        <v>2</v>
      </c>
      <c r="BF741" s="1">
        <v>1</v>
      </c>
      <c r="BG741" s="1">
        <f t="shared" si="639"/>
        <v>0</v>
      </c>
      <c r="BH741" s="1">
        <f t="shared" si="640"/>
        <v>0</v>
      </c>
      <c r="BI741" s="1">
        <v>1</v>
      </c>
      <c r="BJ741" s="1">
        <v>2</v>
      </c>
      <c r="BK741" s="1">
        <v>1</v>
      </c>
      <c r="BL741" s="1">
        <v>1</v>
      </c>
      <c r="BM741" s="1">
        <v>1</v>
      </c>
      <c r="BN741" s="1">
        <v>1</v>
      </c>
      <c r="BO741" s="1">
        <v>1</v>
      </c>
      <c r="BP741" s="1">
        <v>1</v>
      </c>
      <c r="BQ741" s="1">
        <f>IF(HRRVL,1,0)</f>
        <v>0</v>
      </c>
      <c r="BR741" s="1">
        <v>1</v>
      </c>
      <c r="BS741" s="1">
        <v>1</v>
      </c>
      <c r="BT741" s="1">
        <v>0</v>
      </c>
      <c r="BU741" s="1">
        <f>IF(HRRVL,1,0)</f>
        <v>0</v>
      </c>
      <c r="BV741" s="1">
        <v>1</v>
      </c>
      <c r="BW741" s="1">
        <v>1</v>
      </c>
      <c r="BX741" s="1">
        <v>1</v>
      </c>
      <c r="BY741" s="1">
        <v>1</v>
      </c>
      <c r="BZ741" s="1">
        <v>1</v>
      </c>
      <c r="CA741" s="1">
        <v>1</v>
      </c>
      <c r="CB741" s="1">
        <v>1</v>
      </c>
      <c r="CC741" s="1">
        <v>1</v>
      </c>
      <c r="CD741" s="1">
        <v>1</v>
      </c>
      <c r="CE741" s="1">
        <v>1</v>
      </c>
      <c r="CF741" s="1">
        <v>1</v>
      </c>
      <c r="CG741" s="1">
        <f t="shared" si="642"/>
        <v>0</v>
      </c>
      <c r="CH741" s="1">
        <v>1</v>
      </c>
      <c r="CI741" s="1">
        <v>1</v>
      </c>
      <c r="CJ741" s="1">
        <v>1</v>
      </c>
      <c r="CK741" s="1">
        <v>1</v>
      </c>
      <c r="CL741" s="1">
        <v>1</v>
      </c>
      <c r="CM741" s="1">
        <v>1</v>
      </c>
      <c r="CN741" s="1">
        <v>1</v>
      </c>
      <c r="CO741" s="1">
        <v>1</v>
      </c>
      <c r="CP741" s="1">
        <v>2</v>
      </c>
      <c r="CQ741" s="1">
        <v>2</v>
      </c>
      <c r="CR741" s="1">
        <v>2</v>
      </c>
      <c r="CS741" s="1">
        <v>2</v>
      </c>
      <c r="CT741" s="1">
        <v>2</v>
      </c>
      <c r="CU741" s="1">
        <v>2</v>
      </c>
      <c r="CV741" s="1">
        <v>0</v>
      </c>
      <c r="CW741" s="1">
        <v>2</v>
      </c>
      <c r="CX741" s="1">
        <v>1</v>
      </c>
      <c r="CY741" s="1">
        <v>1</v>
      </c>
      <c r="CZ741" s="1">
        <f t="shared" si="643"/>
        <v>0</v>
      </c>
      <c r="DA741" s="1">
        <v>1</v>
      </c>
      <c r="DB741" s="1">
        <v>1</v>
      </c>
      <c r="DC741" s="1">
        <v>1</v>
      </c>
      <c r="DD741" s="1">
        <v>1</v>
      </c>
      <c r="DE741" s="1">
        <v>1</v>
      </c>
      <c r="DF741" s="1">
        <v>2</v>
      </c>
      <c r="DG741" s="1">
        <v>1</v>
      </c>
      <c r="DH741" s="1">
        <v>1</v>
      </c>
      <c r="DI741" s="1">
        <v>0</v>
      </c>
      <c r="DJ741" s="1">
        <v>1</v>
      </c>
      <c r="DK741" s="1" t="s">
        <v>515</v>
      </c>
      <c r="DL741" s="1" t="s">
        <v>170</v>
      </c>
      <c r="DQ741" s="1" t="b">
        <f>BaseAtk&gt;=3</f>
        <v>0</v>
      </c>
      <c r="DR741" s="1" t="b">
        <f>SkRideRanks&gt;=5</f>
        <v>0</v>
      </c>
      <c r="DS741" s="1" t="b">
        <f>FtMountedCombat</f>
        <v>0</v>
      </c>
      <c r="DT741" s="1" t="b">
        <f>AND(AlignmentLawful,AlignmentGood)</f>
        <v>1</v>
      </c>
      <c r="DZ741" s="1" t="b">
        <f t="shared" si="644"/>
        <v>1</v>
      </c>
      <c r="EA741" s="1" t="b">
        <f t="shared" si="645"/>
        <v>0</v>
      </c>
      <c r="EB741" s="11" t="s">
        <v>334</v>
      </c>
      <c r="EC741" s="1" t="str">
        <f>IF(DQ741,"","• Base Attack Bonus +3.
")&amp;IF(DR741,"","• 10 ranks in Hide.
")&amp;IF(DS741,"","• 5 ranks in Perform(dance).
")&amp;IF(DT741,"","• Dodge feat.
")&amp;IF(DU741,"","• Mobility feat.
")&amp;IF(DV741,"","• Combat Reflexes feat.")</f>
        <v>• Base Attack Bonus +3.
• 10 ranks in Hide.
• 5 ranks in Perform(dance).
• Mobility feat.
• Combat Reflexes feat.</v>
      </c>
      <c r="ED741" s="11" t="s">
        <v>335</v>
      </c>
    </row>
    <row r="742" spans="1:134" ht="11.25" customHeight="1" x14ac:dyDescent="0.2">
      <c r="A742" s="1">
        <f t="shared" si="629"/>
        <v>739</v>
      </c>
      <c r="B742" s="1" t="s">
        <v>1690</v>
      </c>
      <c r="C742" s="1" t="s">
        <v>1691</v>
      </c>
      <c r="D742" s="1" t="s">
        <v>1691</v>
      </c>
      <c r="E742" s="1">
        <f t="shared" si="626"/>
        <v>0</v>
      </c>
      <c r="G742" s="1">
        <f>MpsLvl</f>
        <v>0</v>
      </c>
      <c r="K742" s="1">
        <v>4</v>
      </c>
      <c r="L742" s="1">
        <v>4</v>
      </c>
      <c r="S742" s="1" t="b">
        <v>1</v>
      </c>
      <c r="V742" s="1">
        <v>0.5</v>
      </c>
      <c r="W742" s="1">
        <v>0.34</v>
      </c>
      <c r="X742" s="1">
        <v>0.34</v>
      </c>
      <c r="Y742" s="1">
        <v>0.5</v>
      </c>
      <c r="Z742" s="1" t="b">
        <f>FALSE</f>
        <v>0</v>
      </c>
      <c r="AA742" s="1" t="str">
        <f t="shared" si="630"/>
        <v/>
      </c>
      <c r="AB742" s="1" t="str">
        <f t="shared" si="631"/>
        <v/>
      </c>
      <c r="AC742" s="1">
        <f t="shared" si="627"/>
        <v>0</v>
      </c>
      <c r="AD742" s="1" t="str">
        <f t="shared" si="632"/>
        <v/>
      </c>
      <c r="AE742" s="1" t="str">
        <f t="shared" si="633"/>
        <v/>
      </c>
      <c r="AF742" s="1">
        <f t="shared" si="628"/>
        <v>0</v>
      </c>
      <c r="AG742" s="1">
        <f t="shared" si="636"/>
        <v>5</v>
      </c>
      <c r="AH742" s="1" t="str">
        <f t="shared" si="635"/>
        <v/>
      </c>
      <c r="AI742" s="1">
        <v>1</v>
      </c>
      <c r="AJ742" s="1">
        <f t="shared" si="637"/>
        <v>0</v>
      </c>
      <c r="AK742" s="1">
        <v>1</v>
      </c>
      <c r="AL742" s="1">
        <v>1</v>
      </c>
      <c r="AM742" s="1">
        <v>1</v>
      </c>
      <c r="AN742" s="1">
        <f t="shared" si="638"/>
        <v>0</v>
      </c>
      <c r="AO742" s="1">
        <v>2</v>
      </c>
      <c r="AP742" s="1">
        <v>2</v>
      </c>
      <c r="AQ742" s="1">
        <v>2</v>
      </c>
      <c r="AR742" s="1">
        <v>2</v>
      </c>
      <c r="AS742" s="1">
        <v>2</v>
      </c>
      <c r="AT742" s="1">
        <v>2</v>
      </c>
      <c r="AU742" s="1">
        <v>2</v>
      </c>
      <c r="AV742" s="1">
        <v>2</v>
      </c>
      <c r="AW742" s="1">
        <v>1</v>
      </c>
      <c r="AX742" s="1">
        <v>1</v>
      </c>
      <c r="AY742" s="1">
        <v>1</v>
      </c>
      <c r="AZ742" s="1">
        <v>1</v>
      </c>
      <c r="BA742" s="1">
        <v>1</v>
      </c>
      <c r="BB742" s="1">
        <v>1</v>
      </c>
      <c r="BC742" s="1">
        <v>1</v>
      </c>
      <c r="BD742" s="1">
        <v>1</v>
      </c>
      <c r="BE742" s="1">
        <v>1</v>
      </c>
      <c r="BF742" s="1">
        <v>1</v>
      </c>
      <c r="BG742" s="1">
        <f t="shared" si="639"/>
        <v>0</v>
      </c>
      <c r="BH742" s="1">
        <f t="shared" si="640"/>
        <v>0</v>
      </c>
      <c r="BI742" s="1">
        <v>1</v>
      </c>
      <c r="BJ742" s="1">
        <v>1</v>
      </c>
      <c r="BK742" s="1">
        <v>2</v>
      </c>
      <c r="BL742" s="1">
        <v>1</v>
      </c>
      <c r="BM742" s="1">
        <v>1</v>
      </c>
      <c r="BN742" s="1">
        <v>1</v>
      </c>
      <c r="BO742" s="1">
        <v>1</v>
      </c>
      <c r="BP742" s="1">
        <v>1</v>
      </c>
      <c r="BQ742" s="1">
        <f>IF(HRRVL,1,0)</f>
        <v>0</v>
      </c>
      <c r="BR742" s="1">
        <v>1</v>
      </c>
      <c r="BS742" s="1">
        <v>1</v>
      </c>
      <c r="BT742" s="1">
        <v>0</v>
      </c>
      <c r="BU742" s="1">
        <f>IF(HRRVL,1,0)</f>
        <v>0</v>
      </c>
      <c r="BV742" s="1">
        <v>1</v>
      </c>
      <c r="BW742" s="1">
        <v>1</v>
      </c>
      <c r="BX742" s="1">
        <v>1</v>
      </c>
      <c r="BY742" s="1">
        <v>1</v>
      </c>
      <c r="BZ742" s="1">
        <v>1</v>
      </c>
      <c r="CA742" s="1">
        <v>1</v>
      </c>
      <c r="CB742" s="1">
        <v>1</v>
      </c>
      <c r="CC742" s="1">
        <v>1</v>
      </c>
      <c r="CD742" s="1">
        <v>1</v>
      </c>
      <c r="CE742" s="1">
        <v>1</v>
      </c>
      <c r="CF742" s="1">
        <v>1</v>
      </c>
      <c r="CG742" s="1">
        <f t="shared" si="642"/>
        <v>0</v>
      </c>
      <c r="CH742" s="1">
        <v>1</v>
      </c>
      <c r="CI742" s="1">
        <v>1</v>
      </c>
      <c r="CJ742" s="1">
        <v>1</v>
      </c>
      <c r="CK742" s="1">
        <v>1</v>
      </c>
      <c r="CL742" s="1">
        <v>1</v>
      </c>
      <c r="CM742" s="1">
        <v>1</v>
      </c>
      <c r="CN742" s="1">
        <v>1</v>
      </c>
      <c r="CO742" s="1">
        <v>1</v>
      </c>
      <c r="CP742" s="1">
        <v>2</v>
      </c>
      <c r="CQ742" s="1">
        <v>2</v>
      </c>
      <c r="CR742" s="1">
        <v>2</v>
      </c>
      <c r="CS742" s="1">
        <v>2</v>
      </c>
      <c r="CT742" s="1">
        <v>2</v>
      </c>
      <c r="CU742" s="1">
        <v>2</v>
      </c>
      <c r="CV742" s="1">
        <v>0</v>
      </c>
      <c r="CW742" s="1">
        <v>1</v>
      </c>
      <c r="CX742" s="1">
        <v>1</v>
      </c>
      <c r="CY742" s="1">
        <v>1</v>
      </c>
      <c r="CZ742" s="1">
        <f t="shared" si="643"/>
        <v>0</v>
      </c>
      <c r="DA742" s="1">
        <v>1</v>
      </c>
      <c r="DB742" s="1">
        <v>1</v>
      </c>
      <c r="DC742" s="1">
        <v>2</v>
      </c>
      <c r="DD742" s="1">
        <v>1</v>
      </c>
      <c r="DE742" s="1">
        <v>1</v>
      </c>
      <c r="DF742" s="1">
        <v>1</v>
      </c>
      <c r="DG742" s="1">
        <v>1</v>
      </c>
      <c r="DH742" s="1">
        <v>1</v>
      </c>
      <c r="DI742" s="1">
        <v>0</v>
      </c>
      <c r="DJ742" s="1">
        <v>1</v>
      </c>
      <c r="DK742" s="1" t="s">
        <v>515</v>
      </c>
      <c r="DL742" s="1" t="s">
        <v>170</v>
      </c>
      <c r="DQ742" s="1" t="b">
        <f>BaseAtk&gt;=3</f>
        <v>0</v>
      </c>
      <c r="DR742" s="1" t="b">
        <f>SkSenseMotiveRanks&gt;=5</f>
        <v>0</v>
      </c>
      <c r="DS742" s="1" t="b">
        <f>FtInvestigator</f>
        <v>0</v>
      </c>
      <c r="DT742" s="1" t="b">
        <f>MaxArcaneLevel&gt;=1</f>
        <v>1</v>
      </c>
      <c r="DZ742" s="1" t="b">
        <f t="shared" si="644"/>
        <v>1</v>
      </c>
      <c r="EA742" s="1" t="b">
        <f t="shared" si="645"/>
        <v>0</v>
      </c>
      <c r="EB742" s="11" t="s">
        <v>334</v>
      </c>
      <c r="EC742" s="1" t="str">
        <f>IF(DQ742,"","• Base Attack Bonus +3.
")&amp;IF(DR742,"","• 5 ranks in Sense Motive.
")&amp;IF(DS742,"","• Investigator feat.
")&amp;IF(DT742,"","• Must know how to cast 0-level arcane spells.")</f>
        <v xml:space="preserve">• Base Attack Bonus +3.
• 5 ranks in Sense Motive.
• Investigator feat.
</v>
      </c>
      <c r="ED742" s="11" t="s">
        <v>335</v>
      </c>
    </row>
    <row r="743" spans="1:134" ht="11.25" customHeight="1" x14ac:dyDescent="0.2">
      <c r="A743" s="1">
        <f t="shared" si="629"/>
        <v>740</v>
      </c>
      <c r="B743" s="1" t="s">
        <v>1692</v>
      </c>
      <c r="C743" s="1" t="s">
        <v>1693</v>
      </c>
      <c r="D743" s="1" t="s">
        <v>1693</v>
      </c>
      <c r="E743" s="1">
        <f t="shared" si="626"/>
        <v>0</v>
      </c>
      <c r="K743" s="1">
        <v>6</v>
      </c>
      <c r="L743" s="1">
        <v>6</v>
      </c>
      <c r="V743" s="1">
        <v>0.75</v>
      </c>
      <c r="W743" s="1">
        <v>0.34</v>
      </c>
      <c r="X743" s="1">
        <v>0.34</v>
      </c>
      <c r="Y743" s="1">
        <v>0.5</v>
      </c>
      <c r="Z743" s="1" t="b">
        <f>FALSE</f>
        <v>0</v>
      </c>
      <c r="AA743" s="1" t="str">
        <f t="shared" si="630"/>
        <v/>
      </c>
      <c r="AB743" s="1" t="str">
        <f t="shared" si="631"/>
        <v/>
      </c>
      <c r="AC743" s="1">
        <f t="shared" si="627"/>
        <v>0</v>
      </c>
      <c r="AD743" s="1" t="str">
        <f t="shared" si="632"/>
        <v/>
      </c>
      <c r="AE743" s="1" t="str">
        <f t="shared" si="633"/>
        <v/>
      </c>
      <c r="AF743" s="1">
        <f t="shared" si="628"/>
        <v>0</v>
      </c>
      <c r="AG743" s="1">
        <f t="shared" si="636"/>
        <v>5</v>
      </c>
      <c r="AH743" s="1" t="str">
        <f t="shared" si="635"/>
        <v/>
      </c>
      <c r="AI743" s="1">
        <v>1</v>
      </c>
      <c r="AJ743" s="1">
        <f t="shared" si="637"/>
        <v>0</v>
      </c>
      <c r="AK743" s="1">
        <v>1</v>
      </c>
      <c r="AL743" s="1">
        <v>2</v>
      </c>
      <c r="AM743" s="1">
        <v>1</v>
      </c>
      <c r="AN743" s="1">
        <f t="shared" si="638"/>
        <v>0</v>
      </c>
      <c r="AO743" s="1">
        <v>2</v>
      </c>
      <c r="AP743" s="1">
        <v>2</v>
      </c>
      <c r="AQ743" s="1">
        <v>2</v>
      </c>
      <c r="AR743" s="1">
        <v>2</v>
      </c>
      <c r="AS743" s="1">
        <v>2</v>
      </c>
      <c r="AT743" s="1">
        <v>2</v>
      </c>
      <c r="AU743" s="1">
        <v>2</v>
      </c>
      <c r="AV743" s="1">
        <v>2</v>
      </c>
      <c r="AW743" s="1">
        <v>2</v>
      </c>
      <c r="AX743" s="1">
        <v>2</v>
      </c>
      <c r="AY743" s="1">
        <v>2</v>
      </c>
      <c r="AZ743" s="1">
        <v>2</v>
      </c>
      <c r="BA743" s="1">
        <v>2</v>
      </c>
      <c r="BB743" s="1">
        <v>2</v>
      </c>
      <c r="BC743" s="1">
        <v>2</v>
      </c>
      <c r="BD743" s="1">
        <v>1</v>
      </c>
      <c r="BE743" s="1">
        <v>1</v>
      </c>
      <c r="BF743" s="1">
        <v>2</v>
      </c>
      <c r="BG743" s="1">
        <f t="shared" si="639"/>
        <v>0</v>
      </c>
      <c r="BH743" s="1">
        <f t="shared" si="640"/>
        <v>0</v>
      </c>
      <c r="BI743" s="1">
        <v>1</v>
      </c>
      <c r="BJ743" s="1">
        <v>2</v>
      </c>
      <c r="BK743" s="1">
        <v>2</v>
      </c>
      <c r="BL743" s="1">
        <v>2</v>
      </c>
      <c r="BM743" s="1">
        <v>2</v>
      </c>
      <c r="BN743" s="1">
        <v>2</v>
      </c>
      <c r="BO743" s="1">
        <v>2</v>
      </c>
      <c r="BP743" s="1">
        <v>2</v>
      </c>
      <c r="BQ743" s="1">
        <f>IF(HRRVL,2,0)</f>
        <v>0</v>
      </c>
      <c r="BR743" s="1">
        <v>2</v>
      </c>
      <c r="BS743" s="1">
        <v>2</v>
      </c>
      <c r="BT743" s="1">
        <v>2</v>
      </c>
      <c r="BU743" s="1">
        <f>IF(HRRVL,2,0)</f>
        <v>0</v>
      </c>
      <c r="BV743" s="1">
        <v>2</v>
      </c>
      <c r="BW743" s="1">
        <v>2</v>
      </c>
      <c r="BX743" s="1">
        <v>2</v>
      </c>
      <c r="BY743" s="1">
        <v>2</v>
      </c>
      <c r="BZ743" s="1">
        <v>2</v>
      </c>
      <c r="CA743" s="1">
        <v>2</v>
      </c>
      <c r="CB743" s="1">
        <v>2</v>
      </c>
      <c r="CC743" s="1">
        <v>2</v>
      </c>
      <c r="CD743" s="1">
        <v>2</v>
      </c>
      <c r="CE743" s="1">
        <v>2</v>
      </c>
      <c r="CF743" s="1">
        <v>2</v>
      </c>
      <c r="CG743" s="1">
        <f t="shared" si="642"/>
        <v>0</v>
      </c>
      <c r="CH743" s="1">
        <v>2</v>
      </c>
      <c r="CI743" s="1">
        <v>2</v>
      </c>
      <c r="CJ743" s="1">
        <v>2</v>
      </c>
      <c r="CK743" s="1">
        <v>2</v>
      </c>
      <c r="CL743" s="1">
        <v>2</v>
      </c>
      <c r="CM743" s="1">
        <v>2</v>
      </c>
      <c r="CN743" s="1">
        <v>2</v>
      </c>
      <c r="CO743" s="1">
        <v>2</v>
      </c>
      <c r="CP743" s="1">
        <v>2</v>
      </c>
      <c r="CQ743" s="1">
        <v>2</v>
      </c>
      <c r="CR743" s="1">
        <v>2</v>
      </c>
      <c r="CS743" s="1">
        <v>2</v>
      </c>
      <c r="CT743" s="1">
        <v>2</v>
      </c>
      <c r="CU743" s="1">
        <v>2</v>
      </c>
      <c r="CV743" s="1">
        <v>0</v>
      </c>
      <c r="CW743" s="1">
        <v>1</v>
      </c>
      <c r="CX743" s="1">
        <v>2</v>
      </c>
      <c r="CY743" s="1">
        <v>2</v>
      </c>
      <c r="CZ743" s="1">
        <f t="shared" si="643"/>
        <v>0</v>
      </c>
      <c r="DA743" s="1">
        <v>1</v>
      </c>
      <c r="DB743" s="1">
        <v>1</v>
      </c>
      <c r="DC743" s="1">
        <v>2</v>
      </c>
      <c r="DD743" s="1">
        <v>2</v>
      </c>
      <c r="DE743" s="1">
        <v>1</v>
      </c>
      <c r="DF743" s="1">
        <v>2</v>
      </c>
      <c r="DG743" s="1">
        <v>1</v>
      </c>
      <c r="DH743" s="1">
        <v>1</v>
      </c>
      <c r="DI743" s="1">
        <v>0</v>
      </c>
      <c r="DJ743" s="1">
        <v>1</v>
      </c>
      <c r="DK743" s="1" t="s">
        <v>515</v>
      </c>
      <c r="DL743" s="1" t="s">
        <v>170</v>
      </c>
      <c r="DQ743" s="1" t="b">
        <f>BaseAtk&gt;=1</f>
        <v>0</v>
      </c>
      <c r="DR743" s="1" t="b">
        <f>SkKnowledgeRanks&gt;=20</f>
        <v>0</v>
      </c>
      <c r="DZ743" s="1" t="b">
        <f t="shared" si="644"/>
        <v>1</v>
      </c>
      <c r="EA743" s="1" t="b">
        <f t="shared" si="645"/>
        <v>0</v>
      </c>
      <c r="EB743" s="11" t="s">
        <v>334</v>
      </c>
      <c r="EC743" s="1" t="str">
        <f>IF(DQ743,"","• Base Attack Bonus +1.
")&amp;IF(DR743,"","• 5 ranks in Knowledge (any four).")</f>
        <v>• Base Attack Bonus +1.
• 5 ranks in Knowledge (any four).</v>
      </c>
      <c r="ED743" s="11" t="s">
        <v>335</v>
      </c>
    </row>
    <row r="744" spans="1:134" ht="11.25" customHeight="1" x14ac:dyDescent="0.2">
      <c r="A744" s="1">
        <f t="shared" si="629"/>
        <v>741</v>
      </c>
      <c r="B744" s="1" t="s">
        <v>1694</v>
      </c>
      <c r="C744" s="1" t="s">
        <v>1695</v>
      </c>
      <c r="D744" s="1" t="s">
        <v>1695</v>
      </c>
      <c r="E744" s="1">
        <f t="shared" si="626"/>
        <v>0</v>
      </c>
      <c r="K744" s="1">
        <v>4</v>
      </c>
      <c r="L744" s="1">
        <v>6</v>
      </c>
      <c r="V744" s="1">
        <v>0.5</v>
      </c>
      <c r="W744" s="1">
        <v>0.34</v>
      </c>
      <c r="X744" s="1">
        <v>0.34</v>
      </c>
      <c r="Y744" s="1">
        <v>0.34</v>
      </c>
      <c r="Z744" s="1" t="b">
        <f>FALSE</f>
        <v>0</v>
      </c>
      <c r="AA744" s="1" t="str">
        <f t="shared" si="630"/>
        <v/>
      </c>
      <c r="AB744" s="1" t="str">
        <f t="shared" si="631"/>
        <v/>
      </c>
      <c r="AC744" s="1">
        <f t="shared" si="627"/>
        <v>0</v>
      </c>
      <c r="AD744" s="1" t="str">
        <f t="shared" si="632"/>
        <v/>
      </c>
      <c r="AE744" s="1" t="str">
        <f t="shared" si="633"/>
        <v/>
      </c>
      <c r="AF744" s="1">
        <f t="shared" si="628"/>
        <v>0</v>
      </c>
      <c r="AG744" s="1">
        <f t="shared" si="636"/>
        <v>5</v>
      </c>
      <c r="AH744" s="1" t="str">
        <f t="shared" si="635"/>
        <v/>
      </c>
      <c r="AI744" s="1">
        <v>1</v>
      </c>
      <c r="AJ744" s="1">
        <f t="shared" si="637"/>
        <v>0</v>
      </c>
      <c r="AK744" s="1">
        <v>1</v>
      </c>
      <c r="AL744" s="1">
        <v>1</v>
      </c>
      <c r="AM744" s="1">
        <v>2</v>
      </c>
      <c r="AN744" s="1">
        <f t="shared" si="638"/>
        <v>0</v>
      </c>
      <c r="AO744" s="1">
        <v>1</v>
      </c>
      <c r="AP744" s="1">
        <v>2</v>
      </c>
      <c r="AQ744" s="1">
        <v>2</v>
      </c>
      <c r="AR744" s="1">
        <v>2</v>
      </c>
      <c r="AS744" s="1">
        <v>2</v>
      </c>
      <c r="AT744" s="1">
        <v>2</v>
      </c>
      <c r="AU744" s="1">
        <v>2</v>
      </c>
      <c r="AV744" s="1">
        <v>2</v>
      </c>
      <c r="AW744" s="1">
        <v>1</v>
      </c>
      <c r="AX744" s="1">
        <v>1</v>
      </c>
      <c r="AY744" s="1">
        <v>1</v>
      </c>
      <c r="AZ744" s="1">
        <v>1</v>
      </c>
      <c r="BA744" s="1">
        <v>1</v>
      </c>
      <c r="BB744" s="1">
        <v>1</v>
      </c>
      <c r="BC744" s="1">
        <v>1</v>
      </c>
      <c r="BD744" s="1">
        <v>2</v>
      </c>
      <c r="BE744" s="1">
        <v>1</v>
      </c>
      <c r="BF744" s="1">
        <v>1</v>
      </c>
      <c r="BG744" s="1">
        <f t="shared" si="639"/>
        <v>0</v>
      </c>
      <c r="BH744" s="1">
        <f t="shared" si="640"/>
        <v>0</v>
      </c>
      <c r="BI744" s="1">
        <v>1</v>
      </c>
      <c r="BJ744" s="1">
        <v>2</v>
      </c>
      <c r="BK744" s="1">
        <v>1</v>
      </c>
      <c r="BL744" s="1">
        <v>1</v>
      </c>
      <c r="BM744" s="1">
        <v>1</v>
      </c>
      <c r="BN744" s="1">
        <v>1</v>
      </c>
      <c r="BO744" s="1">
        <v>1</v>
      </c>
      <c r="BP744" s="1">
        <v>1</v>
      </c>
      <c r="BQ744" s="1">
        <f>IF(HRRVL,1,0)</f>
        <v>0</v>
      </c>
      <c r="BR744" s="1">
        <v>1</v>
      </c>
      <c r="BS744" s="1">
        <v>1</v>
      </c>
      <c r="BT744" s="1">
        <v>0</v>
      </c>
      <c r="BU744" s="1">
        <f>IF(HRRVL,1,0)</f>
        <v>0</v>
      </c>
      <c r="BV744" s="1">
        <v>1</v>
      </c>
      <c r="BW744" s="1">
        <v>1</v>
      </c>
      <c r="BX744" s="1">
        <v>1</v>
      </c>
      <c r="BY744" s="1">
        <v>1</v>
      </c>
      <c r="BZ744" s="1">
        <v>1</v>
      </c>
      <c r="CA744" s="1">
        <v>1</v>
      </c>
      <c r="CB744" s="1">
        <v>1</v>
      </c>
      <c r="CC744" s="1">
        <v>1</v>
      </c>
      <c r="CD744" s="1">
        <v>1</v>
      </c>
      <c r="CE744" s="1">
        <v>1</v>
      </c>
      <c r="CF744" s="1">
        <v>2</v>
      </c>
      <c r="CG744" s="1">
        <f t="shared" si="642"/>
        <v>0</v>
      </c>
      <c r="CH744" s="1">
        <v>1</v>
      </c>
      <c r="CI744" s="1">
        <v>1</v>
      </c>
      <c r="CJ744" s="1">
        <v>1</v>
      </c>
      <c r="CK744" s="1">
        <v>1</v>
      </c>
      <c r="CL744" s="1">
        <v>1</v>
      </c>
      <c r="CM744" s="1">
        <v>1</v>
      </c>
      <c r="CN744" s="1">
        <v>1</v>
      </c>
      <c r="CO744" s="1">
        <v>1</v>
      </c>
      <c r="CP744" s="1">
        <v>2</v>
      </c>
      <c r="CQ744" s="1">
        <v>2</v>
      </c>
      <c r="CR744" s="1">
        <v>2</v>
      </c>
      <c r="CS744" s="1">
        <v>2</v>
      </c>
      <c r="CT744" s="1">
        <v>2</v>
      </c>
      <c r="CU744" s="1">
        <v>2</v>
      </c>
      <c r="CV744" s="1">
        <v>0</v>
      </c>
      <c r="CW744" s="1">
        <v>2</v>
      </c>
      <c r="CX744" s="1">
        <v>1</v>
      </c>
      <c r="CY744" s="1">
        <v>1</v>
      </c>
      <c r="CZ744" s="1">
        <f t="shared" si="643"/>
        <v>0</v>
      </c>
      <c r="DA744" s="1">
        <v>1</v>
      </c>
      <c r="DB744" s="1">
        <v>1</v>
      </c>
      <c r="DC744" s="1">
        <v>1</v>
      </c>
      <c r="DD744" s="1">
        <v>2</v>
      </c>
      <c r="DE744" s="1">
        <v>1</v>
      </c>
      <c r="DF744" s="1">
        <v>2</v>
      </c>
      <c r="DG744" s="1">
        <v>1</v>
      </c>
      <c r="DH744" s="1">
        <v>1</v>
      </c>
      <c r="DI744" s="1">
        <v>0</v>
      </c>
      <c r="DJ744" s="1">
        <v>2</v>
      </c>
      <c r="DK744" s="1" t="s">
        <v>515</v>
      </c>
      <c r="DL744" s="1" t="s">
        <v>170</v>
      </c>
      <c r="DQ744" s="1" t="b">
        <f>BaseAtk&gt;=1</f>
        <v>0</v>
      </c>
      <c r="DZ744" s="1" t="b">
        <f t="shared" si="644"/>
        <v>1</v>
      </c>
      <c r="EA744" s="1" t="b">
        <f t="shared" si="645"/>
        <v>0</v>
      </c>
      <c r="EB744" s="11" t="s">
        <v>334</v>
      </c>
      <c r="EC744" s="1" t="str">
        <f>IF(DQ744,"","• Base Attack Bonus +1.")</f>
        <v>• Base Attack Bonus +1.</v>
      </c>
      <c r="ED744" s="11" t="s">
        <v>335</v>
      </c>
    </row>
    <row r="745" spans="1:134" ht="11.25" customHeight="1" x14ac:dyDescent="0.2">
      <c r="A745" s="1">
        <f t="shared" si="629"/>
        <v>742</v>
      </c>
      <c r="B745" s="1" t="s">
        <v>1696</v>
      </c>
      <c r="C745" s="1" t="s">
        <v>1697</v>
      </c>
      <c r="D745" s="1" t="s">
        <v>1697</v>
      </c>
      <c r="E745" s="1">
        <f t="shared" si="626"/>
        <v>0</v>
      </c>
      <c r="G745" s="1">
        <f>INT(WhALvl/2)</f>
        <v>0</v>
      </c>
      <c r="K745" s="1">
        <v>2</v>
      </c>
      <c r="L745" s="1">
        <v>4</v>
      </c>
      <c r="S745" s="1" t="b">
        <v>1</v>
      </c>
      <c r="V745" s="1">
        <v>0.5</v>
      </c>
      <c r="W745" s="1">
        <v>0.34</v>
      </c>
      <c r="X745" s="1">
        <v>0.34</v>
      </c>
      <c r="Y745" s="1">
        <v>0.5</v>
      </c>
      <c r="Z745" s="1" t="b">
        <f>FALSE</f>
        <v>0</v>
      </c>
      <c r="AA745" s="1" t="str">
        <f t="shared" si="630"/>
        <v/>
      </c>
      <c r="AB745" s="1" t="str">
        <f t="shared" si="631"/>
        <v/>
      </c>
      <c r="AC745" s="1">
        <f t="shared" si="627"/>
        <v>0</v>
      </c>
      <c r="AD745" s="1" t="str">
        <f t="shared" si="632"/>
        <v/>
      </c>
      <c r="AE745" s="1" t="str">
        <f t="shared" si="633"/>
        <v/>
      </c>
      <c r="AF745" s="1">
        <f t="shared" si="628"/>
        <v>0</v>
      </c>
      <c r="AG745" s="1">
        <f t="shared" si="636"/>
        <v>5</v>
      </c>
      <c r="AH745" s="1" t="str">
        <f t="shared" si="635"/>
        <v/>
      </c>
      <c r="AI745" s="1">
        <v>1</v>
      </c>
      <c r="AJ745" s="1">
        <f t="shared" si="637"/>
        <v>0</v>
      </c>
      <c r="AK745" s="1">
        <v>1</v>
      </c>
      <c r="AL745" s="1">
        <v>1</v>
      </c>
      <c r="AM745" s="1">
        <v>1</v>
      </c>
      <c r="AN745" s="1">
        <f t="shared" si="638"/>
        <v>0</v>
      </c>
      <c r="AO745" s="1">
        <v>2</v>
      </c>
      <c r="AP745" s="1">
        <v>2</v>
      </c>
      <c r="AQ745" s="1">
        <v>2</v>
      </c>
      <c r="AR745" s="1">
        <v>2</v>
      </c>
      <c r="AS745" s="1">
        <v>2</v>
      </c>
      <c r="AT745" s="1">
        <v>2</v>
      </c>
      <c r="AU745" s="1">
        <v>2</v>
      </c>
      <c r="AV745" s="1">
        <v>2</v>
      </c>
      <c r="AW745" s="1">
        <v>1</v>
      </c>
      <c r="AX745" s="1">
        <v>1</v>
      </c>
      <c r="AY745" s="1">
        <v>1</v>
      </c>
      <c r="AZ745" s="1">
        <v>1</v>
      </c>
      <c r="BA745" s="1">
        <v>1</v>
      </c>
      <c r="BB745" s="1">
        <v>1</v>
      </c>
      <c r="BC745" s="1">
        <v>1</v>
      </c>
      <c r="BD745" s="1">
        <v>1</v>
      </c>
      <c r="BE745" s="1">
        <v>1</v>
      </c>
      <c r="BF745" s="1">
        <v>1</v>
      </c>
      <c r="BG745" s="1">
        <f t="shared" si="639"/>
        <v>0</v>
      </c>
      <c r="BH745" s="1">
        <f t="shared" si="640"/>
        <v>0</v>
      </c>
      <c r="BI745" s="1">
        <v>1</v>
      </c>
      <c r="BJ745" s="1">
        <v>1</v>
      </c>
      <c r="BK745" s="1">
        <v>2</v>
      </c>
      <c r="BL745" s="1">
        <v>1</v>
      </c>
      <c r="BM745" s="1">
        <v>1</v>
      </c>
      <c r="BN745" s="1">
        <v>1</v>
      </c>
      <c r="BO745" s="1">
        <v>1</v>
      </c>
      <c r="BP745" s="1">
        <v>1</v>
      </c>
      <c r="BQ745" s="1">
        <f>IF(HRRVL,1,0)</f>
        <v>0</v>
      </c>
      <c r="BR745" s="1">
        <v>1</v>
      </c>
      <c r="BS745" s="1">
        <v>1</v>
      </c>
      <c r="BT745" s="1">
        <v>0</v>
      </c>
      <c r="BU745" s="1">
        <f>IF(HRRVL,1,0)</f>
        <v>0</v>
      </c>
      <c r="BV745" s="1">
        <v>1</v>
      </c>
      <c r="BW745" s="1">
        <v>1</v>
      </c>
      <c r="BX745" s="1">
        <v>1</v>
      </c>
      <c r="BY745" s="1">
        <v>1</v>
      </c>
      <c r="BZ745" s="1">
        <v>1</v>
      </c>
      <c r="CA745" s="1">
        <v>1</v>
      </c>
      <c r="CB745" s="1">
        <v>1</v>
      </c>
      <c r="CC745" s="1">
        <v>1</v>
      </c>
      <c r="CD745" s="1">
        <v>1</v>
      </c>
      <c r="CE745" s="1">
        <v>1</v>
      </c>
      <c r="CF745" s="1">
        <v>1</v>
      </c>
      <c r="CG745" s="1">
        <f t="shared" si="642"/>
        <v>0</v>
      </c>
      <c r="CH745" s="1">
        <v>1</v>
      </c>
      <c r="CI745" s="1">
        <v>1</v>
      </c>
      <c r="CJ745" s="1">
        <v>1</v>
      </c>
      <c r="CK745" s="1">
        <v>1</v>
      </c>
      <c r="CL745" s="1">
        <v>1</v>
      </c>
      <c r="CM745" s="1">
        <v>1</v>
      </c>
      <c r="CN745" s="1">
        <v>1</v>
      </c>
      <c r="CO745" s="1">
        <v>1</v>
      </c>
      <c r="CP745" s="1">
        <v>2</v>
      </c>
      <c r="CQ745" s="1">
        <v>2</v>
      </c>
      <c r="CR745" s="1">
        <v>2</v>
      </c>
      <c r="CS745" s="1">
        <v>2</v>
      </c>
      <c r="CT745" s="1">
        <v>2</v>
      </c>
      <c r="CU745" s="1">
        <v>2</v>
      </c>
      <c r="CV745" s="1">
        <v>0</v>
      </c>
      <c r="CW745" s="1">
        <v>1</v>
      </c>
      <c r="CX745" s="1">
        <v>1</v>
      </c>
      <c r="CY745" s="1">
        <v>1</v>
      </c>
      <c r="CZ745" s="1">
        <f t="shared" si="643"/>
        <v>0</v>
      </c>
      <c r="DA745" s="1">
        <v>1</v>
      </c>
      <c r="DB745" s="1">
        <v>1</v>
      </c>
      <c r="DC745" s="1">
        <v>2</v>
      </c>
      <c r="DD745" s="1">
        <v>1</v>
      </c>
      <c r="DE745" s="1">
        <v>1</v>
      </c>
      <c r="DF745" s="1">
        <v>1</v>
      </c>
      <c r="DG745" s="1">
        <v>1</v>
      </c>
      <c r="DH745" s="1">
        <v>1</v>
      </c>
      <c r="DI745" s="1">
        <v>0</v>
      </c>
      <c r="DJ745" s="1">
        <v>1</v>
      </c>
      <c r="DK745" s="1" t="s">
        <v>515</v>
      </c>
      <c r="DL745" s="1" t="s">
        <v>170</v>
      </c>
      <c r="DQ745" s="1" t="b">
        <f>BaseAtk&gt;=2</f>
        <v>0</v>
      </c>
      <c r="DR745" s="1" t="b">
        <f>SkKnowledgeArcanaRanks&gt;=5</f>
        <v>0</v>
      </c>
      <c r="DS745" s="1" t="b">
        <f>NOT(ISNA(MATCH("Necromancy",TblSpellFocus,0)))</f>
        <v>0</v>
      </c>
      <c r="DT745" s="1" t="b">
        <f>OR(Subtype="Human",Race="Halfling",Race="Dwarf")</f>
        <v>1</v>
      </c>
      <c r="DU745" s="1" t="b">
        <f>MaxArcaneLevel&gt;=1</f>
        <v>1</v>
      </c>
      <c r="DZ745" s="1" t="b">
        <f t="shared" si="644"/>
        <v>1</v>
      </c>
      <c r="EA745" s="1" t="b">
        <f t="shared" si="645"/>
        <v>0</v>
      </c>
      <c r="EB745" s="11" t="s">
        <v>334</v>
      </c>
      <c r="EC745" s="1" t="str">
        <f>IF(DQ745,"","• Base Attack Bonus +2.
")&amp;IF(DR745,"","• 5 ranks in Knowledge (arcana).
")&amp;IF(DS745,"","• Spell Focus (Necromancy) feat.
")&amp;IF(DT745,"","• Must be a Human, Halfling, or Dwarf.
")&amp;IF(DU745,"","• Must know how to cast 1st level arcane spells.")</f>
        <v xml:space="preserve">• Base Attack Bonus +2.
• 5 ranks in Knowledge (arcana).
• Spell Focus (Necromancy) feat.
</v>
      </c>
      <c r="ED745" s="11" t="s">
        <v>335</v>
      </c>
    </row>
    <row r="746" spans="1:134" ht="11.25" customHeight="1" x14ac:dyDescent="0.2">
      <c r="A746" s="1">
        <f t="shared" si="629"/>
        <v>743</v>
      </c>
      <c r="B746" s="1" t="s">
        <v>1698</v>
      </c>
      <c r="E746" s="1">
        <f t="shared" si="626"/>
        <v>0</v>
      </c>
      <c r="F746" s="1">
        <v>1</v>
      </c>
      <c r="Z746" s="1" t="b">
        <f>FALSE</f>
        <v>0</v>
      </c>
      <c r="AA746" s="1" t="str">
        <f t="shared" si="630"/>
        <v/>
      </c>
      <c r="AB746" s="1" t="str">
        <f t="shared" si="631"/>
        <v/>
      </c>
      <c r="AC746" s="1">
        <f t="shared" si="627"/>
        <v>0</v>
      </c>
      <c r="AD746" s="1" t="str">
        <f t="shared" si="632"/>
        <v/>
      </c>
      <c r="AE746" s="1" t="str">
        <f t="shared" si="633"/>
        <v/>
      </c>
      <c r="AF746" s="1">
        <f t="shared" si="628"/>
        <v>0</v>
      </c>
      <c r="AG746" s="1">
        <f t="shared" si="636"/>
        <v>5</v>
      </c>
      <c r="AH746" s="1" t="str">
        <f t="shared" si="635"/>
        <v/>
      </c>
      <c r="EB746" s="11"/>
      <c r="ED746" s="11" t="s">
        <v>335</v>
      </c>
    </row>
    <row r="747" spans="1:134" ht="11.25" customHeight="1" x14ac:dyDescent="0.2">
      <c r="A747" s="1">
        <f t="shared" si="629"/>
        <v>744</v>
      </c>
      <c r="B747" s="1" t="s">
        <v>1699</v>
      </c>
      <c r="C747" s="1" t="s">
        <v>1700</v>
      </c>
      <c r="D747" s="1" t="s">
        <v>1700</v>
      </c>
      <c r="E747" s="1">
        <f t="shared" si="626"/>
        <v>0</v>
      </c>
      <c r="K747" s="1">
        <v>6</v>
      </c>
      <c r="L747" s="1">
        <v>6</v>
      </c>
      <c r="V747" s="1">
        <v>0.75</v>
      </c>
      <c r="W747" s="1">
        <v>0.34</v>
      </c>
      <c r="X747" s="1">
        <v>0.34</v>
      </c>
      <c r="Y747" s="1">
        <v>0.5</v>
      </c>
      <c r="Z747" s="1" t="b">
        <f>FALSE</f>
        <v>0</v>
      </c>
      <c r="AA747" s="1" t="str">
        <f t="shared" si="630"/>
        <v/>
      </c>
      <c r="AB747" s="1" t="str">
        <f t="shared" si="631"/>
        <v/>
      </c>
      <c r="AC747" s="1">
        <f t="shared" si="627"/>
        <v>0</v>
      </c>
      <c r="AD747" s="1" t="str">
        <f t="shared" si="632"/>
        <v/>
      </c>
      <c r="AE747" s="1" t="str">
        <f t="shared" si="633"/>
        <v/>
      </c>
      <c r="AF747" s="1">
        <f t="shared" si="628"/>
        <v>0</v>
      </c>
      <c r="AG747" s="1">
        <f t="shared" si="636"/>
        <v>5</v>
      </c>
      <c r="AH747" s="1" t="str">
        <f t="shared" si="635"/>
        <v/>
      </c>
      <c r="AI747" s="1">
        <v>2</v>
      </c>
      <c r="AJ747" s="1">
        <f t="shared" ref="AJ747:AJ758" si="646">IF(HRXPH,1,0)</f>
        <v>0</v>
      </c>
      <c r="AK747" s="1">
        <v>1</v>
      </c>
      <c r="AL747" s="1">
        <v>2</v>
      </c>
      <c r="AM747" s="1">
        <v>1</v>
      </c>
      <c r="AN747" s="1">
        <f t="shared" ref="AN747:AN758" si="647">IF(IsLycanthrope,2,0)</f>
        <v>0</v>
      </c>
      <c r="AO747" s="1">
        <v>1</v>
      </c>
      <c r="AP747" s="1">
        <v>2</v>
      </c>
      <c r="AQ747" s="1">
        <v>2</v>
      </c>
      <c r="AR747" s="1">
        <v>2</v>
      </c>
      <c r="AS747" s="1">
        <v>2</v>
      </c>
      <c r="AT747" s="1">
        <v>2</v>
      </c>
      <c r="AU747" s="1">
        <v>2</v>
      </c>
      <c r="AV747" s="1">
        <v>2</v>
      </c>
      <c r="AW747" s="1">
        <v>2</v>
      </c>
      <c r="AX747" s="1">
        <v>2</v>
      </c>
      <c r="AY747" s="1">
        <v>1</v>
      </c>
      <c r="AZ747" s="1">
        <v>2</v>
      </c>
      <c r="BA747" s="1">
        <v>2</v>
      </c>
      <c r="BB747" s="1">
        <v>2</v>
      </c>
      <c r="BC747" s="1">
        <v>2</v>
      </c>
      <c r="BD747" s="1">
        <v>1</v>
      </c>
      <c r="BE747" s="1">
        <v>1</v>
      </c>
      <c r="BF747" s="1">
        <v>1</v>
      </c>
      <c r="BG747" s="1">
        <f t="shared" ref="BG747:BG758" si="648">IF(HRRVL,1,0)</f>
        <v>0</v>
      </c>
      <c r="BH747" s="1">
        <f t="shared" ref="BH747:BH758" si="649">IF(HROA,1,0)</f>
        <v>0</v>
      </c>
      <c r="BI747" s="1">
        <v>1</v>
      </c>
      <c r="BJ747" s="1">
        <v>1</v>
      </c>
      <c r="BK747" s="1">
        <v>1</v>
      </c>
      <c r="BL747" s="1">
        <v>1</v>
      </c>
      <c r="BM747" s="1">
        <v>1</v>
      </c>
      <c r="BN747" s="1">
        <v>1</v>
      </c>
      <c r="BO747" s="1">
        <v>1</v>
      </c>
      <c r="BP747" s="1">
        <v>1</v>
      </c>
      <c r="BQ747" s="1">
        <f t="shared" ref="BQ747:BQ758" si="650">IF(HRRVL,1,0)</f>
        <v>0</v>
      </c>
      <c r="BR747" s="1">
        <v>1</v>
      </c>
      <c r="BS747" s="1">
        <v>1</v>
      </c>
      <c r="BT747" s="1">
        <v>0</v>
      </c>
      <c r="BU747" s="1">
        <f t="shared" ref="BU747:BU757" si="651">IF(HRRVL,1,0)</f>
        <v>0</v>
      </c>
      <c r="BV747" s="1">
        <v>1</v>
      </c>
      <c r="BW747" s="1">
        <v>1</v>
      </c>
      <c r="BX747" s="1">
        <v>1</v>
      </c>
      <c r="BY747" s="1">
        <v>1</v>
      </c>
      <c r="BZ747" s="1">
        <v>1</v>
      </c>
      <c r="CA747" s="1">
        <v>1</v>
      </c>
      <c r="CB747" s="1">
        <v>1</v>
      </c>
      <c r="CC747" s="1">
        <v>1</v>
      </c>
      <c r="CD747" s="1">
        <v>1</v>
      </c>
      <c r="CE747" s="1">
        <v>1</v>
      </c>
      <c r="CF747" s="1">
        <v>2</v>
      </c>
      <c r="CG747" s="1">
        <f t="shared" ref="CG747:CG758" si="652">IF(HRToB,1,0)</f>
        <v>0</v>
      </c>
      <c r="CH747" s="1">
        <v>1</v>
      </c>
      <c r="CI747" s="1">
        <v>1</v>
      </c>
      <c r="CJ747" s="1">
        <v>2</v>
      </c>
      <c r="CK747" s="1">
        <v>2</v>
      </c>
      <c r="CL747" s="1">
        <v>2</v>
      </c>
      <c r="CM747" s="1">
        <v>2</v>
      </c>
      <c r="CN747" s="1">
        <v>2</v>
      </c>
      <c r="CO747" s="1">
        <v>2</v>
      </c>
      <c r="CP747" s="1">
        <v>2</v>
      </c>
      <c r="CQ747" s="1">
        <v>2</v>
      </c>
      <c r="CR747" s="1">
        <v>2</v>
      </c>
      <c r="CS747" s="1">
        <v>2</v>
      </c>
      <c r="CT747" s="1">
        <v>2</v>
      </c>
      <c r="CU747" s="1">
        <v>2</v>
      </c>
      <c r="CV747" s="1">
        <v>0</v>
      </c>
      <c r="CW747" s="1">
        <v>1</v>
      </c>
      <c r="CX747" s="1">
        <v>1</v>
      </c>
      <c r="CY747" s="1">
        <v>2</v>
      </c>
      <c r="CZ747" s="1">
        <f t="shared" ref="CZ747:CZ758" si="653">IF(HRCS,1,0)</f>
        <v>0</v>
      </c>
      <c r="DA747" s="1">
        <v>1</v>
      </c>
      <c r="DB747" s="1">
        <v>1</v>
      </c>
      <c r="DC747" s="1">
        <v>1</v>
      </c>
      <c r="DD747" s="1">
        <v>2</v>
      </c>
      <c r="DE747" s="1">
        <v>1</v>
      </c>
      <c r="DF747" s="1">
        <v>1</v>
      </c>
      <c r="DG747" s="1">
        <v>1</v>
      </c>
      <c r="DH747" s="1">
        <v>2</v>
      </c>
      <c r="DI747" s="1">
        <v>0</v>
      </c>
      <c r="DJ747" s="1">
        <v>1</v>
      </c>
      <c r="DK747" s="1" t="s">
        <v>1701</v>
      </c>
      <c r="DL747" s="1" t="s">
        <v>170</v>
      </c>
      <c r="DQ747" s="1" t="b">
        <f>SkBluffRanks&gt;=8</f>
        <v>0</v>
      </c>
      <c r="DR747" s="1" t="b">
        <f>SkDiplomacyRanks&gt;=6</f>
        <v>0</v>
      </c>
      <c r="DS747" s="1" t="b">
        <f>SkForgeryRanks&gt;=6</f>
        <v>0</v>
      </c>
      <c r="DT747" s="1" t="b">
        <f>NOT(ISNA(MATCH("Bluff",TblSkillFocus,0)))</f>
        <v>0</v>
      </c>
      <c r="DU747" s="1" t="b">
        <f>NOT(ISNA(MATCH("Diplomacy",TblSkillFocus,0)))</f>
        <v>0</v>
      </c>
      <c r="DZ747" s="1" t="b">
        <f t="shared" si="644"/>
        <v>1</v>
      </c>
      <c r="EA747" s="1" t="b">
        <f t="shared" ref="EA747:EA758" si="654">AND(DM747:DZ747)</f>
        <v>0</v>
      </c>
      <c r="EB747" s="11" t="s">
        <v>334</v>
      </c>
      <c r="EC747" s="1" t="str">
        <f>IF(DQ747,"","• 8 ranks in Bluff.
")&amp;IF(DR747,"","• 6 ranks in Diplomacy.
")&amp;IF(DS747,"","• 6 ranks in Forgery.
")&amp;IF(DT747,"","• Skill Focus (Bluff).
")&amp;IF(DU747,"","• Skill Focus (Diplomacy).")</f>
        <v>• 8 ranks in Bluff.
• 6 ranks in Diplomacy.
• 6 ranks in Forgery.
• Skill Focus (Bluff).
• Skill Focus (Diplomacy).</v>
      </c>
      <c r="ED747" s="11" t="s">
        <v>335</v>
      </c>
    </row>
    <row r="748" spans="1:134" ht="11.25" customHeight="1" x14ac:dyDescent="0.2">
      <c r="A748" s="1">
        <f t="shared" si="629"/>
        <v>745</v>
      </c>
      <c r="B748" s="1" t="s">
        <v>1702</v>
      </c>
      <c r="C748" s="1" t="s">
        <v>1703</v>
      </c>
      <c r="D748" s="1" t="s">
        <v>1703</v>
      </c>
      <c r="E748" s="1">
        <f t="shared" si="626"/>
        <v>0</v>
      </c>
      <c r="G748" s="1">
        <f>INT(DmCLvl/2)</f>
        <v>0</v>
      </c>
      <c r="K748" s="1">
        <v>2</v>
      </c>
      <c r="L748" s="1">
        <v>4</v>
      </c>
      <c r="S748" s="1" t="b">
        <v>1</v>
      </c>
      <c r="V748" s="1">
        <v>0.5</v>
      </c>
      <c r="W748" s="1">
        <v>0.34</v>
      </c>
      <c r="X748" s="1">
        <v>0.34</v>
      </c>
      <c r="Y748" s="1">
        <v>0.5</v>
      </c>
      <c r="Z748" s="1" t="b">
        <f>FALSE</f>
        <v>0</v>
      </c>
      <c r="AA748" s="1" t="str">
        <f t="shared" si="630"/>
        <v/>
      </c>
      <c r="AB748" s="1" t="str">
        <f t="shared" si="631"/>
        <v/>
      </c>
      <c r="AC748" s="1">
        <f t="shared" si="627"/>
        <v>0</v>
      </c>
      <c r="AD748" s="1" t="str">
        <f t="shared" si="632"/>
        <v/>
      </c>
      <c r="AE748" s="1" t="str">
        <f t="shared" si="633"/>
        <v/>
      </c>
      <c r="AF748" s="1">
        <f t="shared" si="628"/>
        <v>0</v>
      </c>
      <c r="AG748" s="1">
        <f t="shared" si="636"/>
        <v>5</v>
      </c>
      <c r="AH748" s="1" t="str">
        <f t="shared" si="635"/>
        <v/>
      </c>
      <c r="AI748" s="1">
        <v>1</v>
      </c>
      <c r="AJ748" s="1">
        <f t="shared" si="646"/>
        <v>0</v>
      </c>
      <c r="AK748" s="1">
        <v>1</v>
      </c>
      <c r="AL748" s="1">
        <v>1</v>
      </c>
      <c r="AM748" s="1">
        <v>1</v>
      </c>
      <c r="AN748" s="1">
        <f t="shared" si="647"/>
        <v>0</v>
      </c>
      <c r="AO748" s="1">
        <v>2</v>
      </c>
      <c r="AP748" s="1">
        <v>2</v>
      </c>
      <c r="AQ748" s="1">
        <v>2</v>
      </c>
      <c r="AR748" s="1">
        <v>2</v>
      </c>
      <c r="AS748" s="1">
        <v>2</v>
      </c>
      <c r="AT748" s="1">
        <v>2</v>
      </c>
      <c r="AU748" s="1">
        <v>2</v>
      </c>
      <c r="AV748" s="1">
        <v>2</v>
      </c>
      <c r="AW748" s="1">
        <v>1</v>
      </c>
      <c r="AX748" s="1">
        <v>1</v>
      </c>
      <c r="AY748" s="1">
        <v>1</v>
      </c>
      <c r="AZ748" s="1">
        <v>1</v>
      </c>
      <c r="BA748" s="1">
        <v>1</v>
      </c>
      <c r="BB748" s="1">
        <v>1</v>
      </c>
      <c r="BC748" s="1">
        <v>1</v>
      </c>
      <c r="BD748" s="1">
        <v>1</v>
      </c>
      <c r="BE748" s="1">
        <v>1</v>
      </c>
      <c r="BF748" s="1">
        <v>1</v>
      </c>
      <c r="BG748" s="1">
        <f t="shared" si="648"/>
        <v>0</v>
      </c>
      <c r="BH748" s="1">
        <f t="shared" si="649"/>
        <v>0</v>
      </c>
      <c r="BI748" s="1">
        <v>1</v>
      </c>
      <c r="BJ748" s="1">
        <v>1</v>
      </c>
      <c r="BK748" s="1">
        <v>2</v>
      </c>
      <c r="BL748" s="1">
        <v>1</v>
      </c>
      <c r="BM748" s="1">
        <v>1</v>
      </c>
      <c r="BN748" s="1">
        <v>1</v>
      </c>
      <c r="BO748" s="1">
        <v>1</v>
      </c>
      <c r="BP748" s="1">
        <v>1</v>
      </c>
      <c r="BQ748" s="1">
        <f t="shared" si="650"/>
        <v>0</v>
      </c>
      <c r="BR748" s="1">
        <v>1</v>
      </c>
      <c r="BS748" s="1">
        <v>1</v>
      </c>
      <c r="BT748" s="1">
        <v>0</v>
      </c>
      <c r="BU748" s="1">
        <f t="shared" si="651"/>
        <v>0</v>
      </c>
      <c r="BV748" s="1">
        <v>1</v>
      </c>
      <c r="BW748" s="1">
        <v>1</v>
      </c>
      <c r="BX748" s="1">
        <v>1</v>
      </c>
      <c r="BY748" s="1">
        <v>1</v>
      </c>
      <c r="BZ748" s="1">
        <v>1</v>
      </c>
      <c r="CA748" s="1">
        <v>1</v>
      </c>
      <c r="CB748" s="1">
        <v>1</v>
      </c>
      <c r="CC748" s="1">
        <v>1</v>
      </c>
      <c r="CD748" s="1">
        <v>1</v>
      </c>
      <c r="CE748" s="1">
        <v>1</v>
      </c>
      <c r="CF748" s="1">
        <v>1</v>
      </c>
      <c r="CG748" s="1">
        <f t="shared" si="652"/>
        <v>0</v>
      </c>
      <c r="CH748" s="1">
        <v>1</v>
      </c>
      <c r="CI748" s="1">
        <v>1</v>
      </c>
      <c r="CJ748" s="1">
        <v>1</v>
      </c>
      <c r="CK748" s="1">
        <v>1</v>
      </c>
      <c r="CL748" s="1">
        <v>1</v>
      </c>
      <c r="CM748" s="1">
        <v>1</v>
      </c>
      <c r="CN748" s="1">
        <v>1</v>
      </c>
      <c r="CO748" s="1">
        <v>1</v>
      </c>
      <c r="CP748" s="1">
        <v>2</v>
      </c>
      <c r="CQ748" s="1">
        <v>2</v>
      </c>
      <c r="CR748" s="1">
        <v>2</v>
      </c>
      <c r="CS748" s="1">
        <v>2</v>
      </c>
      <c r="CT748" s="1">
        <v>2</v>
      </c>
      <c r="CU748" s="1">
        <v>2</v>
      </c>
      <c r="CV748" s="1">
        <v>0</v>
      </c>
      <c r="CW748" s="1">
        <v>1</v>
      </c>
      <c r="CX748" s="1">
        <v>1</v>
      </c>
      <c r="CY748" s="1">
        <v>1</v>
      </c>
      <c r="CZ748" s="1">
        <f t="shared" si="653"/>
        <v>0</v>
      </c>
      <c r="DA748" s="1">
        <v>1</v>
      </c>
      <c r="DB748" s="1">
        <v>1</v>
      </c>
      <c r="DC748" s="1">
        <v>2</v>
      </c>
      <c r="DD748" s="1">
        <v>1</v>
      </c>
      <c r="DE748" s="1">
        <v>1</v>
      </c>
      <c r="DF748" s="1">
        <v>1</v>
      </c>
      <c r="DG748" s="1">
        <v>1</v>
      </c>
      <c r="DH748" s="1">
        <v>1</v>
      </c>
      <c r="DI748" s="1">
        <v>0</v>
      </c>
      <c r="DJ748" s="1">
        <v>1</v>
      </c>
      <c r="DK748" s="1" t="s">
        <v>1701</v>
      </c>
      <c r="DL748" s="1" t="s">
        <v>170</v>
      </c>
      <c r="DQ748" s="1" t="b">
        <f>AlignmentChaotic</f>
        <v>0</v>
      </c>
      <c r="DR748" s="1" t="b">
        <f>SkKnowledgeArcanaRanks&gt;=4</f>
        <v>0</v>
      </c>
      <c r="DS748" s="1" t="b">
        <f>SkSpellcraftRanks&gt;=8</f>
        <v>0</v>
      </c>
      <c r="DT748" s="1" t="b">
        <f ca="1">MaxArcaneSpellLevel&gt;=1</f>
        <v>0</v>
      </c>
      <c r="DU748" s="1" t="b">
        <f>TRUE</f>
        <v>1</v>
      </c>
      <c r="DZ748" s="1" t="b">
        <f t="shared" si="644"/>
        <v>1</v>
      </c>
      <c r="EA748" s="1" t="b">
        <f ca="1">AND(DM748:DZ748)</f>
        <v>0</v>
      </c>
      <c r="EB748" s="11" t="s">
        <v>334</v>
      </c>
      <c r="EC748" s="1" t="str">
        <f ca="1">IF(DQ748,"","• Any Chaotic Alignment.
")&amp;IF(DR748,"","• 4 ranks in Knowledge (arcana).
")&amp;IF(DS748,"","• 8 ranks in Spellcraft.
")&amp;IF(DT748,"","• Must know how to cast 1st level arcane spells.
")&amp;IF(DU748,"","• Must know how to cast sleep.")</f>
        <v xml:space="preserve">• Any Chaotic Alignment.
• 4 ranks in Knowledge (arcana).
• 8 ranks in Spellcraft.
• Must know how to cast 1st level arcane spells.
</v>
      </c>
      <c r="ED748" s="11" t="s">
        <v>335</v>
      </c>
    </row>
    <row r="749" spans="1:134" ht="11.25" customHeight="1" x14ac:dyDescent="0.2">
      <c r="A749" s="1">
        <f t="shared" si="629"/>
        <v>746</v>
      </c>
      <c r="B749" s="1" t="s">
        <v>1704</v>
      </c>
      <c r="C749" s="1" t="s">
        <v>1705</v>
      </c>
      <c r="D749" s="1" t="s">
        <v>1705</v>
      </c>
      <c r="E749" s="1">
        <f t="shared" si="626"/>
        <v>0</v>
      </c>
      <c r="K749" s="1">
        <v>4</v>
      </c>
      <c r="L749" s="1">
        <v>6</v>
      </c>
      <c r="N749" s="1" t="b">
        <v>1</v>
      </c>
      <c r="V749" s="1">
        <v>1</v>
      </c>
      <c r="W749" s="1">
        <v>0.34</v>
      </c>
      <c r="X749" s="1">
        <v>0.5</v>
      </c>
      <c r="Y749" s="1">
        <v>0.34</v>
      </c>
      <c r="Z749" s="1" t="b">
        <f>FALSE</f>
        <v>0</v>
      </c>
      <c r="AA749" s="1" t="str">
        <f t="shared" si="630"/>
        <v/>
      </c>
      <c r="AB749" s="1" t="str">
        <f t="shared" si="631"/>
        <v/>
      </c>
      <c r="AC749" s="1">
        <f t="shared" si="627"/>
        <v>0</v>
      </c>
      <c r="AD749" s="1" t="str">
        <f t="shared" si="632"/>
        <v/>
      </c>
      <c r="AE749" s="1" t="str">
        <f t="shared" si="633"/>
        <v/>
      </c>
      <c r="AF749" s="1">
        <f t="shared" si="628"/>
        <v>0</v>
      </c>
      <c r="AG749" s="1">
        <f t="shared" si="636"/>
        <v>5</v>
      </c>
      <c r="AH749" s="1" t="str">
        <f t="shared" si="635"/>
        <v/>
      </c>
      <c r="AI749" s="1">
        <v>2</v>
      </c>
      <c r="AJ749" s="1">
        <f t="shared" si="646"/>
        <v>0</v>
      </c>
      <c r="AK749" s="1">
        <v>2</v>
      </c>
      <c r="AL749" s="1">
        <v>2</v>
      </c>
      <c r="AM749" s="1">
        <v>1</v>
      </c>
      <c r="AN749" s="1">
        <f t="shared" si="647"/>
        <v>0</v>
      </c>
      <c r="AO749" s="1">
        <v>1</v>
      </c>
      <c r="AP749" s="1">
        <v>1</v>
      </c>
      <c r="AQ749" s="1">
        <v>1</v>
      </c>
      <c r="AR749" s="1">
        <v>1</v>
      </c>
      <c r="AS749" s="1">
        <v>1</v>
      </c>
      <c r="AT749" s="1">
        <v>1</v>
      </c>
      <c r="AU749" s="1">
        <v>1</v>
      </c>
      <c r="AV749" s="1">
        <v>1</v>
      </c>
      <c r="AW749" s="1">
        <v>1</v>
      </c>
      <c r="AX749" s="1">
        <v>2</v>
      </c>
      <c r="AY749" s="1">
        <v>1</v>
      </c>
      <c r="AZ749" s="1">
        <v>2</v>
      </c>
      <c r="BA749" s="1">
        <v>1</v>
      </c>
      <c r="BB749" s="1">
        <v>1</v>
      </c>
      <c r="BC749" s="1">
        <v>2</v>
      </c>
      <c r="BD749" s="1">
        <v>2</v>
      </c>
      <c r="BE749" s="1">
        <v>1</v>
      </c>
      <c r="BF749" s="1">
        <v>1</v>
      </c>
      <c r="BG749" s="1">
        <f t="shared" si="648"/>
        <v>0</v>
      </c>
      <c r="BH749" s="1">
        <f t="shared" si="649"/>
        <v>0</v>
      </c>
      <c r="BI749" s="1">
        <v>1</v>
      </c>
      <c r="BJ749" s="1">
        <v>1</v>
      </c>
      <c r="BK749" s="1">
        <v>1</v>
      </c>
      <c r="BL749" s="1">
        <v>1</v>
      </c>
      <c r="BM749" s="1">
        <v>1</v>
      </c>
      <c r="BN749" s="1">
        <v>1</v>
      </c>
      <c r="BO749" s="1">
        <v>1</v>
      </c>
      <c r="BP749" s="1">
        <v>1</v>
      </c>
      <c r="BQ749" s="1">
        <f t="shared" si="650"/>
        <v>0</v>
      </c>
      <c r="BR749" s="1">
        <v>1</v>
      </c>
      <c r="BS749" s="1">
        <v>2</v>
      </c>
      <c r="BT749" s="1">
        <v>0</v>
      </c>
      <c r="BU749" s="1">
        <f t="shared" si="651"/>
        <v>0</v>
      </c>
      <c r="BV749" s="1">
        <v>1</v>
      </c>
      <c r="BW749" s="1">
        <v>1</v>
      </c>
      <c r="BX749" s="1">
        <v>1</v>
      </c>
      <c r="BY749" s="1">
        <v>1</v>
      </c>
      <c r="BZ749" s="1">
        <v>1</v>
      </c>
      <c r="CA749" s="1">
        <v>1</v>
      </c>
      <c r="CB749" s="1">
        <v>1</v>
      </c>
      <c r="CC749" s="1">
        <v>1</v>
      </c>
      <c r="CD749" s="1">
        <v>1</v>
      </c>
      <c r="CE749" s="1">
        <v>1</v>
      </c>
      <c r="CF749" s="1">
        <v>1</v>
      </c>
      <c r="CG749" s="1">
        <f t="shared" si="652"/>
        <v>0</v>
      </c>
      <c r="CH749" s="1">
        <v>1</v>
      </c>
      <c r="CI749" s="1">
        <v>1</v>
      </c>
      <c r="CJ749" s="1">
        <v>1</v>
      </c>
      <c r="CK749" s="1">
        <v>1</v>
      </c>
      <c r="CL749" s="1">
        <v>1</v>
      </c>
      <c r="CM749" s="1">
        <v>1</v>
      </c>
      <c r="CN749" s="1">
        <v>1</v>
      </c>
      <c r="CO749" s="1">
        <v>1</v>
      </c>
      <c r="CP749" s="1">
        <v>1</v>
      </c>
      <c r="CQ749" s="1">
        <v>1</v>
      </c>
      <c r="CR749" s="1">
        <v>1</v>
      </c>
      <c r="CS749" s="1">
        <v>1</v>
      </c>
      <c r="CT749" s="1">
        <v>1</v>
      </c>
      <c r="CU749" s="1">
        <v>1</v>
      </c>
      <c r="CV749" s="1">
        <v>0</v>
      </c>
      <c r="CW749" s="1">
        <v>2</v>
      </c>
      <c r="CX749" s="1">
        <v>1</v>
      </c>
      <c r="CY749" s="1">
        <v>1</v>
      </c>
      <c r="CZ749" s="1">
        <f t="shared" si="653"/>
        <v>0</v>
      </c>
      <c r="DA749" s="1">
        <v>1</v>
      </c>
      <c r="DB749" s="1">
        <v>1</v>
      </c>
      <c r="DC749" s="1">
        <v>1</v>
      </c>
      <c r="DD749" s="1">
        <v>2</v>
      </c>
      <c r="DE749" s="1">
        <v>2</v>
      </c>
      <c r="DF749" s="1">
        <v>1</v>
      </c>
      <c r="DG749" s="1">
        <v>2</v>
      </c>
      <c r="DH749" s="1">
        <v>1</v>
      </c>
      <c r="DI749" s="1">
        <v>0</v>
      </c>
      <c r="DJ749" s="1">
        <v>1</v>
      </c>
      <c r="DK749" s="1" t="s">
        <v>1701</v>
      </c>
      <c r="DL749" s="1" t="s">
        <v>170</v>
      </c>
      <c r="DQ749" s="1" t="b">
        <f>AlignmentNonLawful</f>
        <v>0</v>
      </c>
      <c r="DR749" s="1" t="b">
        <f>BaseAtk&gt;=4</f>
        <v>0</v>
      </c>
      <c r="DS749" s="1" t="b">
        <f>SkBluffRanks&gt;=6</f>
        <v>0</v>
      </c>
      <c r="DT749" s="1" t="b">
        <f>SkDiplomacyRanks&gt;=4</f>
        <v>0</v>
      </c>
      <c r="DU749" s="1" t="b">
        <f>SkRideRanks&gt;=4</f>
        <v>0</v>
      </c>
      <c r="DV749" s="1" t="b">
        <f>FtEquestrian</f>
        <v>0</v>
      </c>
      <c r="DW749" s="1" t="b">
        <f>NOT(ISNA(MATCH("Pistol",TblExoticFeats,0)))</f>
        <v>0</v>
      </c>
      <c r="DX749" s="1" t="b">
        <f>FtPointBlankShot</f>
        <v>0</v>
      </c>
      <c r="DY749" s="1" t="b">
        <f>FtMountedCombat</f>
        <v>0</v>
      </c>
      <c r="DZ749" s="1" t="b">
        <f t="shared" si="644"/>
        <v>1</v>
      </c>
      <c r="EA749" s="1" t="b">
        <f t="shared" si="654"/>
        <v>0</v>
      </c>
      <c r="EB749" s="11" t="s">
        <v>334</v>
      </c>
      <c r="EC749" s="1" t="str">
        <f>IF(DQ749,"","• Any non-lawful alignment.
")&amp;IF(DR749,"","• Base attack bonus +4.
")&amp;IF(DS749,"","• 6 ranks in Bluff.
")&amp;IF(DT749,"","• 4 ranks in Diplomacy.
")&amp;IF(DU749,"","• 4 ranks in Ride.
")&amp;IF(DV749,"","• Equestrian feat.
")&amp;IF(DW749,"","• Exotic Weapon Proficiency (Pistol) feat.
")&amp;IF(DX749,"","• Point Blank Shot.
")&amp;IF(DY749,"","• Mounted Combat.")</f>
        <v>• Any non-lawful alignment.
• Base attack bonus +4.
• 6 ranks in Bluff.
• 4 ranks in Diplomacy.
• 4 ranks in Ride.
• Equestrian feat.
• Exotic Weapon Proficiency (Pistol) feat.
• Point Blank Shot.
• Mounted Combat.</v>
      </c>
      <c r="ED749" s="11" t="s">
        <v>335</v>
      </c>
    </row>
    <row r="750" spans="1:134" ht="11.25" customHeight="1" x14ac:dyDescent="0.2">
      <c r="A750" s="1">
        <f t="shared" si="629"/>
        <v>747</v>
      </c>
      <c r="B750" s="1" t="s">
        <v>1706</v>
      </c>
      <c r="C750" s="1" t="s">
        <v>1707</v>
      </c>
      <c r="D750" s="1" t="s">
        <v>1707</v>
      </c>
      <c r="E750" s="1">
        <f t="shared" si="626"/>
        <v>0</v>
      </c>
      <c r="K750" s="1">
        <v>4</v>
      </c>
      <c r="L750" s="1">
        <v>6</v>
      </c>
      <c r="N750" s="1" t="b">
        <v>1</v>
      </c>
      <c r="O750" s="1" t="b">
        <v>1</v>
      </c>
      <c r="S750" s="1" t="b">
        <v>1</v>
      </c>
      <c r="V750" s="1">
        <v>0.75</v>
      </c>
      <c r="W750" s="1">
        <v>0.34</v>
      </c>
      <c r="X750" s="1">
        <v>0.5</v>
      </c>
      <c r="Y750" s="1">
        <v>0.5</v>
      </c>
      <c r="Z750" s="1" t="b">
        <f>FALSE</f>
        <v>0</v>
      </c>
      <c r="AA750" s="1" t="str">
        <f t="shared" si="630"/>
        <v/>
      </c>
      <c r="AB750" s="1" t="str">
        <f t="shared" si="631"/>
        <v/>
      </c>
      <c r="AC750" s="1">
        <f t="shared" si="627"/>
        <v>0</v>
      </c>
      <c r="AD750" s="1" t="str">
        <f t="shared" si="632"/>
        <v/>
      </c>
      <c r="AE750" s="1" t="str">
        <f t="shared" si="633"/>
        <v/>
      </c>
      <c r="AF750" s="1">
        <f t="shared" si="628"/>
        <v>0</v>
      </c>
      <c r="AG750" s="1">
        <f t="shared" si="636"/>
        <v>5</v>
      </c>
      <c r="AH750" s="1" t="str">
        <f t="shared" si="635"/>
        <v/>
      </c>
      <c r="AI750" s="1">
        <v>1</v>
      </c>
      <c r="AJ750" s="1">
        <f t="shared" si="646"/>
        <v>0</v>
      </c>
      <c r="AK750" s="1">
        <v>1</v>
      </c>
      <c r="AL750" s="1">
        <v>2</v>
      </c>
      <c r="AM750" s="1">
        <v>1</v>
      </c>
      <c r="AN750" s="1">
        <f t="shared" si="647"/>
        <v>0</v>
      </c>
      <c r="AO750" s="1">
        <v>2</v>
      </c>
      <c r="AP750" s="1">
        <v>2</v>
      </c>
      <c r="AQ750" s="1">
        <v>2</v>
      </c>
      <c r="AR750" s="1">
        <v>2</v>
      </c>
      <c r="AS750" s="1">
        <v>2</v>
      </c>
      <c r="AT750" s="1">
        <v>2</v>
      </c>
      <c r="AU750" s="1">
        <v>2</v>
      </c>
      <c r="AV750" s="1">
        <v>2</v>
      </c>
      <c r="AW750" s="1">
        <v>2</v>
      </c>
      <c r="AX750" s="1">
        <v>2</v>
      </c>
      <c r="AY750" s="1">
        <v>1</v>
      </c>
      <c r="AZ750" s="1">
        <v>2</v>
      </c>
      <c r="BA750" s="1">
        <v>1</v>
      </c>
      <c r="BB750" s="1">
        <v>2</v>
      </c>
      <c r="BC750" s="1">
        <v>2</v>
      </c>
      <c r="BD750" s="1">
        <v>1</v>
      </c>
      <c r="BE750" s="1">
        <v>1</v>
      </c>
      <c r="BF750" s="1">
        <v>1</v>
      </c>
      <c r="BG750" s="1">
        <f t="shared" si="648"/>
        <v>0</v>
      </c>
      <c r="BH750" s="1">
        <f t="shared" si="649"/>
        <v>0</v>
      </c>
      <c r="BI750" s="1">
        <v>2</v>
      </c>
      <c r="BJ750" s="1">
        <v>1</v>
      </c>
      <c r="BK750" s="1">
        <v>2</v>
      </c>
      <c r="BL750" s="1">
        <v>1</v>
      </c>
      <c r="BM750" s="1">
        <v>1</v>
      </c>
      <c r="BN750" s="1">
        <v>1</v>
      </c>
      <c r="BO750" s="1">
        <v>1</v>
      </c>
      <c r="BP750" s="1">
        <v>1</v>
      </c>
      <c r="BQ750" s="1">
        <f t="shared" si="650"/>
        <v>0</v>
      </c>
      <c r="BR750" s="1">
        <v>1</v>
      </c>
      <c r="BS750" s="1">
        <v>1</v>
      </c>
      <c r="BT750" s="1">
        <v>0</v>
      </c>
      <c r="BU750" s="1">
        <f t="shared" si="651"/>
        <v>0</v>
      </c>
      <c r="BV750" s="1">
        <v>1</v>
      </c>
      <c r="BW750" s="1">
        <v>1</v>
      </c>
      <c r="BX750" s="1">
        <v>1</v>
      </c>
      <c r="BY750" s="1">
        <v>1</v>
      </c>
      <c r="BZ750" s="1">
        <v>1</v>
      </c>
      <c r="CA750" s="1">
        <v>1</v>
      </c>
      <c r="CB750" s="1">
        <v>1</v>
      </c>
      <c r="CC750" s="1">
        <v>1</v>
      </c>
      <c r="CD750" s="1">
        <v>1</v>
      </c>
      <c r="CE750" s="1">
        <v>1</v>
      </c>
      <c r="CF750" s="1">
        <v>2</v>
      </c>
      <c r="CG750" s="1">
        <f t="shared" si="652"/>
        <v>0</v>
      </c>
      <c r="CH750" s="1">
        <v>1</v>
      </c>
      <c r="CI750" s="1">
        <v>1</v>
      </c>
      <c r="CJ750" s="1">
        <v>2</v>
      </c>
      <c r="CK750" s="1">
        <v>2</v>
      </c>
      <c r="CL750" s="1">
        <v>2</v>
      </c>
      <c r="CM750" s="1">
        <v>2</v>
      </c>
      <c r="CN750" s="1">
        <v>2</v>
      </c>
      <c r="CO750" s="1">
        <v>2</v>
      </c>
      <c r="CP750" s="1">
        <v>2</v>
      </c>
      <c r="CQ750" s="1">
        <v>2</v>
      </c>
      <c r="CR750" s="1">
        <v>2</v>
      </c>
      <c r="CS750" s="1">
        <v>2</v>
      </c>
      <c r="CT750" s="1">
        <v>2</v>
      </c>
      <c r="CU750" s="1">
        <v>2</v>
      </c>
      <c r="CV750" s="1">
        <v>0</v>
      </c>
      <c r="CW750" s="1">
        <v>1</v>
      </c>
      <c r="CX750" s="1">
        <v>1</v>
      </c>
      <c r="CY750" s="1">
        <v>2</v>
      </c>
      <c r="CZ750" s="1">
        <f t="shared" si="653"/>
        <v>0</v>
      </c>
      <c r="DA750" s="1">
        <v>1</v>
      </c>
      <c r="DB750" s="1">
        <v>1</v>
      </c>
      <c r="DC750" s="1">
        <v>2</v>
      </c>
      <c r="DD750" s="1">
        <v>1</v>
      </c>
      <c r="DE750" s="1">
        <v>1</v>
      </c>
      <c r="DF750" s="1">
        <v>1</v>
      </c>
      <c r="DG750" s="1">
        <v>1</v>
      </c>
      <c r="DH750" s="1">
        <v>1</v>
      </c>
      <c r="DI750" s="1">
        <v>0</v>
      </c>
      <c r="DJ750" s="1">
        <v>1</v>
      </c>
      <c r="DK750" s="1" t="s">
        <v>1701</v>
      </c>
      <c r="DL750" s="1" t="s">
        <v>170</v>
      </c>
      <c r="DQ750" s="1" t="b">
        <f>AND(AlignmentLawful,AlignmentNonGood)</f>
        <v>0</v>
      </c>
      <c r="DR750" s="1" t="b">
        <f>SkBluffRanks&gt;=8</f>
        <v>0</v>
      </c>
      <c r="DS750" s="1" t="b">
        <f>SkDiplomacyRanks&gt;=8</f>
        <v>0</v>
      </c>
      <c r="DT750" s="1" t="b">
        <f>SkGatherInformationRanks&gt;=8</f>
        <v>0</v>
      </c>
      <c r="DU750" s="1" t="b">
        <f>SkPerformRanks&gt;=4</f>
        <v>0</v>
      </c>
      <c r="DV750" s="1" t="b">
        <f>SkSenseMotiveRanks&gt;=4</f>
        <v>0</v>
      </c>
      <c r="DW750" s="1" t="b">
        <f>FtMachiavellian</f>
        <v>0</v>
      </c>
      <c r="DX750" s="1" t="b">
        <f>NOT(ISNA(MATCH("Bluff",TblSkillFocus,0)))</f>
        <v>0</v>
      </c>
      <c r="DY750" s="1" t="b">
        <f>NOT(ISNA(MATCH("Gather Information",TblSkillFocus,0)))</f>
        <v>0</v>
      </c>
      <c r="DZ750" s="1" t="b">
        <f t="shared" si="644"/>
        <v>1</v>
      </c>
      <c r="EA750" s="1" t="b">
        <f t="shared" si="654"/>
        <v>0</v>
      </c>
      <c r="EB750" s="11" t="s">
        <v>334</v>
      </c>
      <c r="EC750" s="1" t="str">
        <f>IF(DQ750,"","• Alignment of Lawful Neutral or Lawful Evil.
")&amp;IF(DR750,"","• 8 ranks in Bluff.
")&amp;IF(DS750,"","• 8 ranks in Diplomacy.
")&amp;IF(DT750,"","• 8 ranks in Gather Information.
")&amp;IF(DU750,"","• 4 ranks in Perform.
")&amp;IF(DV750,"","• 4 ranks in Sense Motive.
")&amp;IF(DW750,"","• Machiavellian feat.
")&amp;IF(DX750,"","• Skill Focus (Bluff) feat.
")&amp;IF(DY750,"","• Skill Focus (Gather Information) feat.")</f>
        <v>• Alignment of Lawful Neutral or Lawful Evil.
• 8 ranks in Bluff.
• 8 ranks in Diplomacy.
• 8 ranks in Gather Information.
• 4 ranks in Perform.
• 4 ranks in Sense Motive.
• Machiavellian feat.
• Skill Focus (Bluff) feat.
• Skill Focus (Gather Information) feat.</v>
      </c>
      <c r="ED750" s="11" t="s">
        <v>335</v>
      </c>
    </row>
    <row r="751" spans="1:134" ht="11.25" customHeight="1" x14ac:dyDescent="0.2">
      <c r="A751" s="1">
        <f t="shared" si="629"/>
        <v>748</v>
      </c>
      <c r="B751" s="1" t="s">
        <v>1708</v>
      </c>
      <c r="C751" s="1" t="s">
        <v>1709</v>
      </c>
      <c r="D751" s="1" t="s">
        <v>1709</v>
      </c>
      <c r="E751" s="1">
        <f t="shared" si="626"/>
        <v>0</v>
      </c>
      <c r="G751" s="1">
        <f>McuLvl</f>
        <v>0</v>
      </c>
      <c r="K751" s="1">
        <v>2</v>
      </c>
      <c r="L751" s="1">
        <v>8</v>
      </c>
      <c r="M751" s="1" t="str">
        <f>IF(McuLvl&gt;=3,ClassLvl,"")</f>
        <v/>
      </c>
      <c r="N751" s="1" t="b">
        <v>1</v>
      </c>
      <c r="O751" s="1" t="b">
        <v>1</v>
      </c>
      <c r="P751" s="1" t="b">
        <v>1</v>
      </c>
      <c r="Q751" s="1" t="b">
        <v>1</v>
      </c>
      <c r="S751" s="1" t="b">
        <v>1</v>
      </c>
      <c r="V751" s="1">
        <v>1</v>
      </c>
      <c r="W751" s="1">
        <v>0.5</v>
      </c>
      <c r="X751" s="1">
        <v>0.34</v>
      </c>
      <c r="Y751" s="1">
        <v>0.5</v>
      </c>
      <c r="Z751" s="1" t="b">
        <f>FALSE</f>
        <v>0</v>
      </c>
      <c r="AA751" s="1" t="str">
        <f t="shared" si="630"/>
        <v/>
      </c>
      <c r="AB751" s="1" t="str">
        <f t="shared" si="631"/>
        <v/>
      </c>
      <c r="AC751" s="1">
        <f t="shared" si="627"/>
        <v>0</v>
      </c>
      <c r="AD751" s="1" t="str">
        <f t="shared" si="632"/>
        <v/>
      </c>
      <c r="AE751" s="1" t="str">
        <f t="shared" si="633"/>
        <v/>
      </c>
      <c r="AF751" s="1">
        <f t="shared" si="628"/>
        <v>0</v>
      </c>
      <c r="AG751" s="1">
        <f t="shared" si="636"/>
        <v>5</v>
      </c>
      <c r="AH751" s="1" t="str">
        <f t="shared" si="635"/>
        <v/>
      </c>
      <c r="AI751" s="1">
        <v>1</v>
      </c>
      <c r="AJ751" s="1">
        <f t="shared" si="646"/>
        <v>0</v>
      </c>
      <c r="AK751" s="1">
        <v>1</v>
      </c>
      <c r="AL751" s="1">
        <v>2</v>
      </c>
      <c r="AM751" s="1">
        <v>1</v>
      </c>
      <c r="AN751" s="1">
        <f t="shared" si="647"/>
        <v>0</v>
      </c>
      <c r="AO751" s="1">
        <v>2</v>
      </c>
      <c r="AP751" s="1">
        <v>1</v>
      </c>
      <c r="AQ751" s="1">
        <v>1</v>
      </c>
      <c r="AR751" s="1">
        <v>1</v>
      </c>
      <c r="AS751" s="1">
        <v>1</v>
      </c>
      <c r="AT751" s="1">
        <v>1</v>
      </c>
      <c r="AU751" s="1">
        <v>1</v>
      </c>
      <c r="AV751" s="1">
        <v>1</v>
      </c>
      <c r="AW751" s="1">
        <v>1</v>
      </c>
      <c r="AX751" s="1">
        <v>2</v>
      </c>
      <c r="AY751" s="1">
        <v>1</v>
      </c>
      <c r="AZ751" s="1">
        <v>1</v>
      </c>
      <c r="BA751" s="1">
        <v>1</v>
      </c>
      <c r="BB751" s="1">
        <v>1</v>
      </c>
      <c r="BC751" s="1">
        <v>2</v>
      </c>
      <c r="BD751" s="1">
        <v>1</v>
      </c>
      <c r="BE751" s="1">
        <v>1</v>
      </c>
      <c r="BF751" s="1">
        <v>1</v>
      </c>
      <c r="BG751" s="1">
        <f t="shared" si="648"/>
        <v>0</v>
      </c>
      <c r="BH751" s="1">
        <f t="shared" si="649"/>
        <v>0</v>
      </c>
      <c r="BI751" s="1">
        <v>2</v>
      </c>
      <c r="BJ751" s="1">
        <v>1</v>
      </c>
      <c r="BK751" s="1">
        <v>1</v>
      </c>
      <c r="BL751" s="1">
        <v>1</v>
      </c>
      <c r="BM751" s="1">
        <v>1</v>
      </c>
      <c r="BN751" s="1">
        <v>1</v>
      </c>
      <c r="BO751" s="1">
        <v>1</v>
      </c>
      <c r="BP751" s="1">
        <v>1</v>
      </c>
      <c r="BQ751" s="1">
        <f t="shared" si="650"/>
        <v>0</v>
      </c>
      <c r="BR751" s="1">
        <v>1</v>
      </c>
      <c r="BS751" s="1">
        <v>1</v>
      </c>
      <c r="BT751" s="1">
        <v>0</v>
      </c>
      <c r="BU751" s="1">
        <f t="shared" si="651"/>
        <v>0</v>
      </c>
      <c r="BV751" s="1">
        <v>1</v>
      </c>
      <c r="BW751" s="1">
        <v>1</v>
      </c>
      <c r="BX751" s="1">
        <v>1</v>
      </c>
      <c r="BY751" s="1">
        <v>1</v>
      </c>
      <c r="BZ751" s="1">
        <v>1</v>
      </c>
      <c r="CA751" s="1">
        <v>1</v>
      </c>
      <c r="CB751" s="1">
        <v>1</v>
      </c>
      <c r="CC751" s="1">
        <v>1</v>
      </c>
      <c r="CD751" s="1">
        <v>1</v>
      </c>
      <c r="CE751" s="1">
        <v>1</v>
      </c>
      <c r="CF751" s="1">
        <v>2</v>
      </c>
      <c r="CG751" s="1">
        <f t="shared" si="652"/>
        <v>0</v>
      </c>
      <c r="CH751" s="1">
        <v>1</v>
      </c>
      <c r="CI751" s="1">
        <v>1</v>
      </c>
      <c r="CJ751" s="1">
        <v>1</v>
      </c>
      <c r="CK751" s="1">
        <v>1</v>
      </c>
      <c r="CL751" s="1">
        <v>1</v>
      </c>
      <c r="CM751" s="1">
        <v>1</v>
      </c>
      <c r="CN751" s="1">
        <v>1</v>
      </c>
      <c r="CO751" s="1">
        <v>1</v>
      </c>
      <c r="CP751" s="1">
        <v>1</v>
      </c>
      <c r="CQ751" s="1">
        <v>1</v>
      </c>
      <c r="CR751" s="1">
        <v>1</v>
      </c>
      <c r="CS751" s="1">
        <v>1</v>
      </c>
      <c r="CT751" s="1">
        <v>1</v>
      </c>
      <c r="CU751" s="1">
        <v>1</v>
      </c>
      <c r="CV751" s="1">
        <v>0</v>
      </c>
      <c r="CW751" s="1">
        <v>1</v>
      </c>
      <c r="CX751" s="1">
        <v>1</v>
      </c>
      <c r="CY751" s="1">
        <v>2</v>
      </c>
      <c r="CZ751" s="1">
        <f t="shared" si="653"/>
        <v>0</v>
      </c>
      <c r="DA751" s="1">
        <v>1</v>
      </c>
      <c r="DB751" s="1">
        <v>1</v>
      </c>
      <c r="DC751" s="1">
        <v>2</v>
      </c>
      <c r="DD751" s="1">
        <v>1</v>
      </c>
      <c r="DE751" s="1">
        <v>1</v>
      </c>
      <c r="DF751" s="1">
        <v>1</v>
      </c>
      <c r="DG751" s="1">
        <v>1</v>
      </c>
      <c r="DH751" s="1">
        <v>1</v>
      </c>
      <c r="DI751" s="1">
        <v>0</v>
      </c>
      <c r="DJ751" s="1">
        <v>1</v>
      </c>
      <c r="DK751" s="1" t="s">
        <v>1701</v>
      </c>
      <c r="DL751" s="1" t="s">
        <v>170</v>
      </c>
      <c r="DQ751" s="1" t="b">
        <f>AlignmentLawful</f>
        <v>1</v>
      </c>
      <c r="DR751" s="1" t="b">
        <f>BaseWill&gt;=5</f>
        <v>0</v>
      </c>
      <c r="DS751" s="1" t="b">
        <f>SkSenseMotiveRanks&gt;=4</f>
        <v>0</v>
      </c>
      <c r="DT751" s="1" t="b">
        <f>NOT(ISNA(MATCH("Sense Motive",TblSkillFocus,0)))</f>
        <v>0</v>
      </c>
      <c r="DU751" s="1" t="b">
        <f>FtVoiceOfWrath</f>
        <v>0</v>
      </c>
      <c r="DV751" s="1" t="b">
        <f>OR(MaxArcaneLevel&gt;=1,MaxDivineLevel&gt;=1)</f>
        <v>1</v>
      </c>
      <c r="DZ751" s="1" t="b">
        <f t="shared" si="644"/>
        <v>1</v>
      </c>
      <c r="EA751" s="1" t="b">
        <f t="shared" si="654"/>
        <v>0</v>
      </c>
      <c r="EB751" s="11" t="s">
        <v>334</v>
      </c>
      <c r="EC751" s="1" t="str">
        <f>IF(DQ751,"","• Any Lawful Alignment.
")&amp;IF(DR751,"","• Base Will Save +5.
")&amp;IF(DS751,"","• 4 ranks in Sense Motive.
")&amp;IF(DT751,"","• Skill Focus (Sense Motive) feat.
")&amp;IF(DU751,"","• Voice of Wrath feat.
")&amp;IF(DV751,"","• Must be able to cast arcane or divine spells.")</f>
        <v xml:space="preserve">• Base Will Save +5.
• 4 ranks in Sense Motive.
• Skill Focus (Sense Motive) feat.
• Voice of Wrath feat.
</v>
      </c>
      <c r="ED751" s="11" t="s">
        <v>335</v>
      </c>
    </row>
    <row r="752" spans="1:134" ht="11.25" customHeight="1" x14ac:dyDescent="0.2">
      <c r="A752" s="1">
        <f t="shared" si="629"/>
        <v>749</v>
      </c>
      <c r="B752" s="1" t="s">
        <v>1710</v>
      </c>
      <c r="C752" s="1" t="s">
        <v>1711</v>
      </c>
      <c r="D752" s="1" t="s">
        <v>1711</v>
      </c>
      <c r="E752" s="1">
        <f t="shared" si="626"/>
        <v>0</v>
      </c>
      <c r="K752" s="1">
        <v>4</v>
      </c>
      <c r="L752" s="1">
        <v>6</v>
      </c>
      <c r="S752" s="1" t="b">
        <v>1</v>
      </c>
      <c r="V752" s="1">
        <v>0.75</v>
      </c>
      <c r="W752" s="1">
        <v>0.34</v>
      </c>
      <c r="X752" s="1">
        <v>0.34</v>
      </c>
      <c r="Y752" s="1">
        <v>0.5</v>
      </c>
      <c r="Z752" s="1" t="b">
        <f>FALSE</f>
        <v>0</v>
      </c>
      <c r="AA752" s="1" t="str">
        <f t="shared" si="630"/>
        <v/>
      </c>
      <c r="AB752" s="1" t="str">
        <f t="shared" si="631"/>
        <v/>
      </c>
      <c r="AC752" s="1">
        <f t="shared" si="627"/>
        <v>0</v>
      </c>
      <c r="AD752" s="1" t="str">
        <f t="shared" si="632"/>
        <v/>
      </c>
      <c r="AE752" s="1" t="str">
        <f t="shared" si="633"/>
        <v/>
      </c>
      <c r="AF752" s="1">
        <f t="shared" si="628"/>
        <v>0</v>
      </c>
      <c r="AG752" s="1">
        <f t="shared" si="636"/>
        <v>5</v>
      </c>
      <c r="AH752" s="1" t="str">
        <f t="shared" si="635"/>
        <v/>
      </c>
      <c r="AI752" s="1">
        <v>1</v>
      </c>
      <c r="AJ752" s="1">
        <f t="shared" si="646"/>
        <v>0</v>
      </c>
      <c r="AK752" s="1">
        <v>1</v>
      </c>
      <c r="AL752" s="1">
        <v>2</v>
      </c>
      <c r="AM752" s="1">
        <v>1</v>
      </c>
      <c r="AN752" s="1">
        <f t="shared" si="647"/>
        <v>0</v>
      </c>
      <c r="AO752" s="1">
        <v>1</v>
      </c>
      <c r="AP752" s="1">
        <v>1</v>
      </c>
      <c r="AQ752" s="1">
        <v>1</v>
      </c>
      <c r="AR752" s="1">
        <v>1</v>
      </c>
      <c r="AS752" s="1">
        <v>1</v>
      </c>
      <c r="AT752" s="1">
        <v>1</v>
      </c>
      <c r="AU752" s="1">
        <v>1</v>
      </c>
      <c r="AV752" s="1">
        <v>1</v>
      </c>
      <c r="AW752" s="1">
        <v>1</v>
      </c>
      <c r="AX752" s="1">
        <v>2</v>
      </c>
      <c r="AY752" s="1">
        <v>1</v>
      </c>
      <c r="AZ752" s="1">
        <v>2</v>
      </c>
      <c r="BA752" s="1">
        <v>1</v>
      </c>
      <c r="BB752" s="1">
        <v>1</v>
      </c>
      <c r="BC752" s="1">
        <v>2</v>
      </c>
      <c r="BD752" s="1">
        <v>1</v>
      </c>
      <c r="BE752" s="1">
        <v>2</v>
      </c>
      <c r="BF752" s="1">
        <v>1</v>
      </c>
      <c r="BG752" s="1">
        <f t="shared" si="648"/>
        <v>0</v>
      </c>
      <c r="BH752" s="1">
        <f t="shared" si="649"/>
        <v>0</v>
      </c>
      <c r="BI752" s="1">
        <v>2</v>
      </c>
      <c r="BJ752" s="1">
        <v>1</v>
      </c>
      <c r="BK752" s="1">
        <v>1</v>
      </c>
      <c r="BL752" s="1">
        <v>1</v>
      </c>
      <c r="BM752" s="1">
        <v>1</v>
      </c>
      <c r="BN752" s="1">
        <v>1</v>
      </c>
      <c r="BO752" s="1">
        <v>1</v>
      </c>
      <c r="BP752" s="1">
        <v>1</v>
      </c>
      <c r="BQ752" s="1">
        <f t="shared" si="650"/>
        <v>0</v>
      </c>
      <c r="BR752" s="1">
        <v>1</v>
      </c>
      <c r="BS752" s="1">
        <v>1</v>
      </c>
      <c r="BT752" s="1">
        <v>0</v>
      </c>
      <c r="BU752" s="1">
        <f t="shared" si="651"/>
        <v>0</v>
      </c>
      <c r="BV752" s="1">
        <v>1</v>
      </c>
      <c r="BW752" s="1">
        <v>1</v>
      </c>
      <c r="BX752" s="1">
        <v>1</v>
      </c>
      <c r="BY752" s="1">
        <v>1</v>
      </c>
      <c r="BZ752" s="1">
        <v>1</v>
      </c>
      <c r="CA752" s="1">
        <v>1</v>
      </c>
      <c r="CB752" s="1">
        <v>1</v>
      </c>
      <c r="CC752" s="1">
        <v>1</v>
      </c>
      <c r="CD752" s="1">
        <v>1</v>
      </c>
      <c r="CE752" s="1">
        <v>1</v>
      </c>
      <c r="CF752" s="1">
        <v>1</v>
      </c>
      <c r="CG752" s="1">
        <f t="shared" si="652"/>
        <v>0</v>
      </c>
      <c r="CH752" s="1">
        <v>1</v>
      </c>
      <c r="CI752" s="1">
        <v>1</v>
      </c>
      <c r="CJ752" s="1">
        <v>2</v>
      </c>
      <c r="CK752" s="1">
        <v>2</v>
      </c>
      <c r="CL752" s="1">
        <v>2</v>
      </c>
      <c r="CM752" s="1">
        <v>2</v>
      </c>
      <c r="CN752" s="1">
        <v>2</v>
      </c>
      <c r="CO752" s="1">
        <v>2</v>
      </c>
      <c r="CP752" s="1">
        <v>1</v>
      </c>
      <c r="CQ752" s="1">
        <v>1</v>
      </c>
      <c r="CR752" s="1">
        <v>1</v>
      </c>
      <c r="CS752" s="1">
        <v>1</v>
      </c>
      <c r="CT752" s="1">
        <v>1</v>
      </c>
      <c r="CU752" s="1">
        <v>1</v>
      </c>
      <c r="CV752" s="1">
        <v>0</v>
      </c>
      <c r="CW752" s="1">
        <v>1</v>
      </c>
      <c r="CX752" s="1">
        <v>1</v>
      </c>
      <c r="CY752" s="1">
        <v>2</v>
      </c>
      <c r="CZ752" s="1">
        <f t="shared" si="653"/>
        <v>0</v>
      </c>
      <c r="DA752" s="1">
        <v>1</v>
      </c>
      <c r="DB752" s="1">
        <v>1</v>
      </c>
      <c r="DC752" s="1">
        <v>1</v>
      </c>
      <c r="DD752" s="1">
        <v>1</v>
      </c>
      <c r="DE752" s="1">
        <v>1</v>
      </c>
      <c r="DF752" s="1">
        <v>1</v>
      </c>
      <c r="DG752" s="1">
        <v>1</v>
      </c>
      <c r="DH752" s="1">
        <v>1</v>
      </c>
      <c r="DI752" s="1">
        <v>0</v>
      </c>
      <c r="DJ752" s="1">
        <v>1</v>
      </c>
      <c r="DK752" s="1" t="s">
        <v>1701</v>
      </c>
      <c r="DL752" s="1" t="s">
        <v>170</v>
      </c>
      <c r="DQ752" s="1" t="b">
        <f>AlignmentNonLawful</f>
        <v>0</v>
      </c>
      <c r="DR752" s="1" t="b">
        <f>BaseWill&gt;=4</f>
        <v>0</v>
      </c>
      <c r="DS752" s="1" t="b">
        <f>SkBluffRanks&gt;=4</f>
        <v>0</v>
      </c>
      <c r="DT752" s="1" t="b">
        <f>SkConcentrationRanks&gt;6</f>
        <v>0</v>
      </c>
      <c r="DU752" s="1" t="b">
        <f>FtAlertness</f>
        <v>0</v>
      </c>
      <c r="DV752" s="1" t="b">
        <f>FtIronWill</f>
        <v>0</v>
      </c>
      <c r="DW752" s="1" t="b">
        <f>FtOpenMind</f>
        <v>0</v>
      </c>
      <c r="DZ752" s="1" t="b">
        <f t="shared" si="644"/>
        <v>1</v>
      </c>
      <c r="EA752" s="1" t="b">
        <f t="shared" si="654"/>
        <v>0</v>
      </c>
      <c r="EB752" s="11" t="s">
        <v>334</v>
      </c>
      <c r="EC752" s="1" t="str">
        <f>IF(DQ752,"","• Any non-lawful alignment.
")&amp;IF(DR752,"","• Base Will Save Bonus +4.
")&amp;IF(DS752,"","• 4 ranks in Bluff.
")&amp;IF(DT752,"","• 6 ranks in Concentration.
")&amp;IF(DU752,"","• Alertness Feat.
")&amp;IF(DV752,"","• Iron Will feat.
")&amp;IF(DW752,"","• Open Mind feat.")</f>
        <v>• Any non-lawful alignment.
• Base Will Save Bonus +4.
• 4 ranks in Bluff.
• 6 ranks in Concentration.
• Alertness Feat.
• Iron Will feat.
• Open Mind feat.</v>
      </c>
      <c r="ED752" s="11" t="s">
        <v>335</v>
      </c>
    </row>
    <row r="753" spans="1:134" ht="11.25" customHeight="1" x14ac:dyDescent="0.2">
      <c r="A753" s="1">
        <f t="shared" si="629"/>
        <v>750</v>
      </c>
      <c r="B753" s="1" t="s">
        <v>1712</v>
      </c>
      <c r="C753" s="1" t="s">
        <v>1713</v>
      </c>
      <c r="D753" s="1" t="s">
        <v>1713</v>
      </c>
      <c r="E753" s="1">
        <f t="shared" si="626"/>
        <v>0</v>
      </c>
      <c r="K753" s="1">
        <v>4</v>
      </c>
      <c r="L753" s="1">
        <v>8</v>
      </c>
      <c r="N753" s="1" t="b">
        <v>1</v>
      </c>
      <c r="O753" s="1" t="b">
        <v>1</v>
      </c>
      <c r="S753" s="1" t="b">
        <v>1</v>
      </c>
      <c r="T753" s="1" t="b">
        <v>1</v>
      </c>
      <c r="V753" s="1">
        <v>1</v>
      </c>
      <c r="W753" s="1">
        <v>0.5</v>
      </c>
      <c r="X753" s="1">
        <v>0.34</v>
      </c>
      <c r="Y753" s="1">
        <v>0.34</v>
      </c>
      <c r="Z753" s="1" t="b">
        <f>FALSE</f>
        <v>0</v>
      </c>
      <c r="AA753" s="1" t="str">
        <f t="shared" si="630"/>
        <v/>
      </c>
      <c r="AB753" s="1" t="str">
        <f t="shared" si="631"/>
        <v/>
      </c>
      <c r="AC753" s="1">
        <f t="shared" si="627"/>
        <v>0</v>
      </c>
      <c r="AD753" s="1" t="str">
        <f t="shared" si="632"/>
        <v/>
      </c>
      <c r="AE753" s="1" t="str">
        <f t="shared" si="633"/>
        <v/>
      </c>
      <c r="AF753" s="1">
        <f t="shared" si="628"/>
        <v>0</v>
      </c>
      <c r="AG753" s="1">
        <f t="shared" si="636"/>
        <v>5</v>
      </c>
      <c r="AH753" s="1" t="str">
        <f t="shared" si="635"/>
        <v/>
      </c>
      <c r="AI753" s="1">
        <v>1</v>
      </c>
      <c r="AJ753" s="1">
        <f t="shared" si="646"/>
        <v>0</v>
      </c>
      <c r="AK753" s="1">
        <v>2</v>
      </c>
      <c r="AL753" s="1">
        <v>1</v>
      </c>
      <c r="AM753" s="1">
        <v>2</v>
      </c>
      <c r="AN753" s="1">
        <f t="shared" si="647"/>
        <v>0</v>
      </c>
      <c r="AO753" s="1">
        <v>1</v>
      </c>
      <c r="AP753" s="1">
        <v>1</v>
      </c>
      <c r="AQ753" s="1">
        <v>1</v>
      </c>
      <c r="AR753" s="1">
        <v>1</v>
      </c>
      <c r="AS753" s="1">
        <v>1</v>
      </c>
      <c r="AT753" s="1">
        <v>1</v>
      </c>
      <c r="AU753" s="1">
        <v>1</v>
      </c>
      <c r="AV753" s="1">
        <v>1</v>
      </c>
      <c r="AW753" s="1">
        <v>1</v>
      </c>
      <c r="AX753" s="1">
        <v>1</v>
      </c>
      <c r="AY753" s="1">
        <v>1</v>
      </c>
      <c r="AZ753" s="1">
        <v>1</v>
      </c>
      <c r="BA753" s="1">
        <v>1</v>
      </c>
      <c r="BB753" s="1">
        <v>1</v>
      </c>
      <c r="BC753" s="1">
        <v>1</v>
      </c>
      <c r="BD753" s="1">
        <v>2</v>
      </c>
      <c r="BE753" s="1">
        <v>1</v>
      </c>
      <c r="BF753" s="1">
        <v>2</v>
      </c>
      <c r="BG753" s="1">
        <f t="shared" si="648"/>
        <v>0</v>
      </c>
      <c r="BH753" s="1">
        <f t="shared" si="649"/>
        <v>0</v>
      </c>
      <c r="BI753" s="1">
        <v>1</v>
      </c>
      <c r="BJ753" s="1">
        <v>1</v>
      </c>
      <c r="BK753" s="1">
        <v>1</v>
      </c>
      <c r="BL753" s="1">
        <v>1</v>
      </c>
      <c r="BM753" s="1">
        <v>1</v>
      </c>
      <c r="BN753" s="1">
        <v>1</v>
      </c>
      <c r="BO753" s="1">
        <v>1</v>
      </c>
      <c r="BP753" s="1">
        <v>1</v>
      </c>
      <c r="BQ753" s="1">
        <f t="shared" si="650"/>
        <v>0</v>
      </c>
      <c r="BR753" s="1">
        <v>1</v>
      </c>
      <c r="BS753" s="1">
        <v>1</v>
      </c>
      <c r="BT753" s="1">
        <v>0</v>
      </c>
      <c r="BU753" s="1">
        <f t="shared" si="651"/>
        <v>0</v>
      </c>
      <c r="BV753" s="1">
        <v>1</v>
      </c>
      <c r="BW753" s="1">
        <v>1</v>
      </c>
      <c r="BX753" s="1">
        <v>1</v>
      </c>
      <c r="BY753" s="1">
        <v>1</v>
      </c>
      <c r="BZ753" s="1">
        <v>1</v>
      </c>
      <c r="CA753" s="1">
        <v>1</v>
      </c>
      <c r="CB753" s="1">
        <v>1</v>
      </c>
      <c r="CC753" s="1">
        <v>1</v>
      </c>
      <c r="CD753" s="1">
        <v>1</v>
      </c>
      <c r="CE753" s="1">
        <v>1</v>
      </c>
      <c r="CF753" s="1">
        <v>1</v>
      </c>
      <c r="CG753" s="1">
        <f t="shared" si="652"/>
        <v>0</v>
      </c>
      <c r="CH753" s="1">
        <v>1</v>
      </c>
      <c r="CI753" s="1">
        <v>1</v>
      </c>
      <c r="CJ753" s="1">
        <v>1</v>
      </c>
      <c r="CK753" s="1">
        <v>1</v>
      </c>
      <c r="CL753" s="1">
        <v>1</v>
      </c>
      <c r="CM753" s="1">
        <v>1</v>
      </c>
      <c r="CN753" s="1">
        <v>1</v>
      </c>
      <c r="CO753" s="1">
        <v>1</v>
      </c>
      <c r="CP753" s="1">
        <v>2</v>
      </c>
      <c r="CQ753" s="1">
        <v>2</v>
      </c>
      <c r="CR753" s="1">
        <v>2</v>
      </c>
      <c r="CS753" s="1">
        <v>2</v>
      </c>
      <c r="CT753" s="1">
        <v>2</v>
      </c>
      <c r="CU753" s="1">
        <v>2</v>
      </c>
      <c r="CV753" s="1">
        <v>0</v>
      </c>
      <c r="CW753" s="1">
        <v>1</v>
      </c>
      <c r="CX753" s="1">
        <v>1</v>
      </c>
      <c r="CY753" s="1">
        <v>2</v>
      </c>
      <c r="CZ753" s="1">
        <f t="shared" si="653"/>
        <v>0</v>
      </c>
      <c r="DA753" s="1">
        <v>1</v>
      </c>
      <c r="DB753" s="1">
        <v>1</v>
      </c>
      <c r="DC753" s="1">
        <v>1</v>
      </c>
      <c r="DD753" s="1">
        <v>1</v>
      </c>
      <c r="DE753" s="1">
        <v>2</v>
      </c>
      <c r="DF753" s="1">
        <v>1</v>
      </c>
      <c r="DG753" s="1">
        <v>1</v>
      </c>
      <c r="DH753" s="1">
        <v>1</v>
      </c>
      <c r="DI753" s="1">
        <v>0</v>
      </c>
      <c r="DJ753" s="1">
        <v>2</v>
      </c>
      <c r="DK753" s="1" t="s">
        <v>1701</v>
      </c>
      <c r="DL753" s="1" t="s">
        <v>170</v>
      </c>
      <c r="DQ753" s="1" t="b">
        <f>BaseAtk&gt;=6</f>
        <v>0</v>
      </c>
      <c r="DR753" s="1" t="b">
        <f>SkSurvivalRanks&gt;=5</f>
        <v>0</v>
      </c>
      <c r="DS753" s="1" t="b">
        <f>FtAlertness</f>
        <v>0</v>
      </c>
      <c r="DT753" s="1" t="b">
        <f>FtGreatFortitude</f>
        <v>0</v>
      </c>
      <c r="DU753" s="1" t="b">
        <f>FtTargetVulnerableSpot</f>
        <v>0</v>
      </c>
      <c r="DZ753" s="1" t="b">
        <f t="shared" si="644"/>
        <v>1</v>
      </c>
      <c r="EA753" s="1" t="b">
        <f t="shared" si="654"/>
        <v>0</v>
      </c>
      <c r="EB753" s="11" t="s">
        <v>334</v>
      </c>
      <c r="EC753" s="1" t="str">
        <f>IF(DQ753,"","• Base Attack Bonus +5.
")&amp;IF(DR753,"","• 4 ranks in Survival.
")&amp;IF(DS753,"","• Alertness feat.
")&amp;IF(DT753,"","• Great Fortitude feat.
")&amp;IF(DU753,"","• Target Vulnerable Spot feat.")</f>
        <v>• Base Attack Bonus +5.
• 4 ranks in Survival.
• Alertness feat.
• Great Fortitude feat.
• Target Vulnerable Spot feat.</v>
      </c>
      <c r="ED753" s="11" t="s">
        <v>335</v>
      </c>
    </row>
    <row r="754" spans="1:134" ht="11.25" customHeight="1" x14ac:dyDescent="0.2">
      <c r="A754" s="1">
        <f t="shared" si="629"/>
        <v>751</v>
      </c>
      <c r="B754" s="1" t="s">
        <v>1714</v>
      </c>
      <c r="C754" s="1" t="s">
        <v>1715</v>
      </c>
      <c r="D754" s="1" t="s">
        <v>1715</v>
      </c>
      <c r="E754" s="1">
        <f t="shared" si="626"/>
        <v>0</v>
      </c>
      <c r="K754" s="1">
        <v>2</v>
      </c>
      <c r="L754" s="1">
        <v>10</v>
      </c>
      <c r="M754" s="1" t="str">
        <f>IF(NldLvl&gt;=3,SUM(NlD-2),"")</f>
        <v/>
      </c>
      <c r="N754" s="1" t="b">
        <v>1</v>
      </c>
      <c r="O754" s="1" t="b">
        <v>1</v>
      </c>
      <c r="P754" s="1" t="b">
        <v>1</v>
      </c>
      <c r="Q754" s="1" t="b">
        <v>1</v>
      </c>
      <c r="S754" s="1" t="b">
        <v>1</v>
      </c>
      <c r="T754" s="1" t="b">
        <v>1</v>
      </c>
      <c r="V754" s="1">
        <v>1</v>
      </c>
      <c r="W754" s="1">
        <v>0.5</v>
      </c>
      <c r="X754" s="1">
        <v>0.34</v>
      </c>
      <c r="Y754" s="1">
        <v>0.34</v>
      </c>
      <c r="Z754" s="1" t="b">
        <f>FALSE</f>
        <v>0</v>
      </c>
      <c r="AA754" s="1" t="str">
        <f t="shared" si="630"/>
        <v/>
      </c>
      <c r="AB754" s="1" t="str">
        <f t="shared" si="631"/>
        <v/>
      </c>
      <c r="AC754" s="1">
        <f t="shared" si="627"/>
        <v>0</v>
      </c>
      <c r="AD754" s="1" t="str">
        <f t="shared" si="632"/>
        <v/>
      </c>
      <c r="AE754" s="1" t="str">
        <f t="shared" si="633"/>
        <v/>
      </c>
      <c r="AF754" s="1">
        <f t="shared" si="628"/>
        <v>0</v>
      </c>
      <c r="AG754" s="1">
        <f t="shared" si="636"/>
        <v>5</v>
      </c>
      <c r="AH754" s="1" t="str">
        <f t="shared" si="635"/>
        <v/>
      </c>
      <c r="AI754" s="1">
        <v>1</v>
      </c>
      <c r="AJ754" s="1">
        <f t="shared" si="646"/>
        <v>0</v>
      </c>
      <c r="AK754" s="1">
        <v>1</v>
      </c>
      <c r="AL754" s="1">
        <v>1</v>
      </c>
      <c r="AM754" s="1">
        <v>1</v>
      </c>
      <c r="AN754" s="1">
        <f t="shared" si="647"/>
        <v>0</v>
      </c>
      <c r="AO754" s="1">
        <v>2</v>
      </c>
      <c r="AP754" s="1">
        <v>2</v>
      </c>
      <c r="AQ754" s="1">
        <v>2</v>
      </c>
      <c r="AR754" s="1">
        <v>2</v>
      </c>
      <c r="AS754" s="1">
        <v>2</v>
      </c>
      <c r="AT754" s="1">
        <v>2</v>
      </c>
      <c r="AU754" s="1">
        <v>2</v>
      </c>
      <c r="AV754" s="1">
        <v>2</v>
      </c>
      <c r="AW754" s="1">
        <v>1</v>
      </c>
      <c r="AX754" s="1">
        <v>1</v>
      </c>
      <c r="AY754" s="1">
        <v>1</v>
      </c>
      <c r="AZ754" s="1">
        <v>1</v>
      </c>
      <c r="BA754" s="1">
        <v>1</v>
      </c>
      <c r="BB754" s="1">
        <v>1</v>
      </c>
      <c r="BC754" s="1">
        <v>1</v>
      </c>
      <c r="BD754" s="1">
        <v>2</v>
      </c>
      <c r="BE754" s="1">
        <v>2</v>
      </c>
      <c r="BF754" s="1">
        <v>1</v>
      </c>
      <c r="BG754" s="1">
        <f t="shared" si="648"/>
        <v>0</v>
      </c>
      <c r="BH754" s="1">
        <f t="shared" si="649"/>
        <v>0</v>
      </c>
      <c r="BI754" s="1">
        <v>2</v>
      </c>
      <c r="BJ754" s="1">
        <v>1</v>
      </c>
      <c r="BK754" s="1">
        <v>1</v>
      </c>
      <c r="BL754" s="1">
        <v>1</v>
      </c>
      <c r="BM754" s="1">
        <v>1</v>
      </c>
      <c r="BN754" s="1">
        <v>1</v>
      </c>
      <c r="BO754" s="1">
        <v>1</v>
      </c>
      <c r="BP754" s="1">
        <v>1</v>
      </c>
      <c r="BQ754" s="1">
        <f t="shared" si="650"/>
        <v>0</v>
      </c>
      <c r="BR754" s="1">
        <v>1</v>
      </c>
      <c r="BS754" s="1">
        <v>1</v>
      </c>
      <c r="BT754" s="1">
        <v>0</v>
      </c>
      <c r="BU754" s="1">
        <f t="shared" si="651"/>
        <v>0</v>
      </c>
      <c r="BV754" s="1">
        <v>1</v>
      </c>
      <c r="BW754" s="1">
        <v>1</v>
      </c>
      <c r="BX754" s="1">
        <v>1</v>
      </c>
      <c r="BY754" s="1">
        <v>1</v>
      </c>
      <c r="BZ754" s="1">
        <v>1</v>
      </c>
      <c r="CA754" s="1">
        <v>1</v>
      </c>
      <c r="CB754" s="1">
        <v>1</v>
      </c>
      <c r="CC754" s="1">
        <v>1</v>
      </c>
      <c r="CD754" s="1">
        <v>1</v>
      </c>
      <c r="CE754" s="1">
        <v>1</v>
      </c>
      <c r="CF754" s="1">
        <v>1</v>
      </c>
      <c r="CG754" s="1">
        <f t="shared" si="652"/>
        <v>0</v>
      </c>
      <c r="CH754" s="1">
        <v>1</v>
      </c>
      <c r="CI754" s="1">
        <v>1</v>
      </c>
      <c r="CJ754" s="1">
        <v>1</v>
      </c>
      <c r="CK754" s="1">
        <v>1</v>
      </c>
      <c r="CL754" s="1">
        <v>1</v>
      </c>
      <c r="CM754" s="1">
        <v>1</v>
      </c>
      <c r="CN754" s="1">
        <v>1</v>
      </c>
      <c r="CO754" s="1">
        <v>1</v>
      </c>
      <c r="CP754" s="1">
        <v>2</v>
      </c>
      <c r="CQ754" s="1">
        <v>2</v>
      </c>
      <c r="CR754" s="1">
        <v>2</v>
      </c>
      <c r="CS754" s="1">
        <v>2</v>
      </c>
      <c r="CT754" s="1">
        <v>2</v>
      </c>
      <c r="CU754" s="1">
        <v>2</v>
      </c>
      <c r="CV754" s="1">
        <v>0</v>
      </c>
      <c r="CW754" s="1">
        <v>2</v>
      </c>
      <c r="CX754" s="1">
        <v>1</v>
      </c>
      <c r="CY754" s="1">
        <v>2</v>
      </c>
      <c r="CZ754" s="1">
        <f t="shared" si="653"/>
        <v>0</v>
      </c>
      <c r="DA754" s="1">
        <v>1</v>
      </c>
      <c r="DB754" s="1">
        <v>1</v>
      </c>
      <c r="DC754" s="1">
        <v>1</v>
      </c>
      <c r="DD754" s="1">
        <v>2</v>
      </c>
      <c r="DE754" s="1">
        <v>1</v>
      </c>
      <c r="DF754" s="1">
        <v>1</v>
      </c>
      <c r="DG754" s="1">
        <v>1</v>
      </c>
      <c r="DH754" s="1">
        <v>1</v>
      </c>
      <c r="DI754" s="1">
        <v>0</v>
      </c>
      <c r="DJ754" s="1">
        <v>1</v>
      </c>
      <c r="DK754" s="1" t="s">
        <v>1701</v>
      </c>
      <c r="DL754" s="1" t="s">
        <v>170</v>
      </c>
      <c r="DQ754" s="1" t="b">
        <f>AlignmentEvil</f>
        <v>0</v>
      </c>
      <c r="DR754" s="1" t="b">
        <f>SkKnowledgeRavenloftRanks&gt;=4</f>
        <v>0</v>
      </c>
      <c r="DS754" s="1" t="b">
        <f>SkRideRanks&gt;=6</f>
        <v>0</v>
      </c>
      <c r="DT754" s="1" t="b">
        <f>FtMountedCombat</f>
        <v>0</v>
      </c>
      <c r="DU754" s="1" t="b">
        <f>FtTrample</f>
        <v>0</v>
      </c>
      <c r="DV754" s="1" t="b">
        <v>1</v>
      </c>
      <c r="DZ754" s="1" t="b">
        <f t="shared" si="644"/>
        <v>1</v>
      </c>
      <c r="EA754" s="1" t="b">
        <f t="shared" si="654"/>
        <v>0</v>
      </c>
      <c r="EB754" s="11" t="s">
        <v>338</v>
      </c>
      <c r="EC754" s="1" t="str">
        <f>IF(DQ754,"","• Any Evil Alignment.
")&amp;IF(DR754,"","• Base Attack Bonus +5.
")&amp;IF(DS754,"","• 4 ranks in Knowledge (Ravenloft).
")&amp;IF(DT754,"","• Mounted Combat feat.
")&amp;IF(DU754,"","• Trample feat.
")&amp;IF(DV754,"• Must have a darklord patron accept you into his service.","")</f>
        <v>• Any Evil Alignment.
• Base Attack Bonus +5.
• 4 ranks in Knowledge (Ravenloft).
• Mounted Combat feat.
• Trample feat.
• Must have a darklord patron accept you into his service.</v>
      </c>
      <c r="ED754" s="11" t="s">
        <v>335</v>
      </c>
    </row>
    <row r="755" spans="1:134" ht="11.25" customHeight="1" x14ac:dyDescent="0.2">
      <c r="A755" s="1">
        <f t="shared" si="629"/>
        <v>752</v>
      </c>
      <c r="B755" s="1" t="s">
        <v>1716</v>
      </c>
      <c r="C755" s="1" t="s">
        <v>442</v>
      </c>
      <c r="D755" s="1" t="s">
        <v>442</v>
      </c>
      <c r="E755" s="1">
        <f t="shared" si="626"/>
        <v>0</v>
      </c>
      <c r="K755" s="1">
        <v>4</v>
      </c>
      <c r="L755" s="1">
        <v>6</v>
      </c>
      <c r="V755" s="1">
        <v>1</v>
      </c>
      <c r="W755" s="1">
        <v>0.34</v>
      </c>
      <c r="X755" s="1">
        <v>0.34</v>
      </c>
      <c r="Y755" s="1">
        <v>0.5</v>
      </c>
      <c r="Z755" s="1" t="b">
        <f>FALSE</f>
        <v>0</v>
      </c>
      <c r="AA755" s="1" t="str">
        <f t="shared" si="630"/>
        <v/>
      </c>
      <c r="AB755" s="1" t="str">
        <f t="shared" si="631"/>
        <v/>
      </c>
      <c r="AC755" s="1">
        <f t="shared" si="627"/>
        <v>0</v>
      </c>
      <c r="AD755" s="1" t="str">
        <f t="shared" si="632"/>
        <v/>
      </c>
      <c r="AE755" s="1" t="str">
        <f t="shared" si="633"/>
        <v/>
      </c>
      <c r="AF755" s="1">
        <f t="shared" si="628"/>
        <v>0</v>
      </c>
      <c r="AG755" s="1">
        <f t="shared" si="636"/>
        <v>5</v>
      </c>
      <c r="AH755" s="1" t="str">
        <f t="shared" si="635"/>
        <v/>
      </c>
      <c r="AI755" s="1">
        <v>1</v>
      </c>
      <c r="AJ755" s="1">
        <f t="shared" si="646"/>
        <v>0</v>
      </c>
      <c r="AK755" s="1">
        <v>1</v>
      </c>
      <c r="AL755" s="1">
        <v>2</v>
      </c>
      <c r="AM755" s="1">
        <v>1</v>
      </c>
      <c r="AN755" s="1">
        <f t="shared" si="647"/>
        <v>0</v>
      </c>
      <c r="AO755" s="1">
        <v>1</v>
      </c>
      <c r="AP755" s="1">
        <v>1</v>
      </c>
      <c r="AQ755" s="1">
        <v>1</v>
      </c>
      <c r="AR755" s="1">
        <v>1</v>
      </c>
      <c r="AS755" s="1">
        <v>1</v>
      </c>
      <c r="AT755" s="1">
        <v>1</v>
      </c>
      <c r="AU755" s="1">
        <v>1</v>
      </c>
      <c r="AV755" s="1">
        <v>1</v>
      </c>
      <c r="AW755" s="1">
        <v>1</v>
      </c>
      <c r="AX755" s="1">
        <v>2</v>
      </c>
      <c r="AY755" s="1">
        <v>1</v>
      </c>
      <c r="AZ755" s="1">
        <v>2</v>
      </c>
      <c r="BA755" s="1">
        <v>1</v>
      </c>
      <c r="BB755" s="1">
        <v>2</v>
      </c>
      <c r="BC755" s="1">
        <v>2</v>
      </c>
      <c r="BD755" s="1">
        <v>1</v>
      </c>
      <c r="BE755" s="1">
        <v>1</v>
      </c>
      <c r="BF755" s="1">
        <v>1</v>
      </c>
      <c r="BG755" s="1">
        <f t="shared" si="648"/>
        <v>0</v>
      </c>
      <c r="BH755" s="1">
        <f t="shared" si="649"/>
        <v>0</v>
      </c>
      <c r="BI755" s="1">
        <v>1</v>
      </c>
      <c r="BJ755" s="1">
        <v>1</v>
      </c>
      <c r="BK755" s="1">
        <v>1</v>
      </c>
      <c r="BL755" s="1">
        <v>1</v>
      </c>
      <c r="BM755" s="1">
        <v>1</v>
      </c>
      <c r="BN755" s="1">
        <v>1</v>
      </c>
      <c r="BO755" s="1">
        <v>1</v>
      </c>
      <c r="BP755" s="1">
        <v>2</v>
      </c>
      <c r="BQ755" s="1">
        <f t="shared" si="650"/>
        <v>0</v>
      </c>
      <c r="BR755" s="1">
        <v>1</v>
      </c>
      <c r="BS755" s="1">
        <v>1</v>
      </c>
      <c r="BT755" s="1">
        <v>0</v>
      </c>
      <c r="BU755" s="1">
        <f t="shared" si="651"/>
        <v>0</v>
      </c>
      <c r="BV755" s="1">
        <v>1</v>
      </c>
      <c r="BW755" s="1">
        <v>1</v>
      </c>
      <c r="BX755" s="1">
        <v>1</v>
      </c>
      <c r="BY755" s="1">
        <v>1</v>
      </c>
      <c r="BZ755" s="1">
        <v>1</v>
      </c>
      <c r="CA755" s="1">
        <v>1</v>
      </c>
      <c r="CB755" s="1">
        <v>1</v>
      </c>
      <c r="CC755" s="1">
        <v>1</v>
      </c>
      <c r="CD755" s="1">
        <v>1</v>
      </c>
      <c r="CE755" s="1">
        <v>1</v>
      </c>
      <c r="CF755" s="1">
        <v>1</v>
      </c>
      <c r="CG755" s="1">
        <f t="shared" si="652"/>
        <v>0</v>
      </c>
      <c r="CH755" s="1">
        <v>1</v>
      </c>
      <c r="CI755" s="1">
        <v>1</v>
      </c>
      <c r="CJ755" s="1">
        <v>1</v>
      </c>
      <c r="CK755" s="1">
        <v>1</v>
      </c>
      <c r="CL755" s="1">
        <v>1</v>
      </c>
      <c r="CM755" s="1">
        <v>1</v>
      </c>
      <c r="CN755" s="1">
        <v>1</v>
      </c>
      <c r="CO755" s="1">
        <v>1</v>
      </c>
      <c r="CP755" s="1">
        <v>2</v>
      </c>
      <c r="CQ755" s="1">
        <v>2</v>
      </c>
      <c r="CR755" s="1">
        <v>2</v>
      </c>
      <c r="CS755" s="1">
        <v>2</v>
      </c>
      <c r="CT755" s="1">
        <v>2</v>
      </c>
      <c r="CU755" s="1">
        <v>2</v>
      </c>
      <c r="CV755" s="1">
        <v>0</v>
      </c>
      <c r="CW755" s="1">
        <v>1</v>
      </c>
      <c r="CX755" s="1">
        <v>1</v>
      </c>
      <c r="CY755" s="1">
        <v>2</v>
      </c>
      <c r="CZ755" s="1">
        <f t="shared" si="653"/>
        <v>0</v>
      </c>
      <c r="DA755" s="1">
        <v>1</v>
      </c>
      <c r="DB755" s="1">
        <v>1</v>
      </c>
      <c r="DC755" s="1">
        <v>1</v>
      </c>
      <c r="DD755" s="1">
        <v>1</v>
      </c>
      <c r="DE755" s="1">
        <v>1</v>
      </c>
      <c r="DF755" s="1">
        <v>1</v>
      </c>
      <c r="DG755" s="1">
        <v>1</v>
      </c>
      <c r="DH755" s="1">
        <v>1</v>
      </c>
      <c r="DI755" s="1">
        <v>0</v>
      </c>
      <c r="DJ755" s="1">
        <v>1</v>
      </c>
      <c r="DK755" s="1" t="s">
        <v>1701</v>
      </c>
      <c r="DL755" s="1" t="s">
        <v>170</v>
      </c>
      <c r="DQ755" s="1" t="b">
        <f>OR(AlignmentChaotic,AlignmentNeutral)</f>
        <v>0</v>
      </c>
      <c r="DR755" s="1" t="b">
        <f>SkDiplomacyRanks&gt;=4</f>
        <v>0</v>
      </c>
      <c r="DS755" s="1" t="b">
        <f>SkGatherInformationRanks&gt;=8</f>
        <v>0</v>
      </c>
      <c r="DT755" s="1" t="b">
        <f>SkBluffRanks&gt;=4</f>
        <v>0</v>
      </c>
      <c r="DU755" s="1" t="b">
        <f>SkKnowledgeLocalRanks&gt;=4</f>
        <v>0</v>
      </c>
      <c r="DV755" s="1" t="b">
        <f>SkKnowledgeRavenloftRanks&gt;=4</f>
        <v>0</v>
      </c>
      <c r="DW755" s="1" t="b">
        <f>FtHearthlore</f>
        <v>0</v>
      </c>
      <c r="DX755" s="1" t="b">
        <f>FtMachiavellian</f>
        <v>0</v>
      </c>
      <c r="DY755" s="1" t="b">
        <f>FtMesmerizing</f>
        <v>0</v>
      </c>
      <c r="DZ755" s="1" t="b">
        <f t="shared" si="644"/>
        <v>1</v>
      </c>
      <c r="EA755" s="1" t="b">
        <f t="shared" si="654"/>
        <v>0</v>
      </c>
      <c r="EB755" s="11" t="s">
        <v>334</v>
      </c>
      <c r="EC755" s="1" t="str">
        <f>IF(DQ755,"","• Any chaotic or neutral alignment.
")&amp;IF(DR755,"","• 4 ranks in Diplomacy.
")&amp;IF(DS755,"","• 8 ranks in Gather Information.
")&amp;IF(DT755,"","• 4 ranks in Bluff.
")&amp;IF(DU755,"","• 4 ranks in Knowledge (local).
")&amp;IF(DV755,"","• 4 ranks in Knowledge (ravenloft).
")&amp;IF(DW755,"","• Hearthlore feat.
")&amp;IF(DX755,"","• Machiavellian feat.
")&amp;IF(DY755,"","• Mesmerizing feat.")</f>
        <v>• Any chaotic or neutral alignment.
• 4 ranks in Diplomacy.
• 8 ranks in Gather Information.
• 4 ranks in Bluff.
• 4 ranks in Knowledge (local).
• 4 ranks in Knowledge (ravenloft).
• Hearthlore feat.
• Machiavellian feat.
• Mesmerizing feat.</v>
      </c>
      <c r="ED755" s="11" t="s">
        <v>335</v>
      </c>
    </row>
    <row r="756" spans="1:134" ht="11.25" customHeight="1" x14ac:dyDescent="0.2">
      <c r="A756" s="1">
        <f t="shared" si="629"/>
        <v>753</v>
      </c>
      <c r="B756" s="1" t="s">
        <v>1717</v>
      </c>
      <c r="C756" s="1" t="s">
        <v>1718</v>
      </c>
      <c r="D756" s="1" t="s">
        <v>1718</v>
      </c>
      <c r="E756" s="1">
        <f t="shared" si="626"/>
        <v>0</v>
      </c>
      <c r="K756" s="1">
        <v>4</v>
      </c>
      <c r="L756" s="1">
        <v>8</v>
      </c>
      <c r="S756" s="1" t="b">
        <v>1</v>
      </c>
      <c r="V756" s="1">
        <v>1</v>
      </c>
      <c r="W756" s="1">
        <v>0.5</v>
      </c>
      <c r="X756" s="1">
        <v>0.34</v>
      </c>
      <c r="Y756" s="1">
        <v>0.34</v>
      </c>
      <c r="Z756" s="1" t="b">
        <f>FALSE</f>
        <v>0</v>
      </c>
      <c r="AA756" s="1" t="str">
        <f t="shared" si="630"/>
        <v/>
      </c>
      <c r="AB756" s="1" t="str">
        <f t="shared" si="631"/>
        <v/>
      </c>
      <c r="AC756" s="1">
        <f t="shared" si="627"/>
        <v>0</v>
      </c>
      <c r="AD756" s="1" t="str">
        <f t="shared" si="632"/>
        <v/>
      </c>
      <c r="AE756" s="1" t="str">
        <f t="shared" si="633"/>
        <v/>
      </c>
      <c r="AF756" s="1">
        <f t="shared" si="628"/>
        <v>0</v>
      </c>
      <c r="AG756" s="1">
        <f t="shared" si="636"/>
        <v>5</v>
      </c>
      <c r="AH756" s="1" t="str">
        <f t="shared" si="635"/>
        <v/>
      </c>
      <c r="AI756" s="1">
        <v>1</v>
      </c>
      <c r="AJ756" s="1">
        <f t="shared" si="646"/>
        <v>0</v>
      </c>
      <c r="AK756" s="1">
        <v>1</v>
      </c>
      <c r="AL756" s="1">
        <v>2</v>
      </c>
      <c r="AM756" s="1">
        <v>1</v>
      </c>
      <c r="AN756" s="1">
        <f t="shared" si="647"/>
        <v>0</v>
      </c>
      <c r="AO756" s="1">
        <v>1</v>
      </c>
      <c r="AP756" s="1">
        <v>1</v>
      </c>
      <c r="AQ756" s="1">
        <v>1</v>
      </c>
      <c r="AR756" s="1">
        <v>1</v>
      </c>
      <c r="AS756" s="1">
        <v>1</v>
      </c>
      <c r="AT756" s="1">
        <v>1</v>
      </c>
      <c r="AU756" s="1">
        <v>1</v>
      </c>
      <c r="AV756" s="1">
        <v>1</v>
      </c>
      <c r="AW756" s="1">
        <v>1</v>
      </c>
      <c r="AX756" s="1">
        <v>1</v>
      </c>
      <c r="AY756" s="1">
        <v>1</v>
      </c>
      <c r="AZ756" s="1">
        <v>1</v>
      </c>
      <c r="BA756" s="1">
        <v>2</v>
      </c>
      <c r="BB756" s="1">
        <v>1</v>
      </c>
      <c r="BC756" s="1">
        <v>1</v>
      </c>
      <c r="BD756" s="1">
        <v>1</v>
      </c>
      <c r="BE756" s="1">
        <v>2</v>
      </c>
      <c r="BF756" s="1">
        <v>1</v>
      </c>
      <c r="BG756" s="1">
        <f t="shared" si="648"/>
        <v>0</v>
      </c>
      <c r="BH756" s="1">
        <f t="shared" si="649"/>
        <v>0</v>
      </c>
      <c r="BI756" s="1">
        <v>2</v>
      </c>
      <c r="BJ756" s="1">
        <v>1</v>
      </c>
      <c r="BK756" s="1">
        <v>1</v>
      </c>
      <c r="BL756" s="1">
        <v>1</v>
      </c>
      <c r="BM756" s="1">
        <v>1</v>
      </c>
      <c r="BN756" s="1">
        <v>1</v>
      </c>
      <c r="BO756" s="1">
        <v>1</v>
      </c>
      <c r="BP756" s="1">
        <v>1</v>
      </c>
      <c r="BQ756" s="1">
        <f t="shared" si="650"/>
        <v>0</v>
      </c>
      <c r="BR756" s="1">
        <v>1</v>
      </c>
      <c r="BS756" s="1">
        <v>1</v>
      </c>
      <c r="BT756" s="1">
        <v>0</v>
      </c>
      <c r="BU756" s="1">
        <f t="shared" si="651"/>
        <v>0</v>
      </c>
      <c r="BV756" s="1">
        <v>1</v>
      </c>
      <c r="BW756" s="1">
        <v>1</v>
      </c>
      <c r="BX756" s="1">
        <v>1</v>
      </c>
      <c r="BY756" s="1">
        <v>1</v>
      </c>
      <c r="BZ756" s="1">
        <v>1</v>
      </c>
      <c r="CB756" s="1">
        <v>1</v>
      </c>
      <c r="CC756" s="1">
        <v>1</v>
      </c>
      <c r="CD756" s="1">
        <v>1</v>
      </c>
      <c r="CE756" s="1">
        <v>1</v>
      </c>
      <c r="CF756" s="1">
        <v>1</v>
      </c>
      <c r="CG756" s="1">
        <f t="shared" si="652"/>
        <v>0</v>
      </c>
      <c r="CH756" s="1">
        <v>1</v>
      </c>
      <c r="CI756" s="1">
        <v>1</v>
      </c>
      <c r="CJ756" s="1">
        <v>1</v>
      </c>
      <c r="CK756" s="1">
        <v>1</v>
      </c>
      <c r="CL756" s="1">
        <v>1</v>
      </c>
      <c r="CM756" s="1">
        <v>1</v>
      </c>
      <c r="CN756" s="1">
        <v>1</v>
      </c>
      <c r="CO756" s="1">
        <v>1</v>
      </c>
      <c r="CP756" s="1">
        <v>2</v>
      </c>
      <c r="CQ756" s="1">
        <v>2</v>
      </c>
      <c r="CR756" s="1">
        <v>2</v>
      </c>
      <c r="CS756" s="1">
        <v>2</v>
      </c>
      <c r="CT756" s="1">
        <v>2</v>
      </c>
      <c r="CU756" s="1">
        <v>2</v>
      </c>
      <c r="CV756" s="1">
        <v>0</v>
      </c>
      <c r="CW756" s="1">
        <v>1</v>
      </c>
      <c r="CX756" s="1">
        <v>1</v>
      </c>
      <c r="CY756" s="1">
        <v>2</v>
      </c>
      <c r="CZ756" s="1">
        <f t="shared" si="653"/>
        <v>0</v>
      </c>
      <c r="DA756" s="1">
        <v>1</v>
      </c>
      <c r="DB756" s="1">
        <v>1</v>
      </c>
      <c r="DC756" s="1">
        <v>1</v>
      </c>
      <c r="DD756" s="1">
        <v>1</v>
      </c>
      <c r="DE756" s="1">
        <v>1</v>
      </c>
      <c r="DF756" s="1">
        <v>1</v>
      </c>
      <c r="DG756" s="1">
        <v>1</v>
      </c>
      <c r="DH756" s="1">
        <v>1</v>
      </c>
      <c r="DI756" s="1">
        <v>0</v>
      </c>
      <c r="DJ756" s="1">
        <v>2</v>
      </c>
      <c r="DK756" s="1" t="s">
        <v>1701</v>
      </c>
      <c r="DL756" s="1" t="s">
        <v>170</v>
      </c>
      <c r="DQ756" s="1" t="b">
        <f>AlignmentNonGood</f>
        <v>0</v>
      </c>
      <c r="DR756" s="1" t="b">
        <f>BaseAtk&gt;=4</f>
        <v>0</v>
      </c>
      <c r="DS756" s="1" t="b">
        <f>SkHealRanks&gt;=4</f>
        <v>0</v>
      </c>
      <c r="DT756" s="1" t="b">
        <f>SkIntimidateRanks&gt;=4</f>
        <v>0</v>
      </c>
      <c r="DU756" s="1" t="b">
        <f>FtEndurance</f>
        <v>0</v>
      </c>
      <c r="DV756" s="1" t="b">
        <f>OR(FreeImprovedUnarmedStrike,FtImprovedUnarmed)</f>
        <v>0</v>
      </c>
      <c r="DW756" s="1" t="b">
        <f>FtIronWill</f>
        <v>0</v>
      </c>
      <c r="DX756" s="1" t="b">
        <f>FtJaded</f>
        <v>0</v>
      </c>
      <c r="DY756" s="1" t="b">
        <v>1</v>
      </c>
      <c r="DZ756" s="1" t="b">
        <f t="shared" si="644"/>
        <v>1</v>
      </c>
      <c r="EA756" s="1" t="b">
        <f t="shared" si="654"/>
        <v>0</v>
      </c>
      <c r="EB756" s="11" t="s">
        <v>338</v>
      </c>
      <c r="EC756" s="1" t="str">
        <f>IF(DQ756,"","• Any non-good alignment.
")&amp;IF(DR756,"","• Base Attack Bonus +4.
")&amp;IF(DS756,"","• 4 ranks in Heal.
")&amp;IF(DT756,"","• 4 ranks in Intimidate.
")&amp;IF(DU756,"","• Endurance feat.
")&amp;IF(DV756,"","• Improved Unarmed Strike feat.
")&amp;IF(DW756,"","•  Iron Will feat.
")&amp;IF(DX756,"","• Jaded Feat.
")&amp;IF(DY756,"• Another scourge must train you, and you must have endured torture without breaking. (not checked)","")</f>
        <v>• Any non-good alignment.
• Base Attack Bonus +4.
• 4 ranks in Heal.
• 4 ranks in Intimidate.
• Endurance feat.
• Improved Unarmed Strike feat.
•  Iron Will feat.
• Jaded Feat.
• Another scourge must train you, and you must have endured torture without breaking. (not checked)</v>
      </c>
      <c r="ED756" s="11" t="s">
        <v>335</v>
      </c>
    </row>
    <row r="757" spans="1:134" ht="11.25" customHeight="1" x14ac:dyDescent="0.2">
      <c r="A757" s="1">
        <f t="shared" si="629"/>
        <v>754</v>
      </c>
      <c r="B757" s="1" t="s">
        <v>1719</v>
      </c>
      <c r="C757" s="1" t="s">
        <v>1720</v>
      </c>
      <c r="D757" s="1" t="s">
        <v>1720</v>
      </c>
      <c r="E757" s="1">
        <f t="shared" si="626"/>
        <v>0</v>
      </c>
      <c r="K757" s="1">
        <v>4</v>
      </c>
      <c r="L757" s="1">
        <v>10</v>
      </c>
      <c r="N757" s="1" t="b">
        <v>1</v>
      </c>
      <c r="O757" s="1" t="b">
        <v>1</v>
      </c>
      <c r="Q757" s="1" t="b">
        <v>1</v>
      </c>
      <c r="S757" s="1" t="b">
        <v>1</v>
      </c>
      <c r="T757" s="1" t="b">
        <v>1</v>
      </c>
      <c r="V757" s="1">
        <v>1</v>
      </c>
      <c r="W757" s="1">
        <v>0.5</v>
      </c>
      <c r="X757" s="1">
        <v>0.5</v>
      </c>
      <c r="Y757" s="1">
        <v>0.34</v>
      </c>
      <c r="Z757" s="1" t="b">
        <f>FALSE</f>
        <v>0</v>
      </c>
      <c r="AA757" s="1" t="str">
        <f t="shared" si="630"/>
        <v/>
      </c>
      <c r="AB757" s="1" t="str">
        <f t="shared" si="631"/>
        <v/>
      </c>
      <c r="AC757" s="1">
        <f t="shared" si="627"/>
        <v>0</v>
      </c>
      <c r="AD757" s="1" t="str">
        <f t="shared" si="632"/>
        <v/>
      </c>
      <c r="AE757" s="1" t="str">
        <f t="shared" si="633"/>
        <v/>
      </c>
      <c r="AF757" s="1">
        <f t="shared" si="628"/>
        <v>0</v>
      </c>
      <c r="AG757" s="1">
        <f t="shared" si="636"/>
        <v>5</v>
      </c>
      <c r="AH757" s="1" t="str">
        <f t="shared" si="635"/>
        <v/>
      </c>
      <c r="AI757" s="1">
        <v>1</v>
      </c>
      <c r="AJ757" s="1">
        <f t="shared" si="646"/>
        <v>0</v>
      </c>
      <c r="AK757" s="1">
        <v>1</v>
      </c>
      <c r="AL757" s="1">
        <v>1</v>
      </c>
      <c r="AM757" s="1">
        <v>1</v>
      </c>
      <c r="AN757" s="1">
        <f t="shared" si="647"/>
        <v>0</v>
      </c>
      <c r="AO757" s="1">
        <v>1</v>
      </c>
      <c r="AP757" s="1">
        <v>1</v>
      </c>
      <c r="AQ757" s="1">
        <v>1</v>
      </c>
      <c r="AR757" s="1">
        <v>1</v>
      </c>
      <c r="AS757" s="1">
        <v>1</v>
      </c>
      <c r="AT757" s="1">
        <v>1</v>
      </c>
      <c r="AU757" s="1">
        <v>1</v>
      </c>
      <c r="AV757" s="1">
        <v>1</v>
      </c>
      <c r="AW757" s="1">
        <v>1</v>
      </c>
      <c r="AX757" s="1">
        <v>1</v>
      </c>
      <c r="AY757" s="1">
        <v>1</v>
      </c>
      <c r="AZ757" s="1">
        <v>1</v>
      </c>
      <c r="BA757" s="1">
        <v>1</v>
      </c>
      <c r="BB757" s="1">
        <v>1</v>
      </c>
      <c r="BC757" s="1">
        <v>2</v>
      </c>
      <c r="BD757" s="1">
        <v>2</v>
      </c>
      <c r="BE757" s="1">
        <v>1</v>
      </c>
      <c r="BF757" s="1">
        <v>2</v>
      </c>
      <c r="BG757" s="1">
        <f t="shared" si="648"/>
        <v>0</v>
      </c>
      <c r="BH757" s="1">
        <f t="shared" si="649"/>
        <v>0</v>
      </c>
      <c r="BI757" s="1">
        <v>1</v>
      </c>
      <c r="BJ757" s="1">
        <v>1</v>
      </c>
      <c r="BK757" s="1">
        <v>1</v>
      </c>
      <c r="BL757" s="1">
        <v>1</v>
      </c>
      <c r="BM757" s="1">
        <v>1</v>
      </c>
      <c r="BN757" s="1">
        <v>1</v>
      </c>
      <c r="BO757" s="1">
        <v>1</v>
      </c>
      <c r="BP757" s="1">
        <v>1</v>
      </c>
      <c r="BQ757" s="1">
        <f t="shared" si="650"/>
        <v>0</v>
      </c>
      <c r="BR757" s="1">
        <v>1</v>
      </c>
      <c r="BS757" s="1">
        <v>1</v>
      </c>
      <c r="BT757" s="1">
        <v>0</v>
      </c>
      <c r="BU757" s="1">
        <f t="shared" si="651"/>
        <v>0</v>
      </c>
      <c r="BV757" s="1">
        <v>1</v>
      </c>
      <c r="BW757" s="1">
        <v>1</v>
      </c>
      <c r="BX757" s="1">
        <v>1</v>
      </c>
      <c r="BY757" s="1">
        <v>1</v>
      </c>
      <c r="BZ757" s="1">
        <v>1</v>
      </c>
      <c r="CA757" s="1">
        <v>1</v>
      </c>
      <c r="CB757" s="1">
        <v>1</v>
      </c>
      <c r="CC757" s="1">
        <v>1</v>
      </c>
      <c r="CD757" s="1">
        <v>1</v>
      </c>
      <c r="CE757" s="1">
        <v>1</v>
      </c>
      <c r="CF757" s="1">
        <v>2</v>
      </c>
      <c r="CG757" s="1">
        <f t="shared" si="652"/>
        <v>0</v>
      </c>
      <c r="CH757" s="1">
        <v>1</v>
      </c>
      <c r="CI757" s="1">
        <v>1</v>
      </c>
      <c r="CJ757" s="1">
        <v>1</v>
      </c>
      <c r="CK757" s="1">
        <v>1</v>
      </c>
      <c r="CL757" s="1">
        <v>1</v>
      </c>
      <c r="CM757" s="1">
        <v>1</v>
      </c>
      <c r="CN757" s="1">
        <v>1</v>
      </c>
      <c r="CO757" s="1">
        <v>1</v>
      </c>
      <c r="CP757" s="1">
        <v>1</v>
      </c>
      <c r="CQ757" s="1">
        <v>1</v>
      </c>
      <c r="CR757" s="1">
        <v>1</v>
      </c>
      <c r="CS757" s="1">
        <v>1</v>
      </c>
      <c r="CT757" s="1">
        <v>1</v>
      </c>
      <c r="CU757" s="1">
        <v>1</v>
      </c>
      <c r="CV757" s="1">
        <v>0</v>
      </c>
      <c r="CW757" s="1">
        <v>2</v>
      </c>
      <c r="CX757" s="1">
        <v>2</v>
      </c>
      <c r="CY757" s="1">
        <v>1</v>
      </c>
      <c r="CZ757" s="1">
        <f t="shared" si="653"/>
        <v>0</v>
      </c>
      <c r="DA757" s="1">
        <v>1</v>
      </c>
      <c r="DB757" s="1">
        <v>2</v>
      </c>
      <c r="DC757" s="1">
        <v>1</v>
      </c>
      <c r="DD757" s="1">
        <v>2</v>
      </c>
      <c r="DE757" s="1">
        <v>2</v>
      </c>
      <c r="DF757" s="1">
        <v>1</v>
      </c>
      <c r="DG757" s="1">
        <v>1</v>
      </c>
      <c r="DH757" s="1">
        <v>0</v>
      </c>
      <c r="DI757" s="1">
        <v>0</v>
      </c>
      <c r="DJ757" s="1">
        <v>1</v>
      </c>
      <c r="DK757" s="1" t="s">
        <v>1701</v>
      </c>
      <c r="DL757" s="1" t="s">
        <v>170</v>
      </c>
      <c r="DQ757" s="1" t="b">
        <f>BaseAtk&gt;=4</f>
        <v>0</v>
      </c>
      <c r="DR757" s="1" t="b">
        <f>SkHideRanks&gt;=4</f>
        <v>0</v>
      </c>
      <c r="DS757" s="1" t="b">
        <f>SkSpeakLanguageRanks&gt;=2</f>
        <v>0</v>
      </c>
      <c r="DT757" s="1" t="b">
        <f>SkSurvivalRanks&gt;=4</f>
        <v>0</v>
      </c>
      <c r="DU757" s="1" t="b">
        <f>FtAlertness</f>
        <v>0</v>
      </c>
      <c r="DV757" s="1" t="b">
        <f>NOT(ISNA(MATCH("Hide",TblSkillFocus,0)))</f>
        <v>0</v>
      </c>
      <c r="DW757" s="1" t="b">
        <f>FtTrack</f>
        <v>0</v>
      </c>
      <c r="DX757" s="1" t="b">
        <v>1</v>
      </c>
      <c r="DZ757" s="1" t="b">
        <f t="shared" si="644"/>
        <v>1</v>
      </c>
      <c r="EA757" s="1" t="b">
        <f t="shared" si="654"/>
        <v>0</v>
      </c>
      <c r="EB757" s="11" t="s">
        <v>338</v>
      </c>
      <c r="EC757" s="1" t="str">
        <f>IF(DQ757,"","• Base Attack Bonus +4.
")&amp;IF(DR757,"","• 4 ranks in Hide.
")&amp;IF(DS757,"","• 2 ranks in Speak Language.
")&amp;IF(DT757,"","• 4 ranks in Survival.
")&amp;IF(DU757,"","• Alertness feat.
")&amp;IF(DV757,"","• Skill Focus (hide) feat.
")&amp;IF(DW757,"","• Track feat.
")&amp;IF(DX757,"• Must not be innocent, and must have an Outcast Rating of at least 3. (Not checked)","")</f>
        <v>• Base Attack Bonus +4.
• 4 ranks in Hide.
• 2 ranks in Speak Language.
• 4 ranks in Survival.
• Alertness feat.
• Skill Focus (hide) feat.
• Track feat.
• Must not be innocent, and must have an Outcast Rating of at least 3. (Not checked)</v>
      </c>
      <c r="ED757" s="11" t="s">
        <v>335</v>
      </c>
    </row>
    <row r="758" spans="1:134" ht="11.25" customHeight="1" x14ac:dyDescent="0.2">
      <c r="A758" s="1">
        <f t="shared" si="629"/>
        <v>755</v>
      </c>
      <c r="B758" s="1" t="s">
        <v>1721</v>
      </c>
      <c r="C758" s="1" t="s">
        <v>1722</v>
      </c>
      <c r="D758" s="1" t="s">
        <v>1722</v>
      </c>
      <c r="E758" s="1">
        <f t="shared" si="626"/>
        <v>0</v>
      </c>
      <c r="K758" s="1">
        <v>2</v>
      </c>
      <c r="L758" s="1">
        <v>8</v>
      </c>
      <c r="S758" s="1" t="b">
        <v>1</v>
      </c>
      <c r="V758" s="1">
        <v>0.75</v>
      </c>
      <c r="W758" s="1">
        <v>0.5</v>
      </c>
      <c r="X758" s="1">
        <v>0.34</v>
      </c>
      <c r="Y758" s="1">
        <v>0.5</v>
      </c>
      <c r="Z758" s="1" t="b">
        <f>FALSE</f>
        <v>0</v>
      </c>
      <c r="AA758" s="1" t="str">
        <f t="shared" si="630"/>
        <v/>
      </c>
      <c r="AB758" s="1" t="str">
        <f t="shared" si="631"/>
        <v/>
      </c>
      <c r="AC758" s="1">
        <f t="shared" si="627"/>
        <v>0</v>
      </c>
      <c r="AD758" s="1" t="str">
        <f t="shared" si="632"/>
        <v/>
      </c>
      <c r="AE758" s="1" t="str">
        <f t="shared" si="633"/>
        <v/>
      </c>
      <c r="AF758" s="1">
        <f t="shared" si="628"/>
        <v>0</v>
      </c>
      <c r="AG758" s="1">
        <f t="shared" si="636"/>
        <v>5</v>
      </c>
      <c r="AH758" s="1" t="str">
        <f t="shared" si="635"/>
        <v/>
      </c>
      <c r="AI758" s="1">
        <v>1</v>
      </c>
      <c r="AJ758" s="1">
        <f t="shared" si="646"/>
        <v>0</v>
      </c>
      <c r="AK758" s="1">
        <v>1</v>
      </c>
      <c r="AL758" s="1">
        <v>1</v>
      </c>
      <c r="AM758" s="1">
        <v>1</v>
      </c>
      <c r="AN758" s="1">
        <f t="shared" si="647"/>
        <v>0</v>
      </c>
      <c r="AO758" s="1">
        <v>2</v>
      </c>
      <c r="AP758" s="1">
        <v>2</v>
      </c>
      <c r="AQ758" s="1">
        <v>2</v>
      </c>
      <c r="AR758" s="1">
        <v>2</v>
      </c>
      <c r="AS758" s="1">
        <v>2</v>
      </c>
      <c r="AT758" s="1">
        <v>2</v>
      </c>
      <c r="AU758" s="1">
        <v>2</v>
      </c>
      <c r="AV758" s="1">
        <v>2</v>
      </c>
      <c r="AW758" s="1">
        <v>1</v>
      </c>
      <c r="AX758" s="1">
        <v>1</v>
      </c>
      <c r="AY758" s="1">
        <v>1</v>
      </c>
      <c r="AZ758" s="1">
        <v>1</v>
      </c>
      <c r="BA758" s="1">
        <v>1</v>
      </c>
      <c r="BB758" s="1">
        <v>1</v>
      </c>
      <c r="BC758" s="1">
        <v>1</v>
      </c>
      <c r="BD758" s="1">
        <v>1</v>
      </c>
      <c r="BE758" s="1">
        <v>2</v>
      </c>
      <c r="BF758" s="1">
        <v>1</v>
      </c>
      <c r="BG758" s="1">
        <f t="shared" si="648"/>
        <v>0</v>
      </c>
      <c r="BH758" s="1">
        <f t="shared" si="649"/>
        <v>0</v>
      </c>
      <c r="BI758" s="1">
        <v>2</v>
      </c>
      <c r="BJ758" s="1">
        <v>1</v>
      </c>
      <c r="BK758" s="1">
        <v>2</v>
      </c>
      <c r="BL758" s="1">
        <v>1</v>
      </c>
      <c r="BM758" s="1">
        <v>1</v>
      </c>
      <c r="BN758" s="1">
        <v>1</v>
      </c>
      <c r="BO758" s="1">
        <v>1</v>
      </c>
      <c r="BP758" s="1">
        <v>1</v>
      </c>
      <c r="BQ758" s="1">
        <f t="shared" si="650"/>
        <v>0</v>
      </c>
      <c r="BR758" s="1">
        <v>1</v>
      </c>
      <c r="BS758" s="1">
        <v>1</v>
      </c>
      <c r="BT758" s="1">
        <v>0</v>
      </c>
      <c r="BU758" s="1">
        <f>IF(HRRVL,2,0)</f>
        <v>0</v>
      </c>
      <c r="BV758" s="1">
        <v>2</v>
      </c>
      <c r="BW758" s="1">
        <v>1</v>
      </c>
      <c r="BX758" s="1">
        <v>1</v>
      </c>
      <c r="BY758" s="1">
        <v>1</v>
      </c>
      <c r="BZ758" s="1">
        <v>1</v>
      </c>
      <c r="CA758" s="1">
        <v>1</v>
      </c>
      <c r="CB758" s="1">
        <v>1</v>
      </c>
      <c r="CC758" s="1">
        <v>1</v>
      </c>
      <c r="CD758" s="1">
        <v>1</v>
      </c>
      <c r="CE758" s="1">
        <v>1</v>
      </c>
      <c r="CF758" s="1">
        <v>1</v>
      </c>
      <c r="CG758" s="1">
        <f t="shared" si="652"/>
        <v>0</v>
      </c>
      <c r="CH758" s="1">
        <v>1</v>
      </c>
      <c r="CI758" s="1">
        <v>1</v>
      </c>
      <c r="CJ758" s="1">
        <v>2</v>
      </c>
      <c r="CK758" s="1">
        <v>2</v>
      </c>
      <c r="CL758" s="1">
        <v>2</v>
      </c>
      <c r="CM758" s="1">
        <v>2</v>
      </c>
      <c r="CN758" s="1">
        <v>2</v>
      </c>
      <c r="CO758" s="1">
        <v>2</v>
      </c>
      <c r="CP758" s="1">
        <v>2</v>
      </c>
      <c r="CQ758" s="1">
        <v>2</v>
      </c>
      <c r="CR758" s="1">
        <v>2</v>
      </c>
      <c r="CS758" s="1">
        <v>2</v>
      </c>
      <c r="CT758" s="1">
        <v>2</v>
      </c>
      <c r="CU758" s="1">
        <v>2</v>
      </c>
      <c r="CV758" s="1">
        <v>0</v>
      </c>
      <c r="CW758" s="1">
        <v>1</v>
      </c>
      <c r="CX758" s="1">
        <v>1</v>
      </c>
      <c r="CY758" s="1">
        <v>1</v>
      </c>
      <c r="CZ758" s="1">
        <f t="shared" si="653"/>
        <v>0</v>
      </c>
      <c r="DA758" s="1">
        <v>1</v>
      </c>
      <c r="DB758" s="1">
        <v>1</v>
      </c>
      <c r="DC758" s="1">
        <v>2</v>
      </c>
      <c r="DD758" s="1">
        <v>1</v>
      </c>
      <c r="DE758" s="1">
        <v>1</v>
      </c>
      <c r="DF758" s="1">
        <v>1</v>
      </c>
      <c r="DG758" s="1">
        <v>1</v>
      </c>
      <c r="DH758" s="1">
        <v>1</v>
      </c>
      <c r="DI758" s="1">
        <v>0</v>
      </c>
      <c r="DJ758" s="1">
        <v>1</v>
      </c>
      <c r="DK758" s="1" t="s">
        <v>1701</v>
      </c>
      <c r="DL758" s="1" t="s">
        <v>170</v>
      </c>
      <c r="DQ758" s="1" t="b">
        <f>AlignmentChaotic</f>
        <v>0</v>
      </c>
      <c r="DR758" s="1" t="b">
        <f>BaseFort&gt;=5</f>
        <v>0</v>
      </c>
      <c r="DS758" s="1" t="b">
        <f>SkKnowledgeReligionRanks&gt;=8</f>
        <v>0</v>
      </c>
      <c r="DT758" s="1" t="b">
        <f>IF(NOT(ISNA(MATCH("Dance",TblPerformSkills,0))),INDEX(TblPerformRanks,MATCH("Dance",TblPerformSkills,0),1)&gt;=5,FALSE)</f>
        <v>0</v>
      </c>
      <c r="DU758" s="1" t="b">
        <f>FtGreatFortitude</f>
        <v>0</v>
      </c>
      <c r="DV758" s="1" t="b">
        <f>FtLifeforceSacrifice</f>
        <v>0</v>
      </c>
      <c r="DW758" s="1" t="b">
        <f>FtTantricAbility</f>
        <v>0</v>
      </c>
      <c r="DZ758" s="1" t="b">
        <f t="shared" si="644"/>
        <v>1</v>
      </c>
      <c r="EA758" s="1" t="b">
        <f t="shared" si="654"/>
        <v>0</v>
      </c>
      <c r="EB758" s="11" t="s">
        <v>334</v>
      </c>
      <c r="EC758" s="1" t="str">
        <f>IF(DQ758,"","• Any Chaotic Alignment.
")&amp;IF(DR758,"","• Base Fortitude Save Bonus: +5.
")&amp;IF(DS758,"","• 8 ranks in Knowledge (religion).
")&amp;IF(DT758,"","• 5 ranks in Perform (dance).
")&amp;IF(DU758,"","• Great Fortitude feat
")&amp;IF(DV758,"","• Life Force Sacrifice feat.
")&amp;IF(DW758,"","• Tantric Ability feat.")</f>
        <v>• Any Chaotic Alignment.
• Base Fortitude Save Bonus: +5.
• 8 ranks in Knowledge (religion).
• 5 ranks in Perform (dance).
• Great Fortitude feat
• Life Force Sacrifice feat.
• Tantric Ability feat.</v>
      </c>
      <c r="ED758" s="11" t="s">
        <v>335</v>
      </c>
    </row>
    <row r="759" spans="1:134" ht="11.25" customHeight="1" x14ac:dyDescent="0.2">
      <c r="A759" s="1">
        <f t="shared" si="629"/>
        <v>756</v>
      </c>
      <c r="B759" s="1" t="s">
        <v>1723</v>
      </c>
      <c r="E759" s="1">
        <f t="shared" si="626"/>
        <v>0</v>
      </c>
      <c r="F759" s="1">
        <v>1</v>
      </c>
      <c r="Z759" s="1" t="b">
        <f>FALSE</f>
        <v>0</v>
      </c>
      <c r="AA759" s="1" t="str">
        <f t="shared" si="630"/>
        <v/>
      </c>
      <c r="AB759" s="1" t="str">
        <f t="shared" si="631"/>
        <v/>
      </c>
      <c r="AC759" s="1">
        <f t="shared" si="627"/>
        <v>0</v>
      </c>
      <c r="AD759" s="1" t="str">
        <f t="shared" si="632"/>
        <v/>
      </c>
      <c r="AE759" s="1" t="str">
        <f t="shared" si="633"/>
        <v/>
      </c>
      <c r="AF759" s="1">
        <f t="shared" si="628"/>
        <v>0</v>
      </c>
      <c r="AG759" s="1">
        <f t="shared" si="636"/>
        <v>5</v>
      </c>
      <c r="AH759" s="1" t="str">
        <f t="shared" si="635"/>
        <v/>
      </c>
      <c r="EB759" s="11"/>
      <c r="ED759" s="11" t="s">
        <v>335</v>
      </c>
    </row>
    <row r="760" spans="1:134" ht="11.25" customHeight="1" x14ac:dyDescent="0.2">
      <c r="A760" s="1">
        <f t="shared" si="629"/>
        <v>757</v>
      </c>
      <c r="B760" s="1" t="s">
        <v>1724</v>
      </c>
      <c r="C760" s="1" t="s">
        <v>1725</v>
      </c>
      <c r="D760" s="1" t="s">
        <v>1725</v>
      </c>
      <c r="E760" s="1">
        <f t="shared" si="626"/>
        <v>0</v>
      </c>
      <c r="K760" s="1">
        <v>4</v>
      </c>
      <c r="L760" s="1">
        <v>6</v>
      </c>
      <c r="N760" s="1" t="b">
        <v>1</v>
      </c>
      <c r="O760" s="1" t="b">
        <v>1</v>
      </c>
      <c r="S760" s="1" t="b">
        <v>1</v>
      </c>
      <c r="V760" s="1">
        <v>0.75</v>
      </c>
      <c r="W760" s="1">
        <v>0.5</v>
      </c>
      <c r="X760" s="1">
        <v>0.34</v>
      </c>
      <c r="Y760" s="1">
        <v>0.5</v>
      </c>
      <c r="Z760" s="1" t="b">
        <f>FALSE</f>
        <v>0</v>
      </c>
      <c r="AA760" s="1" t="str">
        <f t="shared" si="630"/>
        <v/>
      </c>
      <c r="AB760" s="1" t="str">
        <f t="shared" si="631"/>
        <v/>
      </c>
      <c r="AC760" s="1">
        <f t="shared" si="627"/>
        <v>0</v>
      </c>
      <c r="AD760" s="1" t="str">
        <f t="shared" si="632"/>
        <v/>
      </c>
      <c r="AE760" s="1" t="str">
        <f t="shared" si="633"/>
        <v/>
      </c>
      <c r="AF760" s="1">
        <f t="shared" si="628"/>
        <v>0</v>
      </c>
      <c r="AG760" s="1">
        <f t="shared" si="636"/>
        <v>5</v>
      </c>
      <c r="AH760" s="1" t="str">
        <f t="shared" si="635"/>
        <v/>
      </c>
      <c r="AI760" s="1">
        <v>1</v>
      </c>
      <c r="AJ760" s="1">
        <f t="shared" ref="AJ760:AJ765" si="655">IF(HRXPH,1,0)</f>
        <v>0</v>
      </c>
      <c r="AK760" s="1">
        <v>1</v>
      </c>
      <c r="AL760" s="1">
        <v>1</v>
      </c>
      <c r="AM760" s="1">
        <v>1</v>
      </c>
      <c r="AN760" s="1">
        <f t="shared" ref="AN760:AN765" si="656">IF(IsLycanthrope,2,0)</f>
        <v>0</v>
      </c>
      <c r="AO760" s="1">
        <v>2</v>
      </c>
      <c r="AP760" s="1">
        <v>2</v>
      </c>
      <c r="AQ760" s="1">
        <v>2</v>
      </c>
      <c r="AR760" s="1">
        <v>2</v>
      </c>
      <c r="AS760" s="1">
        <v>2</v>
      </c>
      <c r="AT760" s="1">
        <v>2</v>
      </c>
      <c r="AU760" s="1">
        <v>2</v>
      </c>
      <c r="AV760" s="1">
        <v>2</v>
      </c>
      <c r="AW760" s="1">
        <v>2</v>
      </c>
      <c r="AX760" s="1">
        <v>1</v>
      </c>
      <c r="AY760" s="1">
        <v>1</v>
      </c>
      <c r="AZ760" s="1">
        <v>1</v>
      </c>
      <c r="BA760" s="1">
        <v>1</v>
      </c>
      <c r="BB760" s="1">
        <v>1</v>
      </c>
      <c r="BC760" s="1">
        <v>2</v>
      </c>
      <c r="BD760" s="1">
        <v>1</v>
      </c>
      <c r="BE760" s="1">
        <v>1</v>
      </c>
      <c r="BF760" s="1">
        <v>2</v>
      </c>
      <c r="BG760" s="1">
        <f t="shared" ref="BG760:BG765" si="657">IF(HRRVL,1,0)</f>
        <v>0</v>
      </c>
      <c r="BH760" s="1">
        <f t="shared" ref="BH760:BH765" si="658">IF(HROA,1,0)</f>
        <v>0</v>
      </c>
      <c r="BI760" s="1">
        <v>2</v>
      </c>
      <c r="BJ760" s="1">
        <v>1</v>
      </c>
      <c r="BK760" s="1">
        <v>2</v>
      </c>
      <c r="BL760" s="1">
        <v>1</v>
      </c>
      <c r="BM760" s="1">
        <v>2</v>
      </c>
      <c r="BN760" s="1">
        <v>1</v>
      </c>
      <c r="BO760" s="1">
        <v>1</v>
      </c>
      <c r="BP760" s="1">
        <v>2</v>
      </c>
      <c r="BQ760" s="1">
        <f t="shared" ref="BQ760:BQ765" si="659">IF(HRRVL,2,0)</f>
        <v>0</v>
      </c>
      <c r="BR760" s="1">
        <v>2</v>
      </c>
      <c r="BS760" s="1">
        <v>1</v>
      </c>
      <c r="BT760" s="1">
        <v>0</v>
      </c>
      <c r="BU760" s="1">
        <f t="shared" ref="BU760:BU765" si="660">IF(HRRVL,2,0)</f>
        <v>0</v>
      </c>
      <c r="BV760" s="1">
        <v>2</v>
      </c>
      <c r="BW760" s="1">
        <v>2</v>
      </c>
      <c r="BX760" s="1">
        <v>1</v>
      </c>
      <c r="BY760" s="1">
        <v>1</v>
      </c>
      <c r="BZ760" s="1">
        <v>1</v>
      </c>
      <c r="CA760" s="1">
        <v>1</v>
      </c>
      <c r="CB760" s="1">
        <v>1</v>
      </c>
      <c r="CC760" s="1">
        <v>1</v>
      </c>
      <c r="CD760" s="1">
        <v>1</v>
      </c>
      <c r="CE760" s="1">
        <v>1</v>
      </c>
      <c r="CF760" s="1">
        <v>2</v>
      </c>
      <c r="CG760" s="1">
        <f t="shared" ref="CG760:CG765" si="661">IF(HRToB,1,0)</f>
        <v>0</v>
      </c>
      <c r="CH760" s="1">
        <v>2</v>
      </c>
      <c r="CI760" s="1">
        <v>1</v>
      </c>
      <c r="CJ760" s="1">
        <v>1</v>
      </c>
      <c r="CK760" s="1">
        <v>1</v>
      </c>
      <c r="CL760" s="1">
        <v>1</v>
      </c>
      <c r="CM760" s="1">
        <v>1</v>
      </c>
      <c r="CN760" s="1">
        <v>1</v>
      </c>
      <c r="CO760" s="1">
        <v>1</v>
      </c>
      <c r="CP760" s="1">
        <v>1</v>
      </c>
      <c r="CQ760" s="1">
        <v>1</v>
      </c>
      <c r="CR760" s="1">
        <v>1</v>
      </c>
      <c r="CS760" s="1">
        <v>1</v>
      </c>
      <c r="CT760" s="1">
        <v>1</v>
      </c>
      <c r="CU760" s="1">
        <v>1</v>
      </c>
      <c r="CV760" s="1">
        <v>0</v>
      </c>
      <c r="CW760" s="1">
        <v>1</v>
      </c>
      <c r="CX760" s="1">
        <v>2</v>
      </c>
      <c r="CY760" s="1">
        <v>2</v>
      </c>
      <c r="CZ760" s="1">
        <f t="shared" ref="CZ760:CZ765" si="662">IF(HRCS,1,0)</f>
        <v>0</v>
      </c>
      <c r="DA760" s="1">
        <v>1</v>
      </c>
      <c r="DB760" s="1">
        <v>1</v>
      </c>
      <c r="DC760" s="1">
        <v>1</v>
      </c>
      <c r="DD760" s="1">
        <v>2</v>
      </c>
      <c r="DE760" s="1">
        <v>2</v>
      </c>
      <c r="DF760" s="1">
        <v>1</v>
      </c>
      <c r="DG760" s="1">
        <v>1</v>
      </c>
      <c r="DH760" s="1">
        <v>1</v>
      </c>
      <c r="DI760" s="1">
        <v>0</v>
      </c>
      <c r="DJ760" s="1">
        <v>1</v>
      </c>
      <c r="DK760" s="1" t="s">
        <v>1726</v>
      </c>
      <c r="DL760" s="1" t="s">
        <v>170</v>
      </c>
      <c r="DQ760" s="1" t="b">
        <f>SkGatherInformationRanks&gt;=5</f>
        <v>0</v>
      </c>
      <c r="DR760" s="1" t="b">
        <f t="shared" ref="DR760:DR765" si="663">SkKnowledgePlanesRanks&gt;=5</f>
        <v>0</v>
      </c>
      <c r="DS760" s="1" t="b">
        <f>SkSenseMotiveRanks&gt;=5</f>
        <v>0</v>
      </c>
      <c r="DT760" s="1" t="b">
        <f>FtIronWill</f>
        <v>0</v>
      </c>
      <c r="DU760" s="1" t="b">
        <f>FtTrack</f>
        <v>0</v>
      </c>
      <c r="DV760" s="1" t="b">
        <v>1</v>
      </c>
      <c r="DZ760" s="1" t="b">
        <f t="shared" si="644"/>
        <v>1</v>
      </c>
      <c r="EA760" s="1" t="b">
        <f t="shared" ref="EA760:EA765" si="664">AND(DM760:DZ760)</f>
        <v>0</v>
      </c>
      <c r="EB760" s="11" t="s">
        <v>338</v>
      </c>
      <c r="EC760" s="1" t="str">
        <f>IF(DQ760,"","• 5 ranks in Gather Information.
")&amp;IF(DR760,"","• 5 ranks in Knowledge (the planes).
")&amp;IF(DR760,"","• 5 ranks in Sense Motive.
")&amp;IF(DR760,"","• Iron Will feat.
")&amp;IF(DS760,"","• Track feat
")&amp;IF(DT760,"• You must have survived a hostile encoutner with a certain mosnter type. (not checked)","")</f>
        <v xml:space="preserve">• 5 ranks in Gather Information.
• 5 ranks in Knowledge (the planes).
• 5 ranks in Sense Motive.
• Iron Will feat.
• Track feat
</v>
      </c>
      <c r="ED760" s="11" t="s">
        <v>335</v>
      </c>
    </row>
    <row r="761" spans="1:134" ht="11.25" customHeight="1" x14ac:dyDescent="0.2">
      <c r="A761" s="1">
        <f t="shared" si="629"/>
        <v>758</v>
      </c>
      <c r="B761" s="1" t="s">
        <v>1727</v>
      </c>
      <c r="C761" s="1" t="s">
        <v>1728</v>
      </c>
      <c r="D761" s="1" t="s">
        <v>1728</v>
      </c>
      <c r="E761" s="1">
        <f t="shared" si="626"/>
        <v>0</v>
      </c>
      <c r="K761" s="1">
        <v>4</v>
      </c>
      <c r="L761" s="1">
        <v>6</v>
      </c>
      <c r="N761" s="1" t="b">
        <v>1</v>
      </c>
      <c r="O761" s="1" t="b">
        <v>1</v>
      </c>
      <c r="S761" s="1" t="b">
        <v>1</v>
      </c>
      <c r="V761" s="1">
        <v>0.75</v>
      </c>
      <c r="W761" s="1">
        <v>0.5</v>
      </c>
      <c r="X761" s="1">
        <v>0.5</v>
      </c>
      <c r="Y761" s="1">
        <v>0.5</v>
      </c>
      <c r="Z761" s="1" t="b">
        <f>FALSE</f>
        <v>0</v>
      </c>
      <c r="AA761" s="1" t="str">
        <f t="shared" si="630"/>
        <v/>
      </c>
      <c r="AB761" s="1" t="str">
        <f t="shared" si="631"/>
        <v/>
      </c>
      <c r="AC761" s="1">
        <f t="shared" si="627"/>
        <v>0</v>
      </c>
      <c r="AD761" s="1" t="str">
        <f t="shared" si="632"/>
        <v/>
      </c>
      <c r="AE761" s="1" t="str">
        <f t="shared" si="633"/>
        <v/>
      </c>
      <c r="AF761" s="1">
        <f t="shared" si="628"/>
        <v>0</v>
      </c>
      <c r="AG761" s="1">
        <f t="shared" si="636"/>
        <v>5</v>
      </c>
      <c r="AH761" s="1" t="str">
        <f t="shared" si="635"/>
        <v/>
      </c>
      <c r="AI761" s="1">
        <v>1</v>
      </c>
      <c r="AJ761" s="1">
        <f t="shared" si="655"/>
        <v>0</v>
      </c>
      <c r="AK761" s="1">
        <v>1</v>
      </c>
      <c r="AL761" s="1">
        <v>1</v>
      </c>
      <c r="AM761" s="1">
        <v>1</v>
      </c>
      <c r="AN761" s="1">
        <f t="shared" si="656"/>
        <v>0</v>
      </c>
      <c r="AO761" s="1">
        <v>2</v>
      </c>
      <c r="AP761" s="1">
        <v>2</v>
      </c>
      <c r="AQ761" s="1">
        <v>2</v>
      </c>
      <c r="AR761" s="1">
        <v>2</v>
      </c>
      <c r="AS761" s="1">
        <v>2</v>
      </c>
      <c r="AT761" s="1">
        <v>2</v>
      </c>
      <c r="AU761" s="1">
        <v>2</v>
      </c>
      <c r="AV761" s="1">
        <v>2</v>
      </c>
      <c r="AW761" s="1">
        <v>2</v>
      </c>
      <c r="AX761" s="1">
        <v>1</v>
      </c>
      <c r="AY761" s="1">
        <v>1</v>
      </c>
      <c r="AZ761" s="1">
        <v>1</v>
      </c>
      <c r="BA761" s="1">
        <v>1</v>
      </c>
      <c r="BB761" s="1">
        <v>1</v>
      </c>
      <c r="BC761" s="1">
        <v>2</v>
      </c>
      <c r="BD761" s="1">
        <v>1</v>
      </c>
      <c r="BE761" s="1">
        <v>1</v>
      </c>
      <c r="BF761" s="1">
        <v>2</v>
      </c>
      <c r="BG761" s="1">
        <f t="shared" si="657"/>
        <v>0</v>
      </c>
      <c r="BH761" s="1">
        <f t="shared" si="658"/>
        <v>0</v>
      </c>
      <c r="BI761" s="1">
        <v>2</v>
      </c>
      <c r="BJ761" s="1">
        <v>1</v>
      </c>
      <c r="BK761" s="1">
        <v>2</v>
      </c>
      <c r="BL761" s="1">
        <v>1</v>
      </c>
      <c r="BM761" s="1">
        <v>2</v>
      </c>
      <c r="BN761" s="1">
        <v>1</v>
      </c>
      <c r="BO761" s="1">
        <v>1</v>
      </c>
      <c r="BP761" s="1">
        <v>2</v>
      </c>
      <c r="BQ761" s="1">
        <f t="shared" si="659"/>
        <v>0</v>
      </c>
      <c r="BR761" s="1">
        <v>2</v>
      </c>
      <c r="BS761" s="1">
        <v>1</v>
      </c>
      <c r="BT761" s="1">
        <v>0</v>
      </c>
      <c r="BU761" s="1">
        <f t="shared" si="660"/>
        <v>0</v>
      </c>
      <c r="BV761" s="1">
        <v>2</v>
      </c>
      <c r="BW761" s="1">
        <v>2</v>
      </c>
      <c r="BX761" s="1">
        <v>1</v>
      </c>
      <c r="BY761" s="1">
        <v>1</v>
      </c>
      <c r="BZ761" s="1">
        <v>1</v>
      </c>
      <c r="CA761" s="1">
        <v>1</v>
      </c>
      <c r="CB761" s="1">
        <v>1</v>
      </c>
      <c r="CC761" s="1">
        <v>1</v>
      </c>
      <c r="CD761" s="1">
        <v>1</v>
      </c>
      <c r="CE761" s="1">
        <v>1</v>
      </c>
      <c r="CF761" s="1">
        <v>2</v>
      </c>
      <c r="CG761" s="1">
        <f t="shared" si="661"/>
        <v>0</v>
      </c>
      <c r="CH761" s="1">
        <v>2</v>
      </c>
      <c r="CI761" s="1">
        <v>1</v>
      </c>
      <c r="CJ761" s="1">
        <v>1</v>
      </c>
      <c r="CK761" s="1">
        <v>1</v>
      </c>
      <c r="CL761" s="1">
        <v>1</v>
      </c>
      <c r="CM761" s="1">
        <v>1</v>
      </c>
      <c r="CN761" s="1">
        <v>1</v>
      </c>
      <c r="CO761" s="1">
        <v>1</v>
      </c>
      <c r="CP761" s="1">
        <v>1</v>
      </c>
      <c r="CQ761" s="1">
        <v>1</v>
      </c>
      <c r="CR761" s="1">
        <v>1</v>
      </c>
      <c r="CS761" s="1">
        <v>1</v>
      </c>
      <c r="CT761" s="1">
        <v>1</v>
      </c>
      <c r="CU761" s="1">
        <v>1</v>
      </c>
      <c r="CV761" s="1">
        <v>0</v>
      </c>
      <c r="CW761" s="1">
        <v>1</v>
      </c>
      <c r="CX761" s="1">
        <v>2</v>
      </c>
      <c r="CY761" s="1">
        <v>2</v>
      </c>
      <c r="CZ761" s="1">
        <f t="shared" si="662"/>
        <v>0</v>
      </c>
      <c r="DA761" s="1">
        <v>1</v>
      </c>
      <c r="DB761" s="1">
        <v>1</v>
      </c>
      <c r="DC761" s="1">
        <v>1</v>
      </c>
      <c r="DD761" s="1">
        <v>2</v>
      </c>
      <c r="DE761" s="1">
        <v>2</v>
      </c>
      <c r="DF761" s="1">
        <v>1</v>
      </c>
      <c r="DG761" s="1">
        <v>1</v>
      </c>
      <c r="DH761" s="1">
        <v>1</v>
      </c>
      <c r="DI761" s="1">
        <v>0</v>
      </c>
      <c r="DJ761" s="1">
        <v>1</v>
      </c>
      <c r="DK761" s="1" t="s">
        <v>1726</v>
      </c>
      <c r="DL761" s="1" t="s">
        <v>170</v>
      </c>
      <c r="DQ761" s="1" t="b">
        <f>SkIntimidateRanks&gt;=10</f>
        <v>0</v>
      </c>
      <c r="DR761" s="1" t="b">
        <f t="shared" si="663"/>
        <v>0</v>
      </c>
      <c r="DS761" s="1" t="b">
        <f>IF(NOT(ISNA(MATCH("Beast",TblKnowledgeSkills,0))),INDEX(TblKnowledgeRanks,MATCH("Beast",TblKnowledgeSkills,0),1)&gt;=10,FALSE)</f>
        <v>0</v>
      </c>
      <c r="DT761" s="1" t="b">
        <f>SkSenseMotiveRanks&gt;=10</f>
        <v>0</v>
      </c>
      <c r="DU761" s="1" t="b">
        <f>MhrLvl&gt;=3</f>
        <v>0</v>
      </c>
      <c r="DZ761" s="1" t="b">
        <f t="shared" si="644"/>
        <v>1</v>
      </c>
      <c r="EA761" s="1" t="b">
        <f t="shared" si="664"/>
        <v>0</v>
      </c>
      <c r="EB761" s="11" t="s">
        <v>334</v>
      </c>
      <c r="EC761" s="1" t="str">
        <f>IF(DQ761,"","• 10 ranks in Intimidate.
")&amp;IF(DR761,"","• 5 ranks in Knowledge (the planes).
")&amp;IF(DS761,"","• 10 ranks in Knowledge (Beast).
")&amp;IF(DT761,"","• 10 ranks in Sense Motive.
")&amp;IF(DU761,"","• Must have at least 3 levels of Monster Hunter.")</f>
        <v>• 10 ranks in Intimidate.
• 5 ranks in Knowledge (the planes).
• 10 ranks in Knowledge (Beast).
• 10 ranks in Sense Motive.
• Must have at least 3 levels of Monster Hunter.</v>
      </c>
      <c r="ED761" s="11" t="s">
        <v>335</v>
      </c>
    </row>
    <row r="762" spans="1:134" ht="11.25" customHeight="1" x14ac:dyDescent="0.2">
      <c r="A762" s="1">
        <f t="shared" si="629"/>
        <v>759</v>
      </c>
      <c r="B762" s="1" t="s">
        <v>1729</v>
      </c>
      <c r="C762" s="1" t="s">
        <v>1730</v>
      </c>
      <c r="D762" s="1" t="s">
        <v>1730</v>
      </c>
      <c r="E762" s="1">
        <f t="shared" si="626"/>
        <v>0</v>
      </c>
      <c r="K762" s="1">
        <v>4</v>
      </c>
      <c r="L762" s="1">
        <v>6</v>
      </c>
      <c r="N762" s="1" t="b">
        <v>1</v>
      </c>
      <c r="O762" s="1" t="b">
        <v>1</v>
      </c>
      <c r="S762" s="1" t="b">
        <v>1</v>
      </c>
      <c r="V762" s="1">
        <v>0.75</v>
      </c>
      <c r="W762" s="1">
        <v>0.5</v>
      </c>
      <c r="X762" s="1">
        <v>0.5</v>
      </c>
      <c r="Y762" s="1">
        <v>0.5</v>
      </c>
      <c r="Z762" s="1" t="b">
        <f>FALSE</f>
        <v>0</v>
      </c>
      <c r="AA762" s="1" t="str">
        <f t="shared" si="630"/>
        <v/>
      </c>
      <c r="AB762" s="1" t="str">
        <f t="shared" si="631"/>
        <v/>
      </c>
      <c r="AC762" s="1">
        <f t="shared" si="627"/>
        <v>0</v>
      </c>
      <c r="AD762" s="1" t="str">
        <f t="shared" si="632"/>
        <v/>
      </c>
      <c r="AE762" s="1" t="str">
        <f t="shared" si="633"/>
        <v/>
      </c>
      <c r="AF762" s="1">
        <f t="shared" si="628"/>
        <v>0</v>
      </c>
      <c r="AG762" s="1">
        <f t="shared" si="636"/>
        <v>5</v>
      </c>
      <c r="AH762" s="1" t="str">
        <f t="shared" si="635"/>
        <v/>
      </c>
      <c r="AI762" s="1">
        <v>1</v>
      </c>
      <c r="AJ762" s="1">
        <f t="shared" si="655"/>
        <v>0</v>
      </c>
      <c r="AK762" s="1">
        <v>1</v>
      </c>
      <c r="AL762" s="1">
        <v>1</v>
      </c>
      <c r="AM762" s="1">
        <v>1</v>
      </c>
      <c r="AN762" s="1">
        <f t="shared" si="656"/>
        <v>0</v>
      </c>
      <c r="AO762" s="1">
        <v>2</v>
      </c>
      <c r="AP762" s="1">
        <v>2</v>
      </c>
      <c r="AQ762" s="1">
        <v>2</v>
      </c>
      <c r="AR762" s="1">
        <v>2</v>
      </c>
      <c r="AS762" s="1">
        <v>2</v>
      </c>
      <c r="AT762" s="1">
        <v>2</v>
      </c>
      <c r="AU762" s="1">
        <v>2</v>
      </c>
      <c r="AV762" s="1">
        <v>2</v>
      </c>
      <c r="AW762" s="1">
        <v>2</v>
      </c>
      <c r="AX762" s="1">
        <v>1</v>
      </c>
      <c r="AY762" s="1">
        <v>1</v>
      </c>
      <c r="AZ762" s="1">
        <v>1</v>
      </c>
      <c r="BA762" s="1">
        <v>1</v>
      </c>
      <c r="BB762" s="1">
        <v>1</v>
      </c>
      <c r="BC762" s="1">
        <v>2</v>
      </c>
      <c r="BD762" s="1">
        <v>1</v>
      </c>
      <c r="BE762" s="1">
        <v>1</v>
      </c>
      <c r="BF762" s="1">
        <v>2</v>
      </c>
      <c r="BG762" s="1">
        <f t="shared" si="657"/>
        <v>0</v>
      </c>
      <c r="BH762" s="1">
        <f t="shared" si="658"/>
        <v>0</v>
      </c>
      <c r="BI762" s="1">
        <v>2</v>
      </c>
      <c r="BJ762" s="1">
        <v>1</v>
      </c>
      <c r="BK762" s="1">
        <v>2</v>
      </c>
      <c r="BL762" s="1">
        <v>1</v>
      </c>
      <c r="BM762" s="1">
        <v>2</v>
      </c>
      <c r="BN762" s="1">
        <v>1</v>
      </c>
      <c r="BO762" s="1">
        <v>1</v>
      </c>
      <c r="BP762" s="1">
        <v>2</v>
      </c>
      <c r="BQ762" s="1">
        <f t="shared" si="659"/>
        <v>0</v>
      </c>
      <c r="BR762" s="1">
        <v>2</v>
      </c>
      <c r="BS762" s="1">
        <v>1</v>
      </c>
      <c r="BT762" s="1">
        <v>0</v>
      </c>
      <c r="BU762" s="1">
        <f t="shared" si="660"/>
        <v>0</v>
      </c>
      <c r="BV762" s="1">
        <v>2</v>
      </c>
      <c r="BW762" s="1">
        <v>2</v>
      </c>
      <c r="BX762" s="1">
        <v>1</v>
      </c>
      <c r="BY762" s="1">
        <v>1</v>
      </c>
      <c r="BZ762" s="1">
        <v>1</v>
      </c>
      <c r="CA762" s="1">
        <v>1</v>
      </c>
      <c r="CB762" s="1">
        <v>1</v>
      </c>
      <c r="CC762" s="1">
        <v>1</v>
      </c>
      <c r="CD762" s="1">
        <v>1</v>
      </c>
      <c r="CE762" s="1">
        <v>1</v>
      </c>
      <c r="CF762" s="1">
        <v>2</v>
      </c>
      <c r="CG762" s="1">
        <f t="shared" si="661"/>
        <v>0</v>
      </c>
      <c r="CH762" s="1">
        <v>2</v>
      </c>
      <c r="CI762" s="1">
        <v>1</v>
      </c>
      <c r="CJ762" s="1">
        <v>1</v>
      </c>
      <c r="CK762" s="1">
        <v>1</v>
      </c>
      <c r="CL762" s="1">
        <v>1</v>
      </c>
      <c r="CM762" s="1">
        <v>1</v>
      </c>
      <c r="CN762" s="1">
        <v>1</v>
      </c>
      <c r="CO762" s="1">
        <v>1</v>
      </c>
      <c r="CP762" s="1">
        <v>1</v>
      </c>
      <c r="CQ762" s="1">
        <v>1</v>
      </c>
      <c r="CR762" s="1">
        <v>1</v>
      </c>
      <c r="CS762" s="1">
        <v>1</v>
      </c>
      <c r="CT762" s="1">
        <v>1</v>
      </c>
      <c r="CU762" s="1">
        <v>1</v>
      </c>
      <c r="CV762" s="1">
        <v>0</v>
      </c>
      <c r="CW762" s="1">
        <v>1</v>
      </c>
      <c r="CX762" s="1">
        <v>2</v>
      </c>
      <c r="CY762" s="1">
        <v>2</v>
      </c>
      <c r="CZ762" s="1">
        <f t="shared" si="662"/>
        <v>0</v>
      </c>
      <c r="DA762" s="1">
        <v>1</v>
      </c>
      <c r="DB762" s="1">
        <v>1</v>
      </c>
      <c r="DC762" s="1">
        <v>1</v>
      </c>
      <c r="DD762" s="1">
        <v>2</v>
      </c>
      <c r="DE762" s="1">
        <v>2</v>
      </c>
      <c r="DF762" s="1">
        <v>1</v>
      </c>
      <c r="DG762" s="1">
        <v>1</v>
      </c>
      <c r="DH762" s="1">
        <v>1</v>
      </c>
      <c r="DI762" s="1">
        <v>0</v>
      </c>
      <c r="DJ762" s="1">
        <v>1</v>
      </c>
      <c r="DK762" s="1" t="s">
        <v>1726</v>
      </c>
      <c r="DL762" s="1" t="s">
        <v>170</v>
      </c>
      <c r="DQ762" s="1" t="b">
        <f>SkIntimidateRanks&gt;=10</f>
        <v>0</v>
      </c>
      <c r="DR762" s="1" t="b">
        <f t="shared" si="663"/>
        <v>0</v>
      </c>
      <c r="DS762" s="1" t="b">
        <f>IF(NOT(ISNA(MATCH("Demon",TblKnowledgeSkills,0))),INDEX(TblKnowledgeRanks,MATCH("Demon",TblKnowledgeSkills,0),1)&gt;=10,FALSE)</f>
        <v>0</v>
      </c>
      <c r="DT762" s="1" t="b">
        <f>SkSenseMotiveRanks&gt;=10</f>
        <v>0</v>
      </c>
      <c r="DU762" s="1" t="b">
        <f>MhrLvl&gt;=3</f>
        <v>0</v>
      </c>
      <c r="DZ762" s="1" t="b">
        <f t="shared" si="644"/>
        <v>1</v>
      </c>
      <c r="EA762" s="1" t="b">
        <f t="shared" si="664"/>
        <v>0</v>
      </c>
      <c r="EB762" s="11" t="s">
        <v>334</v>
      </c>
      <c r="EC762" s="1" t="str">
        <f>IF(DQ762,"","• 10 ranks in Intimidate.
")&amp;IF(DR762,"","• 5 ranks in Knowledge (the planes).
")&amp;IF(DS762,"","• 10 ranks in Knowledge (Demon).
")&amp;IF(DT762,"","• 10 ranks in Sense Motive.
")&amp;IF(DU762,"","• Must have at least 3 levels of Monster Hunter.")</f>
        <v>• 10 ranks in Intimidate.
• 5 ranks in Knowledge (the planes).
• 10 ranks in Knowledge (Demon).
• 10 ranks in Sense Motive.
• Must have at least 3 levels of Monster Hunter.</v>
      </c>
      <c r="ED762" s="11" t="s">
        <v>335</v>
      </c>
    </row>
    <row r="763" spans="1:134" ht="11.25" customHeight="1" x14ac:dyDescent="0.2">
      <c r="A763" s="1">
        <f t="shared" si="629"/>
        <v>760</v>
      </c>
      <c r="B763" s="1" t="s">
        <v>1731</v>
      </c>
      <c r="C763" s="1" t="s">
        <v>1732</v>
      </c>
      <c r="D763" s="1" t="s">
        <v>1732</v>
      </c>
      <c r="E763" s="1">
        <f t="shared" si="626"/>
        <v>0</v>
      </c>
      <c r="K763" s="1">
        <v>4</v>
      </c>
      <c r="L763" s="1">
        <v>6</v>
      </c>
      <c r="N763" s="1" t="b">
        <v>1</v>
      </c>
      <c r="O763" s="1" t="b">
        <v>1</v>
      </c>
      <c r="S763" s="1" t="b">
        <v>1</v>
      </c>
      <c r="V763" s="1">
        <v>0.75</v>
      </c>
      <c r="W763" s="1">
        <v>0.5</v>
      </c>
      <c r="X763" s="1">
        <v>0.5</v>
      </c>
      <c r="Y763" s="1">
        <v>0.5</v>
      </c>
      <c r="Z763" s="1" t="b">
        <f>FALSE</f>
        <v>0</v>
      </c>
      <c r="AA763" s="1" t="str">
        <f t="shared" si="630"/>
        <v/>
      </c>
      <c r="AB763" s="1" t="str">
        <f t="shared" si="631"/>
        <v/>
      </c>
      <c r="AC763" s="1">
        <f t="shared" si="627"/>
        <v>0</v>
      </c>
      <c r="AD763" s="1" t="str">
        <f t="shared" si="632"/>
        <v/>
      </c>
      <c r="AE763" s="1" t="str">
        <f t="shared" si="633"/>
        <v/>
      </c>
      <c r="AF763" s="1">
        <f t="shared" si="628"/>
        <v>0</v>
      </c>
      <c r="AG763" s="1">
        <f t="shared" si="636"/>
        <v>5</v>
      </c>
      <c r="AH763" s="1" t="str">
        <f t="shared" si="635"/>
        <v/>
      </c>
      <c r="AI763" s="1">
        <v>1</v>
      </c>
      <c r="AJ763" s="1">
        <f t="shared" si="655"/>
        <v>0</v>
      </c>
      <c r="AK763" s="1">
        <v>1</v>
      </c>
      <c r="AL763" s="1">
        <v>1</v>
      </c>
      <c r="AM763" s="1">
        <v>1</v>
      </c>
      <c r="AN763" s="1">
        <f t="shared" si="656"/>
        <v>0</v>
      </c>
      <c r="AO763" s="1">
        <v>2</v>
      </c>
      <c r="AP763" s="1">
        <v>2</v>
      </c>
      <c r="AQ763" s="1">
        <v>2</v>
      </c>
      <c r="AR763" s="1">
        <v>2</v>
      </c>
      <c r="AS763" s="1">
        <v>2</v>
      </c>
      <c r="AT763" s="1">
        <v>2</v>
      </c>
      <c r="AU763" s="1">
        <v>2</v>
      </c>
      <c r="AV763" s="1">
        <v>2</v>
      </c>
      <c r="AW763" s="1">
        <v>2</v>
      </c>
      <c r="AX763" s="1">
        <v>1</v>
      </c>
      <c r="AY763" s="1">
        <v>1</v>
      </c>
      <c r="AZ763" s="1">
        <v>1</v>
      </c>
      <c r="BA763" s="1">
        <v>1</v>
      </c>
      <c r="BB763" s="1">
        <v>1</v>
      </c>
      <c r="BC763" s="1">
        <v>2</v>
      </c>
      <c r="BD763" s="1">
        <v>1</v>
      </c>
      <c r="BE763" s="1">
        <v>1</v>
      </c>
      <c r="BF763" s="1">
        <v>2</v>
      </c>
      <c r="BG763" s="1">
        <f t="shared" si="657"/>
        <v>0</v>
      </c>
      <c r="BH763" s="1">
        <f t="shared" si="658"/>
        <v>0</v>
      </c>
      <c r="BI763" s="1">
        <v>2</v>
      </c>
      <c r="BJ763" s="1">
        <v>1</v>
      </c>
      <c r="BK763" s="1">
        <v>2</v>
      </c>
      <c r="BL763" s="1">
        <v>1</v>
      </c>
      <c r="BM763" s="1">
        <v>2</v>
      </c>
      <c r="BN763" s="1">
        <v>1</v>
      </c>
      <c r="BO763" s="1">
        <v>1</v>
      </c>
      <c r="BP763" s="1">
        <v>2</v>
      </c>
      <c r="BQ763" s="1">
        <f t="shared" si="659"/>
        <v>0</v>
      </c>
      <c r="BR763" s="1">
        <v>2</v>
      </c>
      <c r="BS763" s="1">
        <v>1</v>
      </c>
      <c r="BT763" s="1">
        <v>0</v>
      </c>
      <c r="BU763" s="1">
        <f t="shared" si="660"/>
        <v>0</v>
      </c>
      <c r="BV763" s="1">
        <v>2</v>
      </c>
      <c r="BW763" s="1">
        <v>2</v>
      </c>
      <c r="BX763" s="1">
        <v>1</v>
      </c>
      <c r="BY763" s="1">
        <v>1</v>
      </c>
      <c r="BZ763" s="1">
        <v>1</v>
      </c>
      <c r="CA763" s="1">
        <v>1</v>
      </c>
      <c r="CB763" s="1">
        <v>1</v>
      </c>
      <c r="CC763" s="1">
        <v>1</v>
      </c>
      <c r="CD763" s="1">
        <v>1</v>
      </c>
      <c r="CE763" s="1">
        <v>1</v>
      </c>
      <c r="CF763" s="1">
        <v>2</v>
      </c>
      <c r="CG763" s="1">
        <f t="shared" si="661"/>
        <v>0</v>
      </c>
      <c r="CH763" s="1">
        <v>2</v>
      </c>
      <c r="CI763" s="1">
        <v>1</v>
      </c>
      <c r="CJ763" s="1">
        <v>1</v>
      </c>
      <c r="CK763" s="1">
        <v>1</v>
      </c>
      <c r="CL763" s="1">
        <v>1</v>
      </c>
      <c r="CM763" s="1">
        <v>1</v>
      </c>
      <c r="CN763" s="1">
        <v>1</v>
      </c>
      <c r="CO763" s="1">
        <v>1</v>
      </c>
      <c r="CP763" s="1">
        <v>1</v>
      </c>
      <c r="CQ763" s="1">
        <v>1</v>
      </c>
      <c r="CR763" s="1">
        <v>1</v>
      </c>
      <c r="CS763" s="1">
        <v>1</v>
      </c>
      <c r="CT763" s="1">
        <v>1</v>
      </c>
      <c r="CU763" s="1">
        <v>1</v>
      </c>
      <c r="CV763" s="1">
        <v>0</v>
      </c>
      <c r="CW763" s="1">
        <v>1</v>
      </c>
      <c r="CX763" s="1">
        <v>2</v>
      </c>
      <c r="CY763" s="1">
        <v>2</v>
      </c>
      <c r="CZ763" s="1">
        <f t="shared" si="662"/>
        <v>0</v>
      </c>
      <c r="DA763" s="1">
        <v>1</v>
      </c>
      <c r="DB763" s="1">
        <v>1</v>
      </c>
      <c r="DC763" s="1">
        <v>1</v>
      </c>
      <c r="DD763" s="1">
        <v>2</v>
      </c>
      <c r="DE763" s="1">
        <v>2</v>
      </c>
      <c r="DF763" s="1">
        <v>1</v>
      </c>
      <c r="DG763" s="1">
        <v>1</v>
      </c>
      <c r="DH763" s="1">
        <v>1</v>
      </c>
      <c r="DI763" s="1">
        <v>0</v>
      </c>
      <c r="DJ763" s="1">
        <v>1</v>
      </c>
      <c r="DK763" s="1" t="s">
        <v>1726</v>
      </c>
      <c r="DL763" s="1" t="s">
        <v>170</v>
      </c>
      <c r="DQ763" s="1" t="b">
        <f>SkIntimidateRanks&gt;=10</f>
        <v>0</v>
      </c>
      <c r="DR763" s="1" t="b">
        <f t="shared" si="663"/>
        <v>0</v>
      </c>
      <c r="DS763" s="1" t="b">
        <f>IF(NOT(ISNA(MATCH("Ghost",TblKnowledgeSkills,0))),INDEX(TblKnowledgeRanks,MATCH("Ghost",TblKnowledgeSkills,0),1)&gt;=10,FALSE)</f>
        <v>0</v>
      </c>
      <c r="DT763" s="1" t="b">
        <f>SkSenseMotiveRanks&gt;=10</f>
        <v>0</v>
      </c>
      <c r="DU763" s="1" t="b">
        <f>MhrLvl&gt;=3</f>
        <v>0</v>
      </c>
      <c r="DZ763" s="1" t="b">
        <f t="shared" si="644"/>
        <v>1</v>
      </c>
      <c r="EA763" s="1" t="b">
        <f t="shared" si="664"/>
        <v>0</v>
      </c>
      <c r="EB763" s="11" t="s">
        <v>334</v>
      </c>
      <c r="EC763" s="1" t="str">
        <f>IF(DQ763,"","• 10 ranks in Intimidate.
")&amp;IF(DR763,"","• 5 ranks in Knowledge (the planes).
")&amp;IF(DS763,"","• 10 ranks in Knowledge (Ghost).
")&amp;IF(DT763,"","• 10 ranks in Sense Motive.
")&amp;IF(DU763,"","• Must have at least 3 levels of Monster Hunter.")</f>
        <v>• 10 ranks in Intimidate.
• 5 ranks in Knowledge (the planes).
• 10 ranks in Knowledge (Ghost).
• 10 ranks in Sense Motive.
• Must have at least 3 levels of Monster Hunter.</v>
      </c>
      <c r="ED763" s="11" t="s">
        <v>335</v>
      </c>
    </row>
    <row r="764" spans="1:134" ht="11.25" customHeight="1" x14ac:dyDescent="0.2">
      <c r="A764" s="1">
        <f t="shared" si="629"/>
        <v>761</v>
      </c>
      <c r="B764" s="1" t="s">
        <v>1733</v>
      </c>
      <c r="C764" s="1" t="s">
        <v>1734</v>
      </c>
      <c r="D764" s="1" t="s">
        <v>1734</v>
      </c>
      <c r="E764" s="1">
        <f t="shared" si="626"/>
        <v>0</v>
      </c>
      <c r="K764" s="1">
        <v>4</v>
      </c>
      <c r="L764" s="1">
        <v>6</v>
      </c>
      <c r="N764" s="1" t="b">
        <v>1</v>
      </c>
      <c r="O764" s="1" t="b">
        <v>1</v>
      </c>
      <c r="S764" s="1" t="b">
        <v>1</v>
      </c>
      <c r="V764" s="1">
        <v>0.75</v>
      </c>
      <c r="W764" s="1">
        <v>0.5</v>
      </c>
      <c r="X764" s="1">
        <v>0.5</v>
      </c>
      <c r="Y764" s="1">
        <v>0.5</v>
      </c>
      <c r="Z764" s="1" t="b">
        <f>FALSE</f>
        <v>0</v>
      </c>
      <c r="AA764" s="1" t="str">
        <f t="shared" si="630"/>
        <v/>
      </c>
      <c r="AB764" s="1" t="str">
        <f t="shared" si="631"/>
        <v/>
      </c>
      <c r="AC764" s="1">
        <f t="shared" si="627"/>
        <v>0</v>
      </c>
      <c r="AD764" s="1" t="str">
        <f t="shared" si="632"/>
        <v/>
      </c>
      <c r="AE764" s="1" t="str">
        <f t="shared" si="633"/>
        <v/>
      </c>
      <c r="AF764" s="1">
        <f t="shared" si="628"/>
        <v>0</v>
      </c>
      <c r="AG764" s="1">
        <f t="shared" si="636"/>
        <v>5</v>
      </c>
      <c r="AH764" s="1" t="str">
        <f t="shared" si="635"/>
        <v/>
      </c>
      <c r="AI764" s="1">
        <v>1</v>
      </c>
      <c r="AJ764" s="1">
        <f t="shared" si="655"/>
        <v>0</v>
      </c>
      <c r="AK764" s="1">
        <v>1</v>
      </c>
      <c r="AL764" s="1">
        <v>1</v>
      </c>
      <c r="AM764" s="1">
        <v>1</v>
      </c>
      <c r="AN764" s="1">
        <f t="shared" si="656"/>
        <v>0</v>
      </c>
      <c r="AO764" s="1">
        <v>2</v>
      </c>
      <c r="AP764" s="1">
        <v>2</v>
      </c>
      <c r="AQ764" s="1">
        <v>2</v>
      </c>
      <c r="AR764" s="1">
        <v>2</v>
      </c>
      <c r="AS764" s="1">
        <v>2</v>
      </c>
      <c r="AT764" s="1">
        <v>2</v>
      </c>
      <c r="AU764" s="1">
        <v>2</v>
      </c>
      <c r="AV764" s="1">
        <v>2</v>
      </c>
      <c r="AW764" s="1">
        <v>2</v>
      </c>
      <c r="AX764" s="1">
        <v>1</v>
      </c>
      <c r="AY764" s="1">
        <v>1</v>
      </c>
      <c r="AZ764" s="1">
        <v>1</v>
      </c>
      <c r="BA764" s="1">
        <v>1</v>
      </c>
      <c r="BB764" s="1">
        <v>1</v>
      </c>
      <c r="BC764" s="1">
        <v>2</v>
      </c>
      <c r="BD764" s="1">
        <v>1</v>
      </c>
      <c r="BE764" s="1">
        <v>1</v>
      </c>
      <c r="BF764" s="1">
        <v>2</v>
      </c>
      <c r="BG764" s="1">
        <f t="shared" si="657"/>
        <v>0</v>
      </c>
      <c r="BH764" s="1">
        <f t="shared" si="658"/>
        <v>0</v>
      </c>
      <c r="BI764" s="1">
        <v>2</v>
      </c>
      <c r="BJ764" s="1">
        <v>1</v>
      </c>
      <c r="BK764" s="1">
        <v>2</v>
      </c>
      <c r="BL764" s="1">
        <v>1</v>
      </c>
      <c r="BM764" s="1">
        <v>2</v>
      </c>
      <c r="BN764" s="1">
        <v>1</v>
      </c>
      <c r="BO764" s="1">
        <v>1</v>
      </c>
      <c r="BP764" s="1">
        <v>2</v>
      </c>
      <c r="BQ764" s="1">
        <f t="shared" si="659"/>
        <v>0</v>
      </c>
      <c r="BR764" s="1">
        <v>2</v>
      </c>
      <c r="BS764" s="1">
        <v>1</v>
      </c>
      <c r="BT764" s="1">
        <v>0</v>
      </c>
      <c r="BU764" s="1">
        <f t="shared" si="660"/>
        <v>0</v>
      </c>
      <c r="BV764" s="1">
        <v>2</v>
      </c>
      <c r="BW764" s="1">
        <v>2</v>
      </c>
      <c r="BX764" s="1">
        <v>1</v>
      </c>
      <c r="BY764" s="1">
        <v>1</v>
      </c>
      <c r="BZ764" s="1">
        <v>1</v>
      </c>
      <c r="CA764" s="1">
        <v>1</v>
      </c>
      <c r="CB764" s="1">
        <v>1</v>
      </c>
      <c r="CC764" s="1">
        <v>1</v>
      </c>
      <c r="CD764" s="1">
        <v>1</v>
      </c>
      <c r="CE764" s="1">
        <v>1</v>
      </c>
      <c r="CF764" s="1">
        <v>2</v>
      </c>
      <c r="CG764" s="1">
        <f t="shared" si="661"/>
        <v>0</v>
      </c>
      <c r="CH764" s="1">
        <v>2</v>
      </c>
      <c r="CI764" s="1">
        <v>1</v>
      </c>
      <c r="CJ764" s="1">
        <v>1</v>
      </c>
      <c r="CK764" s="1">
        <v>1</v>
      </c>
      <c r="CL764" s="1">
        <v>1</v>
      </c>
      <c r="CM764" s="1">
        <v>1</v>
      </c>
      <c r="CN764" s="1">
        <v>1</v>
      </c>
      <c r="CO764" s="1">
        <v>1</v>
      </c>
      <c r="CP764" s="1">
        <v>1</v>
      </c>
      <c r="CQ764" s="1">
        <v>1</v>
      </c>
      <c r="CR764" s="1">
        <v>1</v>
      </c>
      <c r="CS764" s="1">
        <v>1</v>
      </c>
      <c r="CT764" s="1">
        <v>1</v>
      </c>
      <c r="CU764" s="1">
        <v>1</v>
      </c>
      <c r="CV764" s="1">
        <v>0</v>
      </c>
      <c r="CW764" s="1">
        <v>1</v>
      </c>
      <c r="CX764" s="1">
        <v>2</v>
      </c>
      <c r="CY764" s="1">
        <v>2</v>
      </c>
      <c r="CZ764" s="1">
        <f t="shared" si="662"/>
        <v>0</v>
      </c>
      <c r="DA764" s="1">
        <v>1</v>
      </c>
      <c r="DB764" s="1">
        <v>1</v>
      </c>
      <c r="DC764" s="1">
        <v>1</v>
      </c>
      <c r="DD764" s="1">
        <v>2</v>
      </c>
      <c r="DE764" s="1">
        <v>2</v>
      </c>
      <c r="DF764" s="1">
        <v>1</v>
      </c>
      <c r="DG764" s="1">
        <v>1</v>
      </c>
      <c r="DH764" s="1">
        <v>1</v>
      </c>
      <c r="DI764" s="1">
        <v>0</v>
      </c>
      <c r="DJ764" s="1">
        <v>1</v>
      </c>
      <c r="DK764" s="1" t="s">
        <v>1726</v>
      </c>
      <c r="DL764" s="1" t="s">
        <v>170</v>
      </c>
      <c r="DQ764" s="1" t="b">
        <f>SkIntimidateRanks&gt;=10</f>
        <v>0</v>
      </c>
      <c r="DR764" s="1" t="b">
        <f t="shared" si="663"/>
        <v>0</v>
      </c>
      <c r="DS764" s="1" t="b">
        <f>IF(NOT(ISNA(MATCH("Vampire",TblKnowledgeSkills,0))),INDEX(TblKnowledgeRanks,MATCH("Vampire",TblKnowledgeSkills,0),1)&gt;=10,FALSE)</f>
        <v>0</v>
      </c>
      <c r="DT764" s="1" t="b">
        <f>SkSenseMotiveRanks&gt;=10</f>
        <v>0</v>
      </c>
      <c r="DU764" s="1" t="b">
        <f>MhrLvl&gt;=3</f>
        <v>0</v>
      </c>
      <c r="DZ764" s="1" t="b">
        <f t="shared" si="644"/>
        <v>1</v>
      </c>
      <c r="EA764" s="1" t="b">
        <f t="shared" si="664"/>
        <v>0</v>
      </c>
      <c r="EB764" s="11" t="s">
        <v>334</v>
      </c>
      <c r="EC764" s="1" t="str">
        <f>IF(DQ764,"","• 10 ranks in Intimidate.
")&amp;IF(DR764,"","• 5 ranks in Knowledge (the planes).
")&amp;IF(DS764,"","• 10 ranks in Knowledge (Vampire).
")&amp;IF(DT764,"","• 10 ranks in Sense Motive.
")&amp;IF(DU764,"","• Must have at least 3 levels of Monster Hunter.")</f>
        <v>• 10 ranks in Intimidate.
• 5 ranks in Knowledge (the planes).
• 10 ranks in Knowledge (Vampire).
• 10 ranks in Sense Motive.
• Must have at least 3 levels of Monster Hunter.</v>
      </c>
      <c r="ED764" s="11" t="s">
        <v>335</v>
      </c>
    </row>
    <row r="765" spans="1:134" ht="11.25" customHeight="1" x14ac:dyDescent="0.2">
      <c r="A765" s="1">
        <f t="shared" si="629"/>
        <v>762</v>
      </c>
      <c r="B765" s="1" t="s">
        <v>1735</v>
      </c>
      <c r="C765" s="1" t="s">
        <v>1736</v>
      </c>
      <c r="D765" s="1" t="s">
        <v>1736</v>
      </c>
      <c r="E765" s="1">
        <f t="shared" si="626"/>
        <v>0</v>
      </c>
      <c r="K765" s="1">
        <v>4</v>
      </c>
      <c r="L765" s="1">
        <v>6</v>
      </c>
      <c r="N765" s="1" t="b">
        <v>1</v>
      </c>
      <c r="O765" s="1" t="b">
        <v>1</v>
      </c>
      <c r="S765" s="1" t="b">
        <v>1</v>
      </c>
      <c r="V765" s="1">
        <v>0.75</v>
      </c>
      <c r="W765" s="1">
        <v>0.5</v>
      </c>
      <c r="X765" s="1">
        <v>0.5</v>
      </c>
      <c r="Y765" s="1">
        <v>0.5</v>
      </c>
      <c r="Z765" s="1" t="b">
        <f>FALSE</f>
        <v>0</v>
      </c>
      <c r="AA765" s="1" t="str">
        <f t="shared" si="630"/>
        <v/>
      </c>
      <c r="AB765" s="1" t="str">
        <f t="shared" si="631"/>
        <v/>
      </c>
      <c r="AC765" s="1">
        <f t="shared" si="627"/>
        <v>0</v>
      </c>
      <c r="AD765" s="1" t="str">
        <f t="shared" si="632"/>
        <v/>
      </c>
      <c r="AE765" s="1" t="str">
        <f t="shared" si="633"/>
        <v/>
      </c>
      <c r="AF765" s="1">
        <f t="shared" si="628"/>
        <v>0</v>
      </c>
      <c r="AG765" s="1">
        <f t="shared" si="636"/>
        <v>5</v>
      </c>
      <c r="AH765" s="1" t="str">
        <f t="shared" si="635"/>
        <v/>
      </c>
      <c r="AI765" s="1">
        <v>1</v>
      </c>
      <c r="AJ765" s="1">
        <f t="shared" si="655"/>
        <v>0</v>
      </c>
      <c r="AK765" s="1">
        <v>1</v>
      </c>
      <c r="AL765" s="1">
        <v>1</v>
      </c>
      <c r="AM765" s="1">
        <v>1</v>
      </c>
      <c r="AN765" s="1">
        <f t="shared" si="656"/>
        <v>0</v>
      </c>
      <c r="AO765" s="1">
        <v>2</v>
      </c>
      <c r="AP765" s="1">
        <v>2</v>
      </c>
      <c r="AQ765" s="1">
        <v>2</v>
      </c>
      <c r="AR765" s="1">
        <v>2</v>
      </c>
      <c r="AS765" s="1">
        <v>2</v>
      </c>
      <c r="AT765" s="1">
        <v>2</v>
      </c>
      <c r="AU765" s="1">
        <v>2</v>
      </c>
      <c r="AV765" s="1">
        <v>2</v>
      </c>
      <c r="AW765" s="1">
        <v>2</v>
      </c>
      <c r="AX765" s="1">
        <v>1</v>
      </c>
      <c r="AY765" s="1">
        <v>1</v>
      </c>
      <c r="AZ765" s="1">
        <v>1</v>
      </c>
      <c r="BA765" s="1">
        <v>1</v>
      </c>
      <c r="BB765" s="1">
        <v>1</v>
      </c>
      <c r="BC765" s="1">
        <v>2</v>
      </c>
      <c r="BD765" s="1">
        <v>1</v>
      </c>
      <c r="BE765" s="1">
        <v>1</v>
      </c>
      <c r="BF765" s="1">
        <v>2</v>
      </c>
      <c r="BG765" s="1">
        <f t="shared" si="657"/>
        <v>0</v>
      </c>
      <c r="BH765" s="1">
        <f t="shared" si="658"/>
        <v>0</v>
      </c>
      <c r="BI765" s="1">
        <v>2</v>
      </c>
      <c r="BJ765" s="1">
        <v>1</v>
      </c>
      <c r="BK765" s="1">
        <v>2</v>
      </c>
      <c r="BL765" s="1">
        <v>1</v>
      </c>
      <c r="BM765" s="1">
        <v>2</v>
      </c>
      <c r="BN765" s="1">
        <v>1</v>
      </c>
      <c r="BO765" s="1">
        <v>1</v>
      </c>
      <c r="BP765" s="1">
        <v>2</v>
      </c>
      <c r="BQ765" s="1">
        <f t="shared" si="659"/>
        <v>0</v>
      </c>
      <c r="BR765" s="1">
        <v>2</v>
      </c>
      <c r="BS765" s="1">
        <v>1</v>
      </c>
      <c r="BT765" s="1">
        <v>0</v>
      </c>
      <c r="BU765" s="1">
        <f t="shared" si="660"/>
        <v>0</v>
      </c>
      <c r="BV765" s="1">
        <v>2</v>
      </c>
      <c r="BW765" s="1">
        <v>2</v>
      </c>
      <c r="BX765" s="1">
        <v>1</v>
      </c>
      <c r="BY765" s="1">
        <v>1</v>
      </c>
      <c r="BZ765" s="1">
        <v>1</v>
      </c>
      <c r="CA765" s="1">
        <v>1</v>
      </c>
      <c r="CB765" s="1">
        <v>1</v>
      </c>
      <c r="CC765" s="1">
        <v>1</v>
      </c>
      <c r="CD765" s="1">
        <v>1</v>
      </c>
      <c r="CE765" s="1">
        <v>1</v>
      </c>
      <c r="CF765" s="1">
        <v>2</v>
      </c>
      <c r="CG765" s="1">
        <f t="shared" si="661"/>
        <v>0</v>
      </c>
      <c r="CH765" s="1">
        <v>2</v>
      </c>
      <c r="CI765" s="1">
        <v>1</v>
      </c>
      <c r="CJ765" s="1">
        <v>1</v>
      </c>
      <c r="CK765" s="1">
        <v>1</v>
      </c>
      <c r="CL765" s="1">
        <v>1</v>
      </c>
      <c r="CM765" s="1">
        <v>1</v>
      </c>
      <c r="CN765" s="1">
        <v>1</v>
      </c>
      <c r="CO765" s="1">
        <v>1</v>
      </c>
      <c r="CP765" s="1">
        <v>1</v>
      </c>
      <c r="CQ765" s="1">
        <v>1</v>
      </c>
      <c r="CR765" s="1">
        <v>1</v>
      </c>
      <c r="CS765" s="1">
        <v>1</v>
      </c>
      <c r="CT765" s="1">
        <v>1</v>
      </c>
      <c r="CU765" s="1">
        <v>1</v>
      </c>
      <c r="CV765" s="1">
        <v>0</v>
      </c>
      <c r="CW765" s="1">
        <v>1</v>
      </c>
      <c r="CX765" s="1">
        <v>2</v>
      </c>
      <c r="CY765" s="1">
        <v>2</v>
      </c>
      <c r="CZ765" s="1">
        <f t="shared" si="662"/>
        <v>0</v>
      </c>
      <c r="DA765" s="1">
        <v>1</v>
      </c>
      <c r="DB765" s="1">
        <v>1</v>
      </c>
      <c r="DC765" s="1">
        <v>1</v>
      </c>
      <c r="DD765" s="1">
        <v>2</v>
      </c>
      <c r="DE765" s="1">
        <v>2</v>
      </c>
      <c r="DF765" s="1">
        <v>1</v>
      </c>
      <c r="DG765" s="1">
        <v>1</v>
      </c>
      <c r="DH765" s="1">
        <v>1</v>
      </c>
      <c r="DI765" s="1">
        <v>0</v>
      </c>
      <c r="DJ765" s="1">
        <v>1</v>
      </c>
      <c r="DK765" s="1" t="s">
        <v>1726</v>
      </c>
      <c r="DL765" s="1" t="s">
        <v>170</v>
      </c>
      <c r="DQ765" s="1" t="b">
        <f>SkIntimidateRanks&gt;=10</f>
        <v>0</v>
      </c>
      <c r="DR765" s="1" t="b">
        <f t="shared" si="663"/>
        <v>0</v>
      </c>
      <c r="DS765" s="1" t="b">
        <f>IF(NOT(ISNA(MATCH("Witch",TblKnowledgeSkills,0))),INDEX(TblKnowledgeRanks,MATCH("Witch",TblKnowledgeSkills,0),1)&gt;=10,FALSE)</f>
        <v>0</v>
      </c>
      <c r="DT765" s="1" t="b">
        <f>SkSenseMotiveRanks&gt;=10</f>
        <v>0</v>
      </c>
      <c r="DU765" s="1" t="b">
        <f>MhrLvl&gt;=3</f>
        <v>0</v>
      </c>
      <c r="DZ765" s="1" t="b">
        <f t="shared" si="644"/>
        <v>1</v>
      </c>
      <c r="EA765" s="1" t="b">
        <f t="shared" si="664"/>
        <v>0</v>
      </c>
      <c r="EB765" s="11" t="s">
        <v>334</v>
      </c>
      <c r="EC765" s="1" t="str">
        <f>IF(DQ765,"","• 10 ranks in Intimidate.
")&amp;IF(DR765,"","• 5 ranks in Knowledge (the planes).
")&amp;IF(DS765,"","• 10 ranks in Knowledge (Witch).
")&amp;IF(DT765,"","• 10 ranks in Sense Motive.
")&amp;IF(DU765,"","• Must have at least 3 levels of Monster Hunter.")</f>
        <v>• 10 ranks in Intimidate.
• 5 ranks in Knowledge (the planes).
• 10 ranks in Knowledge (Witch).
• 10 ranks in Sense Motive.
• Must have at least 3 levels of Monster Hunter.</v>
      </c>
      <c r="ED765" s="11" t="s">
        <v>335</v>
      </c>
    </row>
    <row r="766" spans="1:134" ht="11.25" customHeight="1" x14ac:dyDescent="0.2">
      <c r="A766" s="1">
        <f t="shared" si="629"/>
        <v>763</v>
      </c>
      <c r="B766" s="1" t="s">
        <v>1737</v>
      </c>
      <c r="E766" s="1">
        <f t="shared" si="626"/>
        <v>0</v>
      </c>
      <c r="F766" s="1">
        <v>1</v>
      </c>
      <c r="Z766" s="1" t="b">
        <f>FALSE</f>
        <v>0</v>
      </c>
      <c r="AA766" s="1" t="str">
        <f t="shared" si="630"/>
        <v/>
      </c>
      <c r="AB766" s="1" t="str">
        <f t="shared" si="631"/>
        <v/>
      </c>
      <c r="AC766" s="1">
        <f t="shared" si="627"/>
        <v>0</v>
      </c>
      <c r="AD766" s="1" t="str">
        <f t="shared" si="632"/>
        <v/>
      </c>
      <c r="AE766" s="1" t="str">
        <f t="shared" si="633"/>
        <v/>
      </c>
      <c r="AF766" s="1">
        <f t="shared" si="628"/>
        <v>0</v>
      </c>
      <c r="AG766" s="1">
        <f t="shared" si="636"/>
        <v>5</v>
      </c>
      <c r="AH766" s="1" t="str">
        <f t="shared" si="635"/>
        <v/>
      </c>
      <c r="EB766" s="11"/>
      <c r="ED766" s="11" t="s">
        <v>335</v>
      </c>
    </row>
    <row r="767" spans="1:134" ht="11.25" customHeight="1" x14ac:dyDescent="0.2">
      <c r="A767" s="1">
        <f t="shared" si="629"/>
        <v>764</v>
      </c>
      <c r="B767" s="1" t="s">
        <v>1738</v>
      </c>
      <c r="C767" s="1" t="s">
        <v>1739</v>
      </c>
      <c r="D767" s="1" t="s">
        <v>1739</v>
      </c>
      <c r="E767" s="1">
        <f t="shared" si="626"/>
        <v>0</v>
      </c>
      <c r="K767" s="1">
        <v>4</v>
      </c>
      <c r="L767" s="1">
        <v>4</v>
      </c>
      <c r="V767" s="1">
        <v>0.5</v>
      </c>
      <c r="W767" s="1">
        <v>0.34</v>
      </c>
      <c r="X767" s="1">
        <v>0.34</v>
      </c>
      <c r="Y767" s="1">
        <v>0.5</v>
      </c>
      <c r="Z767" s="1" t="b">
        <f>FALSE</f>
        <v>0</v>
      </c>
      <c r="AA767" s="1" t="str">
        <f t="shared" si="630"/>
        <v/>
      </c>
      <c r="AB767" s="1" t="str">
        <f t="shared" si="631"/>
        <v/>
      </c>
      <c r="AC767" s="1">
        <f t="shared" si="627"/>
        <v>0</v>
      </c>
      <c r="AD767" s="1" t="str">
        <f t="shared" si="632"/>
        <v/>
      </c>
      <c r="AE767" s="1" t="str">
        <f t="shared" si="633"/>
        <v/>
      </c>
      <c r="AF767" s="1">
        <f t="shared" si="628"/>
        <v>0</v>
      </c>
      <c r="AG767" s="1">
        <f t="shared" si="636"/>
        <v>5</v>
      </c>
      <c r="AH767" s="1" t="str">
        <f t="shared" si="635"/>
        <v/>
      </c>
      <c r="AI767" s="1">
        <v>1</v>
      </c>
      <c r="AJ767" s="1">
        <f t="shared" ref="AJ767:AJ776" si="665">IF(HRXPH,1,0)</f>
        <v>0</v>
      </c>
      <c r="AK767" s="1">
        <v>1</v>
      </c>
      <c r="AL767" s="1">
        <v>2</v>
      </c>
      <c r="AM767" s="1">
        <v>1</v>
      </c>
      <c r="AN767" s="1">
        <f t="shared" ref="AN767:AN776" si="666">IF(IsLycanthrope,2,0)</f>
        <v>0</v>
      </c>
      <c r="AO767" s="1">
        <v>2</v>
      </c>
      <c r="AP767" s="1">
        <v>2</v>
      </c>
      <c r="AQ767" s="1">
        <v>2</v>
      </c>
      <c r="AR767" s="1">
        <v>2</v>
      </c>
      <c r="AS767" s="1">
        <v>2</v>
      </c>
      <c r="AT767" s="1">
        <v>2</v>
      </c>
      <c r="AU767" s="1">
        <v>2</v>
      </c>
      <c r="AV767" s="1">
        <v>2</v>
      </c>
      <c r="AW767" s="1">
        <v>2</v>
      </c>
      <c r="AX767" s="1">
        <v>1</v>
      </c>
      <c r="AY767" s="1">
        <v>1</v>
      </c>
      <c r="AZ767" s="1">
        <v>1</v>
      </c>
      <c r="BA767" s="1">
        <v>1</v>
      </c>
      <c r="BB767" s="1">
        <v>1</v>
      </c>
      <c r="BC767" s="1">
        <v>1</v>
      </c>
      <c r="BD767" s="1">
        <v>1</v>
      </c>
      <c r="BE767" s="1">
        <v>2</v>
      </c>
      <c r="BF767" s="1">
        <v>1</v>
      </c>
      <c r="BG767" s="1">
        <f t="shared" ref="BG767:BG783" si="667">IF(HRRVL,1,0)</f>
        <v>0</v>
      </c>
      <c r="BH767" s="1">
        <f t="shared" ref="BH767:BH776" si="668">IF(HROA,1,0)</f>
        <v>0</v>
      </c>
      <c r="BI767" s="1">
        <v>1</v>
      </c>
      <c r="BJ767" s="1">
        <v>1</v>
      </c>
      <c r="BK767" s="1">
        <v>2</v>
      </c>
      <c r="BL767" s="1">
        <v>2</v>
      </c>
      <c r="BM767" s="1">
        <v>2</v>
      </c>
      <c r="BN767" s="1">
        <v>2</v>
      </c>
      <c r="BO767" s="1">
        <v>2</v>
      </c>
      <c r="BP767" s="1">
        <v>2</v>
      </c>
      <c r="BQ767" s="1">
        <f>IF(HRRVL,2,0)</f>
        <v>0</v>
      </c>
      <c r="BR767" s="1">
        <v>2</v>
      </c>
      <c r="BS767" s="1">
        <v>2</v>
      </c>
      <c r="BT767" s="1">
        <v>0</v>
      </c>
      <c r="BU767" s="1">
        <f>IF(HRRVL,2,0)</f>
        <v>0</v>
      </c>
      <c r="BV767" s="1">
        <v>2</v>
      </c>
      <c r="BW767" s="1">
        <v>2</v>
      </c>
      <c r="BX767" s="1">
        <v>2</v>
      </c>
      <c r="BY767" s="1">
        <v>2</v>
      </c>
      <c r="BZ767" s="1">
        <v>2</v>
      </c>
      <c r="CA767" s="1">
        <v>2</v>
      </c>
      <c r="CB767" s="1">
        <v>2</v>
      </c>
      <c r="CC767" s="1">
        <v>2</v>
      </c>
      <c r="CD767" s="1">
        <v>2</v>
      </c>
      <c r="CE767" s="1">
        <v>2</v>
      </c>
      <c r="CF767" s="1">
        <v>1</v>
      </c>
      <c r="CG767" s="1">
        <f t="shared" ref="CG767:CG776" si="669">IF(HRToB,1,0)</f>
        <v>0</v>
      </c>
      <c r="CH767" s="1">
        <v>1</v>
      </c>
      <c r="CI767" s="1">
        <v>1</v>
      </c>
      <c r="CJ767" s="1">
        <v>1</v>
      </c>
      <c r="CK767" s="1">
        <v>1</v>
      </c>
      <c r="CL767" s="1">
        <v>1</v>
      </c>
      <c r="CM767" s="1">
        <v>1</v>
      </c>
      <c r="CN767" s="1">
        <v>1</v>
      </c>
      <c r="CO767" s="1">
        <v>1</v>
      </c>
      <c r="CP767" s="1">
        <v>1</v>
      </c>
      <c r="CQ767" s="1">
        <v>1</v>
      </c>
      <c r="CR767" s="1">
        <v>1</v>
      </c>
      <c r="CS767" s="1">
        <v>1</v>
      </c>
      <c r="CT767" s="1">
        <v>1</v>
      </c>
      <c r="CU767" s="1">
        <v>1</v>
      </c>
      <c r="CV767" s="1">
        <v>0</v>
      </c>
      <c r="CW767" s="1">
        <v>1</v>
      </c>
      <c r="CX767" s="1">
        <v>1</v>
      </c>
      <c r="CY767" s="1">
        <v>1</v>
      </c>
      <c r="CZ767" s="1">
        <f t="shared" ref="CZ767:CZ776" si="670">IF(HRCS,1,0)</f>
        <v>0</v>
      </c>
      <c r="DA767" s="1">
        <v>1</v>
      </c>
      <c r="DB767" s="1">
        <v>1</v>
      </c>
      <c r="DC767" s="1">
        <v>1</v>
      </c>
      <c r="DD767" s="1">
        <v>1</v>
      </c>
      <c r="DE767" s="1">
        <v>1</v>
      </c>
      <c r="DF767" s="1">
        <v>1</v>
      </c>
      <c r="DG767" s="1">
        <v>1</v>
      </c>
      <c r="DH767" s="1">
        <v>2</v>
      </c>
      <c r="DI767" s="1">
        <v>0</v>
      </c>
      <c r="DJ767" s="1">
        <v>1</v>
      </c>
      <c r="DK767" s="1" t="s">
        <v>1740</v>
      </c>
      <c r="DL767" s="1" t="s">
        <v>170</v>
      </c>
      <c r="DQ767" s="1" t="b">
        <f>FtBrewPotion</f>
        <v>0</v>
      </c>
      <c r="DR767" s="1" t="b">
        <f>NOT(ISNA(MATCH("Transmutation",TblSpellFocus,0)))</f>
        <v>0</v>
      </c>
      <c r="DS767" s="1" t="b">
        <f>IF(NOT(ISNA(MATCH("Alchemy",TblCraftSkills,0))),INDEX(TblCraftRanks,MATCH("Alchemy",TblCraftSkills,0),1)&gt;=8,FALSE)</f>
        <v>0</v>
      </c>
      <c r="DT767" s="1" t="b">
        <f>SkKnowledgeArcanaRanks&gt;=6</f>
        <v>0</v>
      </c>
      <c r="DZ767" s="1" t="b">
        <f t="shared" si="644"/>
        <v>1</v>
      </c>
      <c r="EA767" s="1" t="b">
        <f t="shared" ref="EA767:EA776" si="671">AND(DM767:DZ767)</f>
        <v>0</v>
      </c>
      <c r="EB767" s="11" t="s">
        <v>334</v>
      </c>
      <c r="EC767" s="1" t="str">
        <f>IF(DQ767,"","• Brew Potion feat.
")&amp;IF(DR767,"","• Spell Focus (Transmutation).
")&amp;IF(DS767,"","• 8 ranks in Craft (Alchemy).
")&amp;IF(DT767,"","• 6 ranks in Knowledge (arcana).")</f>
        <v>• Brew Potion feat.
• Spell Focus (Transmutation).
• 8 ranks in Craft (Alchemy).
• 6 ranks in Knowledge (arcana).</v>
      </c>
      <c r="ED767" s="11" t="s">
        <v>335</v>
      </c>
    </row>
    <row r="768" spans="1:134" ht="11.25" customHeight="1" x14ac:dyDescent="0.2">
      <c r="A768" s="1">
        <f t="shared" si="629"/>
        <v>765</v>
      </c>
      <c r="B768" s="1" t="s">
        <v>1741</v>
      </c>
      <c r="C768" s="1" t="s">
        <v>1742</v>
      </c>
      <c r="D768" s="1" t="s">
        <v>1742</v>
      </c>
      <c r="E768" s="1">
        <f t="shared" si="626"/>
        <v>0</v>
      </c>
      <c r="K768" s="1">
        <v>2</v>
      </c>
      <c r="L768" s="1">
        <v>8</v>
      </c>
      <c r="V768" s="1">
        <v>0.5</v>
      </c>
      <c r="W768" s="1">
        <v>0.34</v>
      </c>
      <c r="X768" s="1">
        <v>0.34</v>
      </c>
      <c r="Y768" s="1">
        <v>0.5</v>
      </c>
      <c r="Z768" s="1" t="b">
        <f>FALSE</f>
        <v>0</v>
      </c>
      <c r="AA768" s="1" t="str">
        <f t="shared" si="630"/>
        <v/>
      </c>
      <c r="AB768" s="1" t="str">
        <f t="shared" si="631"/>
        <v/>
      </c>
      <c r="AC768" s="1">
        <f t="shared" si="627"/>
        <v>0</v>
      </c>
      <c r="AD768" s="1" t="str">
        <f t="shared" si="632"/>
        <v/>
      </c>
      <c r="AE768" s="1" t="str">
        <f t="shared" si="633"/>
        <v/>
      </c>
      <c r="AF768" s="1">
        <f t="shared" si="628"/>
        <v>0</v>
      </c>
      <c r="AG768" s="1">
        <f t="shared" si="636"/>
        <v>5</v>
      </c>
      <c r="AH768" s="1" t="str">
        <f t="shared" si="635"/>
        <v/>
      </c>
      <c r="AI768" s="1">
        <v>1</v>
      </c>
      <c r="AJ768" s="1">
        <f t="shared" si="665"/>
        <v>0</v>
      </c>
      <c r="AK768" s="1">
        <v>1</v>
      </c>
      <c r="AL768" s="1">
        <v>1</v>
      </c>
      <c r="AM768" s="1">
        <v>1</v>
      </c>
      <c r="AN768" s="1">
        <f t="shared" si="666"/>
        <v>0</v>
      </c>
      <c r="AO768" s="1">
        <v>2</v>
      </c>
      <c r="AP768" s="1">
        <v>2</v>
      </c>
      <c r="AQ768" s="1">
        <v>2</v>
      </c>
      <c r="AR768" s="1">
        <v>2</v>
      </c>
      <c r="AS768" s="1">
        <v>2</v>
      </c>
      <c r="AT768" s="1">
        <v>2</v>
      </c>
      <c r="AU768" s="1">
        <v>2</v>
      </c>
      <c r="AV768" s="1">
        <v>2</v>
      </c>
      <c r="AW768" s="1">
        <v>2</v>
      </c>
      <c r="AX768" s="1">
        <v>2</v>
      </c>
      <c r="AY768" s="1">
        <v>1</v>
      </c>
      <c r="AZ768" s="1">
        <v>1</v>
      </c>
      <c r="BA768" s="1">
        <v>1</v>
      </c>
      <c r="BB768" s="1">
        <v>1</v>
      </c>
      <c r="BC768" s="1">
        <v>1</v>
      </c>
      <c r="BD768" s="1">
        <v>1</v>
      </c>
      <c r="BE768" s="1">
        <v>2</v>
      </c>
      <c r="BF768" s="1">
        <v>1</v>
      </c>
      <c r="BG768" s="1">
        <f t="shared" si="667"/>
        <v>0</v>
      </c>
      <c r="BH768" s="1">
        <f t="shared" si="668"/>
        <v>0</v>
      </c>
      <c r="BI768" s="1">
        <v>1</v>
      </c>
      <c r="BJ768" s="1">
        <v>1</v>
      </c>
      <c r="BK768" s="1">
        <v>2</v>
      </c>
      <c r="BL768" s="1">
        <v>1</v>
      </c>
      <c r="BM768" s="1">
        <v>1</v>
      </c>
      <c r="BN768" s="1">
        <v>1</v>
      </c>
      <c r="BO768" s="1">
        <v>1</v>
      </c>
      <c r="BP768" s="1">
        <v>1</v>
      </c>
      <c r="BQ768" s="1">
        <f>IF(HRRVL,1,0)</f>
        <v>0</v>
      </c>
      <c r="BR768" s="1">
        <v>1</v>
      </c>
      <c r="BS768" s="1">
        <v>1</v>
      </c>
      <c r="BT768" s="1">
        <v>0</v>
      </c>
      <c r="BU768" s="1">
        <f>IF(HRRVL,2,0)</f>
        <v>0</v>
      </c>
      <c r="BV768" s="1">
        <v>2</v>
      </c>
      <c r="BW768" s="1">
        <v>2</v>
      </c>
      <c r="BX768" s="1">
        <v>2</v>
      </c>
      <c r="BY768" s="1">
        <v>2</v>
      </c>
      <c r="BZ768" s="1">
        <v>1</v>
      </c>
      <c r="CA768" s="1">
        <v>1</v>
      </c>
      <c r="CB768" s="1">
        <v>1</v>
      </c>
      <c r="CC768" s="1">
        <v>1</v>
      </c>
      <c r="CD768" s="1">
        <v>1</v>
      </c>
      <c r="CE768" s="1">
        <v>1</v>
      </c>
      <c r="CF768" s="1">
        <v>1</v>
      </c>
      <c r="CG768" s="1">
        <f t="shared" si="669"/>
        <v>0</v>
      </c>
      <c r="CH768" s="1">
        <v>1</v>
      </c>
      <c r="CI768" s="1">
        <v>1</v>
      </c>
      <c r="CJ768" s="1">
        <v>1</v>
      </c>
      <c r="CK768" s="1">
        <v>1</v>
      </c>
      <c r="CL768" s="1">
        <v>1</v>
      </c>
      <c r="CM768" s="1">
        <v>1</v>
      </c>
      <c r="CN768" s="1">
        <v>1</v>
      </c>
      <c r="CO768" s="1">
        <v>1</v>
      </c>
      <c r="CP768" s="1">
        <v>2</v>
      </c>
      <c r="CQ768" s="1">
        <v>2</v>
      </c>
      <c r="CR768" s="1">
        <v>2</v>
      </c>
      <c r="CS768" s="1">
        <v>2</v>
      </c>
      <c r="CT768" s="1">
        <v>2</v>
      </c>
      <c r="CU768" s="1">
        <v>2</v>
      </c>
      <c r="CV768" s="1">
        <v>0</v>
      </c>
      <c r="CW768" s="1">
        <v>1</v>
      </c>
      <c r="CX768" s="1">
        <v>1</v>
      </c>
      <c r="CY768" s="1">
        <v>2</v>
      </c>
      <c r="CZ768" s="1">
        <f t="shared" si="670"/>
        <v>0</v>
      </c>
      <c r="DA768" s="1">
        <v>1</v>
      </c>
      <c r="DB768" s="1">
        <v>1</v>
      </c>
      <c r="DC768" s="1">
        <v>2</v>
      </c>
      <c r="DD768" s="1">
        <v>1</v>
      </c>
      <c r="DE768" s="1">
        <v>1</v>
      </c>
      <c r="DF768" s="1">
        <v>1</v>
      </c>
      <c r="DG768" s="1">
        <v>1</v>
      </c>
      <c r="DH768" s="1">
        <v>1</v>
      </c>
      <c r="DI768" s="1">
        <v>0</v>
      </c>
      <c r="DJ768" s="1">
        <v>1</v>
      </c>
      <c r="DK768" s="1" t="s">
        <v>1740</v>
      </c>
      <c r="DL768" s="1" t="s">
        <v>170</v>
      </c>
      <c r="DP768" s="1" t="b">
        <f>NOT(ISNA(MATCH("Mists",Domains,0)))</f>
        <v>0</v>
      </c>
      <c r="DQ768" s="1" t="b">
        <f>OR(AlignmentLawful,(AlignmentTrueNeutral))</f>
        <v>1</v>
      </c>
      <c r="DR768" s="1" t="b">
        <f>Deity="Ezra"</f>
        <v>0</v>
      </c>
      <c r="DS768" s="1" t="b">
        <f>FtIronWill</f>
        <v>0</v>
      </c>
      <c r="DT768" s="1" t="b">
        <f>NOT(ISNA(MATCH("Concentration",TblSkillFocus,0)))</f>
        <v>0</v>
      </c>
      <c r="DU768" s="1" t="b">
        <f>SkDiplomacyRanks&gt;=4</f>
        <v>0</v>
      </c>
      <c r="DV768" s="1" t="b">
        <f>SkKnowledgeArcanaRanks&gt;=8</f>
        <v>0</v>
      </c>
      <c r="DW768" s="1" t="b">
        <f>SkKnowledgePlanesRanks&gt;=2</f>
        <v>0</v>
      </c>
      <c r="DX768" s="1" t="b">
        <f>SkKnowledgeReligionRanks&gt;=6</f>
        <v>0</v>
      </c>
      <c r="DY768" s="1" t="b">
        <f ca="1">MaxDivineSpellLevel&gt;=3</f>
        <v>0</v>
      </c>
      <c r="DZ768" s="1" t="b">
        <f t="shared" si="644"/>
        <v>1</v>
      </c>
      <c r="EA768" s="1" t="b">
        <f ca="1">AND(DM768:DZ768)</f>
        <v>0</v>
      </c>
      <c r="EB768" s="11" t="s">
        <v>338</v>
      </c>
      <c r="EC768" s="1" t="str">
        <f ca="1">IF(DQ768,"","• Alignment: Lawful Good, Lawful Neutral, Neutral, or Lawful Evil.
")&amp;IF(DR768,"","• Deity: Ezra.
")&amp;IF(DS768,"","• Iron Will feat.
")&amp;IF(DT768,"","• Skill Focus (Concentration).
")&amp;IF(DU768,"","• 4 ranks in Diplomacy.
")&amp;IF(DV768,"","• 8 ranks in Knowledge (arcana).
")&amp;IF(DW768,"","• 2 ranks in Knowledge (planes).
")&amp;IF(DX768,"","• 6 ranks in Knowledge (religion).
")&amp;IF(DY768,"","• Able to cast divine spells of third level or higher.
")&amp;IF(DP768,"","• Must have selected the Mists domain as one of your cleric domains")</f>
        <v>• Deity: Ezra.
• Iron Will feat.
• Skill Focus (Concentration).
• 4 ranks in Diplomacy.
• 8 ranks in Knowledge (arcana).
• 2 ranks in Knowledge (planes).
• 6 ranks in Knowledge (religion).
• Able to cast divine spells of third level or higher.
• Must have selected the Mists domain as one of your cleric domains</v>
      </c>
      <c r="ED768" s="11" t="s">
        <v>335</v>
      </c>
    </row>
    <row r="769" spans="1:134" ht="11.25" customHeight="1" x14ac:dyDescent="0.2">
      <c r="A769" s="1">
        <f t="shared" si="629"/>
        <v>766</v>
      </c>
      <c r="B769" s="1" t="s">
        <v>1743</v>
      </c>
      <c r="C769" s="1" t="s">
        <v>1744</v>
      </c>
      <c r="D769" s="1" t="s">
        <v>1744</v>
      </c>
      <c r="E769" s="1">
        <f t="shared" si="626"/>
        <v>0</v>
      </c>
      <c r="K769" s="1">
        <v>2</v>
      </c>
      <c r="L769" s="1">
        <v>10</v>
      </c>
      <c r="N769" s="1" t="b">
        <v>1</v>
      </c>
      <c r="O769" s="1" t="b">
        <v>1</v>
      </c>
      <c r="P769" s="1" t="b">
        <v>1</v>
      </c>
      <c r="Q769" s="1" t="b">
        <v>1</v>
      </c>
      <c r="S769" s="1" t="b">
        <v>1</v>
      </c>
      <c r="T769" s="1" t="b">
        <v>1</v>
      </c>
      <c r="V769" s="1">
        <v>1</v>
      </c>
      <c r="W769" s="1">
        <v>0.5</v>
      </c>
      <c r="X769" s="1">
        <v>0.34</v>
      </c>
      <c r="Y769" s="1">
        <v>0.5</v>
      </c>
      <c r="Z769" s="1" t="b">
        <f>FALSE</f>
        <v>0</v>
      </c>
      <c r="AA769" s="1" t="str">
        <f t="shared" si="630"/>
        <v/>
      </c>
      <c r="AB769" s="1" t="str">
        <f t="shared" si="631"/>
        <v/>
      </c>
      <c r="AC769" s="1">
        <f t="shared" si="627"/>
        <v>0</v>
      </c>
      <c r="AD769" s="1" t="str">
        <f t="shared" si="632"/>
        <v/>
      </c>
      <c r="AE769" s="1" t="str">
        <f t="shared" si="633"/>
        <v/>
      </c>
      <c r="AF769" s="1">
        <f t="shared" si="628"/>
        <v>0</v>
      </c>
      <c r="AG769" s="1">
        <f t="shared" si="636"/>
        <v>5</v>
      </c>
      <c r="AH769" s="1" t="str">
        <f t="shared" si="635"/>
        <v/>
      </c>
      <c r="AI769" s="1">
        <v>1</v>
      </c>
      <c r="AJ769" s="1">
        <f t="shared" si="665"/>
        <v>0</v>
      </c>
      <c r="AK769" s="1">
        <v>1</v>
      </c>
      <c r="AL769" s="1">
        <v>1</v>
      </c>
      <c r="AM769" s="1">
        <v>1</v>
      </c>
      <c r="AN769" s="1">
        <f t="shared" si="666"/>
        <v>0</v>
      </c>
      <c r="AO769" s="1">
        <v>1</v>
      </c>
      <c r="AP769" s="1">
        <v>2</v>
      </c>
      <c r="AQ769" s="1">
        <v>2</v>
      </c>
      <c r="AR769" s="1">
        <v>2</v>
      </c>
      <c r="AS769" s="1">
        <v>2</v>
      </c>
      <c r="AT769" s="1">
        <v>2</v>
      </c>
      <c r="AU769" s="1">
        <v>2</v>
      </c>
      <c r="AV769" s="1">
        <v>2</v>
      </c>
      <c r="AW769" s="1">
        <v>1</v>
      </c>
      <c r="AX769" s="1">
        <v>1</v>
      </c>
      <c r="AY769" s="1">
        <v>1</v>
      </c>
      <c r="AZ769" s="1">
        <v>1</v>
      </c>
      <c r="BA769" s="1">
        <v>2</v>
      </c>
      <c r="BB769" s="1">
        <v>1</v>
      </c>
      <c r="BC769" s="1">
        <v>2</v>
      </c>
      <c r="BD769" s="1">
        <v>1</v>
      </c>
      <c r="BE769" s="1">
        <v>1</v>
      </c>
      <c r="BF769" s="1">
        <v>2</v>
      </c>
      <c r="BG769" s="1">
        <f t="shared" si="667"/>
        <v>0</v>
      </c>
      <c r="BH769" s="1">
        <f t="shared" si="668"/>
        <v>0</v>
      </c>
      <c r="BI769" s="1">
        <v>2</v>
      </c>
      <c r="BJ769" s="1">
        <v>1</v>
      </c>
      <c r="BK769" s="1">
        <v>1</v>
      </c>
      <c r="BL769" s="1">
        <v>1</v>
      </c>
      <c r="BM769" s="1">
        <v>1</v>
      </c>
      <c r="BN769" s="1">
        <v>1</v>
      </c>
      <c r="BO769" s="1">
        <v>1</v>
      </c>
      <c r="BP769" s="1">
        <v>1</v>
      </c>
      <c r="BQ769" s="1">
        <f>IF(HRRVL,1,0)</f>
        <v>0</v>
      </c>
      <c r="BR769" s="1">
        <v>1</v>
      </c>
      <c r="BS769" s="1">
        <v>1</v>
      </c>
      <c r="BT769" s="1">
        <v>0</v>
      </c>
      <c r="BU769" s="1">
        <f>IF(HRRVL,1,0)</f>
        <v>0</v>
      </c>
      <c r="BV769" s="1">
        <v>1</v>
      </c>
      <c r="BW769" s="1">
        <v>1</v>
      </c>
      <c r="BX769" s="1">
        <v>2</v>
      </c>
      <c r="BY769" s="1">
        <v>2</v>
      </c>
      <c r="BZ769" s="1">
        <v>1</v>
      </c>
      <c r="CA769" s="1">
        <v>1</v>
      </c>
      <c r="CB769" s="1">
        <v>1</v>
      </c>
      <c r="CC769" s="1">
        <v>1</v>
      </c>
      <c r="CD769" s="1">
        <v>1</v>
      </c>
      <c r="CE769" s="1">
        <v>1</v>
      </c>
      <c r="CF769" s="1">
        <v>2</v>
      </c>
      <c r="CG769" s="1">
        <f t="shared" si="669"/>
        <v>0</v>
      </c>
      <c r="CH769" s="1">
        <v>2</v>
      </c>
      <c r="CI769" s="1">
        <v>1</v>
      </c>
      <c r="CJ769" s="1">
        <v>1</v>
      </c>
      <c r="CK769" s="1">
        <v>1</v>
      </c>
      <c r="CL769" s="1">
        <v>1</v>
      </c>
      <c r="CM769" s="1">
        <v>1</v>
      </c>
      <c r="CN769" s="1">
        <v>1</v>
      </c>
      <c r="CO769" s="1">
        <v>1</v>
      </c>
      <c r="CP769" s="1">
        <v>2</v>
      </c>
      <c r="CQ769" s="1">
        <v>2</v>
      </c>
      <c r="CR769" s="1">
        <v>2</v>
      </c>
      <c r="CS769" s="1">
        <v>2</v>
      </c>
      <c r="CT769" s="1">
        <v>2</v>
      </c>
      <c r="CU769" s="1">
        <v>2</v>
      </c>
      <c r="CV769" s="1">
        <v>0</v>
      </c>
      <c r="CW769" s="1">
        <v>1</v>
      </c>
      <c r="CX769" s="1">
        <v>2</v>
      </c>
      <c r="CY769" s="1">
        <v>2</v>
      </c>
      <c r="CZ769" s="1">
        <f t="shared" si="670"/>
        <v>0</v>
      </c>
      <c r="DA769" s="1">
        <v>1</v>
      </c>
      <c r="DB769" s="1">
        <v>1</v>
      </c>
      <c r="DC769" s="1">
        <v>1</v>
      </c>
      <c r="DD769" s="1">
        <v>2</v>
      </c>
      <c r="DE769" s="1">
        <v>1</v>
      </c>
      <c r="DF769" s="1">
        <v>1</v>
      </c>
      <c r="DG769" s="1">
        <v>1</v>
      </c>
      <c r="DH769" s="1">
        <v>1</v>
      </c>
      <c r="DI769" s="1">
        <v>0</v>
      </c>
      <c r="DJ769" s="1">
        <v>1</v>
      </c>
      <c r="DK769" s="1" t="s">
        <v>1740</v>
      </c>
      <c r="DL769" s="1" t="s">
        <v>170</v>
      </c>
      <c r="DQ769" s="1" t="b">
        <f>AlignmentNonLawful</f>
        <v>0</v>
      </c>
      <c r="DR769" s="1" t="b">
        <f>BaseAtk&gt;=3</f>
        <v>0</v>
      </c>
      <c r="DS769" s="1" t="b">
        <f>FtEndurance</f>
        <v>0</v>
      </c>
      <c r="DT769" s="1" t="b">
        <f>FtJaded</f>
        <v>0</v>
      </c>
      <c r="DU769" s="1" t="b">
        <f>SkGatherInformationRanks&gt;=2</f>
        <v>0</v>
      </c>
      <c r="DV769" s="1" t="b">
        <f>SkSenseMotiveRanks&gt;=6</f>
        <v>0</v>
      </c>
      <c r="DW769" s="1" t="b">
        <v>1</v>
      </c>
      <c r="DZ769" s="1" t="b">
        <f t="shared" si="644"/>
        <v>1</v>
      </c>
      <c r="EA769" s="1" t="b">
        <f t="shared" si="671"/>
        <v>0</v>
      </c>
      <c r="EB769" s="11" t="s">
        <v>338</v>
      </c>
      <c r="EC769" s="1" t="str">
        <f>IF(DQ769,"","• Must be of any non-lawful alignment.
")&amp;IF(DR769,"","• Base Attack Bonus +3.
")&amp;IF(DS769,"","• Endurance feat.
")&amp;IF(DT769,"","• Jaded feat.
")&amp;IF(DU769,"","• 2 ranks in Gather Information.
")&amp;IF(DV769,"","• 6 ranks in Sense Motive.
")&amp;IF(DW769,"• Must have suffered some disaster at the hands of a foe that escaped punishment. (not checked).","")</f>
        <v>• Must be of any non-lawful alignment.
• Base Attack Bonus +3.
• Endurance feat.
• Jaded feat.
• 2 ranks in Gather Information.
• 6 ranks in Sense Motive.
• Must have suffered some disaster at the hands of a foe that escaped punishment. (not checked).</v>
      </c>
      <c r="ED769" s="11" t="s">
        <v>335</v>
      </c>
    </row>
    <row r="770" spans="1:134" ht="11.25" customHeight="1" x14ac:dyDescent="0.2">
      <c r="A770" s="1">
        <f t="shared" si="629"/>
        <v>767</v>
      </c>
      <c r="B770" s="1" t="s">
        <v>1745</v>
      </c>
      <c r="C770" s="1" t="s">
        <v>1746</v>
      </c>
      <c r="D770" s="1" t="s">
        <v>1746</v>
      </c>
      <c r="E770" s="1">
        <f t="shared" si="626"/>
        <v>0</v>
      </c>
      <c r="K770" s="1">
        <v>8</v>
      </c>
      <c r="L770" s="1">
        <v>6</v>
      </c>
      <c r="V770" s="1">
        <v>0.75</v>
      </c>
      <c r="W770" s="1">
        <v>0.5</v>
      </c>
      <c r="X770" s="1">
        <v>0.5</v>
      </c>
      <c r="Y770" s="1">
        <v>0.34</v>
      </c>
      <c r="Z770" s="1" t="b">
        <f>FALSE</f>
        <v>0</v>
      </c>
      <c r="AA770" s="1" t="str">
        <f t="shared" si="630"/>
        <v/>
      </c>
      <c r="AB770" s="1" t="str">
        <f t="shared" si="631"/>
        <v/>
      </c>
      <c r="AC770" s="1">
        <f t="shared" si="627"/>
        <v>0</v>
      </c>
      <c r="AD770" s="1" t="str">
        <f t="shared" si="632"/>
        <v/>
      </c>
      <c r="AE770" s="1" t="str">
        <f t="shared" si="633"/>
        <v/>
      </c>
      <c r="AF770" s="1">
        <f t="shared" si="628"/>
        <v>0</v>
      </c>
      <c r="AG770" s="1">
        <f t="shared" si="636"/>
        <v>5</v>
      </c>
      <c r="AH770" s="1" t="str">
        <f t="shared" si="635"/>
        <v/>
      </c>
      <c r="AI770" s="1">
        <v>2</v>
      </c>
      <c r="AJ770" s="1">
        <f t="shared" si="665"/>
        <v>0</v>
      </c>
      <c r="AK770" s="1">
        <v>2</v>
      </c>
      <c r="AL770" s="1">
        <v>1</v>
      </c>
      <c r="AM770" s="1">
        <v>2</v>
      </c>
      <c r="AN770" s="1">
        <f t="shared" si="666"/>
        <v>0</v>
      </c>
      <c r="AO770" s="1">
        <v>2</v>
      </c>
      <c r="AP770" s="1">
        <v>2</v>
      </c>
      <c r="AQ770" s="1">
        <v>2</v>
      </c>
      <c r="AR770" s="1">
        <v>2</v>
      </c>
      <c r="AS770" s="1">
        <v>2</v>
      </c>
      <c r="AT770" s="1">
        <v>2</v>
      </c>
      <c r="AU770" s="1">
        <v>2</v>
      </c>
      <c r="AV770" s="1">
        <v>2</v>
      </c>
      <c r="AW770" s="1">
        <v>2</v>
      </c>
      <c r="AX770" s="1">
        <v>1</v>
      </c>
      <c r="AY770" s="1">
        <v>2</v>
      </c>
      <c r="AZ770" s="1">
        <v>1</v>
      </c>
      <c r="BA770" s="1">
        <v>2</v>
      </c>
      <c r="BB770" s="1">
        <v>1</v>
      </c>
      <c r="BC770" s="1">
        <v>2</v>
      </c>
      <c r="BD770" s="1">
        <v>1</v>
      </c>
      <c r="BE770" s="1">
        <v>1</v>
      </c>
      <c r="BF770" s="1">
        <v>2</v>
      </c>
      <c r="BG770" s="1">
        <f t="shared" si="667"/>
        <v>0</v>
      </c>
      <c r="BH770" s="1">
        <f t="shared" si="668"/>
        <v>0</v>
      </c>
      <c r="BI770" s="1">
        <v>1</v>
      </c>
      <c r="BJ770" s="1">
        <v>2</v>
      </c>
      <c r="BK770" s="1">
        <v>2</v>
      </c>
      <c r="BL770" s="1">
        <v>2</v>
      </c>
      <c r="BM770" s="1">
        <v>2</v>
      </c>
      <c r="BN770" s="1">
        <v>1</v>
      </c>
      <c r="BO770" s="1">
        <v>2</v>
      </c>
      <c r="BP770" s="1">
        <v>1</v>
      </c>
      <c r="BQ770" s="1">
        <f>IF(HRRVL,1,0)</f>
        <v>0</v>
      </c>
      <c r="BR770" s="1">
        <v>1</v>
      </c>
      <c r="BS770" s="1">
        <v>1</v>
      </c>
      <c r="BT770" s="1">
        <v>0</v>
      </c>
      <c r="BU770" s="1">
        <f>IF(HRRVL,2,0)</f>
        <v>0</v>
      </c>
      <c r="BV770" s="1">
        <v>2</v>
      </c>
      <c r="BW770" s="1">
        <v>1</v>
      </c>
      <c r="BX770" s="1">
        <v>2</v>
      </c>
      <c r="BY770" s="1">
        <v>2</v>
      </c>
      <c r="BZ770" s="1">
        <v>1</v>
      </c>
      <c r="CA770" s="1">
        <v>1</v>
      </c>
      <c r="CB770" s="1">
        <v>1</v>
      </c>
      <c r="CC770" s="1">
        <v>1</v>
      </c>
      <c r="CD770" s="1">
        <v>1</v>
      </c>
      <c r="CE770" s="1">
        <v>1</v>
      </c>
      <c r="CF770" s="1">
        <v>2</v>
      </c>
      <c r="CG770" s="1">
        <f t="shared" si="669"/>
        <v>0</v>
      </c>
      <c r="CH770" s="1">
        <v>2</v>
      </c>
      <c r="CI770" s="1">
        <v>2</v>
      </c>
      <c r="CJ770" s="1">
        <v>1</v>
      </c>
      <c r="CK770" s="1">
        <v>1</v>
      </c>
      <c r="CL770" s="1">
        <v>1</v>
      </c>
      <c r="CM770" s="1">
        <v>1</v>
      </c>
      <c r="CN770" s="1">
        <v>1</v>
      </c>
      <c r="CO770" s="1">
        <v>1</v>
      </c>
      <c r="CP770" s="1">
        <v>2</v>
      </c>
      <c r="CQ770" s="1">
        <v>2</v>
      </c>
      <c r="CR770" s="1">
        <v>2</v>
      </c>
      <c r="CS770" s="1">
        <v>2</v>
      </c>
      <c r="CT770" s="1">
        <v>2</v>
      </c>
      <c r="CU770" s="1">
        <v>2</v>
      </c>
      <c r="CV770" s="1">
        <v>0</v>
      </c>
      <c r="CW770" s="1">
        <v>1</v>
      </c>
      <c r="CX770" s="1">
        <v>2</v>
      </c>
      <c r="CY770" s="1">
        <v>1</v>
      </c>
      <c r="CZ770" s="1">
        <f t="shared" si="670"/>
        <v>0</v>
      </c>
      <c r="DA770" s="1">
        <v>1</v>
      </c>
      <c r="DB770" s="1">
        <v>1</v>
      </c>
      <c r="DC770" s="1">
        <v>2</v>
      </c>
      <c r="DD770" s="1">
        <v>2</v>
      </c>
      <c r="DE770" s="1">
        <v>2</v>
      </c>
      <c r="DF770" s="1">
        <v>2</v>
      </c>
      <c r="DG770" s="1">
        <v>2</v>
      </c>
      <c r="DH770" s="1">
        <v>2</v>
      </c>
      <c r="DI770" s="1">
        <v>0</v>
      </c>
      <c r="DJ770" s="1">
        <v>2</v>
      </c>
      <c r="DK770" s="1" t="s">
        <v>1740</v>
      </c>
      <c r="DL770" s="1" t="s">
        <v>170</v>
      </c>
      <c r="DQ770" s="1" t="b">
        <f>BaseAtk&gt;=4</f>
        <v>0</v>
      </c>
      <c r="DR770" s="1" t="b">
        <f>FtBackToTheWall</f>
        <v>0</v>
      </c>
      <c r="DS770" s="1" t="b">
        <f>FtJaded</f>
        <v>0</v>
      </c>
      <c r="DT770" s="1" t="b">
        <f>SkDecipherScriptRanks&gt;=8</f>
        <v>0</v>
      </c>
      <c r="DU770" s="1" t="b">
        <f>SkDisableDeviceRanks&gt;=8</f>
        <v>0</v>
      </c>
      <c r="DV770" s="1" t="b">
        <f>SkKnowledgeHistoryRanks&gt;=4</f>
        <v>0</v>
      </c>
      <c r="DW770" s="1" t="b">
        <f>SkSearchRanks&gt;=8</f>
        <v>0</v>
      </c>
      <c r="DZ770" s="1" t="b">
        <f t="shared" si="644"/>
        <v>1</v>
      </c>
      <c r="EA770" s="1" t="b">
        <f t="shared" si="671"/>
        <v>0</v>
      </c>
      <c r="EB770" s="11" t="s">
        <v>334</v>
      </c>
      <c r="EC770" s="1" t="str">
        <f>IF(DQ770,"","• Base Attack Bonus +4.
")&amp;IF(DR770,"","• Back to the Wall Feat.
")&amp;IF(DS770,"","• Jaded feat.
")&amp;IF(DT770,"","• 8 ranks in Decipher Script.
")&amp;IF(DU770,"","• 8 ranks in Disable Device.
")&amp;IF(DV770,"","• 4 ranks in Knowledge (history).
")&amp;IF(DW770,"","• 8 ranks in Search.")</f>
        <v>• Base Attack Bonus +4.
• Back to the Wall Feat.
• Jaded feat.
• 8 ranks in Decipher Script.
• 8 ranks in Disable Device.
• 4 ranks in Knowledge (history).
• 8 ranks in Search.</v>
      </c>
      <c r="ED770" s="11" t="s">
        <v>335</v>
      </c>
    </row>
    <row r="771" spans="1:134" ht="11.25" customHeight="1" x14ac:dyDescent="0.2">
      <c r="A771" s="1">
        <f t="shared" si="629"/>
        <v>768</v>
      </c>
      <c r="B771" s="1" t="s">
        <v>1747</v>
      </c>
      <c r="C771" s="1" t="s">
        <v>1748</v>
      </c>
      <c r="D771" s="1" t="s">
        <v>1748</v>
      </c>
      <c r="E771" s="1">
        <f t="shared" si="626"/>
        <v>0</v>
      </c>
      <c r="G771" s="1">
        <f>DirLvl</f>
        <v>0</v>
      </c>
      <c r="K771" s="1">
        <v>6</v>
      </c>
      <c r="L771" s="1">
        <v>4</v>
      </c>
      <c r="V771" s="1">
        <v>0.75</v>
      </c>
      <c r="W771" s="1">
        <v>0.34</v>
      </c>
      <c r="X771" s="1">
        <v>0.34</v>
      </c>
      <c r="Y771" s="1">
        <v>0.5</v>
      </c>
      <c r="Z771" s="1" t="b">
        <f>FALSE</f>
        <v>0</v>
      </c>
      <c r="AA771" s="1" t="str">
        <f t="shared" si="630"/>
        <v/>
      </c>
      <c r="AB771" s="1" t="str">
        <f t="shared" si="631"/>
        <v/>
      </c>
      <c r="AC771" s="1">
        <f t="shared" si="627"/>
        <v>0</v>
      </c>
      <c r="AD771" s="1" t="str">
        <f t="shared" si="632"/>
        <v/>
      </c>
      <c r="AE771" s="1" t="str">
        <f t="shared" si="633"/>
        <v/>
      </c>
      <c r="AF771" s="1">
        <f t="shared" si="628"/>
        <v>0</v>
      </c>
      <c r="AG771" s="1">
        <f t="shared" si="636"/>
        <v>5</v>
      </c>
      <c r="AH771" s="1" t="str">
        <f t="shared" si="635"/>
        <v/>
      </c>
      <c r="AI771" s="1">
        <v>2</v>
      </c>
      <c r="AJ771" s="1">
        <f t="shared" si="665"/>
        <v>0</v>
      </c>
      <c r="AK771" s="1">
        <v>1</v>
      </c>
      <c r="AL771" s="1">
        <v>2</v>
      </c>
      <c r="AM771" s="1">
        <v>1</v>
      </c>
      <c r="AN771" s="1">
        <f t="shared" si="666"/>
        <v>0</v>
      </c>
      <c r="AO771" s="1">
        <v>1</v>
      </c>
      <c r="AP771" s="1">
        <v>2</v>
      </c>
      <c r="AQ771" s="1">
        <v>2</v>
      </c>
      <c r="AR771" s="1">
        <v>2</v>
      </c>
      <c r="AS771" s="1">
        <v>2</v>
      </c>
      <c r="AT771" s="1">
        <v>2</v>
      </c>
      <c r="AU771" s="1">
        <v>2</v>
      </c>
      <c r="AV771" s="1">
        <v>2</v>
      </c>
      <c r="AW771" s="1">
        <v>2</v>
      </c>
      <c r="AX771" s="1">
        <v>2</v>
      </c>
      <c r="AY771" s="1">
        <v>1</v>
      </c>
      <c r="AZ771" s="1">
        <v>1</v>
      </c>
      <c r="BA771" s="1">
        <v>1</v>
      </c>
      <c r="BB771" s="1">
        <v>1</v>
      </c>
      <c r="BC771" s="1">
        <v>2</v>
      </c>
      <c r="BD771" s="1">
        <v>1</v>
      </c>
      <c r="BE771" s="1">
        <v>1</v>
      </c>
      <c r="BF771" s="1">
        <v>2</v>
      </c>
      <c r="BG771" s="1">
        <f t="shared" si="667"/>
        <v>0</v>
      </c>
      <c r="BH771" s="1">
        <f t="shared" si="668"/>
        <v>0</v>
      </c>
      <c r="BI771" s="1">
        <v>2</v>
      </c>
      <c r="BJ771" s="1">
        <v>1</v>
      </c>
      <c r="BK771" s="1">
        <v>2</v>
      </c>
      <c r="BL771" s="1">
        <v>1</v>
      </c>
      <c r="BM771" s="1">
        <v>1</v>
      </c>
      <c r="BN771" s="1">
        <v>1</v>
      </c>
      <c r="BO771" s="1">
        <v>2</v>
      </c>
      <c r="BP771" s="1">
        <v>1</v>
      </c>
      <c r="BQ771" s="1">
        <f>IF(HRRVL,1,0)</f>
        <v>0</v>
      </c>
      <c r="BR771" s="1">
        <v>1</v>
      </c>
      <c r="BS771" s="1">
        <v>2</v>
      </c>
      <c r="BT771" s="1">
        <v>0</v>
      </c>
      <c r="BU771" s="1">
        <f>IF(HRRVL,2,0)</f>
        <v>0</v>
      </c>
      <c r="BV771" s="1">
        <v>2</v>
      </c>
      <c r="BW771" s="1">
        <v>1</v>
      </c>
      <c r="BX771" s="1">
        <v>2</v>
      </c>
      <c r="BY771" s="1">
        <v>2</v>
      </c>
      <c r="BZ771" s="1">
        <v>1</v>
      </c>
      <c r="CA771" s="1">
        <v>1</v>
      </c>
      <c r="CB771" s="1">
        <v>1</v>
      </c>
      <c r="CC771" s="1">
        <v>1</v>
      </c>
      <c r="CD771" s="1">
        <v>1</v>
      </c>
      <c r="CE771" s="1">
        <v>1</v>
      </c>
      <c r="CF771" s="1">
        <v>1</v>
      </c>
      <c r="CG771" s="1">
        <f t="shared" si="669"/>
        <v>0</v>
      </c>
      <c r="CH771" s="1">
        <v>2</v>
      </c>
      <c r="CI771" s="1">
        <v>1</v>
      </c>
      <c r="CJ771" s="1">
        <v>2</v>
      </c>
      <c r="CK771" s="1">
        <v>2</v>
      </c>
      <c r="CL771" s="1">
        <v>2</v>
      </c>
      <c r="CM771" s="1">
        <v>2</v>
      </c>
      <c r="CN771" s="1">
        <v>2</v>
      </c>
      <c r="CO771" s="1">
        <v>2</v>
      </c>
      <c r="CP771" s="1">
        <v>2</v>
      </c>
      <c r="CQ771" s="1">
        <v>2</v>
      </c>
      <c r="CR771" s="1">
        <v>2</v>
      </c>
      <c r="CS771" s="1">
        <v>2</v>
      </c>
      <c r="CT771" s="1">
        <v>2</v>
      </c>
      <c r="CU771" s="1">
        <v>2</v>
      </c>
      <c r="CV771" s="1">
        <v>0</v>
      </c>
      <c r="CW771" s="1">
        <v>1</v>
      </c>
      <c r="CX771" s="1">
        <v>1</v>
      </c>
      <c r="CY771" s="1">
        <v>2</v>
      </c>
      <c r="CZ771" s="1">
        <f t="shared" si="670"/>
        <v>0</v>
      </c>
      <c r="DA771" s="1">
        <v>1</v>
      </c>
      <c r="DB771" s="1">
        <v>1</v>
      </c>
      <c r="DC771" s="1">
        <v>2</v>
      </c>
      <c r="DD771" s="1">
        <v>1</v>
      </c>
      <c r="DE771" s="1">
        <v>1</v>
      </c>
      <c r="DF771" s="1">
        <v>1</v>
      </c>
      <c r="DG771" s="1">
        <v>1</v>
      </c>
      <c r="DH771" s="1">
        <v>1</v>
      </c>
      <c r="DI771" s="1">
        <v>0</v>
      </c>
      <c r="DJ771" s="1">
        <v>1</v>
      </c>
      <c r="DK771" s="1" t="s">
        <v>1740</v>
      </c>
      <c r="DL771" s="1" t="s">
        <v>170</v>
      </c>
      <c r="DQ771" s="1" t="b">
        <f>FtEndurance</f>
        <v>0</v>
      </c>
      <c r="DR771" s="1" t="b">
        <f>FtJaded</f>
        <v>0</v>
      </c>
      <c r="DS771" s="1" t="b">
        <f>SkIntimidateRanks&gt;=6</f>
        <v>0</v>
      </c>
      <c r="DT771" s="1" t="b">
        <f>SkKnowledgeArcanaRanks&gt;=4</f>
        <v>0</v>
      </c>
      <c r="DU771" s="1" t="b">
        <f>SkKnowledgeReligionRanks&gt;=4</f>
        <v>0</v>
      </c>
      <c r="DV771" s="1" t="b">
        <f>SkPerformRanks&gt;=8</f>
        <v>0</v>
      </c>
      <c r="DW771" s="1" t="b">
        <f ca="1">MaxArcaneSpellLevel&gt;=2</f>
        <v>0</v>
      </c>
      <c r="DX771" s="1" t="b">
        <f>BardicMusic</f>
        <v>0</v>
      </c>
      <c r="DZ771" s="1" t="b">
        <f t="shared" si="644"/>
        <v>1</v>
      </c>
      <c r="EA771" s="1" t="b">
        <f ca="1">AND(DM771:DZ771)</f>
        <v>0</v>
      </c>
      <c r="EB771" s="11" t="s">
        <v>334</v>
      </c>
      <c r="EC771" s="1" t="str">
        <f ca="1">IF(DQ771,"","• Endurance feat.
")&amp;IF(DR771,"","• Jaded feat.
")&amp;IF(DS771,"","• 6 ranks in Intimidate.
")&amp;IF(DT771,"","• 4 ranks in Knowledge (arcana).
")&amp;IF(DU771,"","• 4 ranks in Knowledge (religion).
")&amp;IF(DV771,"","• 8 ranks in Perform.
")&amp;IF(DW771,"","• Able to cast 2nd-level arcane spells.
")&amp;IF(DX771,"","• Must have the bardic music ability.")</f>
        <v>• Endurance feat.
• Jaded feat.
• 6 ranks in Intimidate.
• 4 ranks in Knowledge (arcana).
• 4 ranks in Knowledge (religion).
• 8 ranks in Perform.
• Able to cast 2nd-level arcane spells.
• Must have the bardic music ability.</v>
      </c>
      <c r="ED771" s="11" t="s">
        <v>335</v>
      </c>
    </row>
    <row r="772" spans="1:134" ht="11.25" customHeight="1" x14ac:dyDescent="0.2">
      <c r="A772" s="1">
        <f t="shared" si="629"/>
        <v>769</v>
      </c>
      <c r="B772" s="1" t="s">
        <v>1749</v>
      </c>
      <c r="C772" s="1" t="s">
        <v>1750</v>
      </c>
      <c r="D772" s="1" t="s">
        <v>1750</v>
      </c>
      <c r="E772" s="1">
        <f t="shared" si="626"/>
        <v>0</v>
      </c>
      <c r="G772" s="1">
        <f>GdnLvl</f>
        <v>0</v>
      </c>
      <c r="K772" s="1">
        <v>2</v>
      </c>
      <c r="L772" s="1">
        <v>6</v>
      </c>
      <c r="S772" s="1" t="b">
        <v>1</v>
      </c>
      <c r="V772" s="1">
        <v>0.75</v>
      </c>
      <c r="W772" s="1">
        <v>0.34</v>
      </c>
      <c r="X772" s="1">
        <v>0.34</v>
      </c>
      <c r="Y772" s="1">
        <v>0.5</v>
      </c>
      <c r="Z772" s="1" t="b">
        <f>FALSE</f>
        <v>0</v>
      </c>
      <c r="AA772" s="1" t="str">
        <f t="shared" si="630"/>
        <v/>
      </c>
      <c r="AB772" s="1" t="str">
        <f t="shared" si="631"/>
        <v/>
      </c>
      <c r="AC772" s="1">
        <f t="shared" si="627"/>
        <v>0</v>
      </c>
      <c r="AD772" s="1" t="str">
        <f t="shared" si="632"/>
        <v/>
      </c>
      <c r="AE772" s="1" t="str">
        <f t="shared" si="633"/>
        <v/>
      </c>
      <c r="AF772" s="1">
        <f t="shared" si="628"/>
        <v>0</v>
      </c>
      <c r="AG772" s="1">
        <f t="shared" si="636"/>
        <v>5</v>
      </c>
      <c r="AH772" s="1" t="str">
        <f t="shared" si="635"/>
        <v/>
      </c>
      <c r="AI772" s="1">
        <v>2</v>
      </c>
      <c r="AJ772" s="1">
        <f t="shared" si="665"/>
        <v>0</v>
      </c>
      <c r="AK772" s="1">
        <v>1</v>
      </c>
      <c r="AL772" s="1">
        <v>1</v>
      </c>
      <c r="AM772" s="1">
        <v>1</v>
      </c>
      <c r="AN772" s="1">
        <f t="shared" si="666"/>
        <v>0</v>
      </c>
      <c r="AO772" s="1">
        <v>2</v>
      </c>
      <c r="AP772" s="1">
        <v>2</v>
      </c>
      <c r="AQ772" s="1">
        <v>2</v>
      </c>
      <c r="AR772" s="1">
        <v>2</v>
      </c>
      <c r="AS772" s="1">
        <v>2</v>
      </c>
      <c r="AT772" s="1">
        <v>2</v>
      </c>
      <c r="AU772" s="1">
        <v>2</v>
      </c>
      <c r="AV772" s="1">
        <v>2</v>
      </c>
      <c r="AW772" s="1">
        <v>2</v>
      </c>
      <c r="AX772" s="1">
        <v>2</v>
      </c>
      <c r="AY772" s="1">
        <v>1</v>
      </c>
      <c r="AZ772" s="1">
        <v>1</v>
      </c>
      <c r="BA772" s="1">
        <v>1</v>
      </c>
      <c r="BB772" s="1">
        <v>1</v>
      </c>
      <c r="BC772" s="1">
        <v>2</v>
      </c>
      <c r="BD772" s="1">
        <v>1</v>
      </c>
      <c r="BE772" s="1">
        <v>1</v>
      </c>
      <c r="BF772" s="1">
        <v>1</v>
      </c>
      <c r="BG772" s="1">
        <f t="shared" si="667"/>
        <v>0</v>
      </c>
      <c r="BH772" s="1">
        <f t="shared" si="668"/>
        <v>0</v>
      </c>
      <c r="BI772" s="1">
        <v>1</v>
      </c>
      <c r="BJ772" s="1">
        <v>1</v>
      </c>
      <c r="BK772" s="1">
        <v>2</v>
      </c>
      <c r="BL772" s="1">
        <v>1</v>
      </c>
      <c r="BM772" s="1">
        <v>1</v>
      </c>
      <c r="BN772" s="1">
        <v>1</v>
      </c>
      <c r="BO772" s="1">
        <v>2</v>
      </c>
      <c r="BP772" s="1">
        <v>1</v>
      </c>
      <c r="BQ772" s="1">
        <f>IF(HRRVL,1,0)</f>
        <v>0</v>
      </c>
      <c r="BR772" s="1">
        <v>1</v>
      </c>
      <c r="BS772" s="1">
        <v>1</v>
      </c>
      <c r="BT772" s="1">
        <v>0</v>
      </c>
      <c r="BU772" s="1">
        <f>IF(HRRVL,1,0)</f>
        <v>0</v>
      </c>
      <c r="BV772" s="1">
        <v>1</v>
      </c>
      <c r="BW772" s="1">
        <v>1</v>
      </c>
      <c r="BX772" s="1">
        <v>1</v>
      </c>
      <c r="BY772" s="1">
        <v>1</v>
      </c>
      <c r="BZ772" s="1">
        <v>1</v>
      </c>
      <c r="CA772" s="1">
        <v>1</v>
      </c>
      <c r="CB772" s="1">
        <v>1</v>
      </c>
      <c r="CC772" s="1">
        <v>1</v>
      </c>
      <c r="CD772" s="1">
        <v>1</v>
      </c>
      <c r="CE772" s="1">
        <v>1</v>
      </c>
      <c r="CF772" s="1">
        <v>1</v>
      </c>
      <c r="CG772" s="1">
        <f t="shared" si="669"/>
        <v>0</v>
      </c>
      <c r="CH772" s="1">
        <v>1</v>
      </c>
      <c r="CI772" s="1">
        <v>1</v>
      </c>
      <c r="CJ772" s="1">
        <v>1</v>
      </c>
      <c r="CK772" s="1">
        <v>1</v>
      </c>
      <c r="CL772" s="1">
        <v>1</v>
      </c>
      <c r="CM772" s="1">
        <v>1</v>
      </c>
      <c r="CN772" s="1">
        <v>1</v>
      </c>
      <c r="CO772" s="1">
        <v>1</v>
      </c>
      <c r="CP772" s="1">
        <v>2</v>
      </c>
      <c r="CQ772" s="1">
        <v>2</v>
      </c>
      <c r="CR772" s="1">
        <v>2</v>
      </c>
      <c r="CS772" s="1">
        <v>2</v>
      </c>
      <c r="CT772" s="1">
        <v>2</v>
      </c>
      <c r="CU772" s="1">
        <v>2</v>
      </c>
      <c r="CV772" s="1">
        <v>0</v>
      </c>
      <c r="CW772" s="1">
        <v>1</v>
      </c>
      <c r="CX772" s="1">
        <v>2</v>
      </c>
      <c r="CY772" s="1">
        <v>1</v>
      </c>
      <c r="CZ772" s="1">
        <f t="shared" si="670"/>
        <v>0</v>
      </c>
      <c r="DA772" s="1">
        <v>1</v>
      </c>
      <c r="DB772" s="1">
        <v>1</v>
      </c>
      <c r="DC772" s="1">
        <v>2</v>
      </c>
      <c r="DD772" s="1">
        <v>1</v>
      </c>
      <c r="DE772" s="1">
        <v>1</v>
      </c>
      <c r="DF772" s="1">
        <v>1</v>
      </c>
      <c r="DG772" s="1">
        <v>1</v>
      </c>
      <c r="DH772" s="1">
        <v>1</v>
      </c>
      <c r="DI772" s="1">
        <v>0</v>
      </c>
      <c r="DJ772" s="1">
        <v>1</v>
      </c>
      <c r="DK772" s="1" t="s">
        <v>1740</v>
      </c>
      <c r="DL772" s="1" t="s">
        <v>170</v>
      </c>
      <c r="DQ772" s="1" t="b">
        <f>AlignmentGood</f>
        <v>1</v>
      </c>
      <c r="DR772" s="1" t="b">
        <f>FtIronWill</f>
        <v>0</v>
      </c>
      <c r="DS772" s="1" t="b">
        <f>NOT(ISNA(MATCH("Divination",TblSpellFocus,0)))</f>
        <v>0</v>
      </c>
      <c r="DT772" s="1" t="b">
        <f>SkDiplomacyRanks&gt;=4</f>
        <v>0</v>
      </c>
      <c r="DU772" s="1" t="b">
        <f>SkKnowledgeArcanaRanks&gt;=8</f>
        <v>0</v>
      </c>
      <c r="DV772" s="1" t="b">
        <f>SkSearchRanks&gt;=4</f>
        <v>0</v>
      </c>
      <c r="DW772" s="1" t="b">
        <f>SkSpellcraftRanks&gt;=6</f>
        <v>0</v>
      </c>
      <c r="DZ772" s="1" t="b">
        <f t="shared" si="644"/>
        <v>1</v>
      </c>
      <c r="EA772" s="1" t="b">
        <f t="shared" si="671"/>
        <v>0</v>
      </c>
      <c r="EB772" s="11" t="s">
        <v>338</v>
      </c>
      <c r="EC772" s="1" t="str">
        <f>IF(DQ772,"","• Any good alignment.
")&amp;IF(DR772,"","• Iron Will feat.
")&amp;IF(DS772,"","• Spell Focus (Divination).
")&amp;IF(DT772,"","• 4 ranks in Diplomacy.
")&amp;IF(DU772,"","• 8 ranks in Knowledge (arcana).
")&amp;IF(DV772,"","• 4 ranks in Search.
")&amp;IF(DW772,"","• 6 ranks in Spellcraft.
")&amp;"• Able to cast locate object (not checked).
• Must be initiated by an existing member (not checked).
"&amp;IF(DZ772,"","• Not available in Living Greyhawk.")</f>
        <v xml:space="preserve">• Iron Will feat.
• Spell Focus (Divination).
• 4 ranks in Diplomacy.
• 8 ranks in Knowledge (arcana).
• 4 ranks in Search.
• 6 ranks in Spellcraft.
• Able to cast locate object (not checked).
• Must be initiated by an existing member (not checked).
</v>
      </c>
      <c r="ED772" s="11" t="s">
        <v>335</v>
      </c>
    </row>
    <row r="773" spans="1:134" ht="11.25" customHeight="1" x14ac:dyDescent="0.2">
      <c r="A773" s="1">
        <f t="shared" si="629"/>
        <v>770</v>
      </c>
      <c r="B773" s="1" t="s">
        <v>1751</v>
      </c>
      <c r="C773" s="1" t="s">
        <v>1752</v>
      </c>
      <c r="D773" s="1" t="s">
        <v>1752</v>
      </c>
      <c r="E773" s="1">
        <f t="shared" ref="E773:E799" si="672">$AC773+$AF773+IF(HasVirtualClasses,COUNTIF(TblVClassesAtLvlCS,$A773),0)</f>
        <v>0</v>
      </c>
      <c r="K773" s="1">
        <v>6</v>
      </c>
      <c r="L773" s="1">
        <v>4</v>
      </c>
      <c r="V773" s="1">
        <v>0.5</v>
      </c>
      <c r="W773" s="1">
        <v>0.5</v>
      </c>
      <c r="X773" s="1">
        <v>0.34</v>
      </c>
      <c r="Y773" s="1">
        <v>0.5</v>
      </c>
      <c r="Z773" s="1" t="b">
        <f>FALSE</f>
        <v>0</v>
      </c>
      <c r="AA773" s="1" t="str">
        <f t="shared" si="630"/>
        <v/>
      </c>
      <c r="AB773" s="1" t="str">
        <f t="shared" si="631"/>
        <v/>
      </c>
      <c r="AC773" s="1">
        <f t="shared" ref="AC773:AC799" si="673">COUNTIF(TblClassesAtLvlCS,$A773)</f>
        <v>0</v>
      </c>
      <c r="AD773" s="1" t="str">
        <f t="shared" si="632"/>
        <v/>
      </c>
      <c r="AE773" s="1" t="str">
        <f t="shared" si="633"/>
        <v/>
      </c>
      <c r="AF773" s="1">
        <f t="shared" ref="AF773:AF799" si="674">IF(HRGestalt,COUNTIF(TblGClassesAtLvlCS,$A773),0)</f>
        <v>0</v>
      </c>
      <c r="AG773" s="1">
        <f t="shared" si="636"/>
        <v>5</v>
      </c>
      <c r="AH773" s="1" t="str">
        <f t="shared" si="635"/>
        <v/>
      </c>
      <c r="AI773" s="1">
        <v>1</v>
      </c>
      <c r="AJ773" s="1">
        <f t="shared" si="665"/>
        <v>0</v>
      </c>
      <c r="AK773" s="1">
        <v>1</v>
      </c>
      <c r="AL773" s="1">
        <v>2</v>
      </c>
      <c r="AM773" s="1">
        <v>1</v>
      </c>
      <c r="AN773" s="1">
        <f t="shared" si="666"/>
        <v>0</v>
      </c>
      <c r="AO773" s="1">
        <v>2</v>
      </c>
      <c r="AP773" s="1">
        <v>2</v>
      </c>
      <c r="AQ773" s="1">
        <v>2</v>
      </c>
      <c r="AR773" s="1">
        <v>2</v>
      </c>
      <c r="AS773" s="1">
        <v>2</v>
      </c>
      <c r="AT773" s="1">
        <v>2</v>
      </c>
      <c r="AU773" s="1">
        <v>2</v>
      </c>
      <c r="AV773" s="1">
        <v>2</v>
      </c>
      <c r="AW773" s="1">
        <v>1</v>
      </c>
      <c r="AX773" s="1">
        <v>1</v>
      </c>
      <c r="AY773" s="1">
        <v>1</v>
      </c>
      <c r="AZ773" s="1">
        <v>1</v>
      </c>
      <c r="BA773" s="1">
        <v>1</v>
      </c>
      <c r="BB773" s="1">
        <v>1</v>
      </c>
      <c r="BC773" s="1">
        <v>1</v>
      </c>
      <c r="BD773" s="1">
        <v>2</v>
      </c>
      <c r="BE773" s="1">
        <v>2</v>
      </c>
      <c r="BF773" s="1">
        <v>2</v>
      </c>
      <c r="BG773" s="1">
        <f t="shared" si="667"/>
        <v>0</v>
      </c>
      <c r="BH773" s="1">
        <f t="shared" si="668"/>
        <v>0</v>
      </c>
      <c r="BI773" s="1">
        <v>1</v>
      </c>
      <c r="BJ773" s="1">
        <v>1</v>
      </c>
      <c r="BK773" s="1">
        <v>2</v>
      </c>
      <c r="BL773" s="1">
        <v>1</v>
      </c>
      <c r="BM773" s="1">
        <v>1</v>
      </c>
      <c r="BN773" s="1">
        <v>1</v>
      </c>
      <c r="BO773" s="1">
        <v>1</v>
      </c>
      <c r="BP773" s="1">
        <v>1</v>
      </c>
      <c r="BQ773" s="1">
        <f>IF(HRRVL,2,0)</f>
        <v>0</v>
      </c>
      <c r="BR773" s="1">
        <v>2</v>
      </c>
      <c r="BS773" s="1">
        <v>1</v>
      </c>
      <c r="BT773" s="1">
        <v>0</v>
      </c>
      <c r="BU773" s="1">
        <f>IF(HRRVL,1,0)</f>
        <v>0</v>
      </c>
      <c r="BV773" s="1">
        <v>1</v>
      </c>
      <c r="BW773" s="1">
        <v>1</v>
      </c>
      <c r="BX773" s="1">
        <v>1</v>
      </c>
      <c r="BY773" s="1">
        <v>1</v>
      </c>
      <c r="BZ773" s="1">
        <v>1</v>
      </c>
      <c r="CA773" s="1">
        <v>1</v>
      </c>
      <c r="CB773" s="1">
        <v>1</v>
      </c>
      <c r="CC773" s="1">
        <v>1</v>
      </c>
      <c r="CD773" s="1">
        <v>1</v>
      </c>
      <c r="CE773" s="1">
        <v>1</v>
      </c>
      <c r="CF773" s="1">
        <v>1</v>
      </c>
      <c r="CG773" s="1">
        <f t="shared" si="669"/>
        <v>0</v>
      </c>
      <c r="CH773" s="1">
        <v>2</v>
      </c>
      <c r="CI773" s="1">
        <v>1</v>
      </c>
      <c r="CJ773" s="1">
        <v>1</v>
      </c>
      <c r="CK773" s="1">
        <v>1</v>
      </c>
      <c r="CL773" s="1">
        <v>1</v>
      </c>
      <c r="CM773" s="1">
        <v>1</v>
      </c>
      <c r="CN773" s="1">
        <v>1</v>
      </c>
      <c r="CO773" s="1">
        <v>1</v>
      </c>
      <c r="CP773" s="1">
        <v>2</v>
      </c>
      <c r="CQ773" s="1">
        <v>2</v>
      </c>
      <c r="CR773" s="1">
        <v>2</v>
      </c>
      <c r="CS773" s="1">
        <v>2</v>
      </c>
      <c r="CT773" s="1">
        <v>2</v>
      </c>
      <c r="CU773" s="1">
        <v>2</v>
      </c>
      <c r="CV773" s="1">
        <v>0</v>
      </c>
      <c r="CW773" s="1">
        <v>1</v>
      </c>
      <c r="CX773" s="1">
        <v>1</v>
      </c>
      <c r="CY773" s="1">
        <v>1</v>
      </c>
      <c r="CZ773" s="1">
        <f t="shared" si="670"/>
        <v>0</v>
      </c>
      <c r="DA773" s="1">
        <v>1</v>
      </c>
      <c r="DB773" s="1">
        <v>1</v>
      </c>
      <c r="DC773" s="1">
        <v>2</v>
      </c>
      <c r="DD773" s="1">
        <v>1</v>
      </c>
      <c r="DE773" s="1">
        <v>2</v>
      </c>
      <c r="DF773" s="1">
        <v>1</v>
      </c>
      <c r="DG773" s="1">
        <v>1</v>
      </c>
      <c r="DH773" s="1">
        <v>1</v>
      </c>
      <c r="DI773" s="1">
        <v>0</v>
      </c>
      <c r="DJ773" s="1">
        <v>1</v>
      </c>
      <c r="DK773" s="1" t="s">
        <v>1740</v>
      </c>
      <c r="DL773" s="1" t="s">
        <v>170</v>
      </c>
      <c r="DQ773" s="1" t="b">
        <f>AlignmentTrueNeutral</f>
        <v>0</v>
      </c>
      <c r="DR773" s="1" t="b">
        <f>SkKnowledgeArcanaRanks&gt;=8</f>
        <v>0</v>
      </c>
      <c r="DS773" s="1" t="b">
        <f>SkKnowledgeNatureRanks&gt;=4</f>
        <v>0</v>
      </c>
      <c r="DT773" s="1" t="b">
        <f>SkSpellcraftRanks&gt;=8</f>
        <v>0</v>
      </c>
      <c r="DU773" s="1" t="b">
        <f>OR(NOT(ISNA(MATCH("Divination",TblSpellFocus,0))),NOT(ISNA(MATCH("Enchantment",TblSpellFocus,0))))</f>
        <v>0</v>
      </c>
      <c r="DV773" s="1" t="b">
        <f ca="1">AND(MaxDivineSpellLevel&gt;=2,MaxArcaneSpellLevel&gt;=2)</f>
        <v>0</v>
      </c>
      <c r="DW773" s="1" t="b">
        <v>1</v>
      </c>
      <c r="DZ773" s="1" t="b">
        <f t="shared" si="644"/>
        <v>1</v>
      </c>
      <c r="EA773" s="1" t="b">
        <f ca="1">AND(DM773:DZ773)</f>
        <v>0</v>
      </c>
      <c r="EB773" s="11" t="s">
        <v>338</v>
      </c>
      <c r="EC773" s="1" t="str">
        <f ca="1">IF(DQ773,"","• Alignment: Neutral.
")&amp;IF(DR773,"","• 8 ranks in Knowledge (arcana).
")&amp;IF(DS773,"","• 4 ranks in Knowledge (nature).
")&amp;IF(DT773,"","• 8 ranks in Spellcraft.
")&amp;IF(DU773,"","• Spell Focus (Divination or Enchantment)
")&amp;IF(DV773,"","• Ability to cast 2nd-level arcane spells and 2nd-level divine spells.
")&amp;IF(DW773,"• Must be initiated into the mysteries of witchcraft by an existing coven. (not checked)","")</f>
        <v>• Alignment: Neutral.
• 8 ranks in Knowledge (arcana).
• 4 ranks in Knowledge (nature).
• 8 ranks in Spellcraft.
• Spell Focus (Divination or Enchantment)
• Ability to cast 2nd-level arcane spells and 2nd-level divine spells.
• Must be initiated into the mysteries of witchcraft by an existing coven. (not checked)</v>
      </c>
      <c r="ED773" s="11" t="s">
        <v>335</v>
      </c>
    </row>
    <row r="774" spans="1:134" ht="11.25" customHeight="1" x14ac:dyDescent="0.2">
      <c r="A774" s="1">
        <f t="shared" ref="A774:A799" si="675">A773+1</f>
        <v>771</v>
      </c>
      <c r="B774" s="1" t="s">
        <v>1753</v>
      </c>
      <c r="C774" s="1" t="s">
        <v>1754</v>
      </c>
      <c r="D774" s="1" t="s">
        <v>1754</v>
      </c>
      <c r="E774" s="1">
        <f t="shared" si="672"/>
        <v>0</v>
      </c>
      <c r="K774" s="1">
        <v>2</v>
      </c>
      <c r="L774" s="1">
        <v>10</v>
      </c>
      <c r="N774" s="1" t="b">
        <v>1</v>
      </c>
      <c r="O774" s="1" t="b">
        <v>1</v>
      </c>
      <c r="P774" s="1" t="b">
        <v>1</v>
      </c>
      <c r="Q774" s="1" t="b">
        <v>1</v>
      </c>
      <c r="S774" s="1" t="b">
        <v>1</v>
      </c>
      <c r="T774" s="1" t="b">
        <v>1</v>
      </c>
      <c r="V774" s="1">
        <v>1</v>
      </c>
      <c r="W774" s="1">
        <v>0.5</v>
      </c>
      <c r="X774" s="1">
        <v>0.34</v>
      </c>
      <c r="Y774" s="1">
        <v>0.34</v>
      </c>
      <c r="Z774" s="1" t="b">
        <f>FALSE</f>
        <v>0</v>
      </c>
      <c r="AA774" s="1" t="str">
        <f t="shared" ref="AA774:AA799" si="676">IF($AC774=0,"",IF($Z774,"Ex-","")&amp;$B774)</f>
        <v/>
      </c>
      <c r="AB774" s="1" t="str">
        <f t="shared" ref="AB774:AB799" si="677">IF($AC774=0,"",IF($Z774,"Ex-","")&amp;$C774)</f>
        <v/>
      </c>
      <c r="AC774" s="1">
        <f t="shared" si="673"/>
        <v>0</v>
      </c>
      <c r="AD774" s="1" t="str">
        <f t="shared" ref="AD774:AD799" si="678">IF($AF774=0,"",IF($Z774,"Ex-","")&amp;$B774)</f>
        <v/>
      </c>
      <c r="AE774" s="1" t="str">
        <f t="shared" ref="AE774:AE799" si="679">IF($AF774=0,"",IF($Z774,"Ex-","")&amp;$C774)</f>
        <v/>
      </c>
      <c r="AF774" s="1">
        <f t="shared" si="674"/>
        <v>0</v>
      </c>
      <c r="AG774" s="1">
        <f t="shared" si="636"/>
        <v>5</v>
      </c>
      <c r="AH774" s="1" t="str">
        <f t="shared" si="635"/>
        <v/>
      </c>
      <c r="AI774" s="1">
        <v>1</v>
      </c>
      <c r="AJ774" s="1">
        <f t="shared" si="665"/>
        <v>0</v>
      </c>
      <c r="AK774" s="1">
        <v>1</v>
      </c>
      <c r="AL774" s="1">
        <v>2</v>
      </c>
      <c r="AM774" s="1">
        <v>1</v>
      </c>
      <c r="AN774" s="1">
        <f t="shared" si="666"/>
        <v>0</v>
      </c>
      <c r="AO774" s="1">
        <v>2</v>
      </c>
      <c r="AP774" s="1">
        <v>2</v>
      </c>
      <c r="AQ774" s="1">
        <v>2</v>
      </c>
      <c r="AR774" s="1">
        <v>2</v>
      </c>
      <c r="AS774" s="1">
        <v>2</v>
      </c>
      <c r="AT774" s="1">
        <v>2</v>
      </c>
      <c r="AU774" s="1">
        <v>2</v>
      </c>
      <c r="AV774" s="1">
        <v>2</v>
      </c>
      <c r="AW774" s="1">
        <v>1</v>
      </c>
      <c r="AX774" s="1">
        <v>2</v>
      </c>
      <c r="AY774" s="1">
        <v>1</v>
      </c>
      <c r="AZ774" s="1">
        <v>2</v>
      </c>
      <c r="BA774" s="1">
        <v>1</v>
      </c>
      <c r="BB774" s="1">
        <v>1</v>
      </c>
      <c r="BC774" s="1">
        <v>2</v>
      </c>
      <c r="BD774" s="1">
        <v>1</v>
      </c>
      <c r="BE774" s="1">
        <v>2</v>
      </c>
      <c r="BF774" s="1">
        <v>2</v>
      </c>
      <c r="BG774" s="1">
        <f t="shared" si="667"/>
        <v>0</v>
      </c>
      <c r="BH774" s="1">
        <f t="shared" si="668"/>
        <v>0</v>
      </c>
      <c r="BI774" s="1">
        <v>1</v>
      </c>
      <c r="BJ774" s="1">
        <v>1</v>
      </c>
      <c r="BK774" s="1">
        <v>1</v>
      </c>
      <c r="BL774" s="1">
        <v>1</v>
      </c>
      <c r="BM774" s="1">
        <v>1</v>
      </c>
      <c r="BN774" s="1">
        <v>2</v>
      </c>
      <c r="BO774" s="1">
        <v>2</v>
      </c>
      <c r="BP774" s="1">
        <v>2</v>
      </c>
      <c r="BQ774" s="1">
        <f>IF(HRRVL,1,0)</f>
        <v>0</v>
      </c>
      <c r="BR774" s="1">
        <v>1</v>
      </c>
      <c r="BS774" s="1">
        <v>1</v>
      </c>
      <c r="BT774" s="1">
        <v>0</v>
      </c>
      <c r="BU774" s="1">
        <f>IF(HRRVL,1,0)</f>
        <v>0</v>
      </c>
      <c r="BV774" s="1">
        <v>1</v>
      </c>
      <c r="BW774" s="1">
        <v>1</v>
      </c>
      <c r="BX774" s="1">
        <v>1</v>
      </c>
      <c r="BY774" s="1">
        <v>1</v>
      </c>
      <c r="BZ774" s="1">
        <v>1</v>
      </c>
      <c r="CA774" s="1">
        <v>1</v>
      </c>
      <c r="CB774" s="1">
        <v>1</v>
      </c>
      <c r="CC774" s="1">
        <v>1</v>
      </c>
      <c r="CD774" s="1">
        <v>1</v>
      </c>
      <c r="CE774" s="1">
        <v>1</v>
      </c>
      <c r="CF774" s="1">
        <v>1</v>
      </c>
      <c r="CG774" s="1">
        <f t="shared" si="669"/>
        <v>0</v>
      </c>
      <c r="CH774" s="1">
        <v>2</v>
      </c>
      <c r="CI774" s="1">
        <v>1</v>
      </c>
      <c r="CJ774" s="1">
        <v>1</v>
      </c>
      <c r="CK774" s="1">
        <v>1</v>
      </c>
      <c r="CL774" s="1">
        <v>1</v>
      </c>
      <c r="CM774" s="1">
        <v>1</v>
      </c>
      <c r="CN774" s="1">
        <v>1</v>
      </c>
      <c r="CO774" s="1">
        <v>1</v>
      </c>
      <c r="CP774" s="1">
        <v>2</v>
      </c>
      <c r="CQ774" s="1">
        <v>2</v>
      </c>
      <c r="CR774" s="1">
        <v>2</v>
      </c>
      <c r="CS774" s="1">
        <v>2</v>
      </c>
      <c r="CT774" s="1">
        <v>2</v>
      </c>
      <c r="CU774" s="1">
        <v>2</v>
      </c>
      <c r="CV774" s="1">
        <v>0</v>
      </c>
      <c r="CW774" s="1">
        <v>2</v>
      </c>
      <c r="CX774" s="1">
        <v>1</v>
      </c>
      <c r="CY774" s="1">
        <v>1</v>
      </c>
      <c r="CZ774" s="1">
        <f t="shared" si="670"/>
        <v>0</v>
      </c>
      <c r="DA774" s="1">
        <v>1</v>
      </c>
      <c r="DB774" s="1">
        <v>1</v>
      </c>
      <c r="DC774" s="1">
        <v>2</v>
      </c>
      <c r="DD774" s="1">
        <v>1</v>
      </c>
      <c r="DE774" s="1">
        <v>1</v>
      </c>
      <c r="DF774" s="1">
        <v>1</v>
      </c>
      <c r="DG774" s="1">
        <v>1</v>
      </c>
      <c r="DH774" s="1">
        <v>1</v>
      </c>
      <c r="DI774" s="1">
        <v>0</v>
      </c>
      <c r="DJ774" s="1">
        <v>1</v>
      </c>
      <c r="DK774" s="1" t="s">
        <v>1740</v>
      </c>
      <c r="DL774" s="1" t="s">
        <v>170</v>
      </c>
      <c r="DQ774" s="1" t="b">
        <f>AlignmentGood</f>
        <v>1</v>
      </c>
      <c r="DR774" s="1" t="b">
        <f>BaseAtk&gt;=6</f>
        <v>0</v>
      </c>
      <c r="DS774" s="1" t="b">
        <f>SkGatherInformationRanks&gt;=4</f>
        <v>0</v>
      </c>
      <c r="DT774" s="1" t="b">
        <f>SkKnowledgeLocalRanks&gt;=4</f>
        <v>0</v>
      </c>
      <c r="DU774" s="1" t="b">
        <f>FtCourage</f>
        <v>0</v>
      </c>
      <c r="DV774" s="1" t="b">
        <f>FtDeadManWalking</f>
        <v>0</v>
      </c>
      <c r="DW774" s="1" t="b">
        <v>1</v>
      </c>
      <c r="DZ774" s="1" t="b">
        <f t="shared" si="644"/>
        <v>1</v>
      </c>
      <c r="EA774" s="1" t="b">
        <f t="shared" si="671"/>
        <v>0</v>
      </c>
      <c r="EB774" s="11" t="s">
        <v>338</v>
      </c>
      <c r="EC774" s="1" t="str">
        <f>IF(DQ774,"","• Alignment: Any Good.
")&amp;IF(DR774,"","• Base Attack Bonus: +6.
")&amp;IF(DS774,"","• 4 ranks in Gather Information.
")&amp;IF(DT774,"","• 4 ranks in Knowledge (local).
")&amp;IF(DU774,"","• Courage feat.
")&amp;IF(DV774,"","• .Dead Man Walking feat.
")&amp;IF(DW774,"• Must be initiated by other Knights of the Shadows (not checked).","")</f>
        <v>• Base Attack Bonus: +6.
• 4 ranks in Gather Information.
• 4 ranks in Knowledge (local).
• Courage feat.
• .Dead Man Walking feat.
• Must be initiated by other Knights of the Shadows (not checked).</v>
      </c>
      <c r="ED774" s="11" t="s">
        <v>335</v>
      </c>
    </row>
    <row r="775" spans="1:134" ht="11.25" customHeight="1" x14ac:dyDescent="0.2">
      <c r="A775" s="1">
        <f t="shared" si="675"/>
        <v>772</v>
      </c>
      <c r="B775" s="1" t="s">
        <v>1755</v>
      </c>
      <c r="C775" s="1" t="s">
        <v>1756</v>
      </c>
      <c r="D775" s="1" t="s">
        <v>1756</v>
      </c>
      <c r="E775" s="1">
        <f t="shared" si="672"/>
        <v>0</v>
      </c>
      <c r="K775" s="1">
        <v>2</v>
      </c>
      <c r="L775" s="1">
        <v>8</v>
      </c>
      <c r="V775" s="1">
        <v>1</v>
      </c>
      <c r="W775" s="1">
        <v>0.5</v>
      </c>
      <c r="X775" s="1">
        <v>0.5</v>
      </c>
      <c r="Y775" s="1">
        <v>0.34</v>
      </c>
      <c r="Z775" s="1" t="b">
        <f>FALSE</f>
        <v>0</v>
      </c>
      <c r="AA775" s="1" t="str">
        <f t="shared" si="676"/>
        <v/>
      </c>
      <c r="AB775" s="1" t="str">
        <f t="shared" si="677"/>
        <v/>
      </c>
      <c r="AC775" s="1">
        <f t="shared" si="673"/>
        <v>0</v>
      </c>
      <c r="AD775" s="1" t="str">
        <f t="shared" si="678"/>
        <v/>
      </c>
      <c r="AE775" s="1" t="str">
        <f t="shared" si="679"/>
        <v/>
      </c>
      <c r="AF775" s="1">
        <f t="shared" si="674"/>
        <v>0</v>
      </c>
      <c r="AG775" s="1">
        <f t="shared" si="636"/>
        <v>5</v>
      </c>
      <c r="AH775" s="1" t="str">
        <f t="shared" si="635"/>
        <v/>
      </c>
      <c r="AI775" s="1">
        <v>1</v>
      </c>
      <c r="AJ775" s="1">
        <f t="shared" si="665"/>
        <v>0</v>
      </c>
      <c r="AK775" s="1">
        <v>1</v>
      </c>
      <c r="AL775" s="1">
        <v>2</v>
      </c>
      <c r="AM775" s="1">
        <v>2</v>
      </c>
      <c r="AN775" s="1">
        <f t="shared" si="666"/>
        <v>0</v>
      </c>
      <c r="AO775" s="1">
        <v>1</v>
      </c>
      <c r="AP775" s="1">
        <v>2</v>
      </c>
      <c r="AQ775" s="1">
        <v>2</v>
      </c>
      <c r="AR775" s="1">
        <v>2</v>
      </c>
      <c r="AS775" s="1">
        <v>2</v>
      </c>
      <c r="AT775" s="1">
        <v>2</v>
      </c>
      <c r="AU775" s="1">
        <v>2</v>
      </c>
      <c r="AV775" s="1">
        <v>2</v>
      </c>
      <c r="AW775" s="1">
        <v>1</v>
      </c>
      <c r="AX775" s="1">
        <v>1</v>
      </c>
      <c r="AY775" s="1">
        <v>1</v>
      </c>
      <c r="AZ775" s="1">
        <v>1</v>
      </c>
      <c r="BA775" s="1">
        <v>1</v>
      </c>
      <c r="BB775" s="1">
        <v>1</v>
      </c>
      <c r="BC775" s="1">
        <v>1</v>
      </c>
      <c r="BD775" s="1">
        <v>1</v>
      </c>
      <c r="BE775" s="1">
        <v>1</v>
      </c>
      <c r="BF775" s="1">
        <v>1</v>
      </c>
      <c r="BG775" s="1">
        <f t="shared" si="667"/>
        <v>0</v>
      </c>
      <c r="BH775" s="1">
        <f t="shared" si="668"/>
        <v>0</v>
      </c>
      <c r="BI775" s="1">
        <v>2</v>
      </c>
      <c r="BJ775" s="1">
        <v>2</v>
      </c>
      <c r="BK775" s="1">
        <v>1</v>
      </c>
      <c r="BL775" s="1">
        <v>1</v>
      </c>
      <c r="BM775" s="1">
        <v>1</v>
      </c>
      <c r="BN775" s="1">
        <v>1</v>
      </c>
      <c r="BO775" s="1">
        <v>1</v>
      </c>
      <c r="BP775" s="1">
        <v>1</v>
      </c>
      <c r="BQ775" s="1">
        <f>IF(HRRVL,1,0)</f>
        <v>0</v>
      </c>
      <c r="BR775" s="1">
        <v>1</v>
      </c>
      <c r="BS775" s="1">
        <v>1</v>
      </c>
      <c r="BT775" s="1">
        <v>0</v>
      </c>
      <c r="BU775" s="1">
        <f>IF(HRRVL,1,0)</f>
        <v>0</v>
      </c>
      <c r="BV775" s="1">
        <v>1</v>
      </c>
      <c r="BW775" s="1">
        <v>1</v>
      </c>
      <c r="BX775" s="1">
        <v>1</v>
      </c>
      <c r="BY775" s="1">
        <v>1</v>
      </c>
      <c r="BZ775" s="1">
        <v>1</v>
      </c>
      <c r="CA775" s="1">
        <v>1</v>
      </c>
      <c r="CB775" s="1">
        <v>1</v>
      </c>
      <c r="CC775" s="1">
        <v>1</v>
      </c>
      <c r="CD775" s="1">
        <v>1</v>
      </c>
      <c r="CE775" s="1">
        <v>1</v>
      </c>
      <c r="CF775" s="1">
        <v>1</v>
      </c>
      <c r="CG775" s="1">
        <f t="shared" si="669"/>
        <v>0</v>
      </c>
      <c r="CH775" s="1">
        <v>1</v>
      </c>
      <c r="CI775" s="1">
        <v>1</v>
      </c>
      <c r="CJ775" s="1">
        <v>1</v>
      </c>
      <c r="CK775" s="1">
        <v>1</v>
      </c>
      <c r="CL775" s="1">
        <v>1</v>
      </c>
      <c r="CM775" s="1">
        <v>1</v>
      </c>
      <c r="CN775" s="1">
        <v>1</v>
      </c>
      <c r="CO775" s="1">
        <v>1</v>
      </c>
      <c r="CP775" s="1">
        <v>2</v>
      </c>
      <c r="CQ775" s="1">
        <v>2</v>
      </c>
      <c r="CR775" s="1">
        <v>2</v>
      </c>
      <c r="CS775" s="1">
        <v>2</v>
      </c>
      <c r="CT775" s="1">
        <v>2</v>
      </c>
      <c r="CU775" s="1">
        <v>2</v>
      </c>
      <c r="CV775" s="1">
        <v>0</v>
      </c>
      <c r="CW775" s="1">
        <v>2</v>
      </c>
      <c r="CX775" s="1">
        <v>1</v>
      </c>
      <c r="CY775" s="1">
        <v>2</v>
      </c>
      <c r="CZ775" s="1">
        <f t="shared" si="670"/>
        <v>0</v>
      </c>
      <c r="DA775" s="1">
        <v>1</v>
      </c>
      <c r="DB775" s="1">
        <v>1</v>
      </c>
      <c r="DC775" s="1">
        <v>1</v>
      </c>
      <c r="DD775" s="1">
        <v>1</v>
      </c>
      <c r="DE775" s="1">
        <v>2</v>
      </c>
      <c r="DF775" s="1">
        <v>1</v>
      </c>
      <c r="DG775" s="1">
        <v>1</v>
      </c>
      <c r="DH775" s="1">
        <v>1</v>
      </c>
      <c r="DI775" s="1">
        <v>0</v>
      </c>
      <c r="DJ775" s="1">
        <v>1</v>
      </c>
      <c r="DK775" s="1" t="s">
        <v>1740</v>
      </c>
      <c r="DL775" s="1" t="s">
        <v>170</v>
      </c>
      <c r="DP775" s="1" t="b">
        <v>1</v>
      </c>
      <c r="DQ775" s="1" t="b">
        <f>BaseAtk&gt;=4</f>
        <v>0</v>
      </c>
      <c r="DR775" s="1" t="b">
        <f>NOT(ISNA(MATCH("Firearms",TblExoticFeats,0)))</f>
        <v>0</v>
      </c>
      <c r="DS775" s="1" t="b">
        <f>FtPointBlankShot</f>
        <v>0</v>
      </c>
      <c r="DT775" s="1" t="b">
        <f>FtPreciseShot</f>
        <v>0</v>
      </c>
      <c r="DU775" s="1" t="b">
        <f>FtQuickDraw</f>
        <v>0</v>
      </c>
      <c r="DV775" s="1" t="b">
        <f>OR(NOT(ISNA(MATCH("Pistol",TblWeaponFocusFeat,0))),NOT(ISNA(MATCH("Musket",TblWeaponFocusFeat,0))))</f>
        <v>0</v>
      </c>
      <c r="DW775" s="1" t="b">
        <f>IF(NOT(ISNA(MATCH("Alchemy",TblCraftSkills,0))),INDEX(TblCraftRanks,MATCH("Alchemy",TblCraftSkills,0),1)&gt;=4,FALSE)</f>
        <v>0</v>
      </c>
      <c r="DX775" s="1" t="b">
        <f>IF(NOT(ISNA(MATCH("Gunsmithing",TblCraftSkills,0))),INDEX(TblCraftRanks,MATCH("Gunsmithing",TblCraftSkills,0),1)&gt;=4,FALSE)</f>
        <v>0</v>
      </c>
      <c r="DZ775" s="1" t="b">
        <f t="shared" si="644"/>
        <v>1</v>
      </c>
      <c r="EA775" s="1" t="b">
        <f t="shared" si="671"/>
        <v>0</v>
      </c>
      <c r="EB775" s="11" t="s">
        <v>338</v>
      </c>
      <c r="EC775" s="1" t="str">
        <f>IF(DQ775,"","• Base Attack Bonus: +4.
")&amp;IF(DP775,"• Must own a Masterwork Pistol or Masterwork Musket (not checked).","
")&amp;IF(DR775,"","• Exotic Weapon Proficiency (firearms) feat.
")&amp;IF(DS775,"","• Point Blank Shot feat.
")&amp;IF(DT775,"","• Precise Shot feat.
")&amp;IF(DU775,"","• Quick Draw feat.
")&amp;IF(DV775,"","• Weapon Focus (pistol or musket).
")&amp;IF(DW775,"","• 4 ranks in Craft (Alchemy).
")&amp;IF(DX775,"","• 4 ranks in Craft (Gunsmithing).")</f>
        <v>• Base Attack Bonus: +4.
• Must own a Masterwork Pistol or Masterwork Musket (not checked).• Exotic Weapon Proficiency (firearms) feat.
• Point Blank Shot feat.
• Precise Shot feat.
• Quick Draw feat.
• Weapon Focus (pistol or musket).
• 4 ranks in Craft (Alchemy).
• 4 ranks in Craft (Gunsmithing).</v>
      </c>
      <c r="ED775" s="11" t="s">
        <v>335</v>
      </c>
    </row>
    <row r="776" spans="1:134" ht="11.25" customHeight="1" x14ac:dyDescent="0.2">
      <c r="A776" s="1">
        <f t="shared" si="675"/>
        <v>773</v>
      </c>
      <c r="B776" s="1" t="s">
        <v>1757</v>
      </c>
      <c r="C776" s="1" t="s">
        <v>1758</v>
      </c>
      <c r="D776" s="1" t="s">
        <v>1758</v>
      </c>
      <c r="E776" s="1">
        <f t="shared" si="672"/>
        <v>0</v>
      </c>
      <c r="K776" s="1">
        <v>2</v>
      </c>
      <c r="L776" s="1">
        <v>6</v>
      </c>
      <c r="V776" s="1">
        <v>0.5</v>
      </c>
      <c r="W776" s="1">
        <v>0.34</v>
      </c>
      <c r="X776" s="1">
        <v>0.34</v>
      </c>
      <c r="Y776" s="1">
        <v>0.5</v>
      </c>
      <c r="Z776" s="1" t="b">
        <f>FALSE</f>
        <v>0</v>
      </c>
      <c r="AA776" s="1" t="str">
        <f t="shared" si="676"/>
        <v/>
      </c>
      <c r="AB776" s="1" t="str">
        <f t="shared" si="677"/>
        <v/>
      </c>
      <c r="AC776" s="1">
        <f t="shared" si="673"/>
        <v>0</v>
      </c>
      <c r="AD776" s="1" t="str">
        <f t="shared" si="678"/>
        <v/>
      </c>
      <c r="AE776" s="1" t="str">
        <f t="shared" si="679"/>
        <v/>
      </c>
      <c r="AF776" s="1">
        <f t="shared" si="674"/>
        <v>0</v>
      </c>
      <c r="AG776" s="1">
        <f t="shared" si="636"/>
        <v>5</v>
      </c>
      <c r="AH776" s="1" t="str">
        <f t="shared" si="635"/>
        <v/>
      </c>
      <c r="AI776" s="1">
        <v>1</v>
      </c>
      <c r="AJ776" s="1">
        <f t="shared" si="665"/>
        <v>0</v>
      </c>
      <c r="AK776" s="1">
        <v>1</v>
      </c>
      <c r="AL776" s="1">
        <v>1</v>
      </c>
      <c r="AM776" s="1">
        <v>1</v>
      </c>
      <c r="AN776" s="1">
        <f t="shared" si="666"/>
        <v>0</v>
      </c>
      <c r="AO776" s="1">
        <v>2</v>
      </c>
      <c r="AP776" s="1">
        <v>2</v>
      </c>
      <c r="AQ776" s="1">
        <v>2</v>
      </c>
      <c r="AR776" s="1">
        <v>2</v>
      </c>
      <c r="AS776" s="1">
        <v>2</v>
      </c>
      <c r="AT776" s="1">
        <v>2</v>
      </c>
      <c r="AU776" s="1">
        <v>2</v>
      </c>
      <c r="AV776" s="1">
        <v>2</v>
      </c>
      <c r="AW776" s="1">
        <v>2</v>
      </c>
      <c r="AX776" s="1">
        <v>2</v>
      </c>
      <c r="AY776" s="1">
        <v>1</v>
      </c>
      <c r="AZ776" s="1">
        <v>1</v>
      </c>
      <c r="BA776" s="1">
        <v>1</v>
      </c>
      <c r="BB776" s="1">
        <v>1</v>
      </c>
      <c r="BC776" s="1">
        <v>2</v>
      </c>
      <c r="BD776" s="1">
        <v>1</v>
      </c>
      <c r="BE776" s="1">
        <v>1</v>
      </c>
      <c r="BF776" s="1">
        <v>1</v>
      </c>
      <c r="BG776" s="1">
        <f t="shared" si="667"/>
        <v>0</v>
      </c>
      <c r="BH776" s="1">
        <f t="shared" si="668"/>
        <v>0</v>
      </c>
      <c r="BI776" s="1">
        <v>1</v>
      </c>
      <c r="BJ776" s="1">
        <v>1</v>
      </c>
      <c r="BK776" s="1">
        <v>2</v>
      </c>
      <c r="BL776" s="1">
        <v>1</v>
      </c>
      <c r="BM776" s="1">
        <v>1</v>
      </c>
      <c r="BN776" s="1">
        <v>1</v>
      </c>
      <c r="BO776" s="1">
        <v>2</v>
      </c>
      <c r="BP776" s="1">
        <v>1</v>
      </c>
      <c r="BQ776" s="1">
        <f>IF(HRRVL,1,0)</f>
        <v>0</v>
      </c>
      <c r="BR776" s="1">
        <v>1</v>
      </c>
      <c r="BS776" s="1">
        <v>1</v>
      </c>
      <c r="BT776" s="1">
        <v>0</v>
      </c>
      <c r="BU776" s="1">
        <f>IF(HRRVL,1,0)</f>
        <v>0</v>
      </c>
      <c r="BV776" s="1">
        <v>1</v>
      </c>
      <c r="BW776" s="1">
        <v>2</v>
      </c>
      <c r="BX776" s="1">
        <v>2</v>
      </c>
      <c r="BY776" s="1">
        <v>2</v>
      </c>
      <c r="BZ776" s="1">
        <v>1</v>
      </c>
      <c r="CA776" s="1">
        <v>1</v>
      </c>
      <c r="CB776" s="1">
        <v>1</v>
      </c>
      <c r="CC776" s="1">
        <v>1</v>
      </c>
      <c r="CD776" s="1">
        <v>1</v>
      </c>
      <c r="CE776" s="1">
        <v>1</v>
      </c>
      <c r="CF776" s="1">
        <v>1</v>
      </c>
      <c r="CG776" s="1">
        <f t="shared" si="669"/>
        <v>0</v>
      </c>
      <c r="CH776" s="1">
        <v>1</v>
      </c>
      <c r="CI776" s="1">
        <v>1</v>
      </c>
      <c r="CJ776" s="1">
        <v>1</v>
      </c>
      <c r="CK776" s="1">
        <v>1</v>
      </c>
      <c r="CL776" s="1">
        <v>1</v>
      </c>
      <c r="CM776" s="1">
        <v>1</v>
      </c>
      <c r="CN776" s="1">
        <v>1</v>
      </c>
      <c r="CO776" s="1">
        <v>1</v>
      </c>
      <c r="CP776" s="1">
        <v>2</v>
      </c>
      <c r="CQ776" s="1">
        <v>2</v>
      </c>
      <c r="CR776" s="1">
        <v>2</v>
      </c>
      <c r="CS776" s="1">
        <v>2</v>
      </c>
      <c r="CT776" s="1">
        <v>2</v>
      </c>
      <c r="CU776" s="1">
        <v>2</v>
      </c>
      <c r="CV776" s="1">
        <v>0</v>
      </c>
      <c r="CW776" s="1">
        <v>1</v>
      </c>
      <c r="CX776" s="1">
        <v>1</v>
      </c>
      <c r="CY776" s="1">
        <v>2</v>
      </c>
      <c r="CZ776" s="1">
        <f t="shared" si="670"/>
        <v>0</v>
      </c>
      <c r="DA776" s="1">
        <v>1</v>
      </c>
      <c r="DB776" s="1">
        <v>1</v>
      </c>
      <c r="DC776" s="1">
        <v>2</v>
      </c>
      <c r="DD776" s="1">
        <v>1</v>
      </c>
      <c r="DE776" s="1">
        <v>1</v>
      </c>
      <c r="DF776" s="1">
        <v>1</v>
      </c>
      <c r="DG776" s="1">
        <v>1</v>
      </c>
      <c r="DH776" s="1">
        <v>1</v>
      </c>
      <c r="DI776" s="1">
        <v>0</v>
      </c>
      <c r="DJ776" s="1">
        <v>1</v>
      </c>
      <c r="DK776" s="1" t="s">
        <v>1740</v>
      </c>
      <c r="DL776" s="1" t="s">
        <v>170</v>
      </c>
      <c r="DQ776" s="1" t="b">
        <f>AlignmentNonEvil</f>
        <v>1</v>
      </c>
      <c r="DR776" s="1" t="b">
        <f>SkDiplomacyRanks&gt;=4</f>
        <v>0</v>
      </c>
      <c r="DS776" s="1" t="b">
        <f>SkKnowledgeHistoryRanks&gt;=4</f>
        <v>0</v>
      </c>
      <c r="DT776" s="1" t="b">
        <f>IF(NOT(ISNA(MATCH("Undead",TblKnowledgeSkills,0))),INDEX(TblKnowledgeRanks,MATCH("Undead",TblKnowledgeSkills,0),1)&gt;=10,FALSE)</f>
        <v>0</v>
      </c>
      <c r="DU776" s="1" t="b">
        <f>OR(SkKnowledgePlanesRanks&gt;=2,FtEtherealEmpathy,FtGhostsight)</f>
        <v>0</v>
      </c>
      <c r="DV776" s="1" t="b">
        <v>1</v>
      </c>
      <c r="DZ776" s="1" t="b">
        <f t="shared" si="644"/>
        <v>1</v>
      </c>
      <c r="EA776" s="1" t="b">
        <f t="shared" si="671"/>
        <v>0</v>
      </c>
      <c r="EB776" s="11" t="s">
        <v>338</v>
      </c>
      <c r="EC776" s="1" t="str">
        <f>IF(DQ776,"","• Any Non-evil alignment.
")&amp;IF(DR776,"","• 4 ranks in Diplomacy.
")&amp;IF(DS776,"","• 4 ranks in Knowledge (History).
")&amp;IF(DT776,"","• 6 ranks in Knowledge (Undead).
")&amp;IF(DU776,"","• 2 ranks in Knowledge (the planes), or Ethereal Empathy feat, or Ghost Sight feat.
")&amp;IF(DV776,"","• Able to cast halt undead or speak with dead.")</f>
        <v xml:space="preserve">• 4 ranks in Diplomacy.
• 4 ranks in Knowledge (History).
• 6 ranks in Knowledge (Undead).
• 2 ranks in Knowledge (the planes), or Ethereal Empathy feat, or Ghost Sight feat.
</v>
      </c>
      <c r="ED776" s="11" t="s">
        <v>335</v>
      </c>
    </row>
    <row r="777" spans="1:134" ht="11.25" customHeight="1" x14ac:dyDescent="0.2">
      <c r="A777" s="1">
        <f t="shared" si="675"/>
        <v>774</v>
      </c>
      <c r="B777" s="1" t="s">
        <v>1759</v>
      </c>
      <c r="E777" s="1">
        <f t="shared" si="672"/>
        <v>0</v>
      </c>
      <c r="F777" s="1">
        <v>1</v>
      </c>
      <c r="Z777" s="1" t="b">
        <f>FALSE</f>
        <v>0</v>
      </c>
      <c r="AA777" s="1" t="str">
        <f t="shared" si="676"/>
        <v/>
      </c>
      <c r="AB777" s="1" t="str">
        <f t="shared" si="677"/>
        <v/>
      </c>
      <c r="AC777" s="1">
        <f t="shared" si="673"/>
        <v>0</v>
      </c>
      <c r="AD777" s="1" t="str">
        <f t="shared" si="678"/>
        <v/>
      </c>
      <c r="AE777" s="1" t="str">
        <f t="shared" si="679"/>
        <v/>
      </c>
      <c r="AF777" s="1">
        <f t="shared" si="674"/>
        <v>0</v>
      </c>
      <c r="AG777" s="1">
        <f t="shared" si="636"/>
        <v>5</v>
      </c>
      <c r="AH777" s="1" t="str">
        <f t="shared" si="635"/>
        <v/>
      </c>
      <c r="EB777" s="11"/>
      <c r="ED777" s="11" t="s">
        <v>335</v>
      </c>
    </row>
    <row r="778" spans="1:134" ht="11.25" customHeight="1" x14ac:dyDescent="0.2">
      <c r="A778" s="1">
        <f t="shared" si="675"/>
        <v>775</v>
      </c>
      <c r="B778" s="1" t="s">
        <v>1760</v>
      </c>
      <c r="C778" s="1" t="s">
        <v>1761</v>
      </c>
      <c r="D778" s="1" t="s">
        <v>1761</v>
      </c>
      <c r="E778" s="1">
        <f t="shared" si="672"/>
        <v>0</v>
      </c>
      <c r="K778" s="1">
        <v>2</v>
      </c>
      <c r="L778" s="1">
        <v>8</v>
      </c>
      <c r="V778" s="1">
        <v>0.75</v>
      </c>
      <c r="W778" s="1">
        <v>0.5</v>
      </c>
      <c r="X778" s="1">
        <v>0.5</v>
      </c>
      <c r="Y778" s="1">
        <v>0.5</v>
      </c>
      <c r="Z778" s="1" t="b">
        <f>FALSE</f>
        <v>0</v>
      </c>
      <c r="AA778" s="1" t="str">
        <f t="shared" si="676"/>
        <v/>
      </c>
      <c r="AB778" s="1" t="str">
        <f t="shared" si="677"/>
        <v/>
      </c>
      <c r="AC778" s="1">
        <f t="shared" si="673"/>
        <v>0</v>
      </c>
      <c r="AD778" s="1" t="str">
        <f t="shared" si="678"/>
        <v/>
      </c>
      <c r="AE778" s="1" t="str">
        <f t="shared" si="679"/>
        <v/>
      </c>
      <c r="AF778" s="1">
        <f t="shared" si="674"/>
        <v>0</v>
      </c>
      <c r="AG778" s="1">
        <f t="shared" si="636"/>
        <v>5</v>
      </c>
      <c r="AH778" s="1" t="str">
        <f t="shared" si="635"/>
        <v/>
      </c>
      <c r="AI778" s="1">
        <v>1</v>
      </c>
      <c r="AJ778" s="1">
        <f>IF(HRXPH,1,0)</f>
        <v>0</v>
      </c>
      <c r="AK778" s="1">
        <v>1</v>
      </c>
      <c r="AL778" s="1">
        <v>2</v>
      </c>
      <c r="AM778" s="1">
        <v>1</v>
      </c>
      <c r="AN778" s="1">
        <f>IF(IsLycanthrope,2,0)</f>
        <v>0</v>
      </c>
      <c r="AO778" s="1">
        <v>2</v>
      </c>
      <c r="AP778" s="1">
        <v>1</v>
      </c>
      <c r="AQ778" s="1">
        <v>1</v>
      </c>
      <c r="AR778" s="1">
        <v>1</v>
      </c>
      <c r="AS778" s="1">
        <v>1</v>
      </c>
      <c r="AT778" s="1">
        <v>1</v>
      </c>
      <c r="AU778" s="1">
        <v>1</v>
      </c>
      <c r="AV778" s="1">
        <v>1</v>
      </c>
      <c r="AW778" s="1">
        <v>1</v>
      </c>
      <c r="AX778" s="1">
        <v>2</v>
      </c>
      <c r="AY778" s="1">
        <v>1</v>
      </c>
      <c r="AZ778" s="1">
        <v>2</v>
      </c>
      <c r="BA778" s="1">
        <v>1</v>
      </c>
      <c r="BB778" s="1">
        <v>1</v>
      </c>
      <c r="BC778" s="1">
        <v>1</v>
      </c>
      <c r="BD778" s="1">
        <v>1</v>
      </c>
      <c r="BE778" s="1">
        <v>1</v>
      </c>
      <c r="BF778" s="1">
        <v>1</v>
      </c>
      <c r="BG778" s="1">
        <f t="shared" si="667"/>
        <v>0</v>
      </c>
      <c r="BH778" s="1">
        <f>IF(HROA,1,0)</f>
        <v>0</v>
      </c>
      <c r="BI778" s="1">
        <v>1</v>
      </c>
      <c r="BJ778" s="1">
        <v>1</v>
      </c>
      <c r="BK778" s="1">
        <f>IF(FtInitiateOfShar,2,1)</f>
        <v>1</v>
      </c>
      <c r="BL778" s="1">
        <v>1</v>
      </c>
      <c r="BM778" s="1">
        <f>IF(FtInitiateOfShar,2,1)</f>
        <v>1</v>
      </c>
      <c r="BN778" s="1">
        <v>1</v>
      </c>
      <c r="BO778" s="1">
        <v>1</v>
      </c>
      <c r="BP778" s="1">
        <v>1</v>
      </c>
      <c r="BQ778" s="1">
        <f>IF(HRRVL,1,0)</f>
        <v>0</v>
      </c>
      <c r="BR778" s="1">
        <v>1</v>
      </c>
      <c r="BS778" s="1">
        <v>1</v>
      </c>
      <c r="BT778" s="1">
        <v>1</v>
      </c>
      <c r="BU778" s="1">
        <v>1</v>
      </c>
      <c r="BV778" s="1">
        <v>2</v>
      </c>
      <c r="BW778" s="1">
        <v>1</v>
      </c>
      <c r="BX778" s="1">
        <v>1</v>
      </c>
      <c r="BY778" s="1">
        <v>1</v>
      </c>
      <c r="BZ778" s="1">
        <v>1</v>
      </c>
      <c r="CA778" s="1">
        <v>1</v>
      </c>
      <c r="CB778" s="1">
        <v>1</v>
      </c>
      <c r="CC778" s="1">
        <v>1</v>
      </c>
      <c r="CD778" s="1">
        <v>1</v>
      </c>
      <c r="CE778" s="1">
        <v>1</v>
      </c>
      <c r="CF778" s="1">
        <v>2</v>
      </c>
      <c r="CG778" s="1">
        <f>IF(HRToB,1,0)</f>
        <v>0</v>
      </c>
      <c r="CH778" s="1">
        <v>1</v>
      </c>
      <c r="CI778" s="1">
        <v>1</v>
      </c>
      <c r="CJ778" s="1">
        <v>1</v>
      </c>
      <c r="CK778" s="1">
        <v>1</v>
      </c>
      <c r="CL778" s="1">
        <v>1</v>
      </c>
      <c r="CM778" s="1">
        <v>1</v>
      </c>
      <c r="CN778" s="1">
        <v>1</v>
      </c>
      <c r="CO778" s="1">
        <v>1</v>
      </c>
      <c r="CP778" s="1">
        <v>1</v>
      </c>
      <c r="CQ778" s="1">
        <v>1</v>
      </c>
      <c r="CR778" s="1">
        <v>1</v>
      </c>
      <c r="CS778" s="1">
        <v>1</v>
      </c>
      <c r="CT778" s="1">
        <v>1</v>
      </c>
      <c r="CU778" s="1">
        <v>1</v>
      </c>
      <c r="CV778" s="1">
        <v>0</v>
      </c>
      <c r="CW778" s="1">
        <v>1</v>
      </c>
      <c r="CX778" s="1">
        <v>2</v>
      </c>
      <c r="CY778" s="1">
        <v>2</v>
      </c>
      <c r="CZ778" s="1">
        <f>IF(HRCS,1,0)</f>
        <v>0</v>
      </c>
      <c r="DA778" s="1">
        <v>1</v>
      </c>
      <c r="DB778" s="1">
        <v>1</v>
      </c>
      <c r="DC778" s="1">
        <v>2</v>
      </c>
      <c r="DD778" s="1">
        <v>2</v>
      </c>
      <c r="DE778" s="1">
        <v>1</v>
      </c>
      <c r="DF778" s="1">
        <v>1</v>
      </c>
      <c r="DG778" s="1">
        <v>1</v>
      </c>
      <c r="DH778" s="1">
        <v>1</v>
      </c>
      <c r="DI778" s="1">
        <v>0</v>
      </c>
      <c r="DJ778" s="1">
        <v>1</v>
      </c>
      <c r="DK778" s="1" t="s">
        <v>1762</v>
      </c>
      <c r="DL778" s="1" t="s">
        <v>170</v>
      </c>
      <c r="DQ778" s="1" t="b">
        <f>MonType="Outsider"</f>
        <v>0</v>
      </c>
      <c r="DR778" s="1" t="b">
        <f>NOT(ISERROR(SEARCH("Evil",Subtype,1)))</f>
        <v>0</v>
      </c>
      <c r="DS778" s="1" t="b">
        <f>BaseWill&gt;=7</f>
        <v>0</v>
      </c>
      <c r="DT778" s="1" t="b">
        <f>SkBluffRanks&gt;=10</f>
        <v>0</v>
      </c>
      <c r="DU778" s="1" t="b">
        <f>SkKnowledgeReligionRanks&gt;=10</f>
        <v>0</v>
      </c>
      <c r="DV778" s="1" t="b">
        <f>FtLeadership</f>
        <v>0</v>
      </c>
      <c r="EA778" s="1" t="b">
        <f>AND(DQ778:DZ778)</f>
        <v>0</v>
      </c>
      <c r="EB778" s="11" t="s">
        <v>334</v>
      </c>
      <c r="EC778" s="1" t="str">
        <f>IF(DQ778,"","• Must be an Outsider.
")&amp;IF(DR778,"","• Must have the Evil Subtype.
")&amp;IF(DS778,"","• Base Will save +7.
")&amp;IF(DT778,"","• 10 ranks in Bluff.
")&amp;IF(DU778,"","• 10 ranks in Knowledge(Religion).
")&amp;IF(DV778,"","• Leadership feat.
")&amp;"• One Spell-like ability that duplicates a spell effect of 4th level or higher (not verified)."</f>
        <v>• Must be an Outsider.
• Must have the Evil Subtype.
• Base Will save +7.
• 10 ranks in Bluff.
• 10 ranks in Knowledge(Religion).
• Leadership feat.
• One Spell-like ability that duplicates a spell effect of 4th level or higher (not verified).</v>
      </c>
      <c r="ED778" s="11" t="s">
        <v>335</v>
      </c>
    </row>
    <row r="779" spans="1:134" ht="11.25" customHeight="1" x14ac:dyDescent="0.2">
      <c r="A779" s="1">
        <f t="shared" si="675"/>
        <v>776</v>
      </c>
      <c r="B779" s="1" t="s">
        <v>1763</v>
      </c>
      <c r="C779" s="1" t="s">
        <v>1764</v>
      </c>
      <c r="D779" s="1" t="s">
        <v>1764</v>
      </c>
      <c r="E779" s="1">
        <f t="shared" si="672"/>
        <v>0</v>
      </c>
      <c r="K779" s="1">
        <v>2</v>
      </c>
      <c r="L779" s="1">
        <v>6</v>
      </c>
      <c r="V779" s="1">
        <v>0.75</v>
      </c>
      <c r="W779" s="1">
        <v>0.5</v>
      </c>
      <c r="X779" s="1">
        <v>0.5</v>
      </c>
      <c r="Y779" s="1">
        <v>0.5</v>
      </c>
      <c r="Z779" s="1" t="b">
        <f>FALSE</f>
        <v>0</v>
      </c>
      <c r="AA779" s="1" t="str">
        <f t="shared" si="676"/>
        <v/>
      </c>
      <c r="AB779" s="1" t="str">
        <f t="shared" si="677"/>
        <v/>
      </c>
      <c r="AC779" s="1">
        <f t="shared" si="673"/>
        <v>0</v>
      </c>
      <c r="AD779" s="1" t="str">
        <f t="shared" si="678"/>
        <v/>
      </c>
      <c r="AE779" s="1" t="str">
        <f t="shared" si="679"/>
        <v/>
      </c>
      <c r="AF779" s="1">
        <f t="shared" si="674"/>
        <v>0</v>
      </c>
      <c r="AG779" s="1">
        <f t="shared" si="636"/>
        <v>5</v>
      </c>
      <c r="AH779" s="1" t="str">
        <f t="shared" si="635"/>
        <v/>
      </c>
      <c r="AI779" s="1">
        <v>1</v>
      </c>
      <c r="AJ779" s="1">
        <f>IF(HRXPH,1,0)</f>
        <v>0</v>
      </c>
      <c r="AK779" s="1">
        <v>1</v>
      </c>
      <c r="AL779" s="1">
        <v>2</v>
      </c>
      <c r="AM779" s="1">
        <v>1</v>
      </c>
      <c r="AN779" s="1">
        <f>IF(IsLycanthrope,2,0)</f>
        <v>0</v>
      </c>
      <c r="AO779" s="1">
        <v>1</v>
      </c>
      <c r="AP779" s="1">
        <v>1</v>
      </c>
      <c r="AQ779" s="1">
        <v>1</v>
      </c>
      <c r="AR779" s="1">
        <v>1</v>
      </c>
      <c r="AS779" s="1">
        <v>1</v>
      </c>
      <c r="AT779" s="1">
        <v>1</v>
      </c>
      <c r="AU779" s="1">
        <v>1</v>
      </c>
      <c r="AV779" s="1">
        <v>1</v>
      </c>
      <c r="AW779" s="1">
        <v>1</v>
      </c>
      <c r="AX779" s="1">
        <v>2</v>
      </c>
      <c r="AY779" s="1">
        <v>1</v>
      </c>
      <c r="AZ779" s="1">
        <v>2</v>
      </c>
      <c r="BA779" s="1">
        <v>1</v>
      </c>
      <c r="BB779" s="1">
        <v>1</v>
      </c>
      <c r="BC779" s="1">
        <v>1</v>
      </c>
      <c r="BD779" s="1">
        <v>1</v>
      </c>
      <c r="BE779" s="1">
        <v>1</v>
      </c>
      <c r="BF779" s="1">
        <v>1</v>
      </c>
      <c r="BG779" s="1">
        <f t="shared" si="667"/>
        <v>0</v>
      </c>
      <c r="BH779" s="1">
        <f>IF(HROA,1,0)</f>
        <v>0</v>
      </c>
      <c r="BI779" s="1">
        <v>1</v>
      </c>
      <c r="BJ779" s="1">
        <v>1</v>
      </c>
      <c r="BK779" s="1">
        <f>IF(FtInitiateOfShar,2,1)</f>
        <v>1</v>
      </c>
      <c r="BL779" s="1">
        <v>1</v>
      </c>
      <c r="BM779" s="1">
        <f>IF(FtInitiateOfShar,2,1)</f>
        <v>1</v>
      </c>
      <c r="BN779" s="1">
        <v>1</v>
      </c>
      <c r="BO779" s="1">
        <v>1</v>
      </c>
      <c r="BP779" s="1">
        <v>1</v>
      </c>
      <c r="BQ779" s="1">
        <f>IF(HRRVL,1,0)</f>
        <v>0</v>
      </c>
      <c r="BR779" s="1">
        <v>1</v>
      </c>
      <c r="BS779" s="1">
        <v>1</v>
      </c>
      <c r="BT779" s="1">
        <v>1</v>
      </c>
      <c r="BU779" s="1">
        <v>1</v>
      </c>
      <c r="BV779" s="1">
        <v>2</v>
      </c>
      <c r="BW779" s="1">
        <v>1</v>
      </c>
      <c r="BX779" s="1">
        <v>1</v>
      </c>
      <c r="BY779" s="1">
        <v>1</v>
      </c>
      <c r="BZ779" s="1">
        <v>1</v>
      </c>
      <c r="CA779" s="1">
        <v>1</v>
      </c>
      <c r="CB779" s="1">
        <v>1</v>
      </c>
      <c r="CC779" s="1">
        <v>1</v>
      </c>
      <c r="CD779" s="1">
        <v>1</v>
      </c>
      <c r="CE779" s="1">
        <v>1</v>
      </c>
      <c r="CF779" s="1">
        <v>2</v>
      </c>
      <c r="CG779" s="1">
        <f>IF(HRToB,1,0)</f>
        <v>0</v>
      </c>
      <c r="CH779" s="1">
        <v>1</v>
      </c>
      <c r="CI779" s="1">
        <v>1</v>
      </c>
      <c r="CJ779" s="1">
        <v>1</v>
      </c>
      <c r="CK779" s="1">
        <v>1</v>
      </c>
      <c r="CL779" s="1">
        <v>1</v>
      </c>
      <c r="CM779" s="1">
        <v>1</v>
      </c>
      <c r="CN779" s="1">
        <v>1</v>
      </c>
      <c r="CO779" s="1">
        <v>1</v>
      </c>
      <c r="CP779" s="1">
        <v>1</v>
      </c>
      <c r="CQ779" s="1">
        <v>1</v>
      </c>
      <c r="CR779" s="1">
        <v>1</v>
      </c>
      <c r="CS779" s="1">
        <v>1</v>
      </c>
      <c r="CT779" s="1">
        <v>1</v>
      </c>
      <c r="CU779" s="1">
        <v>1</v>
      </c>
      <c r="CV779" s="1">
        <v>0</v>
      </c>
      <c r="CW779" s="1">
        <v>1</v>
      </c>
      <c r="CX779" s="1">
        <v>2</v>
      </c>
      <c r="CY779" s="1">
        <v>2</v>
      </c>
      <c r="CZ779" s="1">
        <f>IF(HRCS,1,0)</f>
        <v>0</v>
      </c>
      <c r="DA779" s="1">
        <v>1</v>
      </c>
      <c r="DB779" s="1">
        <v>1</v>
      </c>
      <c r="DC779" s="1">
        <v>1</v>
      </c>
      <c r="DD779" s="1">
        <v>2</v>
      </c>
      <c r="DE779" s="1">
        <v>1</v>
      </c>
      <c r="DF779" s="1">
        <v>1</v>
      </c>
      <c r="DG779" s="1">
        <v>1</v>
      </c>
      <c r="DH779" s="1">
        <v>1</v>
      </c>
      <c r="DI779" s="1">
        <v>0</v>
      </c>
      <c r="DJ779" s="1">
        <v>1</v>
      </c>
      <c r="DK779" s="1" t="s">
        <v>1762</v>
      </c>
      <c r="DL779" s="1" t="s">
        <v>170</v>
      </c>
      <c r="DQ779" s="1" t="b">
        <f>MonType="Outsider"</f>
        <v>0</v>
      </c>
      <c r="DR779" s="1" t="b">
        <f>NOT(ISERROR(SEARCH("Evil",Subtype,1)))</f>
        <v>0</v>
      </c>
      <c r="DS779" s="1" t="b">
        <f>BaseWill&gt;=7</f>
        <v>0</v>
      </c>
      <c r="DT779" s="1" t="b">
        <f>SkBluffRanks&gt;=10</f>
        <v>0</v>
      </c>
      <c r="DU779" s="1" t="b">
        <f>SkDisguiseRanks&gt;=10</f>
        <v>0</v>
      </c>
      <c r="DV779" s="1" t="b">
        <f>SkSenseMotiveRanks&gt;=10</f>
        <v>0</v>
      </c>
      <c r="EA779" s="1" t="b">
        <f>AND(DQ779:DZ779)</f>
        <v>0</v>
      </c>
      <c r="EB779" s="11" t="s">
        <v>334</v>
      </c>
      <c r="EC779" s="1" t="str">
        <f>IF(DQ779,"","• Must be an Outsider.
")&amp;IF(DR779,"","• Must have the Evil Subtype.
")&amp;IF(DS779,"","• Base Will save +7.
")&amp;IF(DT779,"","• 10 ranks in Bluff.
")&amp;IF(DU779,"","• 10 ranks in Disguise.
")&amp;IF(DV779,"","• 10 ranks in Sense Motive.
")&amp;"• Able to use Charm Monster or Charm Person as a spell or spell-like ability (not verified)."</f>
        <v>• Must be an Outsider.
• Must have the Evil Subtype.
• Base Will save +7.
• 10 ranks in Bluff.
• 10 ranks in Disguise.
• 10 ranks in Sense Motive.
• Able to use Charm Monster or Charm Person as a spell or spell-like ability (not verified).</v>
      </c>
      <c r="ED779" s="11" t="s">
        <v>335</v>
      </c>
    </row>
    <row r="780" spans="1:134" ht="11.25" customHeight="1" x14ac:dyDescent="0.2">
      <c r="A780" s="1">
        <f t="shared" si="675"/>
        <v>777</v>
      </c>
      <c r="B780" s="1" t="s">
        <v>1765</v>
      </c>
      <c r="C780" s="1" t="s">
        <v>1766</v>
      </c>
      <c r="D780" s="1" t="s">
        <v>1766</v>
      </c>
      <c r="E780" s="1">
        <f t="shared" si="672"/>
        <v>0</v>
      </c>
      <c r="K780" s="1">
        <v>2</v>
      </c>
      <c r="L780" s="1">
        <v>6</v>
      </c>
      <c r="V780" s="1">
        <v>0.5</v>
      </c>
      <c r="W780" s="1">
        <v>0.5</v>
      </c>
      <c r="X780" s="1">
        <v>0.5</v>
      </c>
      <c r="Y780" s="1">
        <v>0.5</v>
      </c>
      <c r="Z780" s="1" t="b">
        <f>FALSE</f>
        <v>0</v>
      </c>
      <c r="AA780" s="1" t="str">
        <f t="shared" si="676"/>
        <v/>
      </c>
      <c r="AB780" s="1" t="str">
        <f t="shared" si="677"/>
        <v/>
      </c>
      <c r="AC780" s="1">
        <f t="shared" si="673"/>
        <v>0</v>
      </c>
      <c r="AD780" s="1" t="str">
        <f t="shared" si="678"/>
        <v/>
      </c>
      <c r="AE780" s="1" t="str">
        <f t="shared" si="679"/>
        <v/>
      </c>
      <c r="AF780" s="1">
        <f t="shared" si="674"/>
        <v>0</v>
      </c>
      <c r="AG780" s="1">
        <f t="shared" si="636"/>
        <v>5</v>
      </c>
      <c r="AH780" s="1" t="str">
        <f t="shared" si="635"/>
        <v/>
      </c>
      <c r="AI780" s="1">
        <v>1</v>
      </c>
      <c r="AJ780" s="1">
        <f>IF(HRXPH,1,0)</f>
        <v>0</v>
      </c>
      <c r="AK780" s="1">
        <v>1</v>
      </c>
      <c r="AL780" s="1">
        <v>2</v>
      </c>
      <c r="AM780" s="1">
        <v>1</v>
      </c>
      <c r="AN780" s="1">
        <f>IF(IsLycanthrope,2,0)</f>
        <v>0</v>
      </c>
      <c r="AO780" s="1">
        <v>1</v>
      </c>
      <c r="AP780" s="1">
        <v>1</v>
      </c>
      <c r="AQ780" s="1">
        <v>1</v>
      </c>
      <c r="AR780" s="1">
        <v>1</v>
      </c>
      <c r="AS780" s="1">
        <v>1</v>
      </c>
      <c r="AT780" s="1">
        <v>1</v>
      </c>
      <c r="AU780" s="1">
        <v>1</v>
      </c>
      <c r="AV780" s="1">
        <v>1</v>
      </c>
      <c r="AW780" s="1">
        <v>1</v>
      </c>
      <c r="AX780" s="1">
        <v>2</v>
      </c>
      <c r="AY780" s="1">
        <v>1</v>
      </c>
      <c r="AZ780" s="1">
        <v>2</v>
      </c>
      <c r="BA780" s="1">
        <v>1</v>
      </c>
      <c r="BB780" s="1">
        <v>1</v>
      </c>
      <c r="BC780" s="1">
        <v>1</v>
      </c>
      <c r="BD780" s="1">
        <v>1</v>
      </c>
      <c r="BE780" s="1">
        <v>1</v>
      </c>
      <c r="BF780" s="1">
        <v>2</v>
      </c>
      <c r="BG780" s="1">
        <f t="shared" si="667"/>
        <v>0</v>
      </c>
      <c r="BH780" s="1">
        <f>IF(HROA,1,0)</f>
        <v>0</v>
      </c>
      <c r="BI780" s="1">
        <v>1</v>
      </c>
      <c r="BJ780" s="1">
        <v>1</v>
      </c>
      <c r="BK780" s="1">
        <f>IF(FtInitiateOfShar,2,1)</f>
        <v>1</v>
      </c>
      <c r="BL780" s="1">
        <v>1</v>
      </c>
      <c r="BM780" s="1">
        <f>IF(FtInitiateOfShar,2,1)</f>
        <v>1</v>
      </c>
      <c r="BN780" s="1">
        <v>1</v>
      </c>
      <c r="BO780" s="1">
        <v>1</v>
      </c>
      <c r="BP780" s="1">
        <v>1</v>
      </c>
      <c r="BQ780" s="1">
        <f>IF(HRRVL,1,0)</f>
        <v>0</v>
      </c>
      <c r="BR780" s="1">
        <v>1</v>
      </c>
      <c r="BS780" s="1">
        <v>1</v>
      </c>
      <c r="BT780" s="1">
        <v>1</v>
      </c>
      <c r="BU780" s="1">
        <v>1</v>
      </c>
      <c r="BV780" s="1">
        <v>1</v>
      </c>
      <c r="BW780" s="1">
        <v>1</v>
      </c>
      <c r="BX780" s="1">
        <v>1</v>
      </c>
      <c r="BY780" s="1">
        <v>1</v>
      </c>
      <c r="BZ780" s="1">
        <v>1</v>
      </c>
      <c r="CA780" s="1">
        <v>1</v>
      </c>
      <c r="CB780" s="1">
        <v>1</v>
      </c>
      <c r="CC780" s="1">
        <v>1</v>
      </c>
      <c r="CD780" s="1">
        <v>1</v>
      </c>
      <c r="CE780" s="1">
        <v>1</v>
      </c>
      <c r="CF780" s="1">
        <v>2</v>
      </c>
      <c r="CG780" s="1">
        <f>IF(HRToB,1,0)</f>
        <v>0</v>
      </c>
      <c r="CH780" s="1">
        <v>1</v>
      </c>
      <c r="CI780" s="1">
        <v>1</v>
      </c>
      <c r="CJ780" s="1">
        <v>1</v>
      </c>
      <c r="CK780" s="1">
        <v>1</v>
      </c>
      <c r="CL780" s="1">
        <v>1</v>
      </c>
      <c r="CM780" s="1">
        <v>1</v>
      </c>
      <c r="CN780" s="1">
        <v>1</v>
      </c>
      <c r="CO780" s="1">
        <v>1</v>
      </c>
      <c r="CP780" s="1">
        <v>1</v>
      </c>
      <c r="CQ780" s="1">
        <v>1</v>
      </c>
      <c r="CR780" s="1">
        <v>1</v>
      </c>
      <c r="CS780" s="1">
        <v>1</v>
      </c>
      <c r="CT780" s="1">
        <v>1</v>
      </c>
      <c r="CU780" s="1">
        <v>1</v>
      </c>
      <c r="CV780" s="1">
        <v>0</v>
      </c>
      <c r="CW780" s="1">
        <v>1</v>
      </c>
      <c r="CX780" s="1">
        <v>2</v>
      </c>
      <c r="CY780" s="1">
        <v>2</v>
      </c>
      <c r="CZ780" s="1">
        <f>IF(HRCS,1,0)</f>
        <v>0</v>
      </c>
      <c r="DA780" s="1">
        <v>1</v>
      </c>
      <c r="DB780" s="1">
        <v>1</v>
      </c>
      <c r="DC780" s="1">
        <v>2</v>
      </c>
      <c r="DD780" s="1">
        <v>2</v>
      </c>
      <c r="DE780" s="1">
        <v>1</v>
      </c>
      <c r="DF780" s="1">
        <v>1</v>
      </c>
      <c r="DG780" s="1">
        <v>1</v>
      </c>
      <c r="DH780" s="1">
        <v>1</v>
      </c>
      <c r="DI780" s="1">
        <v>0</v>
      </c>
      <c r="DJ780" s="1">
        <v>1</v>
      </c>
      <c r="DK780" s="1" t="s">
        <v>1762</v>
      </c>
      <c r="DL780" s="1" t="s">
        <v>170</v>
      </c>
      <c r="DQ780" s="1" t="b">
        <f>MonType="Outsider"</f>
        <v>0</v>
      </c>
      <c r="DR780" s="1" t="b">
        <f>NOT(ISERROR(SEARCH("Evil",Subtype,1)))</f>
        <v>0</v>
      </c>
      <c r="DS780" s="1" t="b">
        <f>BaseWill&gt;=5</f>
        <v>0</v>
      </c>
      <c r="DT780" s="1" t="b">
        <f>SkHideRanks&gt;=6</f>
        <v>0</v>
      </c>
      <c r="DU780" s="1" t="b">
        <f>SkKnowledgeArcanaRanks&gt;=6</f>
        <v>0</v>
      </c>
      <c r="EA780" s="1" t="b">
        <f>AND(DQ780:DZ780)</f>
        <v>0</v>
      </c>
      <c r="EB780" s="11" t="s">
        <v>334</v>
      </c>
      <c r="EC780" s="1" t="str">
        <f>IF(DQ780,"","• Must be an Outsider.
")&amp;IF(DR780,"","• Must have the Evil Subtype.
")&amp;IF(DS780,"","• Base Will save +5.
")&amp;IF(DT780,"","• 6 ranks in Hide.
")&amp;IF(DU780,"","• 6 ranks in Knowledge(Arcana).")</f>
        <v>• Must be an Outsider.
• Must have the Evil Subtype.
• Base Will save +5.
• 6 ranks in Hide.
• 6 ranks in Knowledge(Arcana).</v>
      </c>
      <c r="ED780" s="11" t="s">
        <v>335</v>
      </c>
    </row>
    <row r="781" spans="1:134" ht="11.25" customHeight="1" x14ac:dyDescent="0.2">
      <c r="A781" s="1">
        <f t="shared" si="675"/>
        <v>778</v>
      </c>
      <c r="B781" s="1" t="s">
        <v>1767</v>
      </c>
      <c r="E781" s="1">
        <f t="shared" si="672"/>
        <v>0</v>
      </c>
      <c r="Z781" s="1" t="b">
        <f>FALSE</f>
        <v>0</v>
      </c>
      <c r="AA781" s="1" t="str">
        <f t="shared" si="676"/>
        <v/>
      </c>
      <c r="AB781" s="1" t="str">
        <f t="shared" si="677"/>
        <v/>
      </c>
      <c r="AC781" s="1">
        <f t="shared" si="673"/>
        <v>0</v>
      </c>
      <c r="AD781" s="1" t="str">
        <f t="shared" si="678"/>
        <v/>
      </c>
      <c r="AE781" s="1" t="str">
        <f t="shared" si="679"/>
        <v/>
      </c>
      <c r="AF781" s="1">
        <f t="shared" si="674"/>
        <v>0</v>
      </c>
      <c r="AG781" s="1">
        <f t="shared" si="636"/>
        <v>5</v>
      </c>
      <c r="AH781" s="1" t="str">
        <f t="shared" si="635"/>
        <v/>
      </c>
      <c r="EB781" s="11"/>
      <c r="ED781" s="11" t="s">
        <v>335</v>
      </c>
    </row>
    <row r="782" spans="1:134" ht="11.25" customHeight="1" x14ac:dyDescent="0.2">
      <c r="A782" s="1">
        <f t="shared" si="675"/>
        <v>779</v>
      </c>
      <c r="B782" s="1" t="s">
        <v>1768</v>
      </c>
      <c r="C782" s="1" t="s">
        <v>1769</v>
      </c>
      <c r="D782" s="1" t="s">
        <v>1769</v>
      </c>
      <c r="E782" s="1">
        <f t="shared" si="672"/>
        <v>0</v>
      </c>
      <c r="K782" s="1">
        <v>6</v>
      </c>
      <c r="L782" s="1">
        <v>6</v>
      </c>
      <c r="N782" s="1" t="b">
        <v>1</v>
      </c>
      <c r="O782" s="1" t="b">
        <v>1</v>
      </c>
      <c r="S782" s="1" t="b">
        <v>1</v>
      </c>
      <c r="V782" s="1">
        <v>1</v>
      </c>
      <c r="W782" s="1">
        <v>0.34</v>
      </c>
      <c r="X782" s="1">
        <v>0.5</v>
      </c>
      <c r="Y782" s="1">
        <v>0.34</v>
      </c>
      <c r="Z782" s="1" t="b">
        <f>FALSE</f>
        <v>0</v>
      </c>
      <c r="AA782" s="1" t="str">
        <f t="shared" si="676"/>
        <v/>
      </c>
      <c r="AB782" s="1" t="str">
        <f t="shared" si="677"/>
        <v/>
      </c>
      <c r="AC782" s="1">
        <f t="shared" si="673"/>
        <v>0</v>
      </c>
      <c r="AD782" s="1" t="str">
        <f t="shared" si="678"/>
        <v/>
      </c>
      <c r="AE782" s="1" t="str">
        <f t="shared" si="679"/>
        <v/>
      </c>
      <c r="AF782" s="1">
        <f t="shared" si="674"/>
        <v>0</v>
      </c>
      <c r="AG782" s="1">
        <f t="shared" si="636"/>
        <v>5</v>
      </c>
      <c r="AH782" s="1" t="str">
        <f t="shared" si="635"/>
        <v/>
      </c>
      <c r="AI782" s="1">
        <v>1</v>
      </c>
      <c r="AJ782" s="1">
        <f>IF(HRXPH,1,0)</f>
        <v>0</v>
      </c>
      <c r="AK782" s="1">
        <v>1</v>
      </c>
      <c r="AL782" s="1">
        <v>2</v>
      </c>
      <c r="AM782" s="1">
        <v>2</v>
      </c>
      <c r="AN782" s="1">
        <f>IF(IsLycanthrope,2,0)</f>
        <v>0</v>
      </c>
      <c r="AO782" s="1">
        <v>1</v>
      </c>
      <c r="AP782" s="1">
        <v>2</v>
      </c>
      <c r="AQ782" s="1">
        <v>2</v>
      </c>
      <c r="AR782" s="1">
        <v>2</v>
      </c>
      <c r="AS782" s="1">
        <v>2</v>
      </c>
      <c r="AT782" s="1">
        <v>2</v>
      </c>
      <c r="AU782" s="1">
        <v>2</v>
      </c>
      <c r="AV782" s="1">
        <v>2</v>
      </c>
      <c r="AW782" s="1">
        <v>1</v>
      </c>
      <c r="AX782" s="1">
        <v>2</v>
      </c>
      <c r="AY782" s="1">
        <v>2</v>
      </c>
      <c r="AZ782" s="1">
        <v>2</v>
      </c>
      <c r="BA782" s="1">
        <v>2</v>
      </c>
      <c r="BB782" s="1">
        <v>2</v>
      </c>
      <c r="BC782" s="1">
        <v>2</v>
      </c>
      <c r="BD782" s="1">
        <v>1</v>
      </c>
      <c r="BE782" s="1">
        <v>1</v>
      </c>
      <c r="BF782" s="1">
        <v>2</v>
      </c>
      <c r="BG782" s="1">
        <f t="shared" si="667"/>
        <v>0</v>
      </c>
      <c r="BH782" s="1">
        <f>IF(HROA,1,0)</f>
        <v>0</v>
      </c>
      <c r="BI782" s="1">
        <v>2</v>
      </c>
      <c r="BJ782" s="1">
        <v>2</v>
      </c>
      <c r="BK782" s="1">
        <v>1</v>
      </c>
      <c r="BL782" s="1">
        <v>1</v>
      </c>
      <c r="BM782" s="1">
        <v>1</v>
      </c>
      <c r="BN782" s="1">
        <v>1</v>
      </c>
      <c r="BO782" s="1">
        <v>1</v>
      </c>
      <c r="BP782" s="1">
        <v>2</v>
      </c>
      <c r="BQ782" s="1">
        <f>IF(HRRVL,1,0)</f>
        <v>0</v>
      </c>
      <c r="BR782" s="1">
        <v>1</v>
      </c>
      <c r="BS782" s="1">
        <v>1</v>
      </c>
      <c r="BT782" s="1">
        <f>IF(HRXPH,1,0)</f>
        <v>0</v>
      </c>
      <c r="BU782" s="1">
        <f>IF(HRRVL,1,0)</f>
        <v>0</v>
      </c>
      <c r="BV782" s="1">
        <v>1</v>
      </c>
      <c r="BW782" s="1">
        <v>1</v>
      </c>
      <c r="BX782" s="1">
        <v>1</v>
      </c>
      <c r="BY782" s="1">
        <v>1</v>
      </c>
      <c r="BZ782" s="1">
        <v>1</v>
      </c>
      <c r="CA782" s="1">
        <v>1</v>
      </c>
      <c r="CB782" s="1">
        <v>1</v>
      </c>
      <c r="CC782" s="1">
        <v>1</v>
      </c>
      <c r="CD782" s="1">
        <v>1</v>
      </c>
      <c r="CE782" s="1">
        <v>1</v>
      </c>
      <c r="CF782" s="1">
        <v>2</v>
      </c>
      <c r="CG782" s="1">
        <f>IF(HRToB,1,0)</f>
        <v>0</v>
      </c>
      <c r="CH782" s="1">
        <v>2</v>
      </c>
      <c r="CI782" s="1">
        <v>2</v>
      </c>
      <c r="CJ782" s="1">
        <v>1</v>
      </c>
      <c r="CK782" s="1">
        <v>1</v>
      </c>
      <c r="CL782" s="1">
        <v>1</v>
      </c>
      <c r="CM782" s="1">
        <v>1</v>
      </c>
      <c r="CN782" s="1">
        <v>1</v>
      </c>
      <c r="CO782" s="1">
        <v>1</v>
      </c>
      <c r="CP782" s="1">
        <v>2</v>
      </c>
      <c r="CQ782" s="1">
        <v>2</v>
      </c>
      <c r="CR782" s="1">
        <v>2</v>
      </c>
      <c r="CS782" s="1">
        <v>2</v>
      </c>
      <c r="CT782" s="1">
        <v>2</v>
      </c>
      <c r="CU782" s="1">
        <v>2</v>
      </c>
      <c r="CV782" s="1">
        <f>IF(HRXPH,1,0)</f>
        <v>0</v>
      </c>
      <c r="CW782" s="1">
        <v>1</v>
      </c>
      <c r="CX782" s="1">
        <v>2</v>
      </c>
      <c r="CY782" s="1">
        <v>2</v>
      </c>
      <c r="CZ782" s="1">
        <f>IF(HRCS,1,0)</f>
        <v>0</v>
      </c>
      <c r="DA782" s="1">
        <v>1</v>
      </c>
      <c r="DB782" s="1">
        <v>1</v>
      </c>
      <c r="DC782" s="1">
        <v>1</v>
      </c>
      <c r="DD782" s="1">
        <v>2</v>
      </c>
      <c r="DE782" s="1">
        <v>2</v>
      </c>
      <c r="DF782" s="1">
        <v>2</v>
      </c>
      <c r="DG782" s="1">
        <v>1</v>
      </c>
      <c r="DH782" s="1">
        <v>1</v>
      </c>
      <c r="DI782" s="1">
        <f>IF(HRXPH,1,0)</f>
        <v>0</v>
      </c>
      <c r="DJ782" s="1">
        <v>2</v>
      </c>
      <c r="DK782" s="1" t="s">
        <v>309</v>
      </c>
      <c r="DL782" s="1" t="s">
        <v>170</v>
      </c>
      <c r="DV782" s="1" t="b">
        <f>NOT(ISNA(MATCH("traps",TblCraftSkills,0)))</f>
        <v>0</v>
      </c>
      <c r="DW782" s="1" t="b">
        <f>SkHideRanks&gt;=5</f>
        <v>0</v>
      </c>
      <c r="DX782" s="1" t="b">
        <f>SkMoveSilentlyRanks&gt;=5</f>
        <v>0</v>
      </c>
      <c r="DY782" s="1" t="b">
        <f>SkSurvivalRanks&gt;=8</f>
        <v>0</v>
      </c>
      <c r="DZ782" s="1" t="b">
        <f>NOT(HRLivingGreyhawk)</f>
        <v>1</v>
      </c>
      <c r="EA782" s="1" t="b">
        <f>AND(DM782:DZ782)</f>
        <v>0</v>
      </c>
      <c r="EB782" s="11" t="s">
        <v>338</v>
      </c>
      <c r="EC782" s="1" t="str">
        <f>IF(DV782,"","• Craft (traps) 8 ranks.
")&amp;IF(DW782,"","• Hide 5 ranks.
")&amp;IF(DX782,"","• Move Silently 5 ranks.
")&amp;IF(DY782,"","• Survival 8 ranks.
"&amp;IF(DZ782,"","• Not available in Living Greyhawk."))</f>
        <v xml:space="preserve">• Craft (traps) 8 ranks.
• Hide 5 ranks.
• Move Silently 5 ranks.
• Survival 8 ranks.
</v>
      </c>
      <c r="ED782" s="11" t="s">
        <v>335</v>
      </c>
    </row>
    <row r="783" spans="1:134" ht="11.25" customHeight="1" x14ac:dyDescent="0.2">
      <c r="A783" s="1">
        <f t="shared" si="675"/>
        <v>780</v>
      </c>
      <c r="B783" s="1" t="s">
        <v>1770</v>
      </c>
      <c r="C783" s="1" t="s">
        <v>1771</v>
      </c>
      <c r="D783" s="1" t="s">
        <v>1771</v>
      </c>
      <c r="E783" s="1">
        <f t="shared" si="672"/>
        <v>0</v>
      </c>
      <c r="K783" s="1">
        <v>4</v>
      </c>
      <c r="L783" s="1">
        <v>8</v>
      </c>
      <c r="V783" s="1">
        <v>0.5</v>
      </c>
      <c r="W783" s="1">
        <v>0.5</v>
      </c>
      <c r="X783" s="1">
        <v>0.5</v>
      </c>
      <c r="Y783" s="1">
        <v>0.34</v>
      </c>
      <c r="Z783" s="1" t="b">
        <f>FALSE</f>
        <v>0</v>
      </c>
      <c r="AA783" s="1" t="str">
        <f t="shared" si="676"/>
        <v/>
      </c>
      <c r="AB783" s="1" t="str">
        <f t="shared" si="677"/>
        <v/>
      </c>
      <c r="AC783" s="1">
        <f t="shared" si="673"/>
        <v>0</v>
      </c>
      <c r="AD783" s="1" t="str">
        <f t="shared" si="678"/>
        <v/>
      </c>
      <c r="AE783" s="1" t="str">
        <f t="shared" si="679"/>
        <v/>
      </c>
      <c r="AF783" s="1">
        <f t="shared" si="674"/>
        <v>0</v>
      </c>
      <c r="AG783" s="1">
        <f t="shared" si="636"/>
        <v>5</v>
      </c>
      <c r="AH783" s="1" t="str">
        <f t="shared" si="635"/>
        <v/>
      </c>
      <c r="AI783" s="1">
        <v>1</v>
      </c>
      <c r="AJ783" s="1">
        <f>IF(HRXPH,1,0)</f>
        <v>0</v>
      </c>
      <c r="AK783" s="1">
        <v>2</v>
      </c>
      <c r="AL783" s="1">
        <v>1</v>
      </c>
      <c r="AM783" s="1">
        <v>1</v>
      </c>
      <c r="AN783" s="1">
        <f>IF(IsLycanthrope,2,0)</f>
        <v>0</v>
      </c>
      <c r="AO783" s="1">
        <v>1</v>
      </c>
      <c r="AP783" s="1">
        <v>1</v>
      </c>
      <c r="AQ783" s="1">
        <v>1</v>
      </c>
      <c r="AR783" s="1">
        <v>1</v>
      </c>
      <c r="AS783" s="1">
        <v>1</v>
      </c>
      <c r="AT783" s="1">
        <v>1</v>
      </c>
      <c r="AU783" s="1">
        <v>1</v>
      </c>
      <c r="AV783" s="1">
        <v>1</v>
      </c>
      <c r="AW783" s="1">
        <v>1</v>
      </c>
      <c r="AX783" s="1">
        <v>1</v>
      </c>
      <c r="AY783" s="1">
        <v>1</v>
      </c>
      <c r="AZ783" s="1">
        <v>1</v>
      </c>
      <c r="BA783" s="1">
        <v>1</v>
      </c>
      <c r="BB783" s="1">
        <v>1</v>
      </c>
      <c r="BC783" s="1">
        <v>1</v>
      </c>
      <c r="BD783" s="1">
        <v>1</v>
      </c>
      <c r="BE783" s="1">
        <v>2</v>
      </c>
      <c r="BF783" s="1">
        <v>1</v>
      </c>
      <c r="BG783" s="1">
        <f t="shared" si="667"/>
        <v>0</v>
      </c>
      <c r="BH783" s="1">
        <f>IF(HROA,1,0)</f>
        <v>0</v>
      </c>
      <c r="BI783" s="1">
        <v>1</v>
      </c>
      <c r="BJ783" s="1">
        <v>2</v>
      </c>
      <c r="BK783" s="1">
        <v>1</v>
      </c>
      <c r="BL783" s="1">
        <v>1</v>
      </c>
      <c r="BM783" s="1">
        <v>1</v>
      </c>
      <c r="BN783" s="1">
        <v>1</v>
      </c>
      <c r="BO783" s="1">
        <v>1</v>
      </c>
      <c r="BP783" s="1">
        <v>1</v>
      </c>
      <c r="BQ783" s="1">
        <f>IF(HRRVL,1,0)</f>
        <v>0</v>
      </c>
      <c r="BR783" s="1">
        <v>1</v>
      </c>
      <c r="BS783" s="1">
        <v>1</v>
      </c>
      <c r="BT783" s="1">
        <f>IF(HRXPH,1,0)</f>
        <v>0</v>
      </c>
      <c r="BU783" s="1">
        <f>IF(HRRVL,1,0)</f>
        <v>0</v>
      </c>
      <c r="BV783" s="1">
        <v>1</v>
      </c>
      <c r="BW783" s="1">
        <v>1</v>
      </c>
      <c r="BX783" s="1">
        <v>1</v>
      </c>
      <c r="BY783" s="1">
        <v>1</v>
      </c>
      <c r="BZ783" s="1">
        <v>1</v>
      </c>
      <c r="CA783" s="1">
        <v>1</v>
      </c>
      <c r="CB783" s="1">
        <v>1</v>
      </c>
      <c r="CC783" s="1">
        <v>1</v>
      </c>
      <c r="CD783" s="1">
        <v>1</v>
      </c>
      <c r="CE783" s="1">
        <v>1</v>
      </c>
      <c r="CF783" s="1">
        <v>2</v>
      </c>
      <c r="CG783" s="1">
        <f>IF(HRToB,1,0)</f>
        <v>0</v>
      </c>
      <c r="CH783" s="1">
        <v>2</v>
      </c>
      <c r="CI783" s="1">
        <v>1</v>
      </c>
      <c r="CJ783" s="1">
        <v>1</v>
      </c>
      <c r="CK783" s="1">
        <v>1</v>
      </c>
      <c r="CL783" s="1">
        <v>1</v>
      </c>
      <c r="CM783" s="1">
        <v>1</v>
      </c>
      <c r="CN783" s="1">
        <v>1</v>
      </c>
      <c r="CO783" s="1">
        <v>1</v>
      </c>
      <c r="CP783" s="1">
        <v>1</v>
      </c>
      <c r="CQ783" s="1">
        <v>1</v>
      </c>
      <c r="CR783" s="1">
        <v>1</v>
      </c>
      <c r="CS783" s="1">
        <v>1</v>
      </c>
      <c r="CT783" s="1">
        <v>1</v>
      </c>
      <c r="CU783" s="1">
        <v>1</v>
      </c>
      <c r="CV783" s="1">
        <f>IF(HRXPH,1,0)</f>
        <v>0</v>
      </c>
      <c r="CW783" s="1">
        <v>1</v>
      </c>
      <c r="CX783" s="1">
        <v>1</v>
      </c>
      <c r="CY783" s="1">
        <v>1</v>
      </c>
      <c r="CZ783" s="1">
        <f>IF(HRCS,1,0)</f>
        <v>0</v>
      </c>
      <c r="DA783" s="1">
        <v>1</v>
      </c>
      <c r="DB783" s="1">
        <v>1</v>
      </c>
      <c r="DC783" s="1">
        <v>1</v>
      </c>
      <c r="DD783" s="1">
        <v>2</v>
      </c>
      <c r="DE783" s="1">
        <v>1</v>
      </c>
      <c r="DF783" s="1">
        <v>2</v>
      </c>
      <c r="DG783" s="1">
        <v>2</v>
      </c>
      <c r="DH783" s="1">
        <v>1</v>
      </c>
      <c r="DI783" s="1">
        <f>IF(HRXPH,1,0)</f>
        <v>0</v>
      </c>
      <c r="DJ783" s="1">
        <v>1</v>
      </c>
      <c r="DK783" s="1" t="s">
        <v>309</v>
      </c>
      <c r="DL783" s="1" t="s">
        <v>170</v>
      </c>
      <c r="DW783" s="1" t="b">
        <f>FtEndurance</f>
        <v>0</v>
      </c>
      <c r="DX783" s="1" t="b">
        <f>FtMobility</f>
        <v>0</v>
      </c>
      <c r="DY783" s="1" t="b">
        <f>FtRun</f>
        <v>0</v>
      </c>
      <c r="DZ783" s="1" t="b">
        <f>NOT(HRLivingGreyhawk)</f>
        <v>1</v>
      </c>
      <c r="EA783" s="1" t="b">
        <f>AND(DM783:DZ783)</f>
        <v>0</v>
      </c>
      <c r="EB783" s="11" t="s">
        <v>338</v>
      </c>
      <c r="EC783" s="1" t="str">
        <f>IF(DW783,"","• Endurance Feat.
")&amp;IF(DX783,"","• Mobility Feat.
")&amp;IF(DY783,"","• Run Feat.
"&amp;IF(DZ783,"","• Not available in Living Greyhawk."))</f>
        <v xml:space="preserve">• Endurance Feat.
• Mobility Feat.
• Run Feat.
</v>
      </c>
      <c r="ED783" s="11" t="s">
        <v>335</v>
      </c>
    </row>
    <row r="784" spans="1:134" ht="11.25" customHeight="1" x14ac:dyDescent="0.2">
      <c r="A784" s="1">
        <f t="shared" si="675"/>
        <v>781</v>
      </c>
      <c r="B784" s="1" t="s">
        <v>1772</v>
      </c>
      <c r="E784" s="1">
        <f t="shared" ref="E784:E793" si="680">$AC784+$AF784+IF(HasVirtualClasses,COUNTIF(TblVClassesAtLvlCS,$A784),0)</f>
        <v>0</v>
      </c>
      <c r="F784" s="1">
        <v>1</v>
      </c>
      <c r="Z784" s="1" t="b">
        <f>FALSE</f>
        <v>0</v>
      </c>
      <c r="AA784" s="1" t="str">
        <f t="shared" si="676"/>
        <v/>
      </c>
      <c r="AB784" s="1" t="str">
        <f t="shared" si="677"/>
        <v/>
      </c>
      <c r="AC784" s="1">
        <f t="shared" ref="AC784:AC793" si="681">COUNTIF(TblClassesAtLvlCS,$A784)</f>
        <v>0</v>
      </c>
      <c r="AD784" s="1" t="str">
        <f t="shared" si="678"/>
        <v/>
      </c>
      <c r="AE784" s="1" t="str">
        <f t="shared" si="679"/>
        <v/>
      </c>
      <c r="AF784" s="1">
        <f t="shared" ref="AF784:AF793" si="682">IF(HRGestalt,COUNTIF(TblGClassesAtLvlCS,$A784),0)</f>
        <v>0</v>
      </c>
      <c r="AG784" s="1">
        <f t="shared" si="636"/>
        <v>5</v>
      </c>
      <c r="AH784" s="1" t="str">
        <f t="shared" si="635"/>
        <v/>
      </c>
      <c r="EB784" s="11"/>
      <c r="ED784" s="11" t="s">
        <v>335</v>
      </c>
    </row>
    <row r="785" spans="1:134" ht="11.25" customHeight="1" x14ac:dyDescent="0.2">
      <c r="A785" s="1">
        <f t="shared" si="675"/>
        <v>782</v>
      </c>
      <c r="B785" s="1" t="s">
        <v>1773</v>
      </c>
      <c r="C785" s="1" t="s">
        <v>1774</v>
      </c>
      <c r="D785" s="1" t="s">
        <v>1774</v>
      </c>
      <c r="E785" s="1">
        <f t="shared" si="680"/>
        <v>0</v>
      </c>
      <c r="G785" s="1">
        <f>INT(OstLvl/2)</f>
        <v>0</v>
      </c>
      <c r="K785" s="1">
        <v>2</v>
      </c>
      <c r="L785" s="1">
        <v>8</v>
      </c>
      <c r="V785" s="1">
        <v>0.75</v>
      </c>
      <c r="W785" s="1">
        <v>0.5</v>
      </c>
      <c r="X785" s="1">
        <v>0.34</v>
      </c>
      <c r="Y785" s="1">
        <v>0.5</v>
      </c>
      <c r="Z785" s="1" t="b">
        <f>FALSE</f>
        <v>0</v>
      </c>
      <c r="AA785" s="1" t="str">
        <f t="shared" si="676"/>
        <v/>
      </c>
      <c r="AB785" s="1" t="str">
        <f t="shared" si="677"/>
        <v/>
      </c>
      <c r="AC785" s="1">
        <f t="shared" si="681"/>
        <v>0</v>
      </c>
      <c r="AD785" s="1" t="str">
        <f t="shared" si="678"/>
        <v/>
      </c>
      <c r="AE785" s="1" t="str">
        <f t="shared" si="679"/>
        <v/>
      </c>
      <c r="AF785" s="1">
        <f t="shared" si="682"/>
        <v>0</v>
      </c>
      <c r="AG785" s="1">
        <f t="shared" si="636"/>
        <v>5</v>
      </c>
      <c r="AH785" s="1" t="str">
        <f t="shared" si="635"/>
        <v/>
      </c>
      <c r="AI785" s="1">
        <v>1</v>
      </c>
      <c r="AJ785" s="1">
        <f>IF(HRXPH,1,0)</f>
        <v>0</v>
      </c>
      <c r="AK785" s="1">
        <v>1</v>
      </c>
      <c r="AL785" s="1">
        <v>1</v>
      </c>
      <c r="AM785" s="1">
        <v>1</v>
      </c>
      <c r="AN785" s="1">
        <f>IF(IsLycanthrope,2,0)</f>
        <v>0</v>
      </c>
      <c r="AO785" s="1">
        <v>2</v>
      </c>
      <c r="AP785" s="1">
        <v>2</v>
      </c>
      <c r="AQ785" s="1">
        <v>2</v>
      </c>
      <c r="AR785" s="1">
        <v>2</v>
      </c>
      <c r="AS785" s="1">
        <v>2</v>
      </c>
      <c r="AT785" s="1">
        <v>2</v>
      </c>
      <c r="AU785" s="1">
        <v>2</v>
      </c>
      <c r="AV785" s="1">
        <v>2</v>
      </c>
      <c r="AW785" s="1">
        <v>1</v>
      </c>
      <c r="AX785" s="1">
        <v>1</v>
      </c>
      <c r="AY785" s="1">
        <v>1</v>
      </c>
      <c r="AZ785" s="1">
        <v>2</v>
      </c>
      <c r="BA785" s="1">
        <v>1</v>
      </c>
      <c r="BB785" s="1">
        <v>1</v>
      </c>
      <c r="BC785" s="1">
        <v>1</v>
      </c>
      <c r="BD785" s="1">
        <v>1</v>
      </c>
      <c r="BE785" s="1">
        <v>2</v>
      </c>
      <c r="BF785" s="1">
        <v>1</v>
      </c>
      <c r="BG785" s="1">
        <f>IF(HRRVL,1,0)</f>
        <v>0</v>
      </c>
      <c r="BH785" s="1">
        <f>IF(HROA,1,0)</f>
        <v>0</v>
      </c>
      <c r="BI785" s="1">
        <v>2</v>
      </c>
      <c r="BJ785" s="1">
        <v>1</v>
      </c>
      <c r="BK785" s="1">
        <v>2</v>
      </c>
      <c r="BL785" s="1">
        <v>2</v>
      </c>
      <c r="BM785" s="1">
        <v>2</v>
      </c>
      <c r="BN785" s="1">
        <v>2</v>
      </c>
      <c r="BO785" s="1">
        <v>2</v>
      </c>
      <c r="BP785" s="1">
        <v>2</v>
      </c>
      <c r="BQ785" s="1">
        <f>IF(HRRVL,2,0)</f>
        <v>0</v>
      </c>
      <c r="BR785" s="1">
        <v>2</v>
      </c>
      <c r="BS785" s="1">
        <v>2</v>
      </c>
      <c r="BT785" s="1">
        <f>IF(HRXPH,2,0)</f>
        <v>0</v>
      </c>
      <c r="BU785" s="1">
        <f>IF(HRRVL,2,0)</f>
        <v>0</v>
      </c>
      <c r="BV785" s="1">
        <v>2</v>
      </c>
      <c r="BW785" s="1">
        <v>2</v>
      </c>
      <c r="BX785" s="1">
        <v>2</v>
      </c>
      <c r="BY785" s="1">
        <v>2</v>
      </c>
      <c r="BZ785" s="1">
        <v>2</v>
      </c>
      <c r="CA785" s="1">
        <v>2</v>
      </c>
      <c r="CB785" s="1">
        <v>2</v>
      </c>
      <c r="CC785" s="1">
        <v>2</v>
      </c>
      <c r="CD785" s="1">
        <v>2</v>
      </c>
      <c r="CE785" s="1">
        <v>2</v>
      </c>
      <c r="CF785" s="1">
        <v>1</v>
      </c>
      <c r="CG785" s="1">
        <f>IF(HRToB,1,0)</f>
        <v>0</v>
      </c>
      <c r="CH785" s="1">
        <v>1</v>
      </c>
      <c r="CI785" s="1">
        <v>1</v>
      </c>
      <c r="CJ785" s="1">
        <v>1</v>
      </c>
      <c r="CK785" s="1">
        <v>1</v>
      </c>
      <c r="CL785" s="1">
        <v>1</v>
      </c>
      <c r="CM785" s="1">
        <v>1</v>
      </c>
      <c r="CN785" s="1">
        <v>1</v>
      </c>
      <c r="CO785" s="1">
        <v>1</v>
      </c>
      <c r="CP785" s="1">
        <v>1</v>
      </c>
      <c r="CQ785" s="1">
        <v>1</v>
      </c>
      <c r="CR785" s="1">
        <v>1</v>
      </c>
      <c r="CS785" s="1">
        <v>1</v>
      </c>
      <c r="CT785" s="1">
        <v>1</v>
      </c>
      <c r="CU785" s="1">
        <v>1</v>
      </c>
      <c r="CV785" s="1">
        <f>IF(HRXPH,1,0)</f>
        <v>0</v>
      </c>
      <c r="CW785" s="1">
        <v>1</v>
      </c>
      <c r="CX785" s="1">
        <v>1</v>
      </c>
      <c r="CY785" s="1">
        <v>1</v>
      </c>
      <c r="CZ785" s="1">
        <f>IF(HRCS,1,0)</f>
        <v>0</v>
      </c>
      <c r="DA785" s="1">
        <v>1</v>
      </c>
      <c r="DB785" s="1">
        <v>1</v>
      </c>
      <c r="DC785" s="1">
        <v>2</v>
      </c>
      <c r="DD785" s="1">
        <v>1</v>
      </c>
      <c r="DE785" s="1">
        <v>1</v>
      </c>
      <c r="DF785" s="1">
        <v>1</v>
      </c>
      <c r="DG785" s="1">
        <v>1</v>
      </c>
      <c r="DH785" s="1">
        <v>2</v>
      </c>
      <c r="DI785" s="1">
        <f>IF(HRXPH,1,0)</f>
        <v>0</v>
      </c>
      <c r="DJ785" s="1">
        <v>1</v>
      </c>
      <c r="DK785" s="1" t="s">
        <v>1775</v>
      </c>
      <c r="DL785" s="1" t="s">
        <v>170</v>
      </c>
      <c r="DU785" s="1" t="b">
        <f>FtToughnessEquiv</f>
        <v>0</v>
      </c>
      <c r="DV785" s="1" t="b">
        <f>SkKnowledgeNatureRanks&gt;=4</f>
        <v>0</v>
      </c>
      <c r="DW785" s="1" t="b">
        <f>SkKnowledgeArcanaRanks&gt;=4</f>
        <v>0</v>
      </c>
      <c r="DX785" s="1" t="b">
        <f>SkHealRanks&gt;=4</f>
        <v>0</v>
      </c>
      <c r="DY785" s="1" t="b">
        <f>BaseAtk&gt;=4</f>
        <v>0</v>
      </c>
      <c r="DZ785" s="1" t="b">
        <f>NOT(HRLivingGreyhawk)</f>
        <v>1</v>
      </c>
      <c r="EA785" s="1" t="b">
        <f>AND(DV785:DZ785)</f>
        <v>0</v>
      </c>
      <c r="EB785" s="11" t="s">
        <v>338</v>
      </c>
      <c r="EC785" s="1" t="str">
        <f>IF(DY785,"","• Base Attack Bonus: +4.
")&amp;IF(DX785,"","• Heal 4 ranks.
")&amp;IF(DW785,"","• Knowledge (Arcana) 4 ranks.
")&amp;IF(DV785,"","• Knowledge (Nature) 4 ranks.
")&amp;IF(DU785,"","• Toughness feat.
")&amp;IF(DZ785,"","• Not available in Living Greyhawk.
")&amp;"• Must be able to cast at least three Transmutation spells, one of which is 1st level or higher (not checked)"</f>
        <v>• Base Attack Bonus: +4.
• Heal 4 ranks.
• Knowledge (Arcana) 4 ranks.
• Knowledge (Nature) 4 ranks.
• Toughness feat.
• Must be able to cast at least three Transmutation spells, one of which is 1st level or higher (not checked)</v>
      </c>
      <c r="ED785" s="11" t="s">
        <v>335</v>
      </c>
    </row>
    <row r="786" spans="1:134" ht="11.25" customHeight="1" x14ac:dyDescent="0.2">
      <c r="A786" s="1">
        <f t="shared" si="675"/>
        <v>783</v>
      </c>
      <c r="B786" s="1" t="s">
        <v>1776</v>
      </c>
      <c r="E786" s="1">
        <f t="shared" si="680"/>
        <v>0</v>
      </c>
      <c r="F786" s="1">
        <v>1</v>
      </c>
      <c r="Z786" s="1" t="b">
        <v>0</v>
      </c>
      <c r="AA786" s="1" t="str">
        <f t="shared" si="676"/>
        <v/>
      </c>
      <c r="AB786" s="1" t="str">
        <f t="shared" si="677"/>
        <v/>
      </c>
      <c r="AC786" s="1">
        <f t="shared" si="681"/>
        <v>0</v>
      </c>
      <c r="AD786" s="1" t="str">
        <f t="shared" si="678"/>
        <v/>
      </c>
      <c r="AE786" s="1" t="str">
        <f t="shared" si="679"/>
        <v/>
      </c>
      <c r="AF786" s="1">
        <f t="shared" si="682"/>
        <v>0</v>
      </c>
      <c r="AG786" s="1">
        <f t="shared" si="636"/>
        <v>5</v>
      </c>
      <c r="AH786" s="1" t="str">
        <f t="shared" si="635"/>
        <v/>
      </c>
      <c r="EB786" s="11"/>
      <c r="ED786" s="11"/>
    </row>
    <row r="787" spans="1:134" ht="11.25" customHeight="1" x14ac:dyDescent="0.2">
      <c r="A787" s="1">
        <f t="shared" si="675"/>
        <v>784</v>
      </c>
      <c r="B787" s="1" t="s">
        <v>1777</v>
      </c>
      <c r="C787" s="1" t="s">
        <v>1778</v>
      </c>
      <c r="D787" s="1" t="s">
        <v>1778</v>
      </c>
      <c r="E787" s="1">
        <f t="shared" si="680"/>
        <v>0</v>
      </c>
      <c r="G787" s="1">
        <f>DwChLvl</f>
        <v>0</v>
      </c>
      <c r="K787" s="1">
        <v>6</v>
      </c>
      <c r="L787" s="1">
        <v>6</v>
      </c>
      <c r="V787" s="1">
        <v>0.75</v>
      </c>
      <c r="W787" s="1">
        <v>0.5</v>
      </c>
      <c r="X787" s="1">
        <v>0.34</v>
      </c>
      <c r="Y787" s="1">
        <v>0.5</v>
      </c>
      <c r="Z787" s="1" t="b">
        <v>0</v>
      </c>
      <c r="AA787" s="1" t="str">
        <f t="shared" si="676"/>
        <v/>
      </c>
      <c r="AB787" s="1" t="str">
        <f t="shared" si="677"/>
        <v/>
      </c>
      <c r="AC787" s="1">
        <f t="shared" si="681"/>
        <v>0</v>
      </c>
      <c r="AD787" s="1" t="str">
        <f t="shared" si="678"/>
        <v/>
      </c>
      <c r="AE787" s="1" t="str">
        <f t="shared" si="679"/>
        <v/>
      </c>
      <c r="AF787" s="1">
        <f t="shared" si="682"/>
        <v>0</v>
      </c>
      <c r="AG787" s="1">
        <f t="shared" si="636"/>
        <v>5</v>
      </c>
      <c r="AH787" s="1" t="str">
        <f t="shared" ref="AH787:AH832" si="683">IF(ROW()&gt;$AG$2,"",INDEX($B$5:$B$794,MATCH(ROW(),$AG$5:$AG$794,0)))</f>
        <v/>
      </c>
      <c r="AI787" s="1">
        <v>2</v>
      </c>
      <c r="AJ787" s="1">
        <f>IF(HRXPH,1,0)</f>
        <v>0</v>
      </c>
      <c r="AK787" s="1">
        <v>2</v>
      </c>
      <c r="AL787" s="1">
        <v>2</v>
      </c>
      <c r="AM787" s="1">
        <v>2</v>
      </c>
      <c r="AN787" s="1">
        <f>IF(IsLycanthrope,2,0)</f>
        <v>0</v>
      </c>
      <c r="AO787" s="1">
        <v>2</v>
      </c>
      <c r="AP787" s="1">
        <v>2</v>
      </c>
      <c r="AQ787" s="1">
        <v>2</v>
      </c>
      <c r="AR787" s="1">
        <v>2</v>
      </c>
      <c r="AS787" s="1">
        <v>2</v>
      </c>
      <c r="AT787" s="1">
        <v>2</v>
      </c>
      <c r="AU787" s="1">
        <v>2</v>
      </c>
      <c r="AV787" s="1">
        <v>2</v>
      </c>
      <c r="AW787" s="1">
        <v>2</v>
      </c>
      <c r="AX787" s="1">
        <v>2</v>
      </c>
      <c r="AY787" s="1">
        <v>1</v>
      </c>
      <c r="AZ787" s="1">
        <v>2</v>
      </c>
      <c r="BA787" s="1">
        <v>2</v>
      </c>
      <c r="BB787" s="1">
        <v>1</v>
      </c>
      <c r="BC787" s="1">
        <v>2</v>
      </c>
      <c r="BD787" s="1">
        <v>1</v>
      </c>
      <c r="BE787" s="1">
        <v>1</v>
      </c>
      <c r="BF787" s="1">
        <v>2</v>
      </c>
      <c r="BG787" s="1">
        <f>IF(HRRVL,1,0)</f>
        <v>0</v>
      </c>
      <c r="BH787" s="1">
        <f>IF(HROA,1,0)</f>
        <v>0</v>
      </c>
      <c r="BI787" s="1">
        <v>1</v>
      </c>
      <c r="BJ787" s="1">
        <v>2</v>
      </c>
      <c r="BK787" s="1">
        <v>2</v>
      </c>
      <c r="BL787" s="1">
        <v>2</v>
      </c>
      <c r="BM787" s="1">
        <v>2</v>
      </c>
      <c r="BN787" s="1">
        <v>2</v>
      </c>
      <c r="BO787" s="1">
        <v>2</v>
      </c>
      <c r="BP787" s="1">
        <v>2</v>
      </c>
      <c r="BQ787" s="1">
        <f>IF(HRRVL,2,0)</f>
        <v>0</v>
      </c>
      <c r="BR787" s="1">
        <v>2</v>
      </c>
      <c r="BS787" s="1">
        <v>2</v>
      </c>
      <c r="BT787" s="1">
        <f>IF(HRXPH,2,0)</f>
        <v>0</v>
      </c>
      <c r="BU787" s="1">
        <f>IF(HRRVL,2,0)</f>
        <v>0</v>
      </c>
      <c r="BV787" s="1">
        <v>2</v>
      </c>
      <c r="BW787" s="1">
        <v>2</v>
      </c>
      <c r="BX787" s="1">
        <v>2</v>
      </c>
      <c r="BY787" s="1">
        <v>2</v>
      </c>
      <c r="BZ787" s="1">
        <v>2</v>
      </c>
      <c r="CA787" s="1">
        <v>2</v>
      </c>
      <c r="CB787" s="1">
        <v>2</v>
      </c>
      <c r="CC787" s="1">
        <v>2</v>
      </c>
      <c r="CD787" s="1">
        <v>2</v>
      </c>
      <c r="CE787" s="1">
        <v>2</v>
      </c>
      <c r="CF787" s="1">
        <v>2</v>
      </c>
      <c r="CG787" s="1">
        <f>IF(HRToB,1,0)</f>
        <v>0</v>
      </c>
      <c r="CH787" s="1">
        <v>2</v>
      </c>
      <c r="CI787" s="1">
        <v>1</v>
      </c>
      <c r="CJ787" s="1">
        <v>2</v>
      </c>
      <c r="CK787" s="1">
        <v>2</v>
      </c>
      <c r="CL787" s="1">
        <v>2</v>
      </c>
      <c r="CM787" s="1">
        <v>2</v>
      </c>
      <c r="CN787" s="1">
        <v>2</v>
      </c>
      <c r="CO787" s="1">
        <v>2</v>
      </c>
      <c r="CP787" s="1">
        <v>2</v>
      </c>
      <c r="CQ787" s="1">
        <v>2</v>
      </c>
      <c r="CR787" s="1">
        <v>2</v>
      </c>
      <c r="CS787" s="1">
        <v>2</v>
      </c>
      <c r="CT787" s="1">
        <v>2</v>
      </c>
      <c r="CU787" s="1">
        <v>2</v>
      </c>
      <c r="CV787" s="1">
        <f>IF(HRXPH,1,0)</f>
        <v>0</v>
      </c>
      <c r="CW787" s="1">
        <v>1</v>
      </c>
      <c r="CX787" s="1">
        <v>1</v>
      </c>
      <c r="CY787" s="1">
        <v>2</v>
      </c>
      <c r="CZ787" s="1">
        <f>IF(HRCS,1,0)</f>
        <v>0</v>
      </c>
      <c r="DA787" s="1">
        <v>1</v>
      </c>
      <c r="DB787" s="1">
        <v>2</v>
      </c>
      <c r="DC787" s="1">
        <v>2</v>
      </c>
      <c r="DD787" s="1">
        <v>1</v>
      </c>
      <c r="DE787" s="1">
        <v>2</v>
      </c>
      <c r="DF787" s="1">
        <v>1</v>
      </c>
      <c r="DG787" s="1">
        <v>1</v>
      </c>
      <c r="DH787" s="1">
        <v>2</v>
      </c>
      <c r="DI787" s="1">
        <f>IF(HRXPH,1,0)</f>
        <v>0</v>
      </c>
      <c r="DJ787" s="1">
        <v>1</v>
      </c>
      <c r="DK787" s="1" t="s">
        <v>1779</v>
      </c>
      <c r="DL787" s="1" t="s">
        <v>170</v>
      </c>
      <c r="DT787" s="1" t="b">
        <f>BardicMusic</f>
        <v>0</v>
      </c>
      <c r="DU787" s="1" t="b">
        <f>FtGreatFortitude</f>
        <v>0</v>
      </c>
      <c r="DV787" s="1" t="b">
        <f>AND(SkPerform1Ranks&gt;=8,SkPerform2Ranks&gt;=8)</f>
        <v>0</v>
      </c>
      <c r="DW787" s="1" t="b">
        <f>SkConcentrationRanks&gt;=8</f>
        <v>0</v>
      </c>
      <c r="DX787" s="1" t="b">
        <f>Con&gt;=13</f>
        <v>0</v>
      </c>
      <c r="DY787" s="1" t="b">
        <f>Race="Dwarf"</f>
        <v>1</v>
      </c>
      <c r="DZ787" s="1" t="b">
        <f>NOT(HRLivingGreyhawk)</f>
        <v>1</v>
      </c>
      <c r="EA787" s="1" t="b">
        <f>AND(DV787:DZ787)</f>
        <v>0</v>
      </c>
      <c r="EB787" s="11" t="s">
        <v>338</v>
      </c>
      <c r="EC787" s="1" t="str">
        <f>IF(DY787,"","• Must be a Dwarf.
")&amp;IF(DX787,"","• Constitution 13.
")&amp;IF(DW787,"","• 8 ranks in Concentration.
")&amp;"• 8 ranks in Perform (chant, percussion) (not verified).
"&amp;IF(DU787,"","• Great Fortitude feat.
")&amp;IF(DT787,"","• Bardic Music ability.
")&amp;IF(DZ787,"","• Not available in Living Greyhawk.
")</f>
        <v xml:space="preserve">• Constitution 13.
• 8 ranks in Concentration.
• 8 ranks in Perform (chant, percussion) (not verified).
• Great Fortitude feat.
• Bardic Music ability.
</v>
      </c>
      <c r="ED787" s="11" t="s">
        <v>335</v>
      </c>
    </row>
    <row r="788" spans="1:134" ht="11.25" customHeight="1" x14ac:dyDescent="0.2">
      <c r="A788" s="1">
        <f t="shared" si="675"/>
        <v>785</v>
      </c>
      <c r="B788" s="1" t="s">
        <v>1780</v>
      </c>
      <c r="C788" s="1" t="s">
        <v>1781</v>
      </c>
      <c r="D788" s="1" t="s">
        <v>1781</v>
      </c>
      <c r="E788" s="1">
        <f t="shared" si="680"/>
        <v>0</v>
      </c>
      <c r="G788" s="1">
        <f>HWhLvl</f>
        <v>0</v>
      </c>
      <c r="K788" s="1">
        <v>6</v>
      </c>
      <c r="L788" s="1">
        <v>6</v>
      </c>
      <c r="V788" s="1">
        <v>0.75</v>
      </c>
      <c r="W788" s="1">
        <v>0.34</v>
      </c>
      <c r="X788" s="1">
        <v>0.5</v>
      </c>
      <c r="Y788" s="1">
        <v>0.5</v>
      </c>
      <c r="Z788" s="1" t="b">
        <v>0</v>
      </c>
      <c r="AA788" s="1" t="str">
        <f t="shared" si="676"/>
        <v/>
      </c>
      <c r="AB788" s="1" t="str">
        <f t="shared" si="677"/>
        <v/>
      </c>
      <c r="AC788" s="1">
        <f t="shared" si="681"/>
        <v>0</v>
      </c>
      <c r="AD788" s="1" t="str">
        <f t="shared" si="678"/>
        <v/>
      </c>
      <c r="AE788" s="1" t="str">
        <f t="shared" si="679"/>
        <v/>
      </c>
      <c r="AF788" s="1">
        <f t="shared" si="682"/>
        <v>0</v>
      </c>
      <c r="AG788" s="1">
        <f t="shared" si="636"/>
        <v>5</v>
      </c>
      <c r="AH788" s="1" t="str">
        <f t="shared" si="683"/>
        <v/>
      </c>
      <c r="AI788" s="1">
        <v>1</v>
      </c>
      <c r="AJ788" s="1">
        <f>IF(HRXPH,1,0)</f>
        <v>0</v>
      </c>
      <c r="AK788" s="1">
        <v>2</v>
      </c>
      <c r="AL788" s="1">
        <v>1</v>
      </c>
      <c r="AM788" s="1">
        <v>2</v>
      </c>
      <c r="AN788" s="1">
        <f>IF(IsLycanthrope,2,0)</f>
        <v>0</v>
      </c>
      <c r="AO788" s="1">
        <v>2</v>
      </c>
      <c r="AP788" s="1">
        <v>2</v>
      </c>
      <c r="AQ788" s="1">
        <v>2</v>
      </c>
      <c r="AR788" s="1">
        <v>2</v>
      </c>
      <c r="AS788" s="1">
        <v>2</v>
      </c>
      <c r="AT788" s="1">
        <v>2</v>
      </c>
      <c r="AU788" s="1">
        <v>2</v>
      </c>
      <c r="AV788" s="1">
        <v>2</v>
      </c>
      <c r="AW788" s="1">
        <v>1</v>
      </c>
      <c r="AX788" s="1">
        <v>2</v>
      </c>
      <c r="AY788" s="1">
        <v>1</v>
      </c>
      <c r="AZ788" s="1">
        <v>1</v>
      </c>
      <c r="BA788" s="1">
        <v>2</v>
      </c>
      <c r="BB788" s="1">
        <v>1</v>
      </c>
      <c r="BC788" s="1">
        <v>1</v>
      </c>
      <c r="BD788" s="1">
        <v>2</v>
      </c>
      <c r="BE788" s="1">
        <v>1</v>
      </c>
      <c r="BF788" s="1">
        <v>2</v>
      </c>
      <c r="BG788" s="1">
        <f>IF(HRRVL,1,0)</f>
        <v>0</v>
      </c>
      <c r="BH788" s="1">
        <f>IF(HROA,1,0)</f>
        <v>0</v>
      </c>
      <c r="BI788" s="1">
        <v>1</v>
      </c>
      <c r="BJ788" s="1">
        <v>2</v>
      </c>
      <c r="BK788" s="1">
        <v>1</v>
      </c>
      <c r="BL788" s="1">
        <v>1</v>
      </c>
      <c r="BM788" s="1">
        <v>1</v>
      </c>
      <c r="BN788" s="1">
        <v>2</v>
      </c>
      <c r="BO788" s="1">
        <v>1</v>
      </c>
      <c r="BP788" s="1">
        <v>2</v>
      </c>
      <c r="BQ788" s="1">
        <f>IF(HRRVL,1,0)</f>
        <v>0</v>
      </c>
      <c r="BR788" s="1">
        <v>2</v>
      </c>
      <c r="BS788" s="1">
        <v>1</v>
      </c>
      <c r="BT788" s="1">
        <f>IF(HRXPH,1,0)</f>
        <v>0</v>
      </c>
      <c r="BU788" s="1">
        <f>IF(HRRVL,1,0)</f>
        <v>0</v>
      </c>
      <c r="BV788" s="1">
        <v>1</v>
      </c>
      <c r="BW788" s="1">
        <v>1</v>
      </c>
      <c r="BX788" s="1">
        <v>1</v>
      </c>
      <c r="BY788" s="1">
        <v>1</v>
      </c>
      <c r="BZ788" s="1">
        <v>1</v>
      </c>
      <c r="CA788" s="1">
        <v>1</v>
      </c>
      <c r="CB788" s="1">
        <v>1</v>
      </c>
      <c r="CC788" s="1">
        <v>1</v>
      </c>
      <c r="CD788" s="1">
        <v>1</v>
      </c>
      <c r="CE788" s="1">
        <v>1</v>
      </c>
      <c r="CF788" s="1">
        <v>2</v>
      </c>
      <c r="CG788" s="1">
        <f>IF(HRToB,1,0)</f>
        <v>0</v>
      </c>
      <c r="CH788" s="1">
        <v>2</v>
      </c>
      <c r="CI788" s="1">
        <v>1</v>
      </c>
      <c r="CJ788" s="1">
        <v>2</v>
      </c>
      <c r="CK788" s="1">
        <v>2</v>
      </c>
      <c r="CL788" s="1">
        <v>2</v>
      </c>
      <c r="CM788" s="1">
        <v>2</v>
      </c>
      <c r="CN788" s="1">
        <v>2</v>
      </c>
      <c r="CO788" s="1">
        <v>2</v>
      </c>
      <c r="CP788" s="1">
        <v>2</v>
      </c>
      <c r="CQ788" s="1">
        <v>2</v>
      </c>
      <c r="CR788" s="1">
        <v>2</v>
      </c>
      <c r="CS788" s="1">
        <v>2</v>
      </c>
      <c r="CT788" s="1">
        <v>2</v>
      </c>
      <c r="CU788" s="1">
        <v>2</v>
      </c>
      <c r="CV788" s="1">
        <f>IF(HRXPH,1,0)</f>
        <v>0</v>
      </c>
      <c r="CW788" s="1">
        <v>1</v>
      </c>
      <c r="CX788" s="1">
        <v>1</v>
      </c>
      <c r="CY788" s="1">
        <v>2</v>
      </c>
      <c r="CZ788" s="1">
        <f>IF(HRCS,1,0)</f>
        <v>0</v>
      </c>
      <c r="DA788" s="1">
        <v>1</v>
      </c>
      <c r="DB788" s="1">
        <v>2</v>
      </c>
      <c r="DC788" s="1">
        <v>2</v>
      </c>
      <c r="DD788" s="1">
        <v>1</v>
      </c>
      <c r="DE788" s="1">
        <v>2</v>
      </c>
      <c r="DF788" s="1">
        <v>1</v>
      </c>
      <c r="DG788" s="1">
        <v>1</v>
      </c>
      <c r="DH788" s="1">
        <v>1</v>
      </c>
      <c r="DI788" s="1">
        <f>IF(HRXPH,1,0)</f>
        <v>0</v>
      </c>
      <c r="DJ788" s="1">
        <v>1</v>
      </c>
      <c r="DK788" s="1" t="s">
        <v>1779</v>
      </c>
      <c r="DL788" s="1" t="s">
        <v>170</v>
      </c>
      <c r="DT788" s="1" t="b">
        <f>Deity="Yondalla"</f>
        <v>0</v>
      </c>
      <c r="DU788" s="1" t="b">
        <f>SkSurvivalRanks&gt;=4</f>
        <v>0</v>
      </c>
      <c r="DV788" s="1" t="b">
        <f>SkPerformRanks&gt;=4</f>
        <v>0</v>
      </c>
      <c r="DW788" s="1" t="b">
        <f>SkKnowledgeNatureRanks&gt;=8</f>
        <v>0</v>
      </c>
      <c r="DX788" s="1" t="b">
        <f>SkHandleAnimalRanks&gt;=4</f>
        <v>0</v>
      </c>
      <c r="DY788" s="1" t="b">
        <f>Race="Halfling"</f>
        <v>0</v>
      </c>
      <c r="DZ788" s="1" t="b">
        <f>NOT(HRLivingGreyhawk)</f>
        <v>1</v>
      </c>
      <c r="EA788" s="1" t="b">
        <f>AND(DV788:DZ788)</f>
        <v>0</v>
      </c>
      <c r="EB788" s="11" t="s">
        <v>338</v>
      </c>
      <c r="EC788" s="1" t="str">
        <f>IF(DY788,"","• Must be a Halfling.
")&amp;IF(DX788,"","• 4 ranks in Handle Animal.
")&amp;IF(DW788,"","• 8 ranks in Knowledge (nature).
")&amp;"• 4 ranks in Perform (whistling) (not verified).
"&amp;IF(DU788,"","• 4 ranks in Survival.
")&amp;IF(DT788,"","• Patron deity Yondalla.
")&amp;"• Must have a trained animal that chatters (not verified).
"&amp;IF(DZ788,"","• Not available in Living Greyhawk.")</f>
        <v xml:space="preserve">• Must be a Halfling.
• 4 ranks in Handle Animal.
• 8 ranks in Knowledge (nature).
• 4 ranks in Perform (whistling) (not verified).
• 4 ranks in Survival.
• Patron deity Yondalla.
• Must have a trained animal that chatters (not verified).
</v>
      </c>
      <c r="ED788" s="11" t="s">
        <v>335</v>
      </c>
    </row>
    <row r="789" spans="1:134" ht="11.25" customHeight="1" x14ac:dyDescent="0.2">
      <c r="A789" s="1">
        <f t="shared" si="675"/>
        <v>786</v>
      </c>
      <c r="B789" s="1" t="s">
        <v>1782</v>
      </c>
      <c r="C789" s="1" t="s">
        <v>1783</v>
      </c>
      <c r="D789" s="1" t="s">
        <v>1783</v>
      </c>
      <c r="E789" s="1">
        <f t="shared" si="680"/>
        <v>0</v>
      </c>
      <c r="G789" s="1">
        <f>INT(SwfLvl*2/3)</f>
        <v>0</v>
      </c>
      <c r="K789" s="1">
        <v>4</v>
      </c>
      <c r="L789" s="1">
        <v>6</v>
      </c>
      <c r="V789" s="1">
        <v>1</v>
      </c>
      <c r="W789" s="1">
        <v>0.34</v>
      </c>
      <c r="X789" s="1">
        <v>0.5</v>
      </c>
      <c r="Y789" s="1">
        <v>0.5</v>
      </c>
      <c r="Z789" s="1" t="b">
        <v>0</v>
      </c>
      <c r="AA789" s="1" t="str">
        <f t="shared" si="676"/>
        <v/>
      </c>
      <c r="AB789" s="1" t="str">
        <f t="shared" si="677"/>
        <v/>
      </c>
      <c r="AC789" s="1">
        <f t="shared" si="681"/>
        <v>0</v>
      </c>
      <c r="AD789" s="1" t="str">
        <f t="shared" si="678"/>
        <v/>
      </c>
      <c r="AE789" s="1" t="str">
        <f t="shared" si="679"/>
        <v/>
      </c>
      <c r="AF789" s="1">
        <f t="shared" si="682"/>
        <v>0</v>
      </c>
      <c r="AG789" s="1">
        <f>IF($AC789&gt;0,$AG786+1,$AG786)</f>
        <v>5</v>
      </c>
      <c r="AH789" s="1" t="str">
        <f t="shared" si="683"/>
        <v/>
      </c>
      <c r="AI789" s="1">
        <v>1</v>
      </c>
      <c r="AJ789" s="1">
        <f>IF(HRXPH,1,0)</f>
        <v>0</v>
      </c>
      <c r="AK789" s="1">
        <v>2</v>
      </c>
      <c r="AL789" s="1">
        <v>1</v>
      </c>
      <c r="AM789" s="1">
        <v>1</v>
      </c>
      <c r="AN789" s="1">
        <f>IF(IsLycanthrope,2,0)</f>
        <v>0</v>
      </c>
      <c r="AO789" s="1">
        <v>2</v>
      </c>
      <c r="AP789" s="1">
        <v>2</v>
      </c>
      <c r="AQ789" s="1">
        <v>2</v>
      </c>
      <c r="AR789" s="1">
        <v>2</v>
      </c>
      <c r="AS789" s="1">
        <v>2</v>
      </c>
      <c r="AT789" s="1">
        <v>2</v>
      </c>
      <c r="AU789" s="1">
        <v>2</v>
      </c>
      <c r="AV789" s="1">
        <v>2</v>
      </c>
      <c r="AW789" s="1">
        <v>1</v>
      </c>
      <c r="AX789" s="1">
        <v>1</v>
      </c>
      <c r="AY789" s="1">
        <v>1</v>
      </c>
      <c r="AZ789" s="1">
        <v>1</v>
      </c>
      <c r="BA789" s="1">
        <v>1</v>
      </c>
      <c r="BB789" s="1">
        <v>1</v>
      </c>
      <c r="BC789" s="1">
        <v>2</v>
      </c>
      <c r="BD789" s="1">
        <v>1</v>
      </c>
      <c r="BE789" s="1">
        <v>1</v>
      </c>
      <c r="BF789" s="1">
        <v>1</v>
      </c>
      <c r="BG789" s="1">
        <f>IF(HRRVL,1,0)</f>
        <v>0</v>
      </c>
      <c r="BH789" s="1">
        <f>IF(HROA,1,0)</f>
        <v>0</v>
      </c>
      <c r="BI789" s="1">
        <v>1</v>
      </c>
      <c r="BJ789" s="1">
        <v>2</v>
      </c>
      <c r="BK789" s="1">
        <v>2</v>
      </c>
      <c r="BL789" s="1">
        <v>1</v>
      </c>
      <c r="BM789" s="1">
        <v>1</v>
      </c>
      <c r="BN789" s="1">
        <v>1</v>
      </c>
      <c r="BO789" s="1">
        <v>1</v>
      </c>
      <c r="BP789" s="1">
        <v>1</v>
      </c>
      <c r="BQ789" s="1">
        <f>IF(HRRVL,1,0)</f>
        <v>0</v>
      </c>
      <c r="BR789" s="1">
        <v>1</v>
      </c>
      <c r="BS789" s="1">
        <v>1</v>
      </c>
      <c r="BT789" s="1">
        <f>IF(HRXPH,1,0)</f>
        <v>0</v>
      </c>
      <c r="BU789" s="1">
        <f>IF(HRRVL,1,0)</f>
        <v>0</v>
      </c>
      <c r="BV789" s="1">
        <v>1</v>
      </c>
      <c r="BW789" s="1">
        <v>1</v>
      </c>
      <c r="BX789" s="1">
        <v>1</v>
      </c>
      <c r="BY789" s="1">
        <v>1</v>
      </c>
      <c r="BZ789" s="1">
        <v>1</v>
      </c>
      <c r="CA789" s="1">
        <v>1</v>
      </c>
      <c r="CB789" s="1">
        <v>1</v>
      </c>
      <c r="CC789" s="1">
        <v>1</v>
      </c>
      <c r="CD789" s="1">
        <v>1</v>
      </c>
      <c r="CE789" s="1">
        <v>1</v>
      </c>
      <c r="CF789" s="1">
        <v>2</v>
      </c>
      <c r="CG789" s="1">
        <f>IF(HRToB,1,0)</f>
        <v>0</v>
      </c>
      <c r="CH789" s="1">
        <v>1</v>
      </c>
      <c r="CI789" s="1">
        <v>1</v>
      </c>
      <c r="CJ789" s="1">
        <v>1</v>
      </c>
      <c r="CK789" s="1">
        <v>1</v>
      </c>
      <c r="CL789" s="1">
        <v>1</v>
      </c>
      <c r="CM789" s="1">
        <v>1</v>
      </c>
      <c r="CN789" s="1">
        <v>1</v>
      </c>
      <c r="CO789" s="1">
        <v>1</v>
      </c>
      <c r="CP789" s="1">
        <v>2</v>
      </c>
      <c r="CQ789" s="1">
        <v>2</v>
      </c>
      <c r="CR789" s="1">
        <v>2</v>
      </c>
      <c r="CS789" s="1">
        <v>2</v>
      </c>
      <c r="CT789" s="1">
        <v>2</v>
      </c>
      <c r="CU789" s="1">
        <v>2</v>
      </c>
      <c r="CV789" s="1">
        <f>IF(HRXPH,1,0)</f>
        <v>0</v>
      </c>
      <c r="CW789" s="1">
        <v>1</v>
      </c>
      <c r="CX789" s="1">
        <v>1</v>
      </c>
      <c r="CY789" s="1">
        <v>1</v>
      </c>
      <c r="CZ789" s="1">
        <f>IF(HRCS,1,0)</f>
        <v>0</v>
      </c>
      <c r="DA789" s="1">
        <v>1</v>
      </c>
      <c r="DB789" s="1">
        <v>1</v>
      </c>
      <c r="DC789" s="1">
        <v>2</v>
      </c>
      <c r="DD789" s="1">
        <v>2</v>
      </c>
      <c r="DE789" s="1">
        <v>1</v>
      </c>
      <c r="DF789" s="1">
        <v>2</v>
      </c>
      <c r="DG789" s="1">
        <v>2</v>
      </c>
      <c r="DH789" s="1">
        <v>1</v>
      </c>
      <c r="DI789" s="1">
        <f>IF(HRXPH,1,0)</f>
        <v>0</v>
      </c>
      <c r="DJ789" s="1">
        <v>1</v>
      </c>
      <c r="DK789" s="1" t="s">
        <v>1779</v>
      </c>
      <c r="DL789" s="1" t="s">
        <v>170</v>
      </c>
      <c r="DU789" s="1" t="b">
        <f>FtMobility</f>
        <v>0</v>
      </c>
      <c r="DV789" s="1" t="b">
        <f>FtDodgeEquiv</f>
        <v>0</v>
      </c>
      <c r="DW789" s="1" t="b">
        <f>SkSpellcraftRanks&gt;=6</f>
        <v>0</v>
      </c>
      <c r="DX789" s="1" t="b">
        <f>SkConcentrationRanks&gt;=6</f>
        <v>0</v>
      </c>
      <c r="DY789" s="1" t="b">
        <f>BaseAtk&gt;=3</f>
        <v>0</v>
      </c>
      <c r="DZ789" s="1" t="b">
        <f>NOT(HRLivingGreyhawk)</f>
        <v>1</v>
      </c>
      <c r="EA789" s="1" t="b">
        <f>AND(DV789:DZ789)</f>
        <v>0</v>
      </c>
      <c r="EB789" s="11" t="s">
        <v>338</v>
      </c>
      <c r="EC789" s="1" t="str">
        <f>IF(DY789,"","• Base Attack bonus +3.
")&amp;IF(DX789,"","• 6 ranks in Concentration.
")&amp;IF(DW789,"","• 6 ranks in Spellcraft.
")&amp;"• Ability to caste Haste (not verified).
"&amp;IF(DV789,"","• Dodge feat.
")&amp;IF(DU789,"","• Mobility feat.
")&amp;"• Must be proficient with at least one martial weapon (not verified).
• Must have spent the entire previous level using all 3rd level spell slots to exclusively cast Haste. (not verified).
"&amp;IF(DZ789,"","• Not available in Living Greyhawk.")</f>
        <v xml:space="preserve">• Base Attack bonus +3.
• 6 ranks in Concentration.
• 6 ranks in Spellcraft.
• Ability to caste Haste (not verified).
• Dodge feat.
• Mobility feat.
• Must be proficient with at least one martial weapon (not verified).
• Must have spent the entire previous level using all 3rd level spell slots to exclusively cast Haste. (not verified).
</v>
      </c>
      <c r="ED789" s="11" t="s">
        <v>335</v>
      </c>
    </row>
    <row r="790" spans="1:134" ht="11.25" customHeight="1" x14ac:dyDescent="0.2">
      <c r="A790" s="1">
        <f t="shared" si="675"/>
        <v>787</v>
      </c>
      <c r="B790" s="1" t="s">
        <v>1784</v>
      </c>
      <c r="E790" s="1">
        <f t="shared" si="680"/>
        <v>0</v>
      </c>
      <c r="F790" s="1">
        <v>1</v>
      </c>
      <c r="Z790" s="1" t="b">
        <f>FALSE</f>
        <v>0</v>
      </c>
      <c r="AA790" s="1" t="str">
        <f t="shared" si="676"/>
        <v/>
      </c>
      <c r="AB790" s="1" t="str">
        <f t="shared" si="677"/>
        <v/>
      </c>
      <c r="AC790" s="1">
        <f t="shared" si="681"/>
        <v>0</v>
      </c>
      <c r="AD790" s="1" t="str">
        <f t="shared" si="678"/>
        <v/>
      </c>
      <c r="AE790" s="1" t="str">
        <f t="shared" si="679"/>
        <v/>
      </c>
      <c r="AF790" s="1">
        <f t="shared" si="682"/>
        <v>0</v>
      </c>
      <c r="AG790" s="1">
        <f>IF($AC790&gt;0,$AG785+1,$AG785)</f>
        <v>5</v>
      </c>
      <c r="AH790" s="1" t="str">
        <f t="shared" si="683"/>
        <v/>
      </c>
      <c r="EB790" s="11"/>
      <c r="ED790" s="11" t="s">
        <v>335</v>
      </c>
    </row>
    <row r="791" spans="1:134" ht="11.25" customHeight="1" x14ac:dyDescent="0.2">
      <c r="A791" s="1">
        <f t="shared" si="675"/>
        <v>788</v>
      </c>
      <c r="B791" s="1" t="s">
        <v>1785</v>
      </c>
      <c r="C791" s="1" t="s">
        <v>1786</v>
      </c>
      <c r="D791" s="1" t="s">
        <v>1786</v>
      </c>
      <c r="E791" s="1">
        <f t="shared" si="680"/>
        <v>0</v>
      </c>
      <c r="K791" s="1">
        <v>2</v>
      </c>
      <c r="L791" s="1">
        <v>12</v>
      </c>
      <c r="N791" s="1" t="b">
        <v>1</v>
      </c>
      <c r="O791" s="1" t="b">
        <v>1</v>
      </c>
      <c r="P791" s="1" t="b">
        <v>1</v>
      </c>
      <c r="Q791" s="1" t="b">
        <v>1</v>
      </c>
      <c r="S791" s="1" t="b">
        <v>1</v>
      </c>
      <c r="T791" s="1" t="b">
        <v>1</v>
      </c>
      <c r="V791" s="1">
        <v>1</v>
      </c>
      <c r="W791" s="1">
        <v>0.5</v>
      </c>
      <c r="X791" s="1">
        <v>0.5</v>
      </c>
      <c r="Y791" s="1">
        <v>0.34</v>
      </c>
      <c r="Z791" s="1" t="b">
        <f>FALSE</f>
        <v>0</v>
      </c>
      <c r="AA791" s="1" t="str">
        <f t="shared" si="676"/>
        <v/>
      </c>
      <c r="AB791" s="1" t="str">
        <f t="shared" si="677"/>
        <v/>
      </c>
      <c r="AC791" s="1">
        <f t="shared" si="681"/>
        <v>0</v>
      </c>
      <c r="AD791" s="1" t="str">
        <f t="shared" si="678"/>
        <v/>
      </c>
      <c r="AE791" s="1" t="str">
        <f t="shared" si="679"/>
        <v/>
      </c>
      <c r="AF791" s="1">
        <f t="shared" si="682"/>
        <v>0</v>
      </c>
      <c r="AG791" s="1">
        <f t="shared" ref="AG791:AG799" si="684">IF($AC791&gt;0,$AG790+1,$AG790)</f>
        <v>5</v>
      </c>
      <c r="AH791" s="1" t="str">
        <f t="shared" si="683"/>
        <v/>
      </c>
      <c r="AI791" s="1">
        <v>1</v>
      </c>
      <c r="AJ791" s="1">
        <f>IF(HRXPH,1,0)</f>
        <v>0</v>
      </c>
      <c r="AK791" s="1">
        <v>1</v>
      </c>
      <c r="AL791" s="1">
        <v>2</v>
      </c>
      <c r="AM791" s="1">
        <v>2</v>
      </c>
      <c r="AN791" s="1">
        <f>IF(IsLycanthrope,2,0)</f>
        <v>0</v>
      </c>
      <c r="AO791" s="1">
        <v>1</v>
      </c>
      <c r="AP791" s="1">
        <v>1</v>
      </c>
      <c r="AQ791" s="1">
        <v>1</v>
      </c>
      <c r="AR791" s="1">
        <v>1</v>
      </c>
      <c r="AS791" s="1">
        <v>1</v>
      </c>
      <c r="AT791" s="1">
        <v>1</v>
      </c>
      <c r="AU791" s="1">
        <v>1</v>
      </c>
      <c r="AV791" s="1">
        <v>1</v>
      </c>
      <c r="AW791" s="1">
        <v>1</v>
      </c>
      <c r="AX791" s="1">
        <v>1</v>
      </c>
      <c r="AY791" s="1">
        <v>1</v>
      </c>
      <c r="AZ791" s="1">
        <v>1</v>
      </c>
      <c r="BA791" s="1">
        <v>1</v>
      </c>
      <c r="BB791" s="1">
        <v>1</v>
      </c>
      <c r="BC791" s="1">
        <v>1</v>
      </c>
      <c r="BD791" s="1">
        <v>1</v>
      </c>
      <c r="BE791" s="1">
        <v>1</v>
      </c>
      <c r="BF791" s="1">
        <v>1</v>
      </c>
      <c r="BG791" s="1">
        <f>IF(HRRVL,1,0)</f>
        <v>0</v>
      </c>
      <c r="BH791" s="1">
        <f>IF(HROA,1,0)</f>
        <v>0</v>
      </c>
      <c r="BI791" s="1">
        <v>1</v>
      </c>
      <c r="BJ791" s="1">
        <v>2</v>
      </c>
      <c r="BK791" s="1">
        <v>1</v>
      </c>
      <c r="BL791" s="1">
        <v>1</v>
      </c>
      <c r="BM791" s="1">
        <v>1</v>
      </c>
      <c r="BN791" s="1">
        <v>1</v>
      </c>
      <c r="BO791" s="1">
        <v>1</v>
      </c>
      <c r="BP791" s="1">
        <v>1</v>
      </c>
      <c r="BQ791" s="1">
        <f>IF(HRRVL,1,0)</f>
        <v>0</v>
      </c>
      <c r="BR791" s="1">
        <v>1</v>
      </c>
      <c r="BS791" s="1">
        <v>1</v>
      </c>
      <c r="BT791" s="1">
        <f>IF(HRXPH,1,0)</f>
        <v>0</v>
      </c>
      <c r="BU791" s="1">
        <f>IF(HRRVL,1,0)</f>
        <v>0</v>
      </c>
      <c r="BV791" s="1">
        <v>1</v>
      </c>
      <c r="BW791" s="1">
        <v>1</v>
      </c>
      <c r="BX791" s="1">
        <v>1</v>
      </c>
      <c r="BY791" s="1">
        <v>1</v>
      </c>
      <c r="BZ791" s="1">
        <v>1</v>
      </c>
      <c r="CA791" s="1">
        <v>1</v>
      </c>
      <c r="CB791" s="1">
        <v>1</v>
      </c>
      <c r="CC791" s="1">
        <v>1</v>
      </c>
      <c r="CD791" s="1">
        <v>1</v>
      </c>
      <c r="CE791" s="1">
        <v>1</v>
      </c>
      <c r="CF791" s="1">
        <v>2</v>
      </c>
      <c r="CG791" s="1">
        <f>IF(HRToB,1,0)</f>
        <v>0</v>
      </c>
      <c r="CH791" s="1">
        <v>1</v>
      </c>
      <c r="CI791" s="1">
        <v>1</v>
      </c>
      <c r="CJ791" s="1">
        <v>1</v>
      </c>
      <c r="CK791" s="1">
        <v>1</v>
      </c>
      <c r="CL791" s="1">
        <v>1</v>
      </c>
      <c r="CM791" s="1">
        <v>1</v>
      </c>
      <c r="CN791" s="1">
        <v>1</v>
      </c>
      <c r="CO791" s="1">
        <v>1</v>
      </c>
      <c r="CP791" s="1">
        <v>2</v>
      </c>
      <c r="CQ791" s="1">
        <v>2</v>
      </c>
      <c r="CR791" s="1">
        <v>2</v>
      </c>
      <c r="CS791" s="1">
        <v>2</v>
      </c>
      <c r="CT791" s="1">
        <v>2</v>
      </c>
      <c r="CU791" s="1">
        <v>2</v>
      </c>
      <c r="CV791" s="1">
        <f>IF(HRXPH,1,0)</f>
        <v>0</v>
      </c>
      <c r="CW791" s="1">
        <v>1</v>
      </c>
      <c r="CX791" s="1">
        <v>2</v>
      </c>
      <c r="CY791" s="1">
        <v>2</v>
      </c>
      <c r="CZ791" s="1">
        <f>IF(HRCS,1,0)</f>
        <v>0</v>
      </c>
      <c r="DA791" s="1">
        <v>1</v>
      </c>
      <c r="DB791" s="1">
        <v>1</v>
      </c>
      <c r="DC791" s="1">
        <v>1</v>
      </c>
      <c r="DD791" s="1">
        <v>2</v>
      </c>
      <c r="DE791" s="1">
        <v>1</v>
      </c>
      <c r="DF791" s="1">
        <v>1</v>
      </c>
      <c r="DG791" s="1">
        <v>1</v>
      </c>
      <c r="DH791" s="1">
        <v>1</v>
      </c>
      <c r="DI791" s="1">
        <f>IF(HRXPH,1,0)</f>
        <v>0</v>
      </c>
      <c r="DJ791" s="1">
        <v>1</v>
      </c>
      <c r="DK791" s="1" t="s">
        <v>1787</v>
      </c>
      <c r="DL791" s="1" t="s">
        <v>170</v>
      </c>
      <c r="DT791" s="1" t="b">
        <f>SkSpotRanks&gt;=4</f>
        <v>0</v>
      </c>
      <c r="DU791" s="1" t="b">
        <f>SkSenseMotiveRanks&gt;=4</f>
        <v>0</v>
      </c>
      <c r="DV791" s="1" t="b">
        <f>SkSearchRanks&gt;=4</f>
        <v>0</v>
      </c>
      <c r="DW791" s="1" t="b">
        <f>FtAlertness</f>
        <v>0</v>
      </c>
      <c r="DX791" s="1" t="b">
        <f>FtWeaponFocus</f>
        <v>0</v>
      </c>
      <c r="DY791" s="1" t="b">
        <f>BaseAtk&gt;=5</f>
        <v>0</v>
      </c>
      <c r="DZ791" s="1" t="b">
        <f>NOT(HRLivingGreyhawk)</f>
        <v>1</v>
      </c>
      <c r="EA791" s="1" t="b">
        <f>AND(DT791:DZ791)</f>
        <v>0</v>
      </c>
      <c r="EB791" s="11" t="s">
        <v>338</v>
      </c>
      <c r="EC791" s="1" t="str">
        <f>IF(DT791, "","• Spot 4 ranks.
")&amp;IF(DU791,"","• Sense Motive 4 ranks.
")&amp;IF(DV791,"","• Search 4 ranks.
")&amp;IF(DW791,"","• Alertness feat.
")&amp;"• Weapon Focus (any melee weapon) feat (not checked).
"&amp;IF(DY791,"","• Base Attack Bonus: +5.
")&amp;IF(DZ791,"","• Not Available in Living Greyhawk.
")</f>
        <v xml:space="preserve">• Spot 4 ranks.
• Sense Motive 4 ranks.
• Search 4 ranks.
• Alertness feat.
• Weapon Focus (any melee weapon) feat (not checked).
• Base Attack Bonus: +5.
</v>
      </c>
      <c r="ED791" s="11" t="s">
        <v>335</v>
      </c>
    </row>
    <row r="792" spans="1:134" ht="11.25" customHeight="1" x14ac:dyDescent="0.2">
      <c r="A792" s="1">
        <f t="shared" si="675"/>
        <v>789</v>
      </c>
      <c r="B792" s="1" t="s">
        <v>1788</v>
      </c>
      <c r="C792" s="1" t="s">
        <v>1789</v>
      </c>
      <c r="D792" s="1" t="s">
        <v>1789</v>
      </c>
      <c r="E792" s="1">
        <f t="shared" si="680"/>
        <v>0</v>
      </c>
      <c r="K792" s="1">
        <v>2</v>
      </c>
      <c r="L792" s="1">
        <v>10</v>
      </c>
      <c r="V792" s="1">
        <v>1</v>
      </c>
      <c r="W792" s="1">
        <v>0.34</v>
      </c>
      <c r="X792" s="1">
        <v>0.5</v>
      </c>
      <c r="Y792" s="1">
        <v>0.34</v>
      </c>
      <c r="Z792" s="1" t="b">
        <f>FALSE</f>
        <v>0</v>
      </c>
      <c r="AA792" s="1" t="str">
        <f t="shared" si="676"/>
        <v/>
      </c>
      <c r="AB792" s="1" t="str">
        <f t="shared" si="677"/>
        <v/>
      </c>
      <c r="AC792" s="1">
        <f t="shared" si="681"/>
        <v>0</v>
      </c>
      <c r="AD792" s="1" t="str">
        <f t="shared" si="678"/>
        <v/>
      </c>
      <c r="AE792" s="1" t="str">
        <f t="shared" si="679"/>
        <v/>
      </c>
      <c r="AF792" s="1">
        <f t="shared" si="682"/>
        <v>0</v>
      </c>
      <c r="AG792" s="1">
        <f t="shared" si="684"/>
        <v>5</v>
      </c>
      <c r="AH792" s="1" t="str">
        <f t="shared" si="683"/>
        <v/>
      </c>
      <c r="AI792" s="1">
        <v>1</v>
      </c>
      <c r="AJ792" s="1">
        <f>IF(HRXPH,1,0)</f>
        <v>0</v>
      </c>
      <c r="AK792" s="1">
        <v>2</v>
      </c>
      <c r="AL792" s="1">
        <v>1</v>
      </c>
      <c r="AM792" s="1">
        <v>1</v>
      </c>
      <c r="AN792" s="1">
        <f>IF(IsLycanthrope,2,0)</f>
        <v>0</v>
      </c>
      <c r="AO792" s="1">
        <v>1</v>
      </c>
      <c r="AP792" s="1">
        <v>1</v>
      </c>
      <c r="AQ792" s="1">
        <v>2</v>
      </c>
      <c r="AR792" s="1">
        <v>2</v>
      </c>
      <c r="AS792" s="1">
        <v>2</v>
      </c>
      <c r="AT792" s="1">
        <v>2</v>
      </c>
      <c r="AU792" s="1">
        <v>2</v>
      </c>
      <c r="AV792" s="1">
        <v>2</v>
      </c>
      <c r="AW792" s="1">
        <v>1</v>
      </c>
      <c r="AX792" s="1">
        <v>1</v>
      </c>
      <c r="AY792" s="1">
        <v>1</v>
      </c>
      <c r="AZ792" s="1">
        <v>1</v>
      </c>
      <c r="BA792" s="1">
        <v>2</v>
      </c>
      <c r="BB792" s="1">
        <v>1</v>
      </c>
      <c r="BC792" s="1">
        <v>1</v>
      </c>
      <c r="BD792" s="1">
        <v>1</v>
      </c>
      <c r="BE792" s="1">
        <v>1</v>
      </c>
      <c r="BF792" s="1">
        <v>1</v>
      </c>
      <c r="BG792" s="1">
        <f>IF(HRRVL,1,0)</f>
        <v>0</v>
      </c>
      <c r="BH792" s="1">
        <f>IF(HROA,1,0)</f>
        <v>0</v>
      </c>
      <c r="BI792" s="1">
        <v>2</v>
      </c>
      <c r="BJ792" s="1">
        <v>2</v>
      </c>
      <c r="BK792" s="1">
        <v>1</v>
      </c>
      <c r="BL792" s="1">
        <v>1</v>
      </c>
      <c r="BM792" s="1">
        <v>1</v>
      </c>
      <c r="BN792" s="1">
        <v>1</v>
      </c>
      <c r="BO792" s="1">
        <v>1</v>
      </c>
      <c r="BP792" s="1">
        <v>1</v>
      </c>
      <c r="BQ792" s="1">
        <f>IF(HRRVL,1,0)</f>
        <v>0</v>
      </c>
      <c r="BR792" s="1">
        <v>1</v>
      </c>
      <c r="BS792" s="1">
        <v>1</v>
      </c>
      <c r="BT792" s="1">
        <f>IF(HRXPH,1,0)</f>
        <v>0</v>
      </c>
      <c r="BU792" s="1">
        <f>IF(HRRVL,1,0)</f>
        <v>0</v>
      </c>
      <c r="BV792" s="1">
        <v>1</v>
      </c>
      <c r="BW792" s="1">
        <v>1</v>
      </c>
      <c r="BX792" s="1">
        <v>1</v>
      </c>
      <c r="BY792" s="1">
        <v>1</v>
      </c>
      <c r="BZ792" s="1">
        <v>1</v>
      </c>
      <c r="CA792" s="1">
        <v>1</v>
      </c>
      <c r="CB792" s="1">
        <v>1</v>
      </c>
      <c r="CC792" s="1">
        <v>1</v>
      </c>
      <c r="CD792" s="1">
        <v>1</v>
      </c>
      <c r="CE792" s="1">
        <v>1</v>
      </c>
      <c r="CF792" s="1">
        <v>1</v>
      </c>
      <c r="CG792" s="1">
        <f>IF(HRToB,1,0)</f>
        <v>0</v>
      </c>
      <c r="CH792" s="1">
        <v>1</v>
      </c>
      <c r="CI792" s="1">
        <v>1</v>
      </c>
      <c r="CJ792" s="1">
        <v>1</v>
      </c>
      <c r="CK792" s="1">
        <v>1</v>
      </c>
      <c r="CL792" s="1">
        <v>1</v>
      </c>
      <c r="CM792" s="1">
        <v>1</v>
      </c>
      <c r="CN792" s="1">
        <v>1</v>
      </c>
      <c r="CO792" s="1">
        <v>1</v>
      </c>
      <c r="CP792" s="1">
        <v>1</v>
      </c>
      <c r="CQ792" s="1">
        <v>1</v>
      </c>
      <c r="CR792" s="1">
        <v>1</v>
      </c>
      <c r="CS792" s="1">
        <v>1</v>
      </c>
      <c r="CT792" s="1">
        <v>1</v>
      </c>
      <c r="CU792" s="1">
        <v>1</v>
      </c>
      <c r="CV792" s="1">
        <f>IF(HRXPH,1,0)</f>
        <v>0</v>
      </c>
      <c r="CW792" s="1">
        <v>1</v>
      </c>
      <c r="CX792" s="1">
        <v>1</v>
      </c>
      <c r="CY792" s="1">
        <v>1</v>
      </c>
      <c r="CZ792" s="1">
        <f>IF(HRCS,1,0)</f>
        <v>0</v>
      </c>
      <c r="DA792" s="1">
        <v>1</v>
      </c>
      <c r="DB792" s="1">
        <v>1</v>
      </c>
      <c r="DC792" s="1">
        <v>1</v>
      </c>
      <c r="DD792" s="1">
        <v>2</v>
      </c>
      <c r="DE792" s="1">
        <v>1</v>
      </c>
      <c r="DF792" s="1">
        <v>1</v>
      </c>
      <c r="DG792" s="1">
        <v>1</v>
      </c>
      <c r="DH792" s="1">
        <v>1</v>
      </c>
      <c r="DI792" s="1">
        <f>IF(HRXPH,1,0)</f>
        <v>0</v>
      </c>
      <c r="DJ792" s="1">
        <v>2</v>
      </c>
      <c r="DK792" s="1" t="s">
        <v>1787</v>
      </c>
      <c r="DL792" s="1" t="s">
        <v>170</v>
      </c>
      <c r="DV792" s="1" t="b">
        <f>AND(FtWeaponFocus,OR(WeaponFocus1="Cat-o-nine-tails",WeaponFocus1="Scourge",WeaponFocus1="Whip",WeaponFocus1="Whip, Scorpion-tail",WeaponFocus1="Whip, Stingray",WeaponFocus1="Whip-dagger",WeaponFocus2="Cat-o-nine-tails",WeaponFocus2="Scourge",WeaponFocus2="Whip",WeaponFocus2="Whip, Scorpion-tail",WeaponFocus2="Whip, Stingray",WeaponFocus2="Whip-dagger",WeaponFocus3="Cat-o-nine-tails",WeaponFocus3="Scourge",WeaponFocus3="Whip",WeaponFocus3="Whip, Scorpion-tail",WeaponFocus3="Whip, Stingray",WeaponFocus3="Whip-dagger"))</f>
        <v>0</v>
      </c>
      <c r="DW792" s="1" t="b">
        <f>AND(FtExoticWeaponProf,OR(ExoticWeapon1="Cat-o-nine-tails",ExoticWeapon1="Scourge",ExoticWeapon1="Whip",ExoticWeapon1="Whip, Scorpion-tail",ExoticWeapon1="Whip, Stingray",ExoticWeapon1="Whip-dagger",ExoticWeapon2="Cat-o-nine-tails",ExoticWeapon2="Scourge",ExoticWeapon2="Whip",ExoticWeapon2="Whip, Scorpion-tail",ExoticWeapon2="Whip, Stingray",ExoticWeapon2="Whip-dagger",ExoticWeapon3="Cat-o-nine-tails",ExoticWeapon3="Scourge",ExoticWeapon3="Whip",ExoticWeapon3="Whip, Scorpion-tail",ExoticWeapon3="Whip, Stingray",ExoticWeapon3="Whip-dagger"))</f>
        <v>0</v>
      </c>
      <c r="DX792" s="1" t="b">
        <f>OR(AND(SkCraft1Ranks&gt;=2,LOWER([1]Skills!A14)="leatherworking"),AND(SkCraft2Ranks&gt;=2,LOWER([1]Skills!A15)="leatherworking"),AND(SkCraft3Ranks&gt;=2,LOWER([1]Skills!A16)="leatherworking"),AND(SkCraft4Ranks&gt;=2,LOWER([1]Skills!A17)="leatherworking"),AND(SkCraft5Ranks&gt;=2,LOWER([1]Skills!A18)="leatherworking"),AND(SkCraft6Ranks&gt;=2,LOWER([1]Skills!A19)="leatherworking"))</f>
        <v>0</v>
      </c>
      <c r="DY792" s="1" t="b">
        <f>SkUseRopeRanks&gt;=2</f>
        <v>0</v>
      </c>
      <c r="DZ792" s="1" t="b">
        <f>NOT(HRLivingGreyhawk)</f>
        <v>1</v>
      </c>
      <c r="EA792" s="1" t="b">
        <f>AND(DT792:DZ792)</f>
        <v>0</v>
      </c>
      <c r="EB792" s="11" t="s">
        <v>334</v>
      </c>
      <c r="EC792" s="1" t="str">
        <f>IF(DY792, "","• Use Rope 2 ranks.
")&amp;IF(DX792,"","• Craft (Leatherworking) 2 ranks.
")&amp;IF(DW792,"","• Exotic Weapon Proficiency (whip or whip-like weapon)
")&amp;IF(DV792,"","• Weapon Focus (whip or whip-like weapon).
")&amp;IF(DZ792,"","• Not Available in Living Greyhawk.
")</f>
        <v xml:space="preserve">• Use Rope 2 ranks.
• Craft (Leatherworking) 2 ranks.
• Exotic Weapon Proficiency (whip or whip-like weapon)
• Weapon Focus (whip or whip-like weapon).
</v>
      </c>
      <c r="ED792" s="11"/>
    </row>
    <row r="793" spans="1:134" ht="11.25" customHeight="1" x14ac:dyDescent="0.2">
      <c r="A793" s="1">
        <f t="shared" si="675"/>
        <v>790</v>
      </c>
      <c r="B793" s="1" t="s">
        <v>1790</v>
      </c>
      <c r="E793" s="1">
        <f t="shared" si="680"/>
        <v>0</v>
      </c>
      <c r="F793" s="1">
        <v>1</v>
      </c>
      <c r="Z793" s="1" t="b">
        <f>FALSE</f>
        <v>0</v>
      </c>
      <c r="AA793" s="1" t="str">
        <f t="shared" si="676"/>
        <v/>
      </c>
      <c r="AB793" s="1" t="str">
        <f t="shared" si="677"/>
        <v/>
      </c>
      <c r="AC793" s="1">
        <f t="shared" si="681"/>
        <v>0</v>
      </c>
      <c r="AD793" s="1" t="str">
        <f t="shared" si="678"/>
        <v/>
      </c>
      <c r="AE793" s="1" t="str">
        <f t="shared" si="679"/>
        <v/>
      </c>
      <c r="AF793" s="1">
        <f t="shared" si="682"/>
        <v>0</v>
      </c>
      <c r="AG793" s="1">
        <f t="shared" si="684"/>
        <v>5</v>
      </c>
      <c r="AH793" s="1" t="str">
        <f t="shared" si="683"/>
        <v/>
      </c>
      <c r="EB793" s="11"/>
      <c r="ED793" s="11" t="s">
        <v>335</v>
      </c>
    </row>
    <row r="794" spans="1:134" ht="11.25" customHeight="1" x14ac:dyDescent="0.2">
      <c r="A794" s="1">
        <f t="shared" si="675"/>
        <v>791</v>
      </c>
      <c r="B794" s="1" t="str">
        <f>IF('[1]Custom Class'!C2="","&lt;custom-defined class&gt;", '[1]Custom Class'!C2)</f>
        <v>&lt;custom-defined class&gt;</v>
      </c>
      <c r="C794" s="1" t="s">
        <v>1791</v>
      </c>
      <c r="D794" s="1" t="s">
        <v>1791</v>
      </c>
      <c r="E794" s="1">
        <f t="shared" si="672"/>
        <v>0</v>
      </c>
      <c r="G794" s="1" t="str">
        <f>IF('[1]Custom Class'!C15="","",'[1]Custom Class'!C15)</f>
        <v/>
      </c>
      <c r="H794" s="1" t="str">
        <f>IF('[1]Custom Class'!C16="","",'[1]Custom Class'!C16)</f>
        <v/>
      </c>
      <c r="I794" s="1" t="str">
        <f>IF('[1]Custom Class'!C17="","",'[1]Custom Class'!C17)</f>
        <v/>
      </c>
      <c r="K794" s="1">
        <f>'[1]Custom Class'!C5</f>
        <v>0</v>
      </c>
      <c r="L794" s="1">
        <f>'[1]Custom Class'!C6</f>
        <v>0</v>
      </c>
      <c r="M794" s="1">
        <f>'[1]Custom Class'!C18</f>
        <v>0</v>
      </c>
      <c r="N794" s="1" t="b">
        <v>1</v>
      </c>
      <c r="O794" s="1" t="b">
        <v>1</v>
      </c>
      <c r="P794" s="1" t="b">
        <v>1</v>
      </c>
      <c r="Q794" s="1" t="b">
        <v>1</v>
      </c>
      <c r="R794" s="1" t="b">
        <v>1</v>
      </c>
      <c r="S794" s="1" t="b">
        <v>1</v>
      </c>
      <c r="T794" s="1" t="b">
        <v>1</v>
      </c>
      <c r="V794" s="1">
        <f>'[1]Custom Class'!R2</f>
        <v>0.5</v>
      </c>
      <c r="W794" s="1">
        <f>'[1]Custom Class'!R4</f>
        <v>0.34</v>
      </c>
      <c r="X794" s="1">
        <f>'[1]Custom Class'!R5</f>
        <v>0.34</v>
      </c>
      <c r="Y794" s="1">
        <f>'[1]Custom Class'!R6</f>
        <v>0.34</v>
      </c>
      <c r="Z794" s="1" t="b">
        <f>FALSE</f>
        <v>0</v>
      </c>
      <c r="AA794" s="1" t="str">
        <f t="shared" si="676"/>
        <v/>
      </c>
      <c r="AB794" s="1" t="str">
        <f t="shared" si="677"/>
        <v/>
      </c>
      <c r="AC794" s="1">
        <f t="shared" si="673"/>
        <v>0</v>
      </c>
      <c r="AD794" s="1" t="str">
        <f t="shared" si="678"/>
        <v/>
      </c>
      <c r="AE794" s="1" t="str">
        <f t="shared" si="679"/>
        <v/>
      </c>
      <c r="AF794" s="1">
        <f t="shared" si="674"/>
        <v>0</v>
      </c>
      <c r="AG794" s="1">
        <f t="shared" si="684"/>
        <v>5</v>
      </c>
      <c r="AH794" s="1" t="str">
        <f t="shared" si="683"/>
        <v/>
      </c>
      <c r="AI794" s="1">
        <f>'[1]Custom Class'!L2</f>
        <v>1</v>
      </c>
      <c r="AJ794" s="1">
        <f>IF(HRXPH,'[1]Custom Class'!L3,0)</f>
        <v>0</v>
      </c>
      <c r="AK794" s="1">
        <f>'[1]Custom Class'!L4</f>
        <v>1</v>
      </c>
      <c r="AL794" s="1">
        <f>'[1]Custom Class'!L5</f>
        <v>1</v>
      </c>
      <c r="AM794" s="1">
        <f>'[1]Custom Class'!L6</f>
        <v>1</v>
      </c>
      <c r="AN794" s="1">
        <f>IF(IsLycanthrope,2,0)</f>
        <v>0</v>
      </c>
      <c r="AO794" s="1">
        <f>'[1]Custom Class'!L8</f>
        <v>1</v>
      </c>
      <c r="AP794" s="1">
        <f>'[1]Custom Class'!L9</f>
        <v>1</v>
      </c>
      <c r="AQ794" s="1">
        <f>'[1]Custom Class'!L10</f>
        <v>1</v>
      </c>
      <c r="AR794" s="1">
        <f>'[1]Custom Class'!L11</f>
        <v>1</v>
      </c>
      <c r="AS794" s="1">
        <f>'[1]Custom Class'!L12</f>
        <v>1</v>
      </c>
      <c r="AT794" s="1">
        <f>'[1]Custom Class'!L13</f>
        <v>1</v>
      </c>
      <c r="AU794" s="1">
        <f>'[1]Custom Class'!L14</f>
        <v>1</v>
      </c>
      <c r="AV794" s="1">
        <f>'[1]Custom Class'!L15</f>
        <v>1</v>
      </c>
      <c r="AW794" s="1">
        <f>'[1]Custom Class'!L16</f>
        <v>1</v>
      </c>
      <c r="AX794" s="1">
        <f>'[1]Custom Class'!L17</f>
        <v>1</v>
      </c>
      <c r="AY794" s="1">
        <f>'[1]Custom Class'!L18</f>
        <v>1</v>
      </c>
      <c r="AZ794" s="1">
        <f>'[1]Custom Class'!L19</f>
        <v>1</v>
      </c>
      <c r="BA794" s="1">
        <f>'[1]Custom Class'!L20</f>
        <v>1</v>
      </c>
      <c r="BB794" s="1">
        <f>'[1]Custom Class'!L21</f>
        <v>1</v>
      </c>
      <c r="BC794" s="1">
        <f>'[1]Custom Class'!L22</f>
        <v>1</v>
      </c>
      <c r="BD794" s="1">
        <f>'[1]Custom Class'!L23</f>
        <v>1</v>
      </c>
      <c r="BE794" s="1">
        <f>'[1]Custom Class'!L24</f>
        <v>1</v>
      </c>
      <c r="BF794" s="1">
        <f>'[1]Custom Class'!L25</f>
        <v>1</v>
      </c>
      <c r="BG794" s="1">
        <f>'[1]Custom Class'!L26</f>
        <v>1</v>
      </c>
      <c r="BH794" s="1">
        <f>'[1]Custom Class'!L27</f>
        <v>1</v>
      </c>
      <c r="BI794" s="1">
        <f>'[1]Custom Class'!L28</f>
        <v>1</v>
      </c>
      <c r="BJ794" s="1">
        <f>'[1]Custom Class'!L29</f>
        <v>1</v>
      </c>
      <c r="BK794" s="1">
        <f>'[1]Custom Class'!L30</f>
        <v>1</v>
      </c>
      <c r="BL794" s="1">
        <f>'[1]Custom Class'!L31</f>
        <v>1</v>
      </c>
      <c r="BM794" s="1">
        <f>'[1]Custom Class'!L32</f>
        <v>1</v>
      </c>
      <c r="BN794" s="1">
        <f>'[1]Custom Class'!L33</f>
        <v>1</v>
      </c>
      <c r="BO794" s="1">
        <f>'[1]Custom Class'!L34</f>
        <v>1</v>
      </c>
      <c r="BP794" s="1">
        <f>'[1]Custom Class'!L35</f>
        <v>1</v>
      </c>
      <c r="BQ794" s="1">
        <f>'[1]Custom Class'!L36</f>
        <v>1</v>
      </c>
      <c r="BR794" s="1">
        <f>'[1]Custom Class'!L37</f>
        <v>1</v>
      </c>
      <c r="BS794" s="1">
        <f>'[1]Custom Class'!L38</f>
        <v>1</v>
      </c>
      <c r="BT794" s="1">
        <f>IF(HRXPH,'[1]Custom Class'!L39,0)</f>
        <v>0</v>
      </c>
      <c r="BU794" s="1">
        <f>'[1]Custom Class'!L40</f>
        <v>1</v>
      </c>
      <c r="BV794" s="1">
        <f>'[1]Custom Class'!L41</f>
        <v>1</v>
      </c>
      <c r="BW794" s="1">
        <f>'[1]Custom Class'!L42</f>
        <v>1</v>
      </c>
      <c r="BX794" s="1">
        <f>'[1]Custom Class'!L43</f>
        <v>1</v>
      </c>
      <c r="BY794" s="1">
        <f>'[1]Custom Class'!L44</f>
        <v>1</v>
      </c>
      <c r="BZ794" s="1">
        <f>'[1]Custom Class'!L45</f>
        <v>1</v>
      </c>
      <c r="CA794" s="1">
        <f>'[1]Custom Class'!L46</f>
        <v>1</v>
      </c>
      <c r="CB794" s="1">
        <f>'[1]Custom Class'!L47</f>
        <v>1</v>
      </c>
      <c r="CC794" s="1">
        <f>'[1]Custom Class'!L48</f>
        <v>1</v>
      </c>
      <c r="CD794" s="1">
        <f>'[1]Custom Class'!L49</f>
        <v>1</v>
      </c>
      <c r="CE794" s="1">
        <f>'[1]Custom Class'!L50</f>
        <v>1</v>
      </c>
      <c r="CF794" s="1">
        <f>'[1]Custom Class'!L51</f>
        <v>1</v>
      </c>
      <c r="CG794" s="1">
        <f>'[1]Custom Class'!L52</f>
        <v>1</v>
      </c>
      <c r="CH794" s="1">
        <f>'[1]Custom Class'!L53</f>
        <v>1</v>
      </c>
      <c r="CI794" s="1">
        <f>'[1]Custom Class'!L54</f>
        <v>1</v>
      </c>
      <c r="CJ794" s="1">
        <f>'[1]Custom Class'!L55</f>
        <v>1</v>
      </c>
      <c r="CK794" s="1">
        <f>'[1]Custom Class'!L56</f>
        <v>1</v>
      </c>
      <c r="CL794" s="1">
        <f>'[1]Custom Class'!L57</f>
        <v>1</v>
      </c>
      <c r="CM794" s="1">
        <f>'[1]Custom Class'!L58</f>
        <v>1</v>
      </c>
      <c r="CN794" s="1">
        <f>'[1]Custom Class'!L59</f>
        <v>1</v>
      </c>
      <c r="CO794" s="1">
        <f>'[1]Custom Class'!L60</f>
        <v>1</v>
      </c>
      <c r="CP794" s="1">
        <f>'[1]Custom Class'!L61</f>
        <v>1</v>
      </c>
      <c r="CQ794" s="1">
        <f>'[1]Custom Class'!L62</f>
        <v>1</v>
      </c>
      <c r="CR794" s="1">
        <f>'[1]Custom Class'!L63</f>
        <v>1</v>
      </c>
      <c r="CS794" s="1">
        <f>'[1]Custom Class'!L64</f>
        <v>1</v>
      </c>
      <c r="CT794" s="1">
        <f>'[1]Custom Class'!L65</f>
        <v>1</v>
      </c>
      <c r="CU794" s="1">
        <f>'[1]Custom Class'!L66</f>
        <v>1</v>
      </c>
      <c r="CV794" s="1">
        <f>IF(HRXPH,'[1]Custom Class'!L67,0)</f>
        <v>0</v>
      </c>
      <c r="CW794" s="1">
        <f>'[1]Custom Class'!L68</f>
        <v>1</v>
      </c>
      <c r="CX794" s="1">
        <f>'[1]Custom Class'!L69</f>
        <v>1</v>
      </c>
      <c r="CY794" s="1">
        <f>'[1]Custom Class'!L70</f>
        <v>1</v>
      </c>
      <c r="CZ794" s="1">
        <f>IF(HRCS,1,0)</f>
        <v>0</v>
      </c>
      <c r="DA794" s="1">
        <f>'[1]Custom Class'!L72</f>
        <v>1</v>
      </c>
      <c r="DB794" s="1">
        <f>'[1]Custom Class'!L73</f>
        <v>1</v>
      </c>
      <c r="DC794" s="1">
        <f>'[1]Custom Class'!L74</f>
        <v>1</v>
      </c>
      <c r="DD794" s="1">
        <f>'[1]Custom Class'!L75</f>
        <v>1</v>
      </c>
      <c r="DE794" s="1">
        <f>'[1]Custom Class'!L76</f>
        <v>1</v>
      </c>
      <c r="DF794" s="1">
        <f>'[1]Custom Class'!L77</f>
        <v>1</v>
      </c>
      <c r="DG794" s="1">
        <f>'[1]Custom Class'!L78</f>
        <v>1</v>
      </c>
      <c r="DH794" s="1">
        <f>'[1]Custom Class'!L79</f>
        <v>1</v>
      </c>
      <c r="DI794" s="1">
        <f>IF(HRXPH,'[1]Custom Class'!L80,0)</f>
        <v>0</v>
      </c>
      <c r="DJ794" s="1">
        <f>'[1]Custom Class'!L81</f>
        <v>1</v>
      </c>
      <c r="DK794" s="1" t="s">
        <v>1792</v>
      </c>
      <c r="DZ794" s="1" t="b">
        <f>($B794&lt;&gt;"&lt;custom-defined class&gt;")</f>
        <v>0</v>
      </c>
      <c r="EA794" s="1" t="b">
        <f>AND(DM794:DZ794)</f>
        <v>0</v>
      </c>
      <c r="EB794" s="11" t="s">
        <v>334</v>
      </c>
      <c r="ED794" s="11" t="s">
        <v>335</v>
      </c>
    </row>
    <row r="795" spans="1:134" ht="11.25" customHeight="1" x14ac:dyDescent="0.2">
      <c r="A795" s="1">
        <f t="shared" si="675"/>
        <v>792</v>
      </c>
      <c r="B795" s="1" t="s">
        <v>1793</v>
      </c>
      <c r="E795" s="1">
        <f t="shared" si="672"/>
        <v>0</v>
      </c>
      <c r="F795" s="1">
        <v>1</v>
      </c>
      <c r="Z795" s="1" t="b">
        <f>FALSE</f>
        <v>0</v>
      </c>
      <c r="AA795" s="1" t="str">
        <f t="shared" si="676"/>
        <v/>
      </c>
      <c r="AB795" s="1" t="str">
        <f t="shared" si="677"/>
        <v/>
      </c>
      <c r="AC795" s="1">
        <f t="shared" si="673"/>
        <v>0</v>
      </c>
      <c r="AD795" s="1" t="str">
        <f t="shared" si="678"/>
        <v/>
      </c>
      <c r="AE795" s="1" t="str">
        <f t="shared" si="679"/>
        <v/>
      </c>
      <c r="AF795" s="1">
        <f t="shared" si="674"/>
        <v>0</v>
      </c>
      <c r="AG795" s="1">
        <f t="shared" si="684"/>
        <v>5</v>
      </c>
      <c r="AI795" s="1">
        <v>1</v>
      </c>
      <c r="AJ795" s="1">
        <v>1</v>
      </c>
      <c r="AK795" s="1">
        <v>1</v>
      </c>
      <c r="AL795" s="1">
        <v>1</v>
      </c>
      <c r="AM795" s="1">
        <v>1</v>
      </c>
      <c r="AN795" s="1">
        <f>IF(IsLycanthrope,2,0)</f>
        <v>0</v>
      </c>
      <c r="AO795" s="1">
        <v>1</v>
      </c>
      <c r="AP795" s="1">
        <v>1</v>
      </c>
      <c r="AQ795" s="1">
        <v>1</v>
      </c>
      <c r="AR795" s="1">
        <v>1</v>
      </c>
      <c r="AS795" s="1">
        <v>1</v>
      </c>
      <c r="AT795" s="1">
        <v>1</v>
      </c>
      <c r="AU795" s="1">
        <v>1</v>
      </c>
      <c r="AV795" s="1">
        <v>1</v>
      </c>
      <c r="AW795" s="1">
        <v>1</v>
      </c>
      <c r="AX795" s="1">
        <v>1</v>
      </c>
      <c r="AY795" s="1">
        <v>1</v>
      </c>
      <c r="AZ795" s="1">
        <v>1</v>
      </c>
      <c r="BA795" s="1">
        <v>1</v>
      </c>
      <c r="BB795" s="1">
        <v>1</v>
      </c>
      <c r="BC795" s="1">
        <v>1</v>
      </c>
      <c r="BD795" s="1">
        <v>1</v>
      </c>
      <c r="BE795" s="1">
        <v>1</v>
      </c>
      <c r="BF795" s="1">
        <v>1</v>
      </c>
      <c r="BG795" s="1">
        <f>IF(HRRVL,1,0)</f>
        <v>0</v>
      </c>
      <c r="BH795" s="1">
        <f>IF(HROA,1,0)</f>
        <v>0</v>
      </c>
      <c r="BI795" s="1">
        <v>1</v>
      </c>
      <c r="BJ795" s="1">
        <v>1</v>
      </c>
      <c r="BK795" s="1">
        <f>IF(FtInitiateOfShar,2,1)</f>
        <v>1</v>
      </c>
      <c r="BL795" s="1">
        <v>1</v>
      </c>
      <c r="BM795" s="1">
        <f>IF(FtInitiateOfShar,2,1)</f>
        <v>1</v>
      </c>
      <c r="BN795" s="1">
        <v>1</v>
      </c>
      <c r="BO795" s="1">
        <v>1</v>
      </c>
      <c r="BP795" s="1">
        <v>1</v>
      </c>
      <c r="BQ795" s="1">
        <f>IF(HRRVL,1,0)</f>
        <v>0</v>
      </c>
      <c r="BR795" s="1">
        <v>1</v>
      </c>
      <c r="BS795" s="1">
        <v>1</v>
      </c>
      <c r="BT795" s="1">
        <v>1</v>
      </c>
      <c r="BU795" s="1">
        <f>IF(HRRVL,1,0)</f>
        <v>0</v>
      </c>
      <c r="BV795" s="1">
        <v>1</v>
      </c>
      <c r="BW795" s="1">
        <v>1</v>
      </c>
      <c r="BX795" s="1">
        <v>1</v>
      </c>
      <c r="BY795" s="1">
        <v>1</v>
      </c>
      <c r="BZ795" s="1">
        <v>1</v>
      </c>
      <c r="CA795" s="1">
        <v>1</v>
      </c>
      <c r="CB795" s="1">
        <v>1</v>
      </c>
      <c r="CC795" s="1">
        <v>1</v>
      </c>
      <c r="CD795" s="1">
        <v>1</v>
      </c>
      <c r="CE795" s="1">
        <v>1</v>
      </c>
      <c r="CF795" s="1">
        <v>1</v>
      </c>
      <c r="CG795" s="1">
        <v>1</v>
      </c>
      <c r="CH795" s="1">
        <v>1</v>
      </c>
      <c r="CI795" s="1">
        <v>1</v>
      </c>
      <c r="CJ795" s="1">
        <v>1</v>
      </c>
      <c r="CK795" s="1">
        <v>1</v>
      </c>
      <c r="CL795" s="1">
        <v>1</v>
      </c>
      <c r="CM795" s="1">
        <v>1</v>
      </c>
      <c r="CN795" s="1">
        <v>1</v>
      </c>
      <c r="CO795" s="1">
        <v>1</v>
      </c>
      <c r="CP795" s="1">
        <v>1</v>
      </c>
      <c r="CQ795" s="1">
        <v>1</v>
      </c>
      <c r="CR795" s="1">
        <v>1</v>
      </c>
      <c r="CS795" s="1">
        <v>1</v>
      </c>
      <c r="CT795" s="1">
        <v>1</v>
      </c>
      <c r="CU795" s="1">
        <v>1</v>
      </c>
      <c r="CV795" s="1">
        <v>1</v>
      </c>
      <c r="CW795" s="1">
        <v>1</v>
      </c>
      <c r="CX795" s="1">
        <v>1</v>
      </c>
      <c r="CY795" s="1">
        <v>1</v>
      </c>
      <c r="CZ795" s="1">
        <f>IF(HRCS,1,0)</f>
        <v>0</v>
      </c>
      <c r="DA795" s="1">
        <v>1</v>
      </c>
      <c r="DB795" s="1">
        <v>1</v>
      </c>
      <c r="DC795" s="1">
        <v>1</v>
      </c>
      <c r="DD795" s="1">
        <v>1</v>
      </c>
      <c r="DE795" s="1">
        <v>1</v>
      </c>
      <c r="DF795" s="1">
        <v>1</v>
      </c>
      <c r="DG795" s="1">
        <v>1</v>
      </c>
      <c r="DH795" s="1">
        <v>1</v>
      </c>
      <c r="DI795" s="1">
        <v>1</v>
      </c>
      <c r="DJ795" s="1">
        <v>1</v>
      </c>
      <c r="DK795" s="1" t="s">
        <v>1794</v>
      </c>
      <c r="ED795" s="11"/>
    </row>
    <row r="796" spans="1:134" ht="11.25" customHeight="1" x14ac:dyDescent="0.2">
      <c r="A796" s="1">
        <f t="shared" si="675"/>
        <v>793</v>
      </c>
      <c r="B796" s="1" t="s">
        <v>1795</v>
      </c>
      <c r="E796" s="1">
        <f t="shared" si="672"/>
        <v>0</v>
      </c>
      <c r="W796" s="1">
        <v>0.34</v>
      </c>
      <c r="X796" s="1">
        <v>0.34</v>
      </c>
      <c r="Y796" s="1">
        <v>0.34</v>
      </c>
      <c r="Z796" s="1" t="b">
        <f>FALSE</f>
        <v>0</v>
      </c>
      <c r="AA796" s="1" t="str">
        <f t="shared" si="676"/>
        <v/>
      </c>
      <c r="AB796" s="1" t="str">
        <f t="shared" si="677"/>
        <v/>
      </c>
      <c r="AC796" s="1">
        <f t="shared" si="673"/>
        <v>0</v>
      </c>
      <c r="AD796" s="1" t="str">
        <f t="shared" si="678"/>
        <v/>
      </c>
      <c r="AE796" s="1" t="str">
        <f t="shared" si="679"/>
        <v/>
      </c>
      <c r="AF796" s="1">
        <f t="shared" si="674"/>
        <v>0</v>
      </c>
      <c r="AG796" s="1">
        <f t="shared" si="684"/>
        <v>5</v>
      </c>
      <c r="ED796" s="11"/>
    </row>
    <row r="797" spans="1:134" ht="11.25" customHeight="1" x14ac:dyDescent="0.2">
      <c r="A797" s="1">
        <f t="shared" si="675"/>
        <v>794</v>
      </c>
      <c r="B797" s="1" t="str">
        <f>IF(IsLycanthrope,LycanthropeName,"N/A")</f>
        <v>N/A</v>
      </c>
      <c r="C797" s="1" t="s">
        <v>1796</v>
      </c>
      <c r="D797" s="1" t="s">
        <v>1796</v>
      </c>
      <c r="E797" s="1">
        <f t="shared" si="672"/>
        <v>0</v>
      </c>
      <c r="K797" s="1">
        <v>1</v>
      </c>
      <c r="L797" s="1">
        <v>8</v>
      </c>
      <c r="V797" s="1">
        <v>0.75</v>
      </c>
      <c r="W797" s="1">
        <v>0.5</v>
      </c>
      <c r="X797" s="1">
        <v>0.5</v>
      </c>
      <c r="Y797" s="1">
        <v>0.34</v>
      </c>
      <c r="Z797" s="1" t="b">
        <f>FALSE</f>
        <v>0</v>
      </c>
      <c r="AA797" s="1" t="str">
        <f t="shared" si="676"/>
        <v/>
      </c>
      <c r="AB797" s="1" t="str">
        <f t="shared" si="677"/>
        <v/>
      </c>
      <c r="AC797" s="1">
        <f t="shared" si="673"/>
        <v>0</v>
      </c>
      <c r="AD797" s="1" t="str">
        <f t="shared" si="678"/>
        <v/>
      </c>
      <c r="AE797" s="1" t="str">
        <f t="shared" si="679"/>
        <v/>
      </c>
      <c r="AF797" s="1">
        <f t="shared" si="674"/>
        <v>0</v>
      </c>
      <c r="AG797" s="1">
        <f t="shared" si="684"/>
        <v>5</v>
      </c>
      <c r="AI797" s="1">
        <f>IF(DoLycanthrope,IF(AI$1,getracialskill(LycanthropeRacialSkill,AI$2),0),0)</f>
        <v>0</v>
      </c>
      <c r="AJ797" s="1">
        <f>IF(HRXPH,IF(IsLycanthrope,getracialskill(LycanthropeRacialSkill,AJ$2),0),0)</f>
        <v>0</v>
      </c>
      <c r="AK797" s="1">
        <f>IF(IsLycanthrope,getracialskill(LycanthropeRacialSkill,AK$2),0)</f>
        <v>0</v>
      </c>
      <c r="AL797" s="1">
        <f>IF(IsLycanthrope,getracialskill(LycanthropeRacialSkill,AL$2),0)</f>
        <v>0</v>
      </c>
      <c r="AM797" s="1">
        <f>IF(IsLycanthrope,getracialskill(LycanthropeRacialSkill,AM$2),0)</f>
        <v>0</v>
      </c>
      <c r="AN797" s="1">
        <f>IF(IsLycanthrope,2,0)</f>
        <v>0</v>
      </c>
      <c r="AO797" s="1">
        <f>IF(IsLycanthrope,getracialskill(LycanthropeRacialSkill,AO$2),0)</f>
        <v>0</v>
      </c>
      <c r="AP797" s="1">
        <f>IF(IsLycanthrope,getracialskill(LycanthropeRacialSkill,AP$2),0)</f>
        <v>0</v>
      </c>
      <c r="AQ797" s="1">
        <f>IF(IsLycanthrope,getracialskill(LycanthropeRacialSkill,AQ$2),0)</f>
        <v>0</v>
      </c>
      <c r="AR797" s="1">
        <f>IF(IsLycanthrope,getracialskill(LycanthropeRacialSkill,AR$2),0)</f>
        <v>0</v>
      </c>
      <c r="AS797" s="1">
        <f>IF(IsLycanthrope,getracialskill(LycanthropeRacialSkill,AS$2),0)</f>
        <v>0</v>
      </c>
      <c r="AT797" s="1">
        <f>IF(IsLycanthrope,getracialskill(LycanthropeRacialSkill,AT$2),0)</f>
        <v>0</v>
      </c>
      <c r="AU797" s="1">
        <f>IF(IsLycanthrope,getracialskill(LycanthropeRacialSkill,AU$2),0)</f>
        <v>0</v>
      </c>
      <c r="AV797" s="1">
        <f>IF(IsLycanthrope,getracialskill(LycanthropeRacialSkill,AV$2),0)</f>
        <v>0</v>
      </c>
      <c r="AW797" s="1">
        <f>IF(IsLycanthrope,getracialskill(LycanthropeRacialSkill,AW$2),0)</f>
        <v>0</v>
      </c>
      <c r="AX797" s="1">
        <f>IF(IsLycanthrope,getracialskill(LycanthropeRacialSkill,AX$2),0)</f>
        <v>0</v>
      </c>
      <c r="AY797" s="1">
        <f>IF(IsLycanthrope,getracialskill(LycanthropeRacialSkill,AY$2),0)</f>
        <v>0</v>
      </c>
      <c r="AZ797" s="1">
        <f>IF(IsLycanthrope,getracialskill(LycanthropeRacialSkill,AZ$2),0)</f>
        <v>0</v>
      </c>
      <c r="BA797" s="1">
        <f>IF(IsLycanthrope,getracialskill(LycanthropeRacialSkill,BA$2),0)</f>
        <v>0</v>
      </c>
      <c r="BB797" s="1">
        <f>IF(IsLycanthrope,getracialskill(LycanthropeRacialSkill,BB$2),0)</f>
        <v>0</v>
      </c>
      <c r="BC797" s="1">
        <f>IF(IsLycanthrope,getracialskill(LycanthropeRacialSkill,BC$2),0)</f>
        <v>0</v>
      </c>
      <c r="BD797" s="1">
        <f>IF(IsLycanthrope,getracialskill(LycanthropeRacialSkill,BD$2),0)</f>
        <v>0</v>
      </c>
      <c r="BE797" s="1">
        <f>IF(IsLycanthrope,getracialskill(LycanthropeRacialSkill,BE$2),0)</f>
        <v>0</v>
      </c>
      <c r="BF797" s="1">
        <f>IF(IsLycanthrope,getracialskill(LycanthropeRacialSkill,BF$2),0)</f>
        <v>0</v>
      </c>
      <c r="BG797" s="1">
        <f>IF(HRRVL,IF(IsLycanthrope,getracialskill(LycanthropeRacialSkill,BG$2),0),0)</f>
        <v>0</v>
      </c>
      <c r="BH797" s="1">
        <f>IF(HRRVL,IF(IsLycanthrope,getracialskill(LycanthropeRacialSkill,BH$2),0),0)</f>
        <v>0</v>
      </c>
      <c r="BI797" s="1">
        <f>IF(IsLycanthrope,getracialskill(LycanthropeRacialSkill,BI$2),0)</f>
        <v>0</v>
      </c>
      <c r="BJ797" s="1">
        <f>IF(IsLycanthrope,getracialskill(LycanthropeRacialSkill,BJ$2),0)</f>
        <v>0</v>
      </c>
      <c r="BK797" s="1">
        <f>IF(IsLycanthrope,getracialskill(LycanthropeRacialSkill,BK$2),0)</f>
        <v>0</v>
      </c>
      <c r="BL797" s="1">
        <f>IF(IsLycanthrope,getracialskill(LycanthropeRacialSkill,BL$2),0)</f>
        <v>0</v>
      </c>
      <c r="BM797" s="1">
        <f>IF(IsLycanthrope,getracialskill(LycanthropeRacialSkill,BM$2),0)</f>
        <v>0</v>
      </c>
      <c r="BN797" s="1">
        <f>IF(IsLycanthrope,getracialskill(LycanthropeRacialSkill,BN$2),0)</f>
        <v>0</v>
      </c>
      <c r="BO797" s="1">
        <f>IF(IsLycanthrope,getracialskill(LycanthropeRacialSkill,BO$2),0)</f>
        <v>0</v>
      </c>
      <c r="BP797" s="1">
        <f>IF(IsLycanthrope,getracialskill(LycanthropeRacialSkill,BP$2),0)</f>
        <v>0</v>
      </c>
      <c r="BQ797" s="1">
        <f>IF(HRRVL,IF(IsLycanthrope,getracialskill(LycanthropeRacialSkill,BQ$2),0),0)</f>
        <v>0</v>
      </c>
      <c r="BR797" s="1">
        <f>IF(IsLycanthrope,getracialskill(LycanthropeRacialSkill,BR$2),0)</f>
        <v>0</v>
      </c>
      <c r="BS797" s="1">
        <f>IF(IsLycanthrope,getracialskill(LycanthropeRacialSkill,BS$2),0)</f>
        <v>0</v>
      </c>
      <c r="BT797" s="1">
        <f>IF(HRXPH,IF(IsLycanthrope,getracialskill(LycanthropeRacialSkill,BT$2),0),0)</f>
        <v>0</v>
      </c>
      <c r="BU797" s="1">
        <f>IF(HRRVL,IF(IsLycanthrope,getracialskill(LycanthropeRacialSkill,BU$2),0),0)</f>
        <v>0</v>
      </c>
      <c r="BV797" s="1">
        <f>IF(IsLycanthrope,getracialskill(LycanthropeRacialSkill,BV$2),0)</f>
        <v>0</v>
      </c>
      <c r="BW797" s="1">
        <f>IF(IsLycanthrope,getracialskill(LycanthropeRacialSkill,BW$2),0)</f>
        <v>0</v>
      </c>
      <c r="BX797" s="1">
        <f>IF(IsLycanthrope,getracialskill(LycanthropeRacialSkill,BX$2),0)</f>
        <v>0</v>
      </c>
      <c r="BY797" s="1">
        <f>IF(IsLycanthrope,getracialskill(LycanthropeRacialSkill,BY$2),0)</f>
        <v>0</v>
      </c>
      <c r="BZ797" s="1">
        <f>IF(IsLycanthrope,getracialskill(LycanthropeRacialSkill,BZ$2),0)</f>
        <v>0</v>
      </c>
      <c r="CA797" s="1">
        <f>IF(IsLycanthrope,getracialskill(LycanthropeRacialSkill,CA$2),0)</f>
        <v>0</v>
      </c>
      <c r="CB797" s="1">
        <f>IF(IsLycanthrope,getracialskill(LycanthropeRacialSkill,CB$2),0)</f>
        <v>0</v>
      </c>
      <c r="CC797" s="1">
        <f>IF(IsLycanthrope,getracialskill(LycanthropeRacialSkill,CC$2),0)</f>
        <v>0</v>
      </c>
      <c r="CD797" s="1">
        <f>IF(IsLycanthrope,getracialskill(LycanthropeRacialSkill,CD$2),0)</f>
        <v>0</v>
      </c>
      <c r="CE797" s="1">
        <f>IF(IsLycanthrope,getracialskill(LycanthropeRacialSkill,CE$2),0)</f>
        <v>0</v>
      </c>
      <c r="CF797" s="1">
        <f>IF(IsLycanthrope,getracialskill(LycanthropeRacialSkill,CF$2),0)</f>
        <v>0</v>
      </c>
      <c r="CG797" s="1">
        <f>IF(HRToB,IF(IsLycanthrope,getracialskill(LycanthropeRacialSkill,CG$2),0),0)</f>
        <v>0</v>
      </c>
      <c r="CH797" s="1">
        <f>IF(IsLycanthrope,getracialskill(LycanthropeRacialSkill,CH$2),0)</f>
        <v>0</v>
      </c>
      <c r="CI797" s="1">
        <f>IF(IsLycanthrope,getracialskill(LycanthropeRacialSkill,CI$2),0)</f>
        <v>0</v>
      </c>
      <c r="CJ797" s="1">
        <f>IF(IsLycanthrope,getracialskill(LycanthropeRacialSkill,CJ$2),0)</f>
        <v>0</v>
      </c>
      <c r="CK797" s="1">
        <f>IF(IsLycanthrope,getracialskill(LycanthropeRacialSkill,CK$2),0)</f>
        <v>0</v>
      </c>
      <c r="CL797" s="1">
        <f>IF(IsLycanthrope,getracialskill(LycanthropeRacialSkill,CL$2),0)</f>
        <v>0</v>
      </c>
      <c r="CM797" s="1">
        <f>IF(IsLycanthrope,getracialskill(LycanthropeRacialSkill,CM$2),0)</f>
        <v>0</v>
      </c>
      <c r="CN797" s="1">
        <f>IF(IsLycanthrope,getracialskill(LycanthropeRacialSkill,CN$2),0)</f>
        <v>0</v>
      </c>
      <c r="CO797" s="1">
        <f>IF(IsLycanthrope,getracialskill(LycanthropeRacialSkill,CO$2),0)</f>
        <v>0</v>
      </c>
      <c r="CP797" s="1">
        <f>IF(IsLycanthrope,getracialskill(LycanthropeRacialSkill,CP$2),0)</f>
        <v>0</v>
      </c>
      <c r="CQ797" s="1">
        <f>IF(IsLycanthrope,getracialskill(LycanthropeRacialSkill,CQ$2),0)</f>
        <v>0</v>
      </c>
      <c r="CR797" s="1">
        <f>IF(IsLycanthrope,getracialskill(LycanthropeRacialSkill,CR$2),0)</f>
        <v>0</v>
      </c>
      <c r="CS797" s="1">
        <f>IF(IsLycanthrope,getracialskill(LycanthropeRacialSkill,CS$2),0)</f>
        <v>0</v>
      </c>
      <c r="CT797" s="1">
        <f>IF(IsLycanthrope,getracialskill(LycanthropeRacialSkill,CT$2),0)</f>
        <v>0</v>
      </c>
      <c r="CU797" s="1">
        <f>IF(IsLycanthrope,getracialskill(LycanthropeRacialSkill,CU$2),0)</f>
        <v>0</v>
      </c>
      <c r="CV797" s="1">
        <f>IF(HRXPH,IF(IsLycanthrope,getracialskill(LycanthropeRacialSkill,CV$2),0),0)</f>
        <v>0</v>
      </c>
      <c r="CW797" s="1">
        <f>IF(IsLycanthrope,getracialskill(LycanthropeRacialSkill,CW$2),0)</f>
        <v>0</v>
      </c>
      <c r="CX797" s="1">
        <f>IF(IsLycanthrope,getracialskill(LycanthropeRacialSkill,CX$2),0)</f>
        <v>0</v>
      </c>
      <c r="CY797" s="1">
        <f>IF(IsLycanthrope,getracialskill(LycanthropeRacialSkill,CY$2),0)</f>
        <v>0</v>
      </c>
      <c r="CZ797" s="1">
        <f>IF(HRCS,IF(IsLycanthrope,getracialskill(LycanthropeRacialSkill,CZ$2),0),0)</f>
        <v>0</v>
      </c>
      <c r="DA797" s="1">
        <f>IF(IsLycanthrope,getracialskill(LycanthropeRacialSkill,DA$2),0)</f>
        <v>0</v>
      </c>
      <c r="DB797" s="1">
        <f>IF(IsLycanthrope,getracialskill(LycanthropeRacialSkill,DB$2),0)</f>
        <v>0</v>
      </c>
      <c r="DC797" s="1">
        <f>IF(IsLycanthrope,getracialskill(LycanthropeRacialSkill,DC$2),0)</f>
        <v>0</v>
      </c>
      <c r="DD797" s="1">
        <f>IF(IsLycanthrope,getracialskill(LycanthropeRacialSkill,DD$2),0)</f>
        <v>0</v>
      </c>
      <c r="DE797" s="1">
        <f>IF(IsLycanthrope,getracialskill(LycanthropeRacialSkill,DE$2),0)</f>
        <v>0</v>
      </c>
      <c r="DF797" s="1">
        <f>IF(IsLycanthrope,getracialskill(LycanthropeRacialSkill,DF$2),0)</f>
        <v>0</v>
      </c>
      <c r="DG797" s="1">
        <f>IF(IsLycanthrope,getracialskill(LycanthropeRacialSkill,DG$2),0)</f>
        <v>0</v>
      </c>
      <c r="DH797" s="1">
        <f>IF(IsLycanthrope,getracialskill(LycanthropeRacialSkill,DH$2),0)</f>
        <v>0</v>
      </c>
      <c r="DI797" s="1">
        <f>IF(HRXPH,IF(IsLycanthrope,getracialskill(LycanthropeRacialSkill,DI$2),0),0)</f>
        <v>0</v>
      </c>
      <c r="DJ797" s="1">
        <f>IF(IsLycanthrope,getracialskill(LycanthropeRacialSkill,DJ$2),0)</f>
        <v>0</v>
      </c>
      <c r="ED797" s="11"/>
    </row>
    <row r="798" spans="1:134" ht="11.25" customHeight="1" x14ac:dyDescent="0.2">
      <c r="A798" s="1">
        <f t="shared" si="675"/>
        <v>795</v>
      </c>
      <c r="B798" s="1" t="s">
        <v>1797</v>
      </c>
      <c r="E798" s="1">
        <f t="shared" si="672"/>
        <v>0</v>
      </c>
      <c r="Z798" s="1" t="b">
        <f>FALSE</f>
        <v>0</v>
      </c>
      <c r="AA798" s="1" t="str">
        <f t="shared" si="676"/>
        <v/>
      </c>
      <c r="AB798" s="1" t="str">
        <f t="shared" si="677"/>
        <v/>
      </c>
      <c r="AC798" s="1">
        <f t="shared" si="673"/>
        <v>0</v>
      </c>
      <c r="AD798" s="1" t="str">
        <f t="shared" si="678"/>
        <v/>
      </c>
      <c r="AE798" s="1" t="str">
        <f t="shared" si="679"/>
        <v/>
      </c>
      <c r="AF798" s="1">
        <f t="shared" si="674"/>
        <v>0</v>
      </c>
      <c r="AG798" s="1">
        <f t="shared" si="684"/>
        <v>5</v>
      </c>
      <c r="ED798" s="11"/>
    </row>
    <row r="799" spans="1:134" ht="11.25" customHeight="1" x14ac:dyDescent="0.2">
      <c r="A799" s="1">
        <f t="shared" si="675"/>
        <v>796</v>
      </c>
      <c r="B799" s="1" t="str">
        <f>MonType</f>
        <v>Humanoid</v>
      </c>
      <c r="C799" s="1" t="str">
        <f>IF(B799="Monstrous Humanoid","MonH",IF(B799="Humaniod","Hum",IF(B799="Outsider","OutS",IF(B799="Fey","Fey",IF(B799="Giant","Gnt",IF(B799="Aberration","Aber",IF(B799="Undead","Und","")))))))</f>
        <v/>
      </c>
      <c r="D799" s="1" t="s">
        <v>1798</v>
      </c>
      <c r="E799" s="1">
        <f t="shared" si="672"/>
        <v>0</v>
      </c>
      <c r="K799" s="1">
        <f>RaceSkillPoints</f>
        <v>2</v>
      </c>
      <c r="L799" s="1">
        <f>RaceHDType</f>
        <v>8</v>
      </c>
      <c r="N799" s="1" t="b">
        <v>1</v>
      </c>
      <c r="O799" s="1" t="b">
        <v>1</v>
      </c>
      <c r="P799" s="1" t="b">
        <v>1</v>
      </c>
      <c r="Q799" s="1" t="b">
        <v>1</v>
      </c>
      <c r="R799" s="1" t="b">
        <v>1</v>
      </c>
      <c r="S799" s="1" t="b">
        <v>1</v>
      </c>
      <c r="T799" s="1" t="b">
        <v>1</v>
      </c>
      <c r="V799" s="1">
        <f>IF(RaceBAB&gt;0,RaceBAB,0)</f>
        <v>0.75</v>
      </c>
      <c r="W799" s="1">
        <f>IF(RaceFort&gt;0,RaceFort,0)</f>
        <v>0.34</v>
      </c>
      <c r="X799" s="1">
        <f>IF(RaceRef&gt;0,RaceRef,0)</f>
        <v>0.5</v>
      </c>
      <c r="Y799" s="1">
        <f>IF(RaceWill&gt;0,RaceWill,0)</f>
        <v>0.34</v>
      </c>
      <c r="Z799" s="1" t="b">
        <f>FALSE</f>
        <v>0</v>
      </c>
      <c r="AA799" s="1" t="str">
        <f t="shared" si="676"/>
        <v/>
      </c>
      <c r="AB799" s="1" t="str">
        <f t="shared" si="677"/>
        <v/>
      </c>
      <c r="AC799" s="1">
        <f t="shared" si="673"/>
        <v>0</v>
      </c>
      <c r="AD799" s="1" t="str">
        <f t="shared" si="678"/>
        <v/>
      </c>
      <c r="AE799" s="1" t="str">
        <f t="shared" si="679"/>
        <v/>
      </c>
      <c r="AF799" s="1">
        <f t="shared" si="674"/>
        <v>0</v>
      </c>
      <c r="AG799" s="1">
        <f t="shared" si="684"/>
        <v>5</v>
      </c>
      <c r="AI799" s="1">
        <f t="shared" ref="AI799:BO799" si="685">IF(MonLvl&gt;0,IF(AI$1,getracialskill(RaceSkillMod,AI$2),0),0)</f>
        <v>0</v>
      </c>
      <c r="AJ799" s="1">
        <f t="shared" si="685"/>
        <v>0</v>
      </c>
      <c r="AK799" s="1">
        <f t="shared" si="685"/>
        <v>0</v>
      </c>
      <c r="AL799" s="1">
        <f t="shared" si="685"/>
        <v>0</v>
      </c>
      <c r="AM799" s="1">
        <f t="shared" si="685"/>
        <v>0</v>
      </c>
      <c r="AN799" s="1">
        <f>IF(IsLycanthrope,2,0)</f>
        <v>0</v>
      </c>
      <c r="AO799" s="1">
        <f t="shared" si="685"/>
        <v>0</v>
      </c>
      <c r="AP799" s="1">
        <f t="shared" si="685"/>
        <v>0</v>
      </c>
      <c r="AQ799" s="1">
        <f t="shared" si="685"/>
        <v>0</v>
      </c>
      <c r="AR799" s="1">
        <f t="shared" si="685"/>
        <v>0</v>
      </c>
      <c r="AS799" s="1">
        <f t="shared" si="685"/>
        <v>0</v>
      </c>
      <c r="AT799" s="1">
        <f t="shared" si="685"/>
        <v>0</v>
      </c>
      <c r="AU799" s="1">
        <f t="shared" si="685"/>
        <v>0</v>
      </c>
      <c r="AV799" s="1">
        <f t="shared" si="685"/>
        <v>0</v>
      </c>
      <c r="AW799" s="1">
        <f t="shared" si="685"/>
        <v>0</v>
      </c>
      <c r="AX799" s="1">
        <f t="shared" si="685"/>
        <v>0</v>
      </c>
      <c r="AY799" s="1">
        <f t="shared" si="685"/>
        <v>0</v>
      </c>
      <c r="AZ799" s="1">
        <f t="shared" si="685"/>
        <v>0</v>
      </c>
      <c r="BA799" s="1">
        <f t="shared" si="685"/>
        <v>0</v>
      </c>
      <c r="BB799" s="1">
        <f t="shared" si="685"/>
        <v>0</v>
      </c>
      <c r="BC799" s="1">
        <f t="shared" si="685"/>
        <v>0</v>
      </c>
      <c r="BD799" s="1">
        <f t="shared" si="685"/>
        <v>0</v>
      </c>
      <c r="BE799" s="1">
        <f t="shared" si="685"/>
        <v>0</v>
      </c>
      <c r="BF799" s="1">
        <f t="shared" si="685"/>
        <v>0</v>
      </c>
      <c r="BG799" s="1">
        <f t="shared" si="685"/>
        <v>0</v>
      </c>
      <c r="BH799" s="1">
        <f t="shared" si="685"/>
        <v>0</v>
      </c>
      <c r="BI799" s="1">
        <f t="shared" si="685"/>
        <v>0</v>
      </c>
      <c r="BJ799" s="1">
        <f t="shared" si="685"/>
        <v>0</v>
      </c>
      <c r="BK799" s="1">
        <f t="shared" si="685"/>
        <v>0</v>
      </c>
      <c r="BL799" s="1">
        <f t="shared" si="685"/>
        <v>0</v>
      </c>
      <c r="BM799" s="1">
        <f t="shared" si="685"/>
        <v>0</v>
      </c>
      <c r="BN799" s="1">
        <f t="shared" si="685"/>
        <v>0</v>
      </c>
      <c r="BO799" s="1">
        <f t="shared" si="685"/>
        <v>0</v>
      </c>
      <c r="BP799" s="1">
        <f t="shared" ref="BP799:CU799" si="686">IF(MonLvl&gt;0,IF(BP$1,getracialskill(RaceSkillMod,BP$2),0),0)</f>
        <v>0</v>
      </c>
      <c r="BQ799" s="1">
        <f t="shared" si="686"/>
        <v>0</v>
      </c>
      <c r="BR799" s="1">
        <f t="shared" si="686"/>
        <v>0</v>
      </c>
      <c r="BS799" s="1">
        <f t="shared" si="686"/>
        <v>0</v>
      </c>
      <c r="BT799" s="1">
        <f t="shared" si="686"/>
        <v>0</v>
      </c>
      <c r="BU799" s="1">
        <f t="shared" si="686"/>
        <v>0</v>
      </c>
      <c r="BV799" s="1">
        <f t="shared" si="686"/>
        <v>0</v>
      </c>
      <c r="BW799" s="1">
        <f t="shared" si="686"/>
        <v>0</v>
      </c>
      <c r="BX799" s="1">
        <f t="shared" si="686"/>
        <v>0</v>
      </c>
      <c r="BY799" s="1">
        <f t="shared" si="686"/>
        <v>0</v>
      </c>
      <c r="BZ799" s="1">
        <f t="shared" si="686"/>
        <v>0</v>
      </c>
      <c r="CA799" s="1">
        <f t="shared" si="686"/>
        <v>0</v>
      </c>
      <c r="CB799" s="1">
        <f t="shared" si="686"/>
        <v>0</v>
      </c>
      <c r="CC799" s="1">
        <f t="shared" si="686"/>
        <v>0</v>
      </c>
      <c r="CD799" s="1">
        <f t="shared" si="686"/>
        <v>0</v>
      </c>
      <c r="CE799" s="1">
        <f t="shared" si="686"/>
        <v>0</v>
      </c>
      <c r="CF799" s="1">
        <f t="shared" si="686"/>
        <v>0</v>
      </c>
      <c r="CG799" s="1">
        <f t="shared" si="686"/>
        <v>0</v>
      </c>
      <c r="CH799" s="1">
        <f t="shared" si="686"/>
        <v>0</v>
      </c>
      <c r="CI799" s="1">
        <f t="shared" si="686"/>
        <v>0</v>
      </c>
      <c r="CJ799" s="1">
        <f t="shared" si="686"/>
        <v>0</v>
      </c>
      <c r="CK799" s="1">
        <f t="shared" si="686"/>
        <v>0</v>
      </c>
      <c r="CL799" s="1">
        <f t="shared" si="686"/>
        <v>0</v>
      </c>
      <c r="CM799" s="1">
        <f t="shared" si="686"/>
        <v>0</v>
      </c>
      <c r="CN799" s="1">
        <f t="shared" si="686"/>
        <v>0</v>
      </c>
      <c r="CO799" s="1">
        <f t="shared" si="686"/>
        <v>0</v>
      </c>
      <c r="CP799" s="1">
        <f t="shared" si="686"/>
        <v>0</v>
      </c>
      <c r="CQ799" s="1">
        <f t="shared" si="686"/>
        <v>0</v>
      </c>
      <c r="CR799" s="1">
        <f t="shared" si="686"/>
        <v>0</v>
      </c>
      <c r="CS799" s="1">
        <f t="shared" si="686"/>
        <v>0</v>
      </c>
      <c r="CT799" s="1">
        <f t="shared" si="686"/>
        <v>0</v>
      </c>
      <c r="CU799" s="1">
        <f t="shared" si="686"/>
        <v>0</v>
      </c>
      <c r="CV799" s="1">
        <f t="shared" ref="CV799:DJ799" si="687">IF(MonLvl&gt;0,IF(CV$1,getracialskill(RaceSkillMod,CV$2),0),0)</f>
        <v>0</v>
      </c>
      <c r="CW799" s="1">
        <f t="shared" si="687"/>
        <v>0</v>
      </c>
      <c r="CX799" s="1">
        <f t="shared" si="687"/>
        <v>0</v>
      </c>
      <c r="CY799" s="1">
        <f t="shared" si="687"/>
        <v>0</v>
      </c>
      <c r="CZ799" s="1">
        <f t="shared" si="687"/>
        <v>0</v>
      </c>
      <c r="DA799" s="1">
        <f t="shared" si="687"/>
        <v>0</v>
      </c>
      <c r="DB799" s="1">
        <f t="shared" si="687"/>
        <v>0</v>
      </c>
      <c r="DC799" s="1">
        <f t="shared" si="687"/>
        <v>0</v>
      </c>
      <c r="DD799" s="1">
        <f t="shared" si="687"/>
        <v>0</v>
      </c>
      <c r="DE799" s="1">
        <f t="shared" si="687"/>
        <v>0</v>
      </c>
      <c r="DF799" s="1">
        <f t="shared" si="687"/>
        <v>0</v>
      </c>
      <c r="DG799" s="1">
        <f t="shared" si="687"/>
        <v>0</v>
      </c>
      <c r="DH799" s="1">
        <f t="shared" si="687"/>
        <v>0</v>
      </c>
      <c r="DI799" s="1">
        <f t="shared" si="687"/>
        <v>0</v>
      </c>
      <c r="DJ799" s="1">
        <f t="shared" si="687"/>
        <v>0</v>
      </c>
      <c r="ED799" s="11"/>
    </row>
  </sheetData>
  <dataValidations count="2">
    <dataValidation allowBlank="1" showErrorMessage="1" promptTitle="Precise Shot" prompt="You do not suffer the –4 penalty for making a ranged attack against an opponent who is engaged in melee." sqref="DY268"/>
    <dataValidation allowBlank="1" showErrorMessage="1" sqref="DP507 DV529 DU499 DT497 DW494 DR512:DR520 DS529 DR522:DR528 DW527 DY268 DW268"/>
  </dataValidations>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785</vt:i4>
      </vt:variant>
    </vt:vector>
  </HeadingPairs>
  <TitlesOfParts>
    <vt:vector size="786" baseType="lpstr">
      <vt:lpstr>Class Info</vt:lpstr>
      <vt:lpstr>AbJLvl</vt:lpstr>
      <vt:lpstr>AblLvl</vt:lpstr>
      <vt:lpstr>AChLvl</vt:lpstr>
      <vt:lpstr>AcrLvl</vt:lpstr>
      <vt:lpstr>AcSLvl</vt:lpstr>
      <vt:lpstr>AdpLvl</vt:lpstr>
      <vt:lpstr>AdtLvl</vt:lpstr>
      <vt:lpstr>AfcLvl</vt:lpstr>
      <vt:lpstr>AliLvl</vt:lpstr>
      <vt:lpstr>AlpLvl</vt:lpstr>
      <vt:lpstr>AlSLvl</vt:lpstr>
      <vt:lpstr>AmTLvl</vt:lpstr>
      <vt:lpstr>AniMLvl</vt:lpstr>
      <vt:lpstr>AnInLvl</vt:lpstr>
      <vt:lpstr>AnKLvl</vt:lpstr>
      <vt:lpstr>AnmLvl</vt:lpstr>
      <vt:lpstr>ANRLvl</vt:lpstr>
      <vt:lpstr>AnWrLvl</vt:lpstr>
      <vt:lpstr>AoPLvl</vt:lpstr>
      <vt:lpstr>AoSLvl</vt:lpstr>
      <vt:lpstr>ApeLvl</vt:lpstr>
      <vt:lpstr>AraLvl</vt:lpstr>
      <vt:lpstr>ArcLvl</vt:lpstr>
      <vt:lpstr>ArdtLvl</vt:lpstr>
      <vt:lpstr>ArHLvl</vt:lpstr>
      <vt:lpstr>AriLvl</vt:lpstr>
      <vt:lpstr>ArItLvl</vt:lpstr>
      <vt:lpstr>ArmLvl</vt:lpstr>
      <vt:lpstr>ArSLvl</vt:lpstr>
      <vt:lpstr>ArTLvl</vt:lpstr>
      <vt:lpstr>ArvLvl</vt:lpstr>
      <vt:lpstr>AsDLvl</vt:lpstr>
      <vt:lpstr>AsnLvl</vt:lpstr>
      <vt:lpstr>AtvLvl</vt:lpstr>
      <vt:lpstr>AusLvl</vt:lpstr>
      <vt:lpstr>AvELvl</vt:lpstr>
      <vt:lpstr>AvnLvl</vt:lpstr>
      <vt:lpstr>AwDLvl</vt:lpstr>
      <vt:lpstr>BaDLvl</vt:lpstr>
      <vt:lpstr>BBCLvl</vt:lpstr>
      <vt:lpstr>BBHLvl</vt:lpstr>
      <vt:lpstr>BbnLvl</vt:lpstr>
      <vt:lpstr>BBoLvl</vt:lpstr>
      <vt:lpstr>BcMLvl</vt:lpstr>
      <vt:lpstr>BDfLvl</vt:lpstr>
      <vt:lpstr>BdsLvl</vt:lpstr>
      <vt:lpstr>BegLvl</vt:lpstr>
      <vt:lpstr>BerLvl</vt:lpstr>
      <vt:lpstr>BFZLvl</vt:lpstr>
      <vt:lpstr>BHALvl</vt:lpstr>
      <vt:lpstr>BhrLvl</vt:lpstr>
      <vt:lpstr>BinLvl</vt:lpstr>
      <vt:lpstr>BirLvl</vt:lpstr>
      <vt:lpstr>BKtLvl</vt:lpstr>
      <vt:lpstr>BlDaLvl</vt:lpstr>
      <vt:lpstr>BldLvl</vt:lpstr>
      <vt:lpstr>BliLvl</vt:lpstr>
      <vt:lpstr>BlkLvl</vt:lpstr>
      <vt:lpstr>BloLvl</vt:lpstr>
      <vt:lpstr>BMaLvl</vt:lpstr>
      <vt:lpstr>BndLvl</vt:lpstr>
      <vt:lpstr>BonusManifester</vt:lpstr>
      <vt:lpstr>BonusMeldshaper</vt:lpstr>
      <vt:lpstr>BonusSpellcaster</vt:lpstr>
      <vt:lpstr>BonusSpellCaster2</vt:lpstr>
      <vt:lpstr>BoVLvl</vt:lpstr>
      <vt:lpstr>BPALvl</vt:lpstr>
      <vt:lpstr>BPlLvl</vt:lpstr>
      <vt:lpstr>BrdLvl</vt:lpstr>
      <vt:lpstr>BrGLvl</vt:lpstr>
      <vt:lpstr>BrZLvl</vt:lpstr>
      <vt:lpstr>BsBLvl</vt:lpstr>
      <vt:lpstr>BsFLvl</vt:lpstr>
      <vt:lpstr>BsmLvl</vt:lpstr>
      <vt:lpstr>BtrLvl</vt:lpstr>
      <vt:lpstr>BtsLvl</vt:lpstr>
      <vt:lpstr>BtTLvl</vt:lpstr>
      <vt:lpstr>BWaLvl</vt:lpstr>
      <vt:lpstr>CadLvl</vt:lpstr>
      <vt:lpstr>CatLvl</vt:lpstr>
      <vt:lpstr>CatMLvl</vt:lpstr>
      <vt:lpstr>CavLvl</vt:lpstr>
      <vt:lpstr>CbTLvl</vt:lpstr>
      <vt:lpstr>CClLvl</vt:lpstr>
      <vt:lpstr>CcMLvl</vt:lpstr>
      <vt:lpstr>CebLvl</vt:lpstr>
      <vt:lpstr>CharLvl</vt:lpstr>
      <vt:lpstr>CharSheetLvl</vt:lpstr>
      <vt:lpstr>ChChLvl</vt:lpstr>
      <vt:lpstr>ChCLvl</vt:lpstr>
      <vt:lpstr>ChILvl</vt:lpstr>
      <vt:lpstr>ChlLvl</vt:lpstr>
      <vt:lpstr>ChmLvl</vt:lpstr>
      <vt:lpstr>ChtLvl</vt:lpstr>
      <vt:lpstr>ClALvl</vt:lpstr>
      <vt:lpstr>Class</vt:lpstr>
      <vt:lpstr>ClassAbbr</vt:lpstr>
      <vt:lpstr>ClassAbilitiesAdj</vt:lpstr>
      <vt:lpstr>ClassAbilitiesAdjRowsCnt</vt:lpstr>
      <vt:lpstr>ClassALMod</vt:lpstr>
      <vt:lpstr>ClassALModRowsCnt</vt:lpstr>
      <vt:lpstr>ClassDR</vt:lpstr>
      <vt:lpstr>ClassDRRowsCnt</vt:lpstr>
      <vt:lpstr>ClassInfoClassNameColumn</vt:lpstr>
      <vt:lpstr>ClassInfoClassPrereqColumn</vt:lpstr>
      <vt:lpstr>ClassInfofBABColumn</vt:lpstr>
      <vt:lpstr>ClassInfofFortColumn</vt:lpstr>
      <vt:lpstr>ClassInfofRefColumn</vt:lpstr>
      <vt:lpstr>ClassInfofWillColumn</vt:lpstr>
      <vt:lpstr>ClassInfoHDColumn</vt:lpstr>
      <vt:lpstr>ClassInfoLevelColumn</vt:lpstr>
      <vt:lpstr>ClassInfoTLAColumn</vt:lpstr>
      <vt:lpstr>ClassIntAdj</vt:lpstr>
      <vt:lpstr>ClassLen</vt:lpstr>
      <vt:lpstr>ClassLvl</vt:lpstr>
      <vt:lpstr>ClassSubtype</vt:lpstr>
      <vt:lpstr>ClassSubtypeModRowsCnt</vt:lpstr>
      <vt:lpstr>ClassTypeModRowsCnt</vt:lpstr>
      <vt:lpstr>ClassTypeName</vt:lpstr>
      <vt:lpstr>ClassTypeValue</vt:lpstr>
      <vt:lpstr>ClassVirtualLvls</vt:lpstr>
      <vt:lpstr>ClassVirtualRowsCnt</vt:lpstr>
      <vt:lpstr>ClassWeaponProfs</vt:lpstr>
      <vt:lpstr>ClDLvl</vt:lpstr>
      <vt:lpstr>ClMLvl</vt:lpstr>
      <vt:lpstr>ClrLvl</vt:lpstr>
      <vt:lpstr>CMdLvl</vt:lpstr>
      <vt:lpstr>CmLLvl</vt:lpstr>
      <vt:lpstr>CMyLvl</vt:lpstr>
      <vt:lpstr>CoALvl</vt:lpstr>
      <vt:lpstr>CoGLvl</vt:lpstr>
      <vt:lpstr>CoHLvl</vt:lpstr>
      <vt:lpstr>ComLvl</vt:lpstr>
      <vt:lpstr>ConLvl</vt:lpstr>
      <vt:lpstr>CrALvl</vt:lpstr>
      <vt:lpstr>CrkLvl</vt:lpstr>
      <vt:lpstr>CrSLvl</vt:lpstr>
      <vt:lpstr>CruLvl</vt:lpstr>
      <vt:lpstr>CryLvl</vt:lpstr>
      <vt:lpstr>CShLvl</vt:lpstr>
      <vt:lpstr>CstLvl</vt:lpstr>
      <vt:lpstr>CtELvl</vt:lpstr>
      <vt:lpstr>CTrLvl</vt:lpstr>
      <vt:lpstr>CvLLvl</vt:lpstr>
      <vt:lpstr>CWALvl</vt:lpstr>
      <vt:lpstr>CyaLvl</vt:lpstr>
      <vt:lpstr>DaMLvl</vt:lpstr>
      <vt:lpstr>DAshLvl</vt:lpstr>
      <vt:lpstr>DaSLvl</vt:lpstr>
      <vt:lpstr>DBgLvl</vt:lpstr>
      <vt:lpstr>DChLvl</vt:lpstr>
      <vt:lpstr>DCmLvl</vt:lpstr>
      <vt:lpstr>DcxLvl</vt:lpstr>
      <vt:lpstr>DdMLvl</vt:lpstr>
      <vt:lpstr>DDRLvl</vt:lpstr>
      <vt:lpstr>DDvLvl</vt:lpstr>
      <vt:lpstr>DeDLvl</vt:lpstr>
      <vt:lpstr>DefLvl</vt:lpstr>
      <vt:lpstr>DemLvl</vt:lpstr>
      <vt:lpstr>DevLvl</vt:lpstr>
      <vt:lpstr>DfALvl</vt:lpstr>
      <vt:lpstr>DgDLvl</vt:lpstr>
      <vt:lpstr>DgLLvl</vt:lpstr>
      <vt:lpstr>DgmLvl</vt:lpstr>
      <vt:lpstr>DgRLvl</vt:lpstr>
      <vt:lpstr>DgSLvl</vt:lpstr>
      <vt:lpstr>DhMLvl</vt:lpstr>
      <vt:lpstr>DhrLvl</vt:lpstr>
      <vt:lpstr>DiaLvl</vt:lpstr>
      <vt:lpstr>DiDrLvl</vt:lpstr>
      <vt:lpstr>DiOLvl</vt:lpstr>
      <vt:lpstr>DirLvl</vt:lpstr>
      <vt:lpstr>DisLvl</vt:lpstr>
      <vt:lpstr>DkRLvl</vt:lpstr>
      <vt:lpstr>DkSLvl</vt:lpstr>
      <vt:lpstr>DLdLvl</vt:lpstr>
      <vt:lpstr>DLtLvl</vt:lpstr>
      <vt:lpstr>DMaLvl</vt:lpstr>
      <vt:lpstr>DmCLvl</vt:lpstr>
      <vt:lpstr>DMeLvl</vt:lpstr>
      <vt:lpstr>DmGLvl</vt:lpstr>
      <vt:lpstr>DmHLvl</vt:lpstr>
      <vt:lpstr>DnCLvl</vt:lpstr>
      <vt:lpstr>DoALvl</vt:lpstr>
      <vt:lpstr>DoBLvl</vt:lpstr>
      <vt:lpstr>DoClassAbilityAdj</vt:lpstr>
      <vt:lpstr>DoClassALMod</vt:lpstr>
      <vt:lpstr>DoClassDR</vt:lpstr>
      <vt:lpstr>DoClassIntAdj</vt:lpstr>
      <vt:lpstr>DoClassSubtypeMod</vt:lpstr>
      <vt:lpstr>DoClassTypeMod</vt:lpstr>
      <vt:lpstr>DoDLvl</vt:lpstr>
      <vt:lpstr>DoELvl</vt:lpstr>
      <vt:lpstr>DoFeatAbilityAdj</vt:lpstr>
      <vt:lpstr>DoFeatIntAdj</vt:lpstr>
      <vt:lpstr>DoSLvl</vt:lpstr>
      <vt:lpstr>DoTLvl</vt:lpstr>
      <vt:lpstr>DPWLvl</vt:lpstr>
      <vt:lpstr>DrcLvl</vt:lpstr>
      <vt:lpstr>DrdLvl</vt:lpstr>
      <vt:lpstr>DrgALvl</vt:lpstr>
      <vt:lpstr>DrgDLvl</vt:lpstr>
      <vt:lpstr>DrgLLvl</vt:lpstr>
      <vt:lpstr>DrHLvl</vt:lpstr>
      <vt:lpstr>DrKLvl</vt:lpstr>
      <vt:lpstr>DrMLvl</vt:lpstr>
      <vt:lpstr>DrNLvl</vt:lpstr>
      <vt:lpstr>DrPgLvl</vt:lpstr>
      <vt:lpstr>DrPLvl</vt:lpstr>
      <vt:lpstr>DrRiLvl</vt:lpstr>
      <vt:lpstr>DrShLvl</vt:lpstr>
      <vt:lpstr>DrsLvl</vt:lpstr>
      <vt:lpstr>DSLLvl</vt:lpstr>
      <vt:lpstr>DSmLvl</vt:lpstr>
      <vt:lpstr>DsSLvl</vt:lpstr>
      <vt:lpstr>DStLvl</vt:lpstr>
      <vt:lpstr>DttLvl</vt:lpstr>
      <vt:lpstr>DtvLvl</vt:lpstr>
      <vt:lpstr>DuBLvl</vt:lpstr>
      <vt:lpstr>DueLvl</vt:lpstr>
      <vt:lpstr>DunLvl</vt:lpstr>
      <vt:lpstr>DvALvl</vt:lpstr>
      <vt:lpstr>DvCLvl</vt:lpstr>
      <vt:lpstr>DvDLvl</vt:lpstr>
      <vt:lpstr>DvMdLvl</vt:lpstr>
      <vt:lpstr>DvPLvl</vt:lpstr>
      <vt:lpstr>DvsLvl</vt:lpstr>
      <vt:lpstr>DwChLvl</vt:lpstr>
      <vt:lpstr>DwDLvl</vt:lpstr>
      <vt:lpstr>DweLvl</vt:lpstr>
      <vt:lpstr>DWhLvl</vt:lpstr>
      <vt:lpstr>DWJLvl</vt:lpstr>
      <vt:lpstr>DwnLvl</vt:lpstr>
      <vt:lpstr>DwPgLvl</vt:lpstr>
      <vt:lpstr>EbInLvl</vt:lpstr>
      <vt:lpstr>EbStLvl</vt:lpstr>
      <vt:lpstr>EcAdLvl</vt:lpstr>
      <vt:lpstr>ECL</vt:lpstr>
      <vt:lpstr>EexLvl</vt:lpstr>
      <vt:lpstr>EfMLvl</vt:lpstr>
      <vt:lpstr>EHMLvl</vt:lpstr>
      <vt:lpstr>EHRLvl</vt:lpstr>
      <vt:lpstr>ElALvl</vt:lpstr>
      <vt:lpstr>ElDLvl</vt:lpstr>
      <vt:lpstr>ElKLvl</vt:lpstr>
      <vt:lpstr>ElMLvl</vt:lpstr>
      <vt:lpstr>EloLvl</vt:lpstr>
      <vt:lpstr>ElRLvl</vt:lpstr>
      <vt:lpstr>ElSLvl</vt:lpstr>
      <vt:lpstr>ElTLvl</vt:lpstr>
      <vt:lpstr>ElWLvl</vt:lpstr>
      <vt:lpstr>EnFLvl</vt:lpstr>
      <vt:lpstr>EnSLvl</vt:lpstr>
      <vt:lpstr>EntLvl</vt:lpstr>
      <vt:lpstr>EoBLvl</vt:lpstr>
      <vt:lpstr>EPgLvl</vt:lpstr>
      <vt:lpstr>EquLvl</vt:lpstr>
      <vt:lpstr>ErDLvl</vt:lpstr>
      <vt:lpstr>ESFLvl</vt:lpstr>
      <vt:lpstr>ESZLvl</vt:lpstr>
      <vt:lpstr>EtBLvl</vt:lpstr>
      <vt:lpstr>ETGLvl</vt:lpstr>
      <vt:lpstr>EuWLvl</vt:lpstr>
      <vt:lpstr>EvaLvl</vt:lpstr>
      <vt:lpstr>EWMLvl</vt:lpstr>
      <vt:lpstr>ExALvl</vt:lpstr>
      <vt:lpstr>ExELvl</vt:lpstr>
      <vt:lpstr>ExlLvl</vt:lpstr>
      <vt:lpstr>ExpLvl</vt:lpstr>
      <vt:lpstr>ExrLvl</vt:lpstr>
      <vt:lpstr>EyeLvl</vt:lpstr>
      <vt:lpstr>FarLvl</vt:lpstr>
      <vt:lpstr>FBdLvl</vt:lpstr>
      <vt:lpstr>FBkLvl</vt:lpstr>
      <vt:lpstr>FBlLvl</vt:lpstr>
      <vt:lpstr>FCoLvl</vt:lpstr>
      <vt:lpstr>FctLvl</vt:lpstr>
      <vt:lpstr>FDQLvl</vt:lpstr>
      <vt:lpstr>FeatAbilitiesAdj</vt:lpstr>
      <vt:lpstr>FeatAbilitiesAdjRowsCnt</vt:lpstr>
      <vt:lpstr>FeatIntAdj</vt:lpstr>
      <vt:lpstr>FFrLvl</vt:lpstr>
      <vt:lpstr>FirstPrestigeClass</vt:lpstr>
      <vt:lpstr>FlwLvl</vt:lpstr>
      <vt:lpstr>FMkLvl</vt:lpstr>
      <vt:lpstr>FoFLvl</vt:lpstr>
      <vt:lpstr>FoLLvl</vt:lpstr>
      <vt:lpstr>FoRLvl</vt:lpstr>
      <vt:lpstr>FoZLvl</vt:lpstr>
      <vt:lpstr>FPoLvl</vt:lpstr>
      <vt:lpstr>FRaLvl</vt:lpstr>
      <vt:lpstr>FrMgLvl</vt:lpstr>
      <vt:lpstr>FrMLvl</vt:lpstr>
      <vt:lpstr>FrRLvl</vt:lpstr>
      <vt:lpstr>FsPsLvl</vt:lpstr>
      <vt:lpstr>FtrLvl</vt:lpstr>
      <vt:lpstr>FtSLvl</vt:lpstr>
      <vt:lpstr>FvSLvl</vt:lpstr>
      <vt:lpstr>GdELvl</vt:lpstr>
      <vt:lpstr>GdnLvl</vt:lpstr>
      <vt:lpstr>GeoLvl</vt:lpstr>
      <vt:lpstr>GGSLvl</vt:lpstr>
      <vt:lpstr>GHELvl</vt:lpstr>
      <vt:lpstr>GhKLvl</vt:lpstr>
      <vt:lpstr>GhrLvl</vt:lpstr>
      <vt:lpstr>GiKLvl</vt:lpstr>
      <vt:lpstr>GlaLvl</vt:lpstr>
      <vt:lpstr>GlLLvl</vt:lpstr>
      <vt:lpstr>GmtLvl</vt:lpstr>
      <vt:lpstr>GnALvl</vt:lpstr>
      <vt:lpstr>GnPgLvl</vt:lpstr>
      <vt:lpstr>GrGLvl</vt:lpstr>
      <vt:lpstr>GRSLvl</vt:lpstr>
      <vt:lpstr>GSALvl</vt:lpstr>
      <vt:lpstr>GtCLvl</vt:lpstr>
      <vt:lpstr>GWWLvl</vt:lpstr>
      <vt:lpstr>HaPgLvl</vt:lpstr>
      <vt:lpstr>HasVirtualClasses</vt:lpstr>
      <vt:lpstr>HazLvl</vt:lpstr>
      <vt:lpstr>HbrLvl</vt:lpstr>
      <vt:lpstr>HCDLvl</vt:lpstr>
      <vt:lpstr>HdBLvl</vt:lpstr>
      <vt:lpstr>HDPgLvl</vt:lpstr>
      <vt:lpstr>HEBLvl</vt:lpstr>
      <vt:lpstr>HenLvl</vt:lpstr>
      <vt:lpstr>HEPgLvl</vt:lpstr>
      <vt:lpstr>HfOLvl</vt:lpstr>
      <vt:lpstr>HiDLvl</vt:lpstr>
      <vt:lpstr>HieLvl</vt:lpstr>
      <vt:lpstr>HiSLvl</vt:lpstr>
      <vt:lpstr>HitDice</vt:lpstr>
      <vt:lpstr>HkHLvl</vt:lpstr>
      <vt:lpstr>HlrLvl</vt:lpstr>
      <vt:lpstr>HltWLvl</vt:lpstr>
      <vt:lpstr>HoDLvl</vt:lpstr>
      <vt:lpstr>HoLLvl</vt:lpstr>
      <vt:lpstr>HoMLvl</vt:lpstr>
      <vt:lpstr>HOPgLvl</vt:lpstr>
      <vt:lpstr>HosLvl</vt:lpstr>
      <vt:lpstr>HoWLvl</vt:lpstr>
      <vt:lpstr>HPaLvl</vt:lpstr>
      <vt:lpstr>HpMLvl</vt:lpstr>
      <vt:lpstr>HpPLvl</vt:lpstr>
      <vt:lpstr>HrHLvl</vt:lpstr>
      <vt:lpstr>HrpLvl</vt:lpstr>
      <vt:lpstr>HrvLvl</vt:lpstr>
      <vt:lpstr>HSbLvl</vt:lpstr>
      <vt:lpstr>HSCLvl</vt:lpstr>
      <vt:lpstr>HStLvl</vt:lpstr>
      <vt:lpstr>HthLvl</vt:lpstr>
      <vt:lpstr>HtWLvl</vt:lpstr>
      <vt:lpstr>HuPgLvl</vt:lpstr>
      <vt:lpstr>HvMLvl</vt:lpstr>
      <vt:lpstr>HvyArmorProf</vt:lpstr>
      <vt:lpstr>HWhLvl</vt:lpstr>
      <vt:lpstr>HwiLvl</vt:lpstr>
      <vt:lpstr>HWlLvl</vt:lpstr>
      <vt:lpstr>HWMLvl</vt:lpstr>
      <vt:lpstr>HwrLvl</vt:lpstr>
      <vt:lpstr>HxBLvl</vt:lpstr>
      <vt:lpstr>IaiLvl</vt:lpstr>
      <vt:lpstr>IBTLvl</vt:lpstr>
      <vt:lpstr>IDGLvl</vt:lpstr>
      <vt:lpstr>IDMLvl</vt:lpstr>
      <vt:lpstr>IlSlLvl</vt:lpstr>
      <vt:lpstr>IlSLvl</vt:lpstr>
      <vt:lpstr>InBlLvl</vt:lpstr>
      <vt:lpstr>InChLvl</vt:lpstr>
      <vt:lpstr>IncLvl</vt:lpstr>
      <vt:lpstr>InMLvl</vt:lpstr>
      <vt:lpstr>InqLvl</vt:lpstr>
      <vt:lpstr>InvLvl</vt:lpstr>
      <vt:lpstr>IPrLvl</vt:lpstr>
      <vt:lpstr>IPSLvl</vt:lpstr>
      <vt:lpstr>IrFmLvl</vt:lpstr>
      <vt:lpstr>ISVLvL</vt:lpstr>
      <vt:lpstr>ItrLvl</vt:lpstr>
      <vt:lpstr>ItxLvl</vt:lpstr>
      <vt:lpstr>IVTLvl</vt:lpstr>
      <vt:lpstr>JPMLvl</vt:lpstr>
      <vt:lpstr>JusLvl</vt:lpstr>
      <vt:lpstr>JWWLvl</vt:lpstr>
      <vt:lpstr>KBMLvl</vt:lpstr>
      <vt:lpstr>KenLvl</vt:lpstr>
      <vt:lpstr>KESLvl</vt:lpstr>
      <vt:lpstr>KiCLvl</vt:lpstr>
      <vt:lpstr>KIGLvl</vt:lpstr>
      <vt:lpstr>KnELvl</vt:lpstr>
      <vt:lpstr>KniLvl</vt:lpstr>
      <vt:lpstr>KnoCLvl</vt:lpstr>
      <vt:lpstr>KnoLLvl</vt:lpstr>
      <vt:lpstr>KnoRLvl</vt:lpstr>
      <vt:lpstr>KnoSkLvl</vt:lpstr>
      <vt:lpstr>KnoSwLvl</vt:lpstr>
      <vt:lpstr>KnoTLvl</vt:lpstr>
      <vt:lpstr>KnPLvl</vt:lpstr>
      <vt:lpstr>KoCLvl</vt:lpstr>
      <vt:lpstr>KoCSLvl</vt:lpstr>
      <vt:lpstr>KoFHLvl</vt:lpstr>
      <vt:lpstr>KoSSLvl</vt:lpstr>
      <vt:lpstr>KotPLvl</vt:lpstr>
      <vt:lpstr>KoWLvl</vt:lpstr>
      <vt:lpstr>KPhLvl</vt:lpstr>
      <vt:lpstr>KshLvl</vt:lpstr>
      <vt:lpstr>LdCLvl</vt:lpstr>
      <vt:lpstr>LdlLvl</vt:lpstr>
      <vt:lpstr>LfdLvl</vt:lpstr>
      <vt:lpstr>LFWLvl</vt:lpstr>
      <vt:lpstr>LgTaLvl</vt:lpstr>
      <vt:lpstr>LightArmorProf</vt:lpstr>
      <vt:lpstr>LkSLvl</vt:lpstr>
      <vt:lpstr>LkTLvl</vt:lpstr>
      <vt:lpstr>LLdLvl</vt:lpstr>
      <vt:lpstr>LMyLvl</vt:lpstr>
      <vt:lpstr>LorLvl</vt:lpstr>
      <vt:lpstr>LoTLvl</vt:lpstr>
      <vt:lpstr>LrkLvl</vt:lpstr>
      <vt:lpstr>LScLvl</vt:lpstr>
      <vt:lpstr>LshLvl</vt:lpstr>
      <vt:lpstr>LSoLvl</vt:lpstr>
      <vt:lpstr>LTiLvl</vt:lpstr>
      <vt:lpstr>LvHLvl</vt:lpstr>
      <vt:lpstr>LycanthropeCell</vt:lpstr>
      <vt:lpstr>LycanthropeSelected</vt:lpstr>
      <vt:lpstr>LyTLvl</vt:lpstr>
      <vt:lpstr>MaeLvl</vt:lpstr>
      <vt:lpstr>MagTLvl</vt:lpstr>
      <vt:lpstr>MalLvl</vt:lpstr>
      <vt:lpstr>MAmLvl</vt:lpstr>
      <vt:lpstr>MarLvl</vt:lpstr>
      <vt:lpstr>MartialProf</vt:lpstr>
      <vt:lpstr>MasNLvl</vt:lpstr>
      <vt:lpstr>MaTLvl</vt:lpstr>
      <vt:lpstr>MbLvl</vt:lpstr>
      <vt:lpstr>MBrLvl</vt:lpstr>
      <vt:lpstr>MChLvl</vt:lpstr>
      <vt:lpstr>McuLvl</vt:lpstr>
      <vt:lpstr>MedArmorProf</vt:lpstr>
      <vt:lpstr>MgKLvl</vt:lpstr>
      <vt:lpstr>MhrLvl</vt:lpstr>
      <vt:lpstr>MInLvl</vt:lpstr>
      <vt:lpstr>MLDLvl</vt:lpstr>
      <vt:lpstr>MMcLvl</vt:lpstr>
      <vt:lpstr>MMFLvl</vt:lpstr>
      <vt:lpstr>MnbLvl</vt:lpstr>
      <vt:lpstr>MnfLvl</vt:lpstr>
      <vt:lpstr>MnkLvl</vt:lpstr>
      <vt:lpstr>MNMLvl</vt:lpstr>
      <vt:lpstr>MnsALvl</vt:lpstr>
      <vt:lpstr>MnSpLvl</vt:lpstr>
      <vt:lpstr>MoALvl</vt:lpstr>
      <vt:lpstr>MoLLvl</vt:lpstr>
      <vt:lpstr>MoMLvl</vt:lpstr>
      <vt:lpstr>MonCell</vt:lpstr>
      <vt:lpstr>MonLvl</vt:lpstr>
      <vt:lpstr>MonSelected</vt:lpstr>
      <vt:lpstr>MoPLvl</vt:lpstr>
      <vt:lpstr>MoRLvl</vt:lpstr>
      <vt:lpstr>MoSLvl</vt:lpstr>
      <vt:lpstr>MotLvl</vt:lpstr>
      <vt:lpstr>MouLvl</vt:lpstr>
      <vt:lpstr>MplLvl</vt:lpstr>
      <vt:lpstr>MpsLvl</vt:lpstr>
      <vt:lpstr>MrsLvl</vt:lpstr>
      <vt:lpstr>MsALvl</vt:lpstr>
      <vt:lpstr>MsmLvl</vt:lpstr>
      <vt:lpstr>MSpLvl</vt:lpstr>
      <vt:lpstr>MsSkLvl</vt:lpstr>
      <vt:lpstr>MstSLvl</vt:lpstr>
      <vt:lpstr>MtaLvl</vt:lpstr>
      <vt:lpstr>MtHLvl</vt:lpstr>
      <vt:lpstr>MTrLvl</vt:lpstr>
      <vt:lpstr>MUHLvl</vt:lpstr>
      <vt:lpstr>MVpLvl</vt:lpstr>
      <vt:lpstr>MyELvl</vt:lpstr>
      <vt:lpstr>MysLvl</vt:lpstr>
      <vt:lpstr>MyTLvl</vt:lpstr>
      <vt:lpstr>MyWLvl</vt:lpstr>
      <vt:lpstr>NcrLvl</vt:lpstr>
      <vt:lpstr>NjaLvl</vt:lpstr>
      <vt:lpstr>NjSLvl</vt:lpstr>
      <vt:lpstr>NldLvl</vt:lpstr>
      <vt:lpstr>NMDLvl</vt:lpstr>
      <vt:lpstr>NobLvl</vt:lpstr>
      <vt:lpstr>NoShLvl</vt:lpstr>
      <vt:lpstr>NsELvl</vt:lpstr>
      <vt:lpstr>NsILvl</vt:lpstr>
      <vt:lpstr>NSpLvl</vt:lpstr>
      <vt:lpstr>NstLvl</vt:lpstr>
      <vt:lpstr>NtCLvl</vt:lpstr>
      <vt:lpstr>NWrLvl</vt:lpstr>
      <vt:lpstr>OASLvl</vt:lpstr>
      <vt:lpstr>OcALvl</vt:lpstr>
      <vt:lpstr>OccLvl</vt:lpstr>
      <vt:lpstr>OChLvl</vt:lpstr>
      <vt:lpstr>OcWLvl</vt:lpstr>
      <vt:lpstr>OllLvl</vt:lpstr>
      <vt:lpstr>OoBLvL</vt:lpstr>
      <vt:lpstr>OPgLvl</vt:lpstr>
      <vt:lpstr>OrdCLvl</vt:lpstr>
      <vt:lpstr>OrSLvl</vt:lpstr>
      <vt:lpstr>OstLvl</vt:lpstr>
      <vt:lpstr>PalLvl</vt:lpstr>
      <vt:lpstr>PbALvl</vt:lpstr>
      <vt:lpstr>PDKLvl</vt:lpstr>
      <vt:lpstr>PeALvl</vt:lpstr>
      <vt:lpstr>PHDLvl</vt:lpstr>
      <vt:lpstr>PirLvl</vt:lpstr>
      <vt:lpstr>PisLvl</vt:lpstr>
      <vt:lpstr>PlCLvl</vt:lpstr>
      <vt:lpstr>PlKLvl</vt:lpstr>
      <vt:lpstr>PlSLvl</vt:lpstr>
      <vt:lpstr>PMsLvl</vt:lpstr>
      <vt:lpstr>PoELvl</vt:lpstr>
      <vt:lpstr>PrestigeQual</vt:lpstr>
      <vt:lpstr>PrestigeReqs</vt:lpstr>
      <vt:lpstr>PrgALvl</vt:lpstr>
      <vt:lpstr>PrgILvl</vt:lpstr>
      <vt:lpstr>PrmLvl</vt:lpstr>
      <vt:lpstr>ProLvl</vt:lpstr>
      <vt:lpstr>PrpLvl</vt:lpstr>
      <vt:lpstr>PrRLvl</vt:lpstr>
      <vt:lpstr>PrSLvl</vt:lpstr>
      <vt:lpstr>PsALvl</vt:lpstr>
      <vt:lpstr>PsiLvl</vt:lpstr>
      <vt:lpstr>PsULvl</vt:lpstr>
      <vt:lpstr>PswLvl</vt:lpstr>
      <vt:lpstr>PUGLvl</vt:lpstr>
      <vt:lpstr>PyrLvl</vt:lpstr>
      <vt:lpstr>QMhLvl</vt:lpstr>
      <vt:lpstr>QrNLvl</vt:lpstr>
      <vt:lpstr>RaceCi</vt:lpstr>
      <vt:lpstr>RaceCl</vt:lpstr>
      <vt:lpstr>RaMLvl</vt:lpstr>
      <vt:lpstr>RavLvl</vt:lpstr>
      <vt:lpstr>RBlLvl</vt:lpstr>
      <vt:lpstr>RcstLvl</vt:lpstr>
      <vt:lpstr>RdrLvl</vt:lpstr>
      <vt:lpstr>ReMLvl</vt:lpstr>
      <vt:lpstr>RfgLvl</vt:lpstr>
      <vt:lpstr>RgrLvl</vt:lpstr>
      <vt:lpstr>RiZeLvl</vt:lpstr>
      <vt:lpstr>RKnLvl</vt:lpstr>
      <vt:lpstr>RKVLvl</vt:lpstr>
      <vt:lpstr>RMmLvl</vt:lpstr>
      <vt:lpstr>RmWLvl</vt:lpstr>
      <vt:lpstr>RncLvl</vt:lpstr>
      <vt:lpstr>RnSLvl</vt:lpstr>
      <vt:lpstr>RogLvl</vt:lpstr>
      <vt:lpstr>RonLvl</vt:lpstr>
      <vt:lpstr>RRnLvl</vt:lpstr>
      <vt:lpstr>RsMLvl</vt:lpstr>
      <vt:lpstr>RSPLvl</vt:lpstr>
      <vt:lpstr>RuaLvl</vt:lpstr>
      <vt:lpstr>RuSLvl</vt:lpstr>
      <vt:lpstr>RWzLvl</vt:lpstr>
      <vt:lpstr>SAdLvl</vt:lpstr>
      <vt:lpstr>SaELvl</vt:lpstr>
      <vt:lpstr>SaFLvl</vt:lpstr>
      <vt:lpstr>SaHLvl</vt:lpstr>
      <vt:lpstr>SAMaLvl</vt:lpstr>
      <vt:lpstr>SamLvl</vt:lpstr>
      <vt:lpstr>SaOLvl</vt:lpstr>
      <vt:lpstr>SBHLvl</vt:lpstr>
      <vt:lpstr>SbnLvl</vt:lpstr>
      <vt:lpstr>SbSLvl</vt:lpstr>
      <vt:lpstr>ScChLvl</vt:lpstr>
      <vt:lpstr>ScCLvl</vt:lpstr>
      <vt:lpstr>ScDLvl</vt:lpstr>
      <vt:lpstr>ScELvl</vt:lpstr>
      <vt:lpstr>ScgLvl</vt:lpstr>
      <vt:lpstr>ScHLvl</vt:lpstr>
      <vt:lpstr>SclLvl</vt:lpstr>
      <vt:lpstr>ScMLvl</vt:lpstr>
      <vt:lpstr>ScrLvl</vt:lpstr>
      <vt:lpstr>ScSLvl</vt:lpstr>
      <vt:lpstr>SctLvl</vt:lpstr>
      <vt:lpstr>ScWLvl</vt:lpstr>
      <vt:lpstr>SdALvl</vt:lpstr>
      <vt:lpstr>SDCLvl</vt:lpstr>
      <vt:lpstr>SeeLvl</vt:lpstr>
      <vt:lpstr>SfCLvl</vt:lpstr>
      <vt:lpstr>SfiLvl</vt:lpstr>
      <vt:lpstr>SfLLvl</vt:lpstr>
      <vt:lpstr>SftLvl</vt:lpstr>
      <vt:lpstr>SgdLvl</vt:lpstr>
      <vt:lpstr>SghLvl</vt:lpstr>
      <vt:lpstr>ShaLvl</vt:lpstr>
      <vt:lpstr>ShaSLvl</vt:lpstr>
      <vt:lpstr>ShCLvl</vt:lpstr>
      <vt:lpstr>ShdLvl</vt:lpstr>
      <vt:lpstr>ShHLvl</vt:lpstr>
      <vt:lpstr>ShieldProf</vt:lpstr>
      <vt:lpstr>ShILvl</vt:lpstr>
      <vt:lpstr>ShjLvl</vt:lpstr>
      <vt:lpstr>ShkLvl</vt:lpstr>
      <vt:lpstr>ShMkLvl</vt:lpstr>
      <vt:lpstr>ShmLvl</vt:lpstr>
      <vt:lpstr>ShortClass</vt:lpstr>
      <vt:lpstr>ShortClassLen</vt:lpstr>
      <vt:lpstr>ShpLvl</vt:lpstr>
      <vt:lpstr>SHrLvl</vt:lpstr>
      <vt:lpstr>ShSLvl</vt:lpstr>
      <vt:lpstr>ShtSLvl</vt:lpstr>
      <vt:lpstr>SimpleProf</vt:lpstr>
      <vt:lpstr>SklLvl</vt:lpstr>
      <vt:lpstr>SkPLvl</vt:lpstr>
      <vt:lpstr>SkrLvl</vt:lpstr>
      <vt:lpstr>SkyLvl</vt:lpstr>
      <vt:lpstr>SlBwLvl</vt:lpstr>
      <vt:lpstr>SlELvl</vt:lpstr>
      <vt:lpstr>SLoLvl</vt:lpstr>
      <vt:lpstr>SMaLvl</vt:lpstr>
      <vt:lpstr>SMdLvl</vt:lpstr>
      <vt:lpstr>SMILvl</vt:lpstr>
      <vt:lpstr>SmnLvl</vt:lpstr>
      <vt:lpstr>SMWLvl</vt:lpstr>
      <vt:lpstr>SnkLvl</vt:lpstr>
      <vt:lpstr>SoBLvl</vt:lpstr>
      <vt:lpstr>SoCLvl</vt:lpstr>
      <vt:lpstr>SoDLvl</vt:lpstr>
      <vt:lpstr>SohLvl</vt:lpstr>
      <vt:lpstr>SoKLvl</vt:lpstr>
      <vt:lpstr>SoLLvl</vt:lpstr>
      <vt:lpstr>SorLvl</vt:lpstr>
      <vt:lpstr>SoSLvl</vt:lpstr>
      <vt:lpstr>SouLvl</vt:lpstr>
      <vt:lpstr>SpDLvl</vt:lpstr>
      <vt:lpstr>SPfLvl</vt:lpstr>
      <vt:lpstr>SplSLvl</vt:lpstr>
      <vt:lpstr>SPrLvl</vt:lpstr>
      <vt:lpstr>SpsLvl</vt:lpstr>
      <vt:lpstr>SpTLvl</vt:lpstr>
      <vt:lpstr>SpWLvl</vt:lpstr>
      <vt:lpstr>SpwSLvl</vt:lpstr>
      <vt:lpstr>SpyLvl</vt:lpstr>
      <vt:lpstr>SpyrLvl</vt:lpstr>
      <vt:lpstr>SScLvl</vt:lpstr>
      <vt:lpstr>SsGLvl</vt:lpstr>
      <vt:lpstr>SShLvl</vt:lpstr>
      <vt:lpstr>SSMLvl</vt:lpstr>
      <vt:lpstr>SSNLvl</vt:lpstr>
      <vt:lpstr>STALvl</vt:lpstr>
      <vt:lpstr>StbLvl</vt:lpstr>
      <vt:lpstr>StCLvl</vt:lpstr>
      <vt:lpstr>StDsLvl</vt:lpstr>
      <vt:lpstr>StfLvl</vt:lpstr>
      <vt:lpstr>StLgLvl</vt:lpstr>
      <vt:lpstr>StLLvl</vt:lpstr>
      <vt:lpstr>STNLvl</vt:lpstr>
      <vt:lpstr>StoLvl</vt:lpstr>
      <vt:lpstr>StSLvl</vt:lpstr>
      <vt:lpstr>StTLvl</vt:lpstr>
      <vt:lpstr>StyLvl</vt:lpstr>
      <vt:lpstr>SuALvl</vt:lpstr>
      <vt:lpstr>SubLvl</vt:lpstr>
      <vt:lpstr>SuSMLvl</vt:lpstr>
      <vt:lpstr>SvSLvl</vt:lpstr>
      <vt:lpstr>SwaLvl</vt:lpstr>
      <vt:lpstr>SWBLvl</vt:lpstr>
      <vt:lpstr>SwDLvl</vt:lpstr>
      <vt:lpstr>SwfLvl</vt:lpstr>
      <vt:lpstr>SwhLvl</vt:lpstr>
      <vt:lpstr>SWiLvl</vt:lpstr>
      <vt:lpstr>SwRLvl</vt:lpstr>
      <vt:lpstr>SwSaLvl</vt:lpstr>
      <vt:lpstr>SwsLvl</vt:lpstr>
      <vt:lpstr>SyoLvl</vt:lpstr>
      <vt:lpstr>TblClasses</vt:lpstr>
      <vt:lpstr>TblClassList</vt:lpstr>
      <vt:lpstr>TblClassListLGStatus</vt:lpstr>
      <vt:lpstr>TblClassListRef</vt:lpstr>
      <vt:lpstr>TblClassTypeMod</vt:lpstr>
      <vt:lpstr>TblGestaltClassList</vt:lpstr>
      <vt:lpstr>TblPrestige</vt:lpstr>
      <vt:lpstr>TblPrestigeReq</vt:lpstr>
      <vt:lpstr>TblSkillPointsByClass</vt:lpstr>
      <vt:lpstr>TblSkills</vt:lpstr>
      <vt:lpstr>TblTLAList</vt:lpstr>
      <vt:lpstr>TctLvl</vt:lpstr>
      <vt:lpstr>TecLvl</vt:lpstr>
      <vt:lpstr>TemLvl</vt:lpstr>
      <vt:lpstr>TenALvl</vt:lpstr>
      <vt:lpstr>TGULvl</vt:lpstr>
      <vt:lpstr>ThGLvl</vt:lpstr>
      <vt:lpstr>ThmLvl</vt:lpstr>
      <vt:lpstr>ThrLvl</vt:lpstr>
      <vt:lpstr>ThyLvl</vt:lpstr>
      <vt:lpstr>TmpLvl</vt:lpstr>
      <vt:lpstr>TNcLvl</vt:lpstr>
      <vt:lpstr>ToDLvl</vt:lpstr>
      <vt:lpstr>ToGLvl</vt:lpstr>
      <vt:lpstr>ToJLvl</vt:lpstr>
      <vt:lpstr>ToOLvl</vt:lpstr>
      <vt:lpstr>ToSLvl</vt:lpstr>
      <vt:lpstr>ToTLvl</vt:lpstr>
      <vt:lpstr>TotmLvl</vt:lpstr>
      <vt:lpstr>TowerProf</vt:lpstr>
      <vt:lpstr>TPgLvl</vt:lpstr>
      <vt:lpstr>TRgLvl</vt:lpstr>
      <vt:lpstr>TriKLvl</vt:lpstr>
      <vt:lpstr>TrILvl</vt:lpstr>
      <vt:lpstr>TrsmLvl</vt:lpstr>
      <vt:lpstr>TruLvl</vt:lpstr>
      <vt:lpstr>TSlLvl</vt:lpstr>
      <vt:lpstr>TtMLvl</vt:lpstr>
      <vt:lpstr>TurnAttempts</vt:lpstr>
      <vt:lpstr>TurnAttemptsBase</vt:lpstr>
      <vt:lpstr>TurnCheckModifier</vt:lpstr>
      <vt:lpstr>TurnLvl</vt:lpstr>
      <vt:lpstr>TWdLvl</vt:lpstr>
      <vt:lpstr>TyrLvl</vt:lpstr>
      <vt:lpstr>TzGLvl</vt:lpstr>
      <vt:lpstr>UlMLvl</vt:lpstr>
      <vt:lpstr>UmDLvl</vt:lpstr>
      <vt:lpstr>UnSLvl</vt:lpstr>
      <vt:lpstr>UnTLvl</vt:lpstr>
      <vt:lpstr>UrPLvl</vt:lpstr>
      <vt:lpstr>UrSLvl</vt:lpstr>
      <vt:lpstr>UrSvLvl</vt:lpstr>
      <vt:lpstr>URTLvl</vt:lpstr>
      <vt:lpstr>VBdLvl</vt:lpstr>
      <vt:lpstr>VdDLvl</vt:lpstr>
      <vt:lpstr>VekLvl</vt:lpstr>
      <vt:lpstr>VhrLvl</vt:lpstr>
      <vt:lpstr>VigLvl</vt:lpstr>
      <vt:lpstr>VirLvl</vt:lpstr>
      <vt:lpstr>VKPLvl</vt:lpstr>
      <vt:lpstr>VmLLvl</vt:lpstr>
      <vt:lpstr>VoBLvl</vt:lpstr>
      <vt:lpstr>VPaLvl</vt:lpstr>
      <vt:lpstr>VSALvl</vt:lpstr>
      <vt:lpstr>VSkLvl</vt:lpstr>
      <vt:lpstr>WaPLvl</vt:lpstr>
      <vt:lpstr>WarLvl</vt:lpstr>
      <vt:lpstr>WayLvl</vt:lpstr>
      <vt:lpstr>WblLvl</vt:lpstr>
      <vt:lpstr>WBrLvl</vt:lpstr>
      <vt:lpstr>WcfLvl</vt:lpstr>
      <vt:lpstr>WdSLvl</vt:lpstr>
      <vt:lpstr>WdWLvl</vt:lpstr>
      <vt:lpstr>WfJLvl</vt:lpstr>
      <vt:lpstr>WhALvl</vt:lpstr>
      <vt:lpstr>WHkLvl</vt:lpstr>
      <vt:lpstr>WHnLvl</vt:lpstr>
      <vt:lpstr>WhrLvl</vt:lpstr>
      <vt:lpstr>WiCLvl</vt:lpstr>
      <vt:lpstr>WiMLvl</vt:lpstr>
      <vt:lpstr>WiRLvl</vt:lpstr>
      <vt:lpstr>WiSLvl</vt:lpstr>
      <vt:lpstr>WiWLvl</vt:lpstr>
      <vt:lpstr>WizLvl</vt:lpstr>
      <vt:lpstr>WldLvl</vt:lpstr>
      <vt:lpstr>WlfLvl</vt:lpstr>
      <vt:lpstr>WlRLvl</vt:lpstr>
      <vt:lpstr>WMaLvl</vt:lpstr>
      <vt:lpstr>WMdLvl</vt:lpstr>
      <vt:lpstr>WoDLvl</vt:lpstr>
      <vt:lpstr>WoHSLvl</vt:lpstr>
      <vt:lpstr>WoILvl</vt:lpstr>
      <vt:lpstr>WonLvl</vt:lpstr>
      <vt:lpstr>WoPLvl</vt:lpstr>
      <vt:lpstr>WpMLvl</vt:lpstr>
      <vt:lpstr>WPOLvl</vt:lpstr>
      <vt:lpstr>WrbLvl</vt:lpstr>
      <vt:lpstr>WrCLvl</vt:lpstr>
      <vt:lpstr>WrlLvl</vt:lpstr>
      <vt:lpstr>WrmLvl</vt:lpstr>
      <vt:lpstr>WrpLvl</vt:lpstr>
      <vt:lpstr>WrSLvl</vt:lpstr>
      <vt:lpstr>WsKLvl</vt:lpstr>
      <vt:lpstr>WSlLvl</vt:lpstr>
      <vt:lpstr>WsSLvl</vt:lpstr>
      <vt:lpstr>WtMLvl</vt:lpstr>
      <vt:lpstr>WuJLvl</vt:lpstr>
      <vt:lpstr>WvkLvl</vt:lpstr>
      <vt:lpstr>WvSLvl</vt:lpstr>
      <vt:lpstr>WWCLvl</vt:lpstr>
      <vt:lpstr>WWiLvl</vt:lpstr>
      <vt:lpstr>WWvLvl</vt:lpstr>
      <vt:lpstr>YakLvl</vt:lpstr>
      <vt:lpstr>YatLvl</vt:lpstr>
      <vt:lpstr>YWRLvl</vt:lpstr>
      <vt:lpstr>ZSpLvl</vt:lpstr>
      <vt:lpstr>ZtCbLvl</vt:lpstr>
    </vt:vector>
  </TitlesOfParts>
  <Company>CGI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RCNET</dc:creator>
  <cp:lastModifiedBy>RCNET</cp:lastModifiedBy>
  <dcterms:created xsi:type="dcterms:W3CDTF">2015-09-29T07:44:44Z</dcterms:created>
  <dcterms:modified xsi:type="dcterms:W3CDTF">2015-09-29T09:42:36Z</dcterms:modified>
</cp:coreProperties>
</file>